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lection" sheetId="1" r:id="rId3"/>
    <sheet state="visible" name="Extraction" sheetId="2" r:id="rId4"/>
    <sheet state="visible" name="Synthesis" sheetId="3" r:id="rId5"/>
    <sheet state="visible" name="Other Labels" sheetId="4" r:id="rId6"/>
    <sheet state="visible" name="Synthesis Categories" sheetId="5" r:id="rId7"/>
    <sheet state="visible" name="Selected (Automated Query)" sheetId="6" r:id="rId8"/>
    <sheet state="visible" name="Primary Studies (Automated Quer" sheetId="7" r:id="rId9"/>
    <sheet state="visible" name="Tag Descriptions" sheetId="8" r:id="rId10"/>
  </sheets>
  <definedNames>
    <definedName name="PosVeri">#REF!</definedName>
    <definedName name="Specif">#REF!</definedName>
    <definedName name="NegVeri">#REF!</definedName>
    <definedName name="VPN">#REF!</definedName>
    <definedName name="NegFalsi">#REF!</definedName>
    <definedName name="Sensib">#REF!</definedName>
    <definedName name="VPP">#REF!</definedName>
    <definedName name="PosFalsi">#REF!</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I1">
      <text>
        <t xml:space="preserve">strategy to reduce, monitor, or predict energy footprint</t>
      </text>
    </comment>
    <comment authorId="0" ref="J1">
      <text>
        <t xml:space="preserve">strategy is software-driven</t>
      </text>
    </comment>
    <comment authorId="0" ref="K1">
      <text>
        <t xml:space="preserve">strategy applies to ICT resources</t>
      </text>
    </comment>
    <comment authorId="0" ref="L1">
      <text>
        <t xml:space="preserve">strategy is evaluated</t>
      </text>
    </comment>
    <comment authorId="0" ref="M1">
      <text>
        <t xml:space="preserve">data center</t>
      </text>
    </comment>
    <comment authorId="0" ref="N1">
      <text>
        <t xml:space="preserve">hardware</t>
      </text>
    </comment>
    <comment authorId="0" ref="O1">
      <text>
        <t xml:space="preserve">supporting equipment (cooling, lightning, thermal management etc.)</t>
      </text>
    </comment>
    <comment authorId="0" ref="P1">
      <text>
        <t xml:space="preserve">energy generation, transformation, supply technologies</t>
      </text>
    </comment>
    <comment authorId="0" ref="Q1">
      <text>
        <t xml:space="preserve">English</t>
      </text>
    </comment>
    <comment authorId="0" ref="R1">
      <text>
        <t xml:space="preserve">peer-reviewed</t>
      </text>
    </comment>
    <comment authorId="0" ref="S1">
      <text>
        <t xml:space="preserve">secondary/tertiary study</t>
      </text>
    </comment>
    <comment authorId="0" ref="T1">
      <text>
        <t xml:space="preserve">poster, tutorial, presentation, book, PhD thesis</t>
      </text>
    </comment>
    <comment authorId="0" ref="U1">
      <text>
        <t xml:space="preserve">duplicate</t>
      </text>
    </comment>
    <comment authorId="0" ref="V1">
      <text>
        <t xml:space="preserve">unavailable</t>
      </text>
    </comment>
  </commentList>
</comments>
</file>

<file path=xl/comments2.xml><?xml version="1.0" encoding="utf-8"?>
<comments xmlns:r="http://schemas.openxmlformats.org/officeDocument/2006/relationships" xmlns="http://schemas.openxmlformats.org/spreadsheetml/2006/main">
  <authors>
    <author/>
  </authors>
  <commentList>
    <comment authorId="0" ref="E1">
      <text>
        <t xml:space="preserve">Only techniques algorithms that occur more than once. If no specific technique/algorithm is used, leave the field empty. If a technique is used but does not fit the category use 'other' and describe the technique/category in the 'Other Labels'-sheet, from here, more labels can emerge.</t>
      </text>
    </comment>
    <comment authorId="0" ref="O1">
      <text>
        <t xml:space="preserve">If the study specifically applies to servers, always include this label. If more details are available, add the relevant label (VM, container, CPU, memory).</t>
      </text>
    </comment>
    <comment authorId="0" ref="R6">
      <text>
        <t xml:space="preserve">to illustrate, in the report provide some example of what large, medium, and small mean</t>
      </text>
    </comment>
  </commentList>
</comments>
</file>

<file path=xl/comments3.xml><?xml version="1.0" encoding="utf-8"?>
<comments xmlns:r="http://schemas.openxmlformats.org/officeDocument/2006/relationships" xmlns="http://schemas.openxmlformats.org/spreadsheetml/2006/main">
  <authors>
    <author/>
  </authors>
  <commentList>
    <comment authorId="0" ref="I1">
      <text>
        <t xml:space="preserve">strategy to reduce, monitor, or predict energy footprint</t>
      </text>
    </comment>
    <comment authorId="0" ref="J1">
      <text>
        <t xml:space="preserve">strategy is software-driven</t>
      </text>
    </comment>
    <comment authorId="0" ref="K1">
      <text>
        <t xml:space="preserve">strategy applies to ICT resources</t>
      </text>
    </comment>
    <comment authorId="0" ref="L1">
      <text>
        <t xml:space="preserve">strategy is evaluated</t>
      </text>
    </comment>
    <comment authorId="0" ref="M1">
      <text>
        <t xml:space="preserve">data center</t>
      </text>
    </comment>
    <comment authorId="0" ref="N1">
      <text>
        <t xml:space="preserve">hardware</t>
      </text>
    </comment>
    <comment authorId="0" ref="O1">
      <text>
        <t xml:space="preserve">supporting equipment (cooling, lightning, thermal management etc.)</t>
      </text>
    </comment>
    <comment authorId="0" ref="P1">
      <text>
        <t xml:space="preserve">energy generation, transformation, supply technologies</t>
      </text>
    </comment>
    <comment authorId="0" ref="Q1">
      <text>
        <t xml:space="preserve">English</t>
      </text>
    </comment>
    <comment authorId="0" ref="R1">
      <text>
        <t xml:space="preserve">peer-reviewed</t>
      </text>
    </comment>
    <comment authorId="0" ref="S1">
      <text>
        <t xml:space="preserve">secondary/tertiary study</t>
      </text>
    </comment>
    <comment authorId="0" ref="T1">
      <text>
        <t xml:space="preserve">poster, tutorial, presentation, book, PhD thesis</t>
      </text>
    </comment>
    <comment authorId="0" ref="U1">
      <text>
        <t xml:space="preserve">duplicate</t>
      </text>
    </comment>
    <comment authorId="0" ref="V1">
      <text>
        <t xml:space="preserve">unavailable</t>
      </text>
    </comment>
  </commentList>
</comments>
</file>

<file path=xl/comments4.xml><?xml version="1.0" encoding="utf-8"?>
<comments xmlns:r="http://schemas.openxmlformats.org/officeDocument/2006/relationships" xmlns="http://schemas.openxmlformats.org/spreadsheetml/2006/main">
  <authors>
    <author/>
  </authors>
  <commentList>
    <comment authorId="0" ref="I1">
      <text>
        <t xml:space="preserve">strategy to reduce, monitor, or predict energy footprint</t>
      </text>
    </comment>
    <comment authorId="0" ref="J1">
      <text>
        <t xml:space="preserve">strategy is software-driven</t>
      </text>
    </comment>
    <comment authorId="0" ref="K1">
      <text>
        <t xml:space="preserve">strategy applies to ICT resources</t>
      </text>
    </comment>
    <comment authorId="0" ref="L1">
      <text>
        <t xml:space="preserve">strategy is evaluated</t>
      </text>
    </comment>
    <comment authorId="0" ref="M1">
      <text>
        <t xml:space="preserve">data center</t>
      </text>
    </comment>
    <comment authorId="0" ref="N1">
      <text>
        <t xml:space="preserve">hardware</t>
      </text>
    </comment>
    <comment authorId="0" ref="O1">
      <text>
        <t xml:space="preserve">supporting equipment (cooling, lightning, thermal management etc.)</t>
      </text>
    </comment>
    <comment authorId="0" ref="P1">
      <text>
        <t xml:space="preserve">energy generation, transformation, supply technologies</t>
      </text>
    </comment>
    <comment authorId="0" ref="Q1">
      <text>
        <t xml:space="preserve">English</t>
      </text>
    </comment>
    <comment authorId="0" ref="R1">
      <text>
        <t xml:space="preserve">peer-reviewed</t>
      </text>
    </comment>
    <comment authorId="0" ref="S1">
      <text>
        <t xml:space="preserve">secondary/tertiary study</t>
      </text>
    </comment>
    <comment authorId="0" ref="T1">
      <text>
        <t xml:space="preserve">poster, tutorial, presentation, book, PhD thesis</t>
      </text>
    </comment>
    <comment authorId="0" ref="U1">
      <text>
        <t xml:space="preserve">duplicate</t>
      </text>
    </comment>
    <comment authorId="0" ref="V1">
      <text>
        <t xml:space="preserve">unavailable</t>
      </text>
    </comment>
  </commentList>
</comments>
</file>

<file path=xl/sharedStrings.xml><?xml version="1.0" encoding="utf-8"?>
<sst xmlns="http://schemas.openxmlformats.org/spreadsheetml/2006/main" count="12834" uniqueCount="4423">
  <si>
    <t>ID</t>
  </si>
  <si>
    <t>Title</t>
  </si>
  <si>
    <t>URL</t>
  </si>
  <si>
    <t>Authors</t>
  </si>
  <si>
    <t>Venue</t>
  </si>
  <si>
    <t>Venue Acronym</t>
  </si>
  <si>
    <t>Venue Type</t>
  </si>
  <si>
    <t>Year</t>
  </si>
  <si>
    <t>IC1</t>
  </si>
  <si>
    <t>IC2</t>
  </si>
  <si>
    <t>IC3</t>
  </si>
  <si>
    <t>IC4</t>
  </si>
  <si>
    <t>IC5</t>
  </si>
  <si>
    <t>EC1</t>
  </si>
  <si>
    <t>EC2</t>
  </si>
  <si>
    <t>EC3</t>
  </si>
  <si>
    <t>EC4</t>
  </si>
  <si>
    <t>EC5</t>
  </si>
  <si>
    <t>EC6</t>
  </si>
  <si>
    <t>EC7</t>
  </si>
  <si>
    <t>EC8</t>
  </si>
  <si>
    <t>EC9</t>
  </si>
  <si>
    <t>Primary Study</t>
  </si>
  <si>
    <t>Selected based on title &amp; abstract</t>
  </si>
  <si>
    <t>Reviewer</t>
  </si>
  <si>
    <t>Notes</t>
  </si>
  <si>
    <t>Comparative study of energy performance between chip and inlet temperature-aware workload allocation in air-cooled data center</t>
  </si>
  <si>
    <t>https://www.mdpi.com/1996-1073/11/3/669</t>
  </si>
  <si>
    <t>Y Bai, L Gu, X Qi</t>
  </si>
  <si>
    <t>Multidisciplinary Digital Publishing Institute</t>
  </si>
  <si>
    <t>MDPI</t>
  </si>
  <si>
    <t>No</t>
  </si>
  <si>
    <t>S</t>
  </si>
  <si>
    <t>Qos promotion in energy-efficient datacenters through peak load scheduling</t>
  </si>
  <si>
    <t>https://ieeexplore.ieee.org/abstract/document/8573845/</t>
  </si>
  <si>
    <t>C Hu, Y Deng, G Min, P Huang, X Qin</t>
  </si>
  <si>
    <t>Institute of Electrical and Electronics Engineers</t>
  </si>
  <si>
    <t>IEEE Xplore</t>
  </si>
  <si>
    <t>J</t>
  </si>
  <si>
    <t>Yes</t>
  </si>
  <si>
    <t>improve QoS with negligible impact on energy saving</t>
  </si>
  <si>
    <t>Predictions and Modeling Energy Consumption for IT Data Center</t>
  </si>
  <si>
    <t>https://books.google.com/books?hl=en&amp;lr=&amp;id=AVyGDwAAQBAJ&amp;oi=fnd&amp;pg=PA1&amp;dq=energy+%22data+center%22%7C%22data+centers%22%7Cdatacenter%7Cdatacenters&amp;ots=JYfkFEMe3L&amp;sig=RVPT-kercyYpm3U0eJHgrVUoxNQ</t>
  </si>
  <si>
    <t>K Okba</t>
  </si>
  <si>
    <t>books.google.com</t>
  </si>
  <si>
    <t>see paper published by Springer</t>
  </si>
  <si>
    <t>Green energy in data centers</t>
  </si>
  <si>
    <t>https://www.igi-global.com/chapter/green-energy-in-data-centers/189905</t>
  </si>
  <si>
    <t>K Mardamutu, V Ponnusamy, N Zaman</t>
  </si>
  <si>
    <t>igi-global.com</t>
  </si>
  <si>
    <t>book</t>
  </si>
  <si>
    <t>Smart-grid-aware load regulation of multiple datacenters towards the variable generation of renewable energy</t>
  </si>
  <si>
    <t>https://www.mdpi.com/2076-3417/9/3/518</t>
  </si>
  <si>
    <t>P Luo, X Wang, H Jin, Y Li, X Yang</t>
  </si>
  <si>
    <t>interaction of datacenters and renewable power plants in the transmission network smart grid</t>
  </si>
  <si>
    <t>Green Data Center Analysis and Design for Energy Efficiency Using Clustered and Virtualization Method</t>
  </si>
  <si>
    <t>https://ieeexplore.ieee.org/abstract/document/8874886/</t>
  </si>
  <si>
    <t>JH Moedjahedy, M Taroreh</t>
  </si>
  <si>
    <t>C</t>
  </si>
  <si>
    <t>Energy efficient scheduling for cloud data centers using heuristic based migration</t>
  </si>
  <si>
    <t>https://link.springer.com/article/10.1007/s10586-018-2235-7</t>
  </si>
  <si>
    <t>GG Kumar, P Vivekanandan</t>
  </si>
  <si>
    <t>Springer</t>
  </si>
  <si>
    <t>Cost Reduction for Micro-Grid Powered Data Center Networks with Energy Storage Devices</t>
  </si>
  <si>
    <t>https://link.springer.com/chapter/10.1007/978-3-319-94268-1_53</t>
  </si>
  <si>
    <t>G Zhang, K Yi, W Zhang, D Li</t>
  </si>
  <si>
    <t>Toward Energy Efficient Systems Design for Data Centers</t>
  </si>
  <si>
    <t>http://search.proquest.com/openview/9935a1c2beb4fb91521f0ebe69ddda50/1?pq-origsite=gscholar&amp;cbl=18750&amp;diss=y</t>
  </si>
  <si>
    <t>B Luo</t>
  </si>
  <si>
    <t>search.proquest.com</t>
  </si>
  <si>
    <t>PhD thesis</t>
  </si>
  <si>
    <t>Load Management with Predictions of Solar Energy Production for Cloud Data Centers</t>
  </si>
  <si>
    <t>https://ieeexplore.ieee.org/abstract/document/9053186/</t>
  </si>
  <si>
    <t>M Floridia, D Laganà, C Mastroianni, M Meo, D Renga</t>
  </si>
  <si>
    <t>Flexibility-Based Energy and Demand Management in Data Centers: A Case Study for Cloud Computing</t>
  </si>
  <si>
    <t>https://www.mdpi.com/1996-1073/12/17/3301</t>
  </si>
  <si>
    <t>R Basmadjian</t>
  </si>
  <si>
    <t>Trade-off between Performance and Energy Management in Autonomic and Green Data Centers</t>
  </si>
  <si>
    <t>https://dl.acm.org/doi/abs/10.1145/3320326.3320332</t>
  </si>
  <si>
    <t>S Diouani, H Medromi</t>
  </si>
  <si>
    <t>Association for Computing Machinery</t>
  </si>
  <si>
    <t>ACM</t>
  </si>
  <si>
    <t>related work</t>
  </si>
  <si>
    <t>https://link.springer.com/chapter/10.1007/978-3-030-12065-8_1</t>
  </si>
  <si>
    <t>M Soltane, P Roose, D Makhlouf, K Okba</t>
  </si>
  <si>
    <t>Energy Efficiency Metrics of University Data Centers</t>
  </si>
  <si>
    <t>http://journal2.um.ac.id/index.php/keds/article/view/4797</t>
  </si>
  <si>
    <t>L Hernandez, G Jimenez…</t>
  </si>
  <si>
    <t>Knowledge Engineering and Data Science</t>
  </si>
  <si>
    <t>KEDS</t>
  </si>
  <si>
    <t>Energy efficient indivisible workload distribution in geographically distributed data centers</t>
  </si>
  <si>
    <t>https://ieeexplore.ieee.org/abstract/document/8742558/</t>
  </si>
  <si>
    <t>MIK Khalil, I Ahmad, AA Almazroi</t>
  </si>
  <si>
    <t>cost-driven</t>
  </si>
  <si>
    <t>An energy-efficient power management for heterogeneous servers in data centers</t>
  </si>
  <si>
    <t>https://link.springer.com/content/pdf/10.1007/s00607-020-00805-w.pdf</t>
  </si>
  <si>
    <t>Q Wang, H Cai, Q Cao, F Wang</t>
  </si>
  <si>
    <t>MFF: Performance Interference-Aware VM Placement Algorithm for Reducing Energy Consumption in Data Centers</t>
  </si>
  <si>
    <t>https://centerprode.com/ojit/ojit0301/coas.ojit.0301.01001m.html</t>
  </si>
  <si>
    <t>D Mosoti, VO Omwenga, P Ogao</t>
  </si>
  <si>
    <t>Open Journal for Information Technology</t>
  </si>
  <si>
    <t>OJIT</t>
  </si>
  <si>
    <t>Energy Aware Multi Objective Algorithm for Task Scheduling on DVFS-Enabled Cloud Datacenters using Fuzzy NSGA-II</t>
  </si>
  <si>
    <t>https://ijnaa.semnan.ac.ir/article_4666.html</t>
  </si>
  <si>
    <t>S Fatehi, H Motameni, B Barzegar…</t>
  </si>
  <si>
    <t>ijnaa.semnan.ac.ir</t>
  </si>
  <si>
    <t>cost-oriented, energy reduction minimal</t>
  </si>
  <si>
    <t>Managing energy consumption of data centers</t>
  </si>
  <si>
    <t>http://large.stanford.edu/courses/2018/ph240/mangu2/</t>
  </si>
  <si>
    <t>A Mangu</t>
  </si>
  <si>
    <t>large.stanford.edu</t>
  </si>
  <si>
    <t>student coursework</t>
  </si>
  <si>
    <t>Energy aware data centers and networks: a survey</t>
  </si>
  <si>
    <t>http://yadda.icm.edu.pl/yadda/element/bwmeta1.element.baztech-23b0c1e8-5925-43c0-9a13-3d9add2560eb</t>
  </si>
  <si>
    <t>P Arabas</t>
  </si>
  <si>
    <t>yadda.icm.edu.pl</t>
  </si>
  <si>
    <t>Network-aware energy saving multi-objective optimization in virtualized data centers</t>
  </si>
  <si>
    <t>https://link.springer.com/article/10.1007/s10586-018-2869-5</t>
  </si>
  <si>
    <t>M Al-Tarazi, JM Chang</t>
  </si>
  <si>
    <t>Methods for Reducing Energy Consumption, Optimization in Operational Data Centers</t>
  </si>
  <si>
    <t>https://ieeexplore.ieee.org/abstract/document/8559920/</t>
  </si>
  <si>
    <t>C Dumitrescu, A Plesca, M Adam…</t>
  </si>
  <si>
    <t>A Study on Energy Efficient Resource Allocation for Cloud Data Center</t>
  </si>
  <si>
    <t>https://ieeexplore.ieee.org/abstract/document/8844871/</t>
  </si>
  <si>
    <t>S Kulshrestha, S Patel</t>
  </si>
  <si>
    <t>Model Predictive Control for Energy-Efficient Operations of Data Centers with Cold Aisle Containments</t>
  </si>
  <si>
    <t>https://www.sciencedirect.com/science/article/pii/S2405896318326697</t>
  </si>
  <si>
    <t>M Ogura, J Wan, S Kasahara</t>
  </si>
  <si>
    <t>Elsevier</t>
  </si>
  <si>
    <t>Enhanced Silicon photonics platform: towards low energy consumption of optical transceivers for datacenter communications.</t>
  </si>
  <si>
    <t>https://ieeexplore.ieee.org/abstract/document/8602665/</t>
  </si>
  <si>
    <t>Q Wilmart, C Sciancalepore, D Fowler…</t>
  </si>
  <si>
    <t>Thermosyphon Cooler Hybrid System for Water Savings in an Energy-Efficient HPC Data Center: Results from 24 Months and the Impact on Water Usage …</t>
  </si>
  <si>
    <t>https://www.osti.gov/biblio/1471661</t>
  </si>
  <si>
    <t>DE Sickinger, OD Van Geet, SA Belmont, T Carter…</t>
  </si>
  <si>
    <t>osti.gov</t>
  </si>
  <si>
    <t>water saving</t>
  </si>
  <si>
    <t>Towards Energy Efficient Servers' Utilization in Datacenters</t>
  </si>
  <si>
    <t>https://books.google.com/books?hl=en&amp;lr=&amp;id=ugGfDwAAQBAJ&amp;oi=fnd&amp;pg=PA254&amp;dq=energy+%22data+center%22%7C%22data+centers%22%7Cdatacenter%7Cdatacenters&amp;ots=BSgV44jf6H&amp;sig=vDovkv3Wmr4qK-cMfULtdD2QClw</t>
  </si>
  <si>
    <t>F Aloul</t>
  </si>
  <si>
    <t>Infrastructure Aware Heterogeneous-Workloads Scheduling for Data Center Energy Cost Minimization</t>
  </si>
  <si>
    <t>https://ieeexplore.ieee.org/abstract/document/9017981/</t>
  </si>
  <si>
    <t>K Haghshenas, S Taheri, M Goudarzi, S Mohammadi</t>
  </si>
  <si>
    <t>Revenue and Energy Cost-Optimized Biobjective Task Scheduling for Green Cloud Data Centers</t>
  </si>
  <si>
    <t>https://ieeexplore.ieee.org/abstract/document/9011590/</t>
  </si>
  <si>
    <t>H Yuan, H Liu, J Bi, MC Zhou</t>
  </si>
  <si>
    <t>revenue and cost driven</t>
  </si>
  <si>
    <t>Exploring highly dependable and efficient datacenter power system using hybrid and hierarchical energy buffers</t>
  </si>
  <si>
    <t>https://ieeexplore.ieee.org/abstract/document/8573865/</t>
  </si>
  <si>
    <t>L Liu, H Sun, C Li, T Li, J Xin…</t>
  </si>
  <si>
    <t>Characterizing and Enhancing Energy Efficiency in Manycore Processors for Data Center Applications</t>
  </si>
  <si>
    <t>http://search.proquest.com/openview/7a63628bec7fbbb6457d322402461ce7/1?pq-origsite=gscholar&amp;cbl=18750&amp;diss=y</t>
  </si>
  <si>
    <t>MP McKeown</t>
  </si>
  <si>
    <t>Energy efficient resource selection and allocation strategy for virtual machine consolidation in cloud datacenters</t>
  </si>
  <si>
    <t>https://search.ieice.org/bin/summary.php?id=e101-d_7_1816</t>
  </si>
  <si>
    <t>Y Chang, C Gu, F Luo, G Fan, W Fu</t>
  </si>
  <si>
    <t>The Institute of Electronics, Information and Communication Engineers</t>
  </si>
  <si>
    <t>IEICE</t>
  </si>
  <si>
    <t>Energy-efficient task scheduling for data centers with unstable renewable energy: A robust optimization approach</t>
  </si>
  <si>
    <t>https://ieeexplore.ieee.org/abstract/document/8726577/</t>
  </si>
  <si>
    <t>Y Lu, R Wang, P Wang, Y Cao, J Hao, K Zhu</t>
  </si>
  <si>
    <t>Variable neighborhood search-based symbiotic organisms search algorithm for energy-efficient scheduling of virtual machine in cloud data center</t>
  </si>
  <si>
    <t>https://link.springer.com/chapter/10.1007/978-3-319-69889-2_5</t>
  </si>
  <si>
    <t>M Abdullahi, SI Dishing, MJ Usman</t>
  </si>
  <si>
    <t>Towards Power-and Energy-Efficient Datacenters</t>
  </si>
  <si>
    <t>https://deepblue.lib.umich.edu/handle/2027.42/144043</t>
  </si>
  <si>
    <t>CH Hsu</t>
  </si>
  <si>
    <t>deepblue.lib.umich.edu</t>
  </si>
  <si>
    <t>Time, Speed, Memory and Energy in Hybrid Data Center Networks–Insights and Some Guidelines</t>
  </si>
  <si>
    <t>https://ieeexplore.ieee.org/abstract/document/8751279/</t>
  </si>
  <si>
    <t>Y Birk</t>
  </si>
  <si>
    <t>Energy Efficiency in Green Data Centers: A Review</t>
  </si>
  <si>
    <t>https://www.academia.edu/download/63263096/Vol-10-issue-4-M-0120200510-129948-v2vkwo.pdf</t>
  </si>
  <si>
    <t>TN Tejaswini, PV Raikar, SH Hegde…</t>
  </si>
  <si>
    <t>Journal of Network Communications and Emerging Technologies</t>
  </si>
  <si>
    <t>JNCET</t>
  </si>
  <si>
    <t>Optimized Renewable Energy Use in Green Cloud Data Centers</t>
  </si>
  <si>
    <t>https://link.springer.com/chapter/10.1007/978-3-030-33702-5_24</t>
  </si>
  <si>
    <t>M Xu, AN Toosi, B Bahrani, R Razzaghi, M Singh</t>
  </si>
  <si>
    <t>A QoS-aware workload routing and server speed scaling policy for energy-efficient data centers: a robust queueing theoretic approach</t>
  </si>
  <si>
    <t>https://arxiv.org/abs/1912.09870</t>
  </si>
  <si>
    <t>SM Baik, YM Ko</t>
  </si>
  <si>
    <t>arxiv.org</t>
  </si>
  <si>
    <t>An Energy-aware Routing Mechanism based on MBOA for Data Center Network</t>
  </si>
  <si>
    <t>https://ieeexplore.ieee.org/abstract/document/8836768/</t>
  </si>
  <si>
    <t>Z Jianzhe, S Qingyu, L Guangwei</t>
  </si>
  <si>
    <t>A review of data centers as prosumers in district energy systems: Renewable energy integration and waste heat reuse for district heating</t>
  </si>
  <si>
    <t>https://www.sciencedirect.com/science/article/pii/S0306261919317969</t>
  </si>
  <si>
    <t>P Huang, B Copertaro, X Zhang, J Shen, I Löfgren…</t>
  </si>
  <si>
    <t>Modeling large data centers in the framework of an energy system long-term analysis</t>
  </si>
  <si>
    <t>http://www.sustainability.man.dtu.dk/english/-/media/Centre/SYS_Systems_Analysis/Master-Theses/AColangelo_Master_Thesis_DTU.ashx?la=da&amp;hash=E53B861AB130C97AA20D2AE20BC7B35CD877DE1B</t>
  </si>
  <si>
    <t>SP Corgnati, OB DTU, KK DTU, M Gargiulo…</t>
  </si>
  <si>
    <t>sustainability.man.dtu.dk</t>
  </si>
  <si>
    <t>master thesis</t>
  </si>
  <si>
    <t>Energy Optimization by Fan Speed Control for Data Centers</t>
  </si>
  <si>
    <t>http://search.proquest.com/openview/bcf81e0b54af76dc5f89886bd193f220/1?pq-origsite=gscholar&amp;cbl=18750&amp;diss=y</t>
  </si>
  <si>
    <t>M Tian</t>
  </si>
  <si>
    <t>An Energy-Efficient VM migrations optimization in Cloud Data Centers</t>
  </si>
  <si>
    <t>https://ieeexplore.ieee.org/abstract/document/9133776/</t>
  </si>
  <si>
    <t>C Thiam, F Thiam</t>
  </si>
  <si>
    <t>Modeling of the Energy Consumption in Cloud Datacenters</t>
  </si>
  <si>
    <t>https://www.researchgate.net/profile/Khaled_Salah7/publication/329706398_Modeling_of_the_Energy_Consumption_in_Cloud_Datacenters/links/5c174e0f92851c39ebf2ea44/Modeling-of-the-Energy-Consumption-in-Cloud-Datacenters.pdf</t>
  </si>
  <si>
    <t>S El Kafhali, K Salah</t>
  </si>
  <si>
    <t>Energy-Efficient Computing and Data Centers</t>
  </si>
  <si>
    <t>https://books.google.com/books?hl=en&amp;lr=&amp;id=8cynDwAAQBAJ&amp;oi=fnd&amp;pg=PP2&amp;dq=energy+%22data+center%22%7C%22data+centers%22%7Cdatacenter%7Cdatacenters&amp;ots=IcNfd3iFR7&amp;sig=F3pd4gobxeDUtao-hMOBDKLP85g</t>
  </si>
  <si>
    <t>L Brochard, V Kamath, J Corbalán, S Holland…</t>
  </si>
  <si>
    <t>Design of energy efficient datacenter with optimized virtual infrastructure</t>
  </si>
  <si>
    <t>https://aip.scitation.org/doi/abs/10.1063/5.0024789</t>
  </si>
  <si>
    <t>K MuthuPandi, K Somasundaram</t>
  </si>
  <si>
    <t>American Institute of Physics</t>
  </si>
  <si>
    <t>AIP</t>
  </si>
  <si>
    <t>IDEMS: An Intelligent Dynamic Environment Monitoring System for Data Center of Energy Internet</t>
  </si>
  <si>
    <t>https://ieeexplore.ieee.org/abstract/document/8791437/</t>
  </si>
  <si>
    <t>F Xiang, ZG Wang, Z Wang…</t>
  </si>
  <si>
    <t>power equipment such as chillers and batteries</t>
  </si>
  <si>
    <t>Jointly optimizing the IT and cooling systems for data center energy efficiency based on multi-agent deep reinforcement learning</t>
  </si>
  <si>
    <t>https://dl.acm.org/doi/abs/10.1145/3396851.3402658</t>
  </si>
  <si>
    <t>C Chi, K Ji, A Marahatta, P Song, F Zhang…</t>
  </si>
  <si>
    <t>Energy savings of hybrid dew-point evaporative cooler and micro-channel separated heat pipe cooling systems for computer data centers</t>
  </si>
  <si>
    <t>https://www.sciencedirect.com/science/article/pii/S0360544218314695</t>
  </si>
  <si>
    <t>Y Liu, X Yang, J Li, X Zhao</t>
  </si>
  <si>
    <t>A robust modeling framework for energy analysis of data centers</t>
  </si>
  <si>
    <t>https://dl.acm.org/doi/abs/10.1145/3401335.3401648</t>
  </si>
  <si>
    <t>N Lei</t>
  </si>
  <si>
    <t>Correction to: Energy efficient temporal load aware resource allocation in cloud computing datacenters</t>
  </si>
  <si>
    <t>https://d-nb.info/1173783652/34</t>
  </si>
  <si>
    <t>S Vakilinia, M Mehmet-Ali, D Qiu</t>
  </si>
  <si>
    <t>correction</t>
  </si>
  <si>
    <t>Exploiting Traffic Correlation Towards Energy Saving in Data Centers</t>
  </si>
  <si>
    <t>https://ieeexplore.ieee.org/abstract/document/8580952/</t>
  </si>
  <si>
    <t>Z Chkirbene, A Gouissem, R Hadjidj, R Hamila, S Foufou</t>
  </si>
  <si>
    <t>Energy and quality of service-aware virtual machine consolidation in a cloud data center</t>
  </si>
  <si>
    <t>https://link.springer.com/content/pdf/10.1007/s11227-020-03203-3.pdf</t>
  </si>
  <si>
    <t>A Tarafdar, M Debnath, S Khatua, RK Das</t>
  </si>
  <si>
    <t>Improving energy efficiency of virtualized datacenters</t>
  </si>
  <si>
    <t>https://oatao.univ-toulouse.fr/23799/</t>
  </si>
  <si>
    <t>VT Nitu</t>
  </si>
  <si>
    <t>oatao.univ-toulouse.fr</t>
  </si>
  <si>
    <t>A proactive autoscaling and energy-efficient VM allocation framework using online multi-resource neural network for cloud data center</t>
  </si>
  <si>
    <t>https://www.sciencedirect.com/science/article/pii/S0925231220315873</t>
  </si>
  <si>
    <t>D Saxena, AK Singh</t>
  </si>
  <si>
    <t>A deep neural network based approach to energy efficiency analysis for cloud data center</t>
  </si>
  <si>
    <t>https://ieeexplore.ieee.org/abstract/document/8972019/</t>
  </si>
  <si>
    <t>HA Ounifi, A Gherbi, N Kara, W Li</t>
  </si>
  <si>
    <t>Availability-Aware Multi-Objective Virtual Cluster Allocation Optimization in Energy-Efficient Datacenters</t>
  </si>
  <si>
    <t>https://ieeexplore.ieee.org/abstract/document/8855456/</t>
  </si>
  <si>
    <t>X Liu, B Cheng, Y Li, J Chen</t>
  </si>
  <si>
    <t>Energy-Efficient Flow Routing and Scheduling in Hybrid Data Center Networks</t>
  </si>
  <si>
    <t>https://ieeexplore.ieee.org/abstract/document/9014023/</t>
  </si>
  <si>
    <t>M Luo, J Li, J Ma, H Li, M Sheng</t>
  </si>
  <si>
    <t>Energy efficient dynamic virtual machine allocation with cpu usage prediction in cloud datacenters</t>
  </si>
  <si>
    <t>http://repository.bilkent.edu.tr/handle/11693/35741</t>
  </si>
  <si>
    <t>G Urul</t>
  </si>
  <si>
    <t>repository.bilkent.edu.tr</t>
  </si>
  <si>
    <t>Energy and performance-aware scheduling and shut-down models for efficient cloud-computing data centers.</t>
  </si>
  <si>
    <t>https://idus.us.es/handle/11441/81104</t>
  </si>
  <si>
    <t>D Fernández Cerero</t>
  </si>
  <si>
    <t>idus.us.es</t>
  </si>
  <si>
    <t>… OF LOCUST INSPIRED SCHEDULING ALGORITHM WITH HUGE NUMBER OF SERVERS FOR ENERGY EFFICIENCY IN A CLOUD DATACENTER</t>
  </si>
  <si>
    <t>http://psasir.upm.edu.my/id/eprint/82967/1/FSKTM%202019%2035%20IR.pdf</t>
  </si>
  <si>
    <t>NURH AZHAR</t>
  </si>
  <si>
    <t>psasir.upm.edu.my</t>
  </si>
  <si>
    <t>Online parameter tuning of the flow classification method in the energy-efficient data center network “HOLST”</t>
  </si>
  <si>
    <t>https://www.osapublishing.org/abstract.cfm?uri=jocn-12-11-344</t>
  </si>
  <si>
    <t>M Murakami, H Kubokawa, K Sugiura…</t>
  </si>
  <si>
    <t>osapublishing.org</t>
  </si>
  <si>
    <t>optical data center networks</t>
  </si>
  <si>
    <t>Discussion on Data Center Infrastructure Energy Saving Reconstruction Plan</t>
  </si>
  <si>
    <t>https://iopscience.iop.org/article/10.1088/1757-899X/466/1/012005/meta</t>
  </si>
  <si>
    <t>F Fang, X Yu</t>
  </si>
  <si>
    <t>iopscience.iop.org</t>
  </si>
  <si>
    <t>cabling</t>
  </si>
  <si>
    <t>Datacenter management for on-site intermittent and uncertain renewable energy sources</t>
  </si>
  <si>
    <t>http://thesesups.ups-tlse.fr/4496/</t>
  </si>
  <si>
    <t>L Grange</t>
  </si>
  <si>
    <t>thesesups.ups-tlse.fr</t>
  </si>
  <si>
    <t>A Novel Integrated Energy Station by Merging Data Center with Energy Storage: System Constitution, Collocation and Application</t>
  </si>
  <si>
    <t>https://ieeexplore.ieee.org/abstract/document/9077022/</t>
  </si>
  <si>
    <t>G Niu, M Wu, L Kou, X Hou, X Qu…</t>
  </si>
  <si>
    <t>Software Techniques for Making Cloud Data Centers Energy-efficient: A Systematic Mapping Study</t>
  </si>
  <si>
    <t>https://ieeexplore.ieee.org/abstract/document/9226361/</t>
  </si>
  <si>
    <t>F Khan, H Anwar, D Pfahl…</t>
  </si>
  <si>
    <t>Multi-criteria-Based Energy-Efficient Framework for VM Placement in Cloud Data Centers</t>
  </si>
  <si>
    <t>https://link.springer.com/article/10.1007/s13369-019-04048-6</t>
  </si>
  <si>
    <t>N Khattar, J Singh, J Sidhu</t>
  </si>
  <si>
    <t>Data Centers as Active Multi-Energy Systems for Power Grid Decarbonization: A Technical and Economic Analysis</t>
  </si>
  <si>
    <t>https://www.mdpi.com/1996-1073/12/21/4182</t>
  </si>
  <si>
    <t>PA Lombardi, KR Moreddy, A Naumann, P Komarnicki…</t>
  </si>
  <si>
    <t>Minimal Green Energy Consumption and Workload Management for Data Centers on Smart City Platforms</t>
  </si>
  <si>
    <t>https://www.mdpi.com/2071-1050/12/8/3140</t>
  </si>
  <si>
    <t>P Pei, Z Huo, OS Martínez, RG Crespo</t>
  </si>
  <si>
    <t>On the energy consumption forecasting of data centers based on weather conditions: Remote sensing and machine learning approach</t>
  </si>
  <si>
    <t>https://ieeexplore.ieee.org/abstract/document/8471785/</t>
  </si>
  <si>
    <t>G Smpokos, MA Elshatshat…</t>
  </si>
  <si>
    <t>Energy-efficient task distribution using neural network temperature prediction in a data center</t>
  </si>
  <si>
    <t>https://ieeexplore.ieee.org/abstract/document/8972035/</t>
  </si>
  <si>
    <t>M Omori, Y Nakajo, M Yoda, Y Joshi…</t>
  </si>
  <si>
    <t>temperature prediction</t>
  </si>
  <si>
    <t>Temperature-aware workload management for sustainable datacenters powered by renewable energy</t>
  </si>
  <si>
    <t>https://dl.acm.org/doi/abs/10.1145/3318265.3318287</t>
  </si>
  <si>
    <t>Y Li, X Wang, P Luo, X Yang</t>
  </si>
  <si>
    <t>Real-time energy-conserving VM-provisioning framework for cloud-data centers</t>
  </si>
  <si>
    <t>https://ieeexplore.ieee.org/abstract/document/8666614/</t>
  </si>
  <si>
    <t>S Ismaeel, A Miri</t>
  </si>
  <si>
    <t>Energy Consumption of Hybrid Data Center Networks</t>
  </si>
  <si>
    <t>https://ieeexplore.ieee.org/abstract/document/9012694/</t>
  </si>
  <si>
    <t>JR Dodoo, W Sun, F Zhu, W Hu</t>
  </si>
  <si>
    <t>hybrid data center networks</t>
  </si>
  <si>
    <t>Economic analysis of natural gas distributed energy system for data center in Shanghai</t>
  </si>
  <si>
    <t>https://iopscience.iop.org/article/10.1088/1755-1315/467/1/012214/meta</t>
  </si>
  <si>
    <t>S Wang, D Zhao, D Ke</t>
  </si>
  <si>
    <t>Energy consumption optimization scheme of cloud data center based on SDN</t>
  </si>
  <si>
    <t>https://www.sciencedirect.com/science/article/pii/S1877050918307075</t>
  </si>
  <si>
    <t>Q Liao, Z Wang</t>
  </si>
  <si>
    <t>Energy-Aware Virtual Data Center Migration</t>
  </si>
  <si>
    <t>https://www.jstage.jst.go.jp/article/jaciii/23/2/23_209/_article/-char/ja/</t>
  </si>
  <si>
    <t>X Ma, Z Zhang, S Su</t>
  </si>
  <si>
    <t>Journal of Advanced Computational Intelligence and Intelligent Informatics</t>
  </si>
  <si>
    <t>JACIII</t>
  </si>
  <si>
    <t>Profile-guided three-phase virtual resource management for energy efficiency of data centers</t>
  </si>
  <si>
    <t>https://ieeexplore.ieee.org/abstract/document/8663624/</t>
  </si>
  <si>
    <t>Z Ding, YC Tian, M Tang, Y Li, Y Wang, C Zhou</t>
  </si>
  <si>
    <t>How energy consumption in the cloud data center is calculated</t>
  </si>
  <si>
    <t>https://ieeexplore.ieee.org/abstract/document/8807458/</t>
  </si>
  <si>
    <t>S DIOUANI, H MEDROMI</t>
  </si>
  <si>
    <t>Batch Arrival Multiserver Queue with State-Dependent Setup for Energy-Saving Data Center</t>
  </si>
  <si>
    <t>https://link.springer.com/chapter/10.1007/978-981-15-5951-8_25</t>
  </si>
  <si>
    <t>T Phung-Duc</t>
  </si>
  <si>
    <t>Energy efficient virtual machine placement with an improved ant colony optimization over data center networks</t>
  </si>
  <si>
    <t>https://ieeexplore.ieee.org/abstract/document/8693725/</t>
  </si>
  <si>
    <t>W Wei, H Gu, W Lu, T Zhou, X Liu</t>
  </si>
  <si>
    <t>Articulating the Cloud: Understanding Data Centers, Renewable Energy, and Public Policy</t>
  </si>
  <si>
    <t>https://tigerprints.clemson.edu/all_theses/3297/</t>
  </si>
  <si>
    <t>BR Troutman</t>
  </si>
  <si>
    <t>tigerprints.clemson.edu</t>
  </si>
  <si>
    <t>Reducing the operational cost of cloud data centers through renewable energy</t>
  </si>
  <si>
    <t>https://www.mdpi.com/1999-4893/11/10/145</t>
  </si>
  <si>
    <t>D Laganà, C Mastroianni, M Meo, D Renga</t>
  </si>
  <si>
    <t>New approach for reducing energy consumption and load balancing in data centers of cloud computing</t>
  </si>
  <si>
    <t>https://content.iospress.com/articles/journal-of-intelligent-and-fuzzy-systems/ifs181016</t>
  </si>
  <si>
    <t>M Tarahomi, M Izadi</t>
  </si>
  <si>
    <t>Journal of Intelligent &amp; Fuzzy Systems</t>
  </si>
  <si>
    <t>JIFS</t>
  </si>
  <si>
    <t>Learning from Optimal: Energy Procurement Strategies for Data Centers</t>
  </si>
  <si>
    <t>https://dl.acm.org/doi/abs/10.1145/3307772.3328308</t>
  </si>
  <si>
    <t>S Ahmad, A Rosenthal, MH Hajiesmaili…</t>
  </si>
  <si>
    <t>https://link.springer.com/chapter/10.1007/978-3-030-22871-2_19</t>
  </si>
  <si>
    <t>A Osman, A Sagahyroon, R Aburukba, F Aloul</t>
  </si>
  <si>
    <t>MoSiCS: Modeling, simulation and optimization of complex systems–A case study on energy efficient datacenters</t>
  </si>
  <si>
    <t>https://www.sciencedirect.com/science/article/pii/S1569190X18301850</t>
  </si>
  <si>
    <t>M Antal, C Pop, T Petrican, AV Vesa, T Cioara…</t>
  </si>
  <si>
    <t>modeling, simulation, optimization thermal-electrical process</t>
  </si>
  <si>
    <t>Review on Energy Efficiency Green Data Centers</t>
  </si>
  <si>
    <t>https://www.ijresonline.com/archives/volume-5-issue-2/IJRES-V5I2P105.pdf</t>
  </si>
  <si>
    <t>V Amarnath, K Mallikarjuna, J Nagendra, DM Umesha…</t>
  </si>
  <si>
    <t>A Dynamic Energy-saving Deployment Algorithm for Virtual Data Centers</t>
  </si>
  <si>
    <t>https://ieeexplore.ieee.org/abstract/document/9091377/</t>
  </si>
  <si>
    <t>S Han, J Li, Y Ma, Q Dong, D Wu</t>
  </si>
  <si>
    <t>Energy consumption and emission mitigation prediction based on data center traffic and PUE for global data centers</t>
  </si>
  <si>
    <t>https://www.sciencedirect.com/science/article/pii/S2096511720300761</t>
  </si>
  <si>
    <t>Y Liu, X Wei, J Xiao, Z Liu, Y Xu, Y Tian</t>
  </si>
  <si>
    <t>Energy and performance-aware scheduling and shut-down models for efficient cloud-computing data centers</t>
  </si>
  <si>
    <t>https://dialnet.unirioja.es/servlet/dctes?codigo=198995</t>
  </si>
  <si>
    <t>DF Cerero</t>
  </si>
  <si>
    <t>dialnet.unirioja.es</t>
  </si>
  <si>
    <t>Towards the stand-alone operation of data centers with free cooling and optimally sized hybrid renewable power generation and energy storage</t>
  </si>
  <si>
    <t>https://www.sciencedirect.com/science/article/pii/S1364032118303423</t>
  </si>
  <si>
    <t>AH Khalaj, K Abdulla, SK Halgamuge</t>
  </si>
  <si>
    <t>Energy efficient VM scheduling and routing in multi-tenant cloud data center</t>
  </si>
  <si>
    <t>https://www.sciencedirect.com/science/article/pii/S2210537918303160</t>
  </si>
  <si>
    <t>S Ch, T Ramesh</t>
  </si>
  <si>
    <t>Architecture to Minimize Energy Consumption in Cloud Datacenter</t>
  </si>
  <si>
    <t>https://ieeexplore.ieee.org/abstract/document/9065682/</t>
  </si>
  <si>
    <t>S Prathiba, S Sankar</t>
  </si>
  <si>
    <t>Energy-Save in data centers with virtual machine migration management</t>
  </si>
  <si>
    <t>https://www.researchgate.net/profile/Khalil_Jahani/publication/338069261_Energy-Save_in_data_centers_with_virtual_machine_migration_management/links/5dfcbb95299bf10bc36a8ebb/Energy-Save-in-data-centers-with-virtual-machine-migration-management.pdf</t>
  </si>
  <si>
    <t>K Jahani, R Berangi</t>
  </si>
  <si>
    <t>Smartly handling renewable energy instability in supporting a cloud datacenter</t>
  </si>
  <si>
    <t>https://ieeexplore.ieee.org/abstract/document/9139872/</t>
  </si>
  <si>
    <t>J Gao, H Wang, H Shen</t>
  </si>
  <si>
    <t>Probability Based Online Algorithm for Switch Operation of Energy Efficient Data Center</t>
  </si>
  <si>
    <t>https://ieeexplore.ieee.org/abstract/document/8781752/</t>
  </si>
  <si>
    <t>J Sun, Q Yang, Z Yang</t>
  </si>
  <si>
    <t>Cannot access (IEEE)</t>
  </si>
  <si>
    <t>An experience-based scheme for energy-SLA balance in cloud data centers</t>
  </si>
  <si>
    <t>https://ieeexplore.ieee.org/abstract/document/8641327/</t>
  </si>
  <si>
    <t>X Zhou, K Li, C Liu, K Li</t>
  </si>
  <si>
    <t>Optimizing energy consumption for a performance-aware cloud data center in the public sector</t>
  </si>
  <si>
    <t>https://www.sciencedirect.com/science/article/pii/S2210537917304043</t>
  </si>
  <si>
    <t>K Chang, S Park, H Kong, W Kim</t>
  </si>
  <si>
    <t>Integrated network and hosts energy management for cloud data centers</t>
  </si>
  <si>
    <t>https://onlinelibrary.wiley.com/doi/abs/10.1002/ett.3641</t>
  </si>
  <si>
    <t>O Al‐Jarrah, Z Al‐Zoubi, Y Jararweh</t>
  </si>
  <si>
    <t>Wiley Online Library</t>
  </si>
  <si>
    <t>Wiley</t>
  </si>
  <si>
    <t>The water-energy nexus in the United States: Environmental footprints of cities and data centers</t>
  </si>
  <si>
    <t>https://krex.k-state.edu/dspace/bitstream/handle/2097/40764/MdabubakarSiddik2020.pdf?sequence=5</t>
  </si>
  <si>
    <t>MAB Siddik</t>
  </si>
  <si>
    <t>krex.k-state.edu</t>
  </si>
  <si>
    <t>On energy consumption of switch-centric data center networks</t>
  </si>
  <si>
    <t>https://link.springer.com/article/10.1007/s11227-017-2132-5</t>
  </si>
  <si>
    <t>O Popoola, B Pranggono</t>
  </si>
  <si>
    <t>data center network architecture</t>
  </si>
  <si>
    <t>Energy-Efficient Stable and Balanced Task Scheduling in Data Centers</t>
  </si>
  <si>
    <t>https://ieeexplore.ieee.org/abstract/document/9107482/</t>
  </si>
  <si>
    <t>M Safavi, B Landfeldt</t>
  </si>
  <si>
    <t>trade-off energy usage and server stability</t>
  </si>
  <si>
    <t>EEUI: a new measure to monitor and manage energy efficiency in data centers</t>
  </si>
  <si>
    <t>https://www.emerald.com/insight/content/doi/10.1108/IJPPM-08-2016-0160/full/html</t>
  </si>
  <si>
    <t>F Abaunza, AP Hameri, T Niemi</t>
  </si>
  <si>
    <t>International Journal of Productivity and Performance Management</t>
  </si>
  <si>
    <t>IJPPM</t>
  </si>
  <si>
    <t>F</t>
  </si>
  <si>
    <t>relies on operations mgmt, but does present new measure</t>
  </si>
  <si>
    <t>Energy Saving in Data Centers</t>
  </si>
  <si>
    <t>https://www.mdpi.com/2079-9292/7/1/5</t>
  </si>
  <si>
    <t>W Bein</t>
  </si>
  <si>
    <t>Thermal Modeling of Data Centers for Control and Energy Usage Optimization</t>
  </si>
  <si>
    <t>https://www.sciencedirect.com/science/article/pii/S0065271718300029</t>
  </si>
  <si>
    <t>J Athavale, M Yoda, Y Joshi</t>
  </si>
  <si>
    <t>Minimizing the operation cost of distributed green data centers with energy storage under carbon capping</t>
  </si>
  <si>
    <t>https://www.sciencedirect.com/science/article/pii/S0022000020301112</t>
  </si>
  <si>
    <t>H He, H Shen</t>
  </si>
  <si>
    <t>Reducing energy bill of data center via flexible partial execution</t>
  </si>
  <si>
    <t>https://link.springer.com/article/10.1007/s12652-018-1157-9</t>
  </si>
  <si>
    <t>S Wang, X Liu, S Jiang, Y Zhan</t>
  </si>
  <si>
    <t>financial incentive</t>
  </si>
  <si>
    <t>Improving accuracy of temperature distribution and energy-saving technology of air conditioners in data centers</t>
  </si>
  <si>
    <t>https://ieeexplore.ieee.org/abstract/document/8329460/</t>
  </si>
  <si>
    <t>K Sano, H Shimizu, Y Kondo…</t>
  </si>
  <si>
    <t>air-conditioning</t>
  </si>
  <si>
    <t>Comparison of the Energy Efficiency in Fat-Tree and B-Cube Based Data Center Network</t>
  </si>
  <si>
    <t>https://ieeexplore.ieee.org/abstract/document/8985207/</t>
  </si>
  <si>
    <t>M Al Fikri, F Rahmad, VS Saridewi…</t>
  </si>
  <si>
    <t>network topology</t>
  </si>
  <si>
    <t>Artificial Neural Network Based Prediction and Cooling Energy Optimization of Data Centers</t>
  </si>
  <si>
    <t>https://smartech.gatech.edu/handle/1853/62620</t>
  </si>
  <si>
    <t>JD Athavale</t>
  </si>
  <si>
    <t>smartech.gatech.edu</t>
  </si>
  <si>
    <t>Assessing the Energy Efficiency of High Performance Computing (HPC) Data Centers</t>
  </si>
  <si>
    <t>https://mediatum.ub.tum.de/1399734</t>
  </si>
  <si>
    <t>T Wilde</t>
  </si>
  <si>
    <t>mediatum.ub.tum.de</t>
  </si>
  <si>
    <t>Energy Storage in Communications &amp; Data Center Infrastructures</t>
  </si>
  <si>
    <t>https://papers.ssrn.com/sol3/papers.cfm?abstract_id=3431996</t>
  </si>
  <si>
    <t>LF Pau</t>
  </si>
  <si>
    <t>Social Science Research Network</t>
  </si>
  <si>
    <t>SSRN</t>
  </si>
  <si>
    <t>energy storage</t>
  </si>
  <si>
    <t>Energy Consumption Estimation Framework at Source Level for Data Centers</t>
  </si>
  <si>
    <t>https://papers.ssrn.com/sol3/papers.cfm?abstract_id=3419260</t>
  </si>
  <si>
    <t>M Hingamire, R Vadali</t>
  </si>
  <si>
    <t>papers.ssrn.com</t>
  </si>
  <si>
    <t>comparing local machine &amp; cloud</t>
  </si>
  <si>
    <t>Energy Efficient Virtual Machine Consolidation using DynamicThreshold in Cloud Data Centers</t>
  </si>
  <si>
    <t>http://www.ijrad.com/docs/v2n3/ncet18-3.pdf</t>
  </si>
  <si>
    <t>T Sureshkumar, P Saveetha, M Vijayakumar</t>
  </si>
  <si>
    <t>International Journal of Research and Advanced Development</t>
  </si>
  <si>
    <t>IJRAD</t>
  </si>
  <si>
    <t>return on investment focus: "similar level of en. consumption"</t>
  </si>
  <si>
    <t>A Survey of Research on Datacenters Using Energy Storage Devices to Participate in Smart Grid Demand Response</t>
  </si>
  <si>
    <t>https://ieeexplore.ieee.org/abstract/document/9202343/</t>
  </si>
  <si>
    <t>Z Mengmeng, W Xiaoying</t>
  </si>
  <si>
    <t>… METODOLÓGICA PARA AVALIAÇÃO DA EFICIÊNCIA ENERGÉTICA DE DATACENTERS-O ÍNDICE EUED (ENERGY USAGE EFFECTIVENESS DESIGN)</t>
  </si>
  <si>
    <t>https://www.researchgate.net/profile/Pedro_Gaspar5/publication/342600532_New_methodological_approach_for_assessing_the_energy_efficiency_of_Datacenters_-_the_EUED_index_Energy_Usage_Effectiveness_Design/links/5f653322299bf1b53ee0f2b4/New-methodological-approach-for-assessing-the-energy-efficiency-of-Datacenters-the-EUED-index-Energy-Usage-Effectiveness-Design.pdf</t>
  </si>
  <si>
    <t>AF Santos, HJL de Souza, PD Gaspar</t>
  </si>
  <si>
    <t>researchgate.net</t>
  </si>
  <si>
    <t>CPicker: Leveraging Performance-Equivalent Configurations to Improve Data Center Energy Efficiency</t>
  </si>
  <si>
    <t>https://link.springer.com/article/10.1007/s11390-018-1811-x</t>
  </si>
  <si>
    <t>FQ Sun, GH Yan, X He, HW Li, YH Han</t>
  </si>
  <si>
    <t>algorithm to improve EE</t>
  </si>
  <si>
    <t>A simplified power consumption model of information technology (IT) equipment in data centers for energy system real-time dynamic simulation</t>
  </si>
  <si>
    <t>https://www.sciencedirect.com/science/article/pii/S0306261918304768</t>
  </si>
  <si>
    <t>H Cheung, S Wang, C Zhuang, J Gu</t>
  </si>
  <si>
    <t>takes cooling (COP) into account</t>
  </si>
  <si>
    <t>An energy and performance aware consolidation technique for containerized datacenters</t>
  </si>
  <si>
    <t>https://ieeexplore.ieee.org/abstract/document/8731726/</t>
  </si>
  <si>
    <t>AA Khan, M Zakarya, R Buyya, R Khan, M Khan, O Rana</t>
  </si>
  <si>
    <t>algorithm for container allocation</t>
  </si>
  <si>
    <t>Energy-aware coflow and antenna scheduling for hybrid server-centric data center networks</t>
  </si>
  <si>
    <t>https://ieeexplore.ieee.org/abstract/document/8631005/</t>
  </si>
  <si>
    <t>T Li, S Santini</t>
  </si>
  <si>
    <t>algorithm to improve coflow in DC</t>
  </si>
  <si>
    <t>A whale optimization system for energy-efficient container placement in data centers</t>
  </si>
  <si>
    <t>https://www.sciencedirect.com/science/article/pii/S0957417420305431</t>
  </si>
  <si>
    <t>A Al-Moalmi, J Luo, A Salah, K Li, L Yin</t>
  </si>
  <si>
    <t>finds best balance VM/CM for PC</t>
  </si>
  <si>
    <t>Feasibility of using renewable energy to supply data centers in 60° north latitude</t>
  </si>
  <si>
    <t>https://www.sciencedirect.com/science/article/pii/S2210537916300907</t>
  </si>
  <si>
    <t>E Sheme, S Holmbacka, S Lafond, D Lučanin…</t>
  </si>
  <si>
    <t>Spatio-Temporal Multi-Application Request Scheduling in Energy-Efficient Data Centers</t>
  </si>
  <si>
    <t>https://books.google.com/books?hl=en&amp;lr=&amp;id=98yGDwAAQBAJ&amp;oi=fnd&amp;pg=PA343&amp;dq=energy+%22data+center%22%7C%22data+centers%22%7Cdatacenter%7Cdatacenters&amp;ots=iVj-4NFBHs&amp;sig=fzYwl_1MFGHJavHNYdwVkkkwPAM</t>
  </si>
  <si>
    <t>H Yuan, J Bi, MC Zhou</t>
  </si>
  <si>
    <t>Sustainable Energy Consumption Modeling for Cloud Data Centers</t>
  </si>
  <si>
    <t>https://ieeexplore.ieee.org/abstract/document/9033927/</t>
  </si>
  <si>
    <t>P Nehra, A Nagaraju</t>
  </si>
  <si>
    <t>new formula power consumption</t>
  </si>
  <si>
    <t>A Comparative Study Using Hybrid Approach for Energy Efficiency in Cloud Data Center</t>
  </si>
  <si>
    <t>https://ieeexplore.ieee.org/abstract/document/8553891/</t>
  </si>
  <si>
    <t>EP Singh, EM Agnihotri</t>
  </si>
  <si>
    <t>Energy-efficient Virtual Machine Allocation Technique Using Flower Pollination Algorithm in Cloud Datacenter: A Panacea to Green Computing</t>
  </si>
  <si>
    <t>https://link.springer.com/content/pdf/10.1007/s42235-019-0030-7.pdf</t>
  </si>
  <si>
    <t xml:space="preserve">MJ Usman, AS Ismail, H Chizari, G Abdul-Salaam, AM Usman, AY Gital, O Kaiwartya, A Aliyu </t>
  </si>
  <si>
    <t>Flower Pollination algorithm</t>
  </si>
  <si>
    <t>Effects of airflow on the thermal environment and energy efficiency in raised-floor data centers: A review</t>
  </si>
  <si>
    <t>https://www.sciencedirect.com/science/article/pii/S0048969719337428</t>
  </si>
  <si>
    <t>C Jin, X Bai, C Yang</t>
  </si>
  <si>
    <t>Worldwide energy consumption of hyperscale data centers: A Survey</t>
  </si>
  <si>
    <t>https://rspsciencehub.com/article_1630_1.html</t>
  </si>
  <si>
    <t>A Raizada, K Pal Singh, M Sajid</t>
  </si>
  <si>
    <t>rspsciencehub.com</t>
  </si>
  <si>
    <t>Heuristic attribute reduction and resource-saving algorithm for energy data of data centers</t>
  </si>
  <si>
    <t>https://link.springer.com/article/10.1007/s10115-018-1288-5</t>
  </si>
  <si>
    <t>M Chen, J Yuan, L Li, D Liu, Y He</t>
  </si>
  <si>
    <t xml:space="preserve">improves computational speed </t>
  </si>
  <si>
    <t>Empirical characterization and modeling of power consumption and energy aware scheduling in data centers</t>
  </si>
  <si>
    <t>https://www.colibri.udelar.edu.uy/jspui/handle/20.500.12008/26248</t>
  </si>
  <si>
    <t>J Muraña</t>
  </si>
  <si>
    <t>colibri.udelar.edu.uy</t>
  </si>
  <si>
    <t>Thermal-aware flow field optimization for energy saving of data centers</t>
  </si>
  <si>
    <t>https://ieeexplore.ieee.org/abstract/document/8430975/</t>
  </si>
  <si>
    <t>Q Wang, M Song, Q Fang…</t>
  </si>
  <si>
    <t>Online inventory management with application to energy procurement in data centers</t>
  </si>
  <si>
    <t>https://arxiv.org/abs/1901.04372</t>
  </si>
  <si>
    <t>L Yang, MH Hajiesmaili, R Sitaraman…</t>
  </si>
  <si>
    <t>Energy Efficient Approach using Server Virtualization in Cloud Data Center</t>
  </si>
  <si>
    <t>https://ieeexplore.ieee.org/abstract/document/8986732/</t>
  </si>
  <si>
    <t>MSBM Desa, J Samuel, S Elango…</t>
  </si>
  <si>
    <t>only identifies VM impacts on EE</t>
  </si>
  <si>
    <t>Energy-efficient application assignment in profile-based data center management through a Repairing Genetic Algorithm</t>
  </si>
  <si>
    <t>https://www.sciencedirect.com/science/article/pii/S1568494618301327</t>
  </si>
  <si>
    <t>M Vasudevan, YC Tian, M Tang, E Kozan, X Zhang</t>
  </si>
  <si>
    <t xml:space="preserve">app. assignment architecture </t>
  </si>
  <si>
    <t>Multi-objective optimization of energy saving control for air conditioning system in data center</t>
  </si>
  <si>
    <t>https://www.mdpi.com/1996-1073/12/8/1474</t>
  </si>
  <si>
    <t>L Yao, JH Huang</t>
  </si>
  <si>
    <t>Ultra-stable integrated lasers and low-cost, low-energy coherent data center interconnect</t>
  </si>
  <si>
    <t>https://www.osapublishing.org/abstract.cfm?uri=Networks-2019-NeM4D.1</t>
  </si>
  <si>
    <t>DJ Blumenthal</t>
  </si>
  <si>
    <t>Current Methodologies for Energy Efficient Cloud Data Centers</t>
  </si>
  <si>
    <t>https://link.springer.com/chapter/10.1007/978-981-13-0586-3_43</t>
  </si>
  <si>
    <t>S Patel, K Vyas</t>
  </si>
  <si>
    <t>An energy‐aware resource provisioning scheme for real‐time applications in a cloud data center</t>
  </si>
  <si>
    <t>https://onlinelibrary.wiley.com/doi/abs/10.1002/spe.2592</t>
  </si>
  <si>
    <t>HR Faragardi, S Dehnavi, T Nolte…</t>
  </si>
  <si>
    <t>cooling factor param. in algorithm</t>
  </si>
  <si>
    <t>Joint minimization of the energy costs from computing, data transmission, and migrations in cloud data centers</t>
  </si>
  <si>
    <t>https://ieeexplore.ieee.org/abstract/document/8267099/</t>
  </si>
  <si>
    <t>C Canali, L Chiaraviglio, R Lancellotti,  M Shojafar</t>
  </si>
  <si>
    <t>Edge: Microgrid data center with mixed energy storage</t>
  </si>
  <si>
    <t>https://dl.acm.org/doi/abs/10.1145/3396851.3402656</t>
  </si>
  <si>
    <t>R Brännvall, M Siltala, J Gustafsson…</t>
  </si>
  <si>
    <t>Profile-based virtual machine management for more energy-efficient data centers</t>
  </si>
  <si>
    <t>https://eprints.qut.edu.au/129871</t>
  </si>
  <si>
    <t>FAH Alharbi</t>
  </si>
  <si>
    <t>eprints.qut.edu.au</t>
  </si>
  <si>
    <t>QoS aware energy efficient VM consolidation techniques for a virtualized data center</t>
  </si>
  <si>
    <t>https://ieeexplore.ieee.org/abstract/document/8603158/</t>
  </si>
  <si>
    <t>A Tarafdar, S Khatua, RK Das</t>
  </si>
  <si>
    <t>balance trade-off QoS(focus) /EC</t>
  </si>
  <si>
    <t>Operational data analytics: Optimizing the national energy research scientific computing center cooling systems</t>
  </si>
  <si>
    <t>https://dl.acm.org/doi/abs/10.1145/3339186.3339210</t>
  </si>
  <si>
    <t>N Bourassa, W Johnson, J Broughton…</t>
  </si>
  <si>
    <t>Modeling Data Center Energy Systems at Early Design Stage</t>
  </si>
  <si>
    <t>https://aaltodoc.aalto.fi/handle/123456789/44299</t>
  </si>
  <si>
    <t>I Hemminki</t>
  </si>
  <si>
    <t>aaltodoc.aalto.fi</t>
  </si>
  <si>
    <t>Energy-efficient dynamic virtual machine management in data centers</t>
  </si>
  <si>
    <t>https://ieeexplore.ieee.org/abstract/document/8626500/</t>
  </si>
  <si>
    <t>Z Han, H Tan, R Wang, G Chen, Y Li, FCM Lau</t>
  </si>
  <si>
    <t>algorithm for VM management</t>
  </si>
  <si>
    <t>ENERGY OPTIMIZATION IN A HVAC SYSTEM OF A DATA PROCES-SING CENTER, INCLUDING THE USE OF FREE COOLING SYSTEMS OTIMIZAÇÃO DE …</t>
  </si>
  <si>
    <t>http://www-ext.lnec.pt/APAET/pdf/Rev_30_A1.pdf</t>
  </si>
  <si>
    <t>C Afonso, J Moreira</t>
  </si>
  <si>
    <t>www-ext.lnec.pt</t>
  </si>
  <si>
    <t>To Shift Tasks or To Shift Energy by ESDs? An Economical Scheduling for Cloud Data Center</t>
  </si>
  <si>
    <t>https://ieeexplore.ieee.org/abstract/document/9047378/</t>
  </si>
  <si>
    <t>C Gu, Y Chen, W Li, C Liu</t>
  </si>
  <si>
    <t>An Apriori-based energy-efficient Algorithm for SDN data center</t>
  </si>
  <si>
    <t>https://ieeexplore.ieee.org/abstract/document/8982573/</t>
  </si>
  <si>
    <t>P HongYu, H TianLu</t>
  </si>
  <si>
    <t xml:space="preserve">energy saving algorithm </t>
  </si>
  <si>
    <t>THE ENERGY EFFICIENCY ANALYSIS OF DATA CENTER COOLING BASED ON SEPARATED HEAT PIPE</t>
  </si>
  <si>
    <t>http://www.ihtcdigitallibrary.com/conferences/ihtc16,43c1002541586ecd,67018b763fa3e332.html</t>
  </si>
  <si>
    <t>T Wang, Y Li, H Liu, L Zhang, Y Jiang…</t>
  </si>
  <si>
    <t>ihtcdigitallibrary.com</t>
  </si>
  <si>
    <t>A Novel Approach to Adaptive Flow Scheduling for Energy Efficient Data Center Network</t>
  </si>
  <si>
    <t>https://jit.ndhu.edu.tw/article/view/2085</t>
  </si>
  <si>
    <t>R Ranjana, S Radha, J Raja</t>
  </si>
  <si>
    <t>Journal of Internet Technology</t>
  </si>
  <si>
    <t>JIT</t>
  </si>
  <si>
    <t>adaptive flow scheduling model</t>
  </si>
  <si>
    <t>Study on the Prediction Models of Temperature and Energy by using DCIM and Machine Learning to Support Optimal Management of Data Center</t>
  </si>
  <si>
    <t>https://go.gale.com/ps/i.do?id=GALE%7CA584980305&amp;sid=googleScholar&amp;v=2.1&amp;it=r&amp;linkaccess=abs&amp;issn=00012505&amp;p=AONE&amp;sw=w</t>
  </si>
  <si>
    <t>K Sasakura, T Aoki, T Watanabe</t>
  </si>
  <si>
    <t>go.gale.com</t>
  </si>
  <si>
    <t>CLOUD DATA CENTER BASED ENERGY EFFICIENT SCHEDULING OF SERVERS WITH MULTI-SLEEP MODES</t>
  </si>
  <si>
    <t>https://jespublication.com/upload/2019-V10-I12-10.pdf</t>
  </si>
  <si>
    <t>PS JYOTHI, BH BABU</t>
  </si>
  <si>
    <t>Journal of Engineering Sciences</t>
  </si>
  <si>
    <t>JES</t>
  </si>
  <si>
    <t xml:space="preserve">server scheduling algorithm </t>
  </si>
  <si>
    <t>Research progress and development trend of cross-layer energy efficiency optimization in data centers</t>
  </si>
  <si>
    <t>http://engine.scichina.com/doi/10.1360/N112018-00293</t>
  </si>
  <si>
    <t>J WANG, B ZHOU, W LIU, S HU</t>
  </si>
  <si>
    <t>engine.scichina.com</t>
  </si>
  <si>
    <t>Short-term prediction model to maximize renewable energy usage in cloud data centers</t>
  </si>
  <si>
    <t>https://link.springer.com/chapter/10.1007/978-3-319-62238-5_8</t>
  </si>
  <si>
    <t>A Khosravi, R Buyya</t>
  </si>
  <si>
    <t>Technology radars for energy-efficient data centers</t>
  </si>
  <si>
    <t>https://www.researchgate.net/profile/Ralph_Hintemann/publication/330359801_Technology_radars_for_energy-efficient_data_centers_A_transdisciplinary_approach_to_technology_identification_analysis_and_evaluation/links/5c3c620492851c22a3736e4e/Technology-radars-for-energy-efficient-data-centers-A-transdisciplinary-approach-to-technology-identification-analysis-and-evaluation.pdf</t>
  </si>
  <si>
    <t>R Hintemann, S Hinterholzer</t>
  </si>
  <si>
    <t>Research on Energy Saving Algorithm of Datacenter in Cloud Computing System</t>
  </si>
  <si>
    <t>https://www.atlantis-press.com/proceedings/iccia-19/125913111</t>
  </si>
  <si>
    <t>X Liu, J Wu</t>
  </si>
  <si>
    <t>atlantis-press.com</t>
  </si>
  <si>
    <t>Thermal Performance and Energy Saving Analysis of Indoor Air–Water Heat Exchanger Based on Micro Heat Pipe Array for Data Center</t>
  </si>
  <si>
    <t>https://www.mdpi.com/1996-1073/13/2/393</t>
  </si>
  <si>
    <t>H Jing, Z Quan, Y Zhao, L Wang, R Ren, Z Liu</t>
  </si>
  <si>
    <t>Phase-based tasks scheduling in data centers powered exclusively by renewable energy</t>
  </si>
  <si>
    <t>https://ieeexplore.ieee.org/abstract/document/8924180/</t>
  </si>
  <si>
    <t>S Caux, P Renaud-Goud, G Rostirolla…</t>
  </si>
  <si>
    <t>reduce profit degradation</t>
  </si>
  <si>
    <t>Parallel Investigation of Different Task Schedulers at Greencloud for Energy Consumption in Datacenters</t>
  </si>
  <si>
    <t>https://link.springer.com/chapter/10.1007/978-981-10-4394-9_60</t>
  </si>
  <si>
    <t>S Aarthee, R Prabakaran</t>
  </si>
  <si>
    <t>comparison of task schedulers</t>
  </si>
  <si>
    <t>Green Technology to Assess and Measure Energy Efficiency of Data Center in Cloud Computing</t>
  </si>
  <si>
    <t>https://link.springer.com/chapter/10.1007/978-981-15-3284-9_39</t>
  </si>
  <si>
    <t>C Priya, G Suseendran, D Akila…</t>
  </si>
  <si>
    <t>Optimization of energy consumption in cloud computing datacenters.</t>
  </si>
  <si>
    <t>http://search.ebscohost.com/login.aspx?direct=true&amp;profile=ehost&amp;scope=site&amp;authtype=crawler&amp;jrnl=20888708&amp;AN=146452970&amp;h=lxQrDIHhUKQ7OgU15FCpeAuxISO%2FDupfUecB7jVeLvPws78xcAnWq%2BpN8G%2Buu2fg9hJYFPgZqPvSBABxPusyLw%3D%3D&amp;crl=c</t>
  </si>
  <si>
    <t>A Osman, A Sagahyroon…</t>
  </si>
  <si>
    <t>search.ebscohost.com</t>
  </si>
  <si>
    <t>only abstract and meta-data</t>
  </si>
  <si>
    <t>Improving energy efficiency in data centers by controlling task distribution and cooling</t>
  </si>
  <si>
    <t>https://asmedigitalcollection.asme.org/InterPACK/proceedings-abstract/InterPACK2018/51920/V001T02A005/273909</t>
  </si>
  <si>
    <t>Y Nakajo, J Athavale, M Yoda…</t>
  </si>
  <si>
    <t>asmedigitalcollection.asme.org</t>
  </si>
  <si>
    <t>Experimental and Computational Investigations of the Thermal Environment in a Small Operational Data Center for Potential Energy Efficiency Improvements</t>
  </si>
  <si>
    <t>https://asmedigitalcollection.asme.org/electronicpackaging/article-abstract/142/3/031116/1085478</t>
  </si>
  <si>
    <t>I Turkmen, CA Mercan…</t>
  </si>
  <si>
    <t>Energy Audit of Data Centers and Server Rooms on an Academic Campus—A Case Study</t>
  </si>
  <si>
    <t>https://ieeexplore.ieee.org/abstract/document/8757266/</t>
  </si>
  <si>
    <t>M Patel, A Upadhyay, F Battaglia…</t>
  </si>
  <si>
    <t>A review on energy efficiency and demand response with focus on small and medium data centers</t>
  </si>
  <si>
    <t>https://link.springer.com/article/10.1007/s12053-018-9753-2</t>
  </si>
  <si>
    <t>TL Vasques, P Moura, A de Almeida</t>
  </si>
  <si>
    <t>Hybrid Best-Fit Heuristic for Energy Efficient Virtual Machine Placement in Cloud Data Centers</t>
  </si>
  <si>
    <t>http://search.proquest.com/openview/21c57e9527878ff9b6c8a99d58d1bdb0/1?pq-origsite=gscholar&amp;cbl=4477230</t>
  </si>
  <si>
    <t>S Jangiti, V Vijayakumar, V Subramaniyaswamy</t>
  </si>
  <si>
    <t>EAI Endorsed Transactions on Energy Web</t>
  </si>
  <si>
    <t xml:space="preserve">EAI </t>
  </si>
  <si>
    <t>heuristic for VM placement</t>
  </si>
  <si>
    <t>An SDN Focused Approach for Energy Aware Traffic Engineering in Data Centers</t>
  </si>
  <si>
    <t>https://www.mdpi.com/1424-8220/19/18/3980</t>
  </si>
  <si>
    <t>P Charalampou, ED Sykas</t>
  </si>
  <si>
    <t>MIP algorithm to optimize EC</t>
  </si>
  <si>
    <t>Exploiting user provided information in dynamic consolidation of virtual machines to minimize energy consumption of cloud data centers</t>
  </si>
  <si>
    <t>https://ieeexplore.ieee.org/abstract/document/8364052/</t>
  </si>
  <si>
    <t>MA Khan, AP Paplinski, AM Khan, M Murshed, R Buyya</t>
  </si>
  <si>
    <t>VM consolidation (dynamic)</t>
  </si>
  <si>
    <t>DREAM: Distributed energy-aware traffic management for data center networks</t>
  </si>
  <si>
    <t>https://dl.acm.org/doi/abs/10.1145/3307772.3328291</t>
  </si>
  <si>
    <t>L Zhou, LN Bhuyan, KK Ramakrishnan</t>
  </si>
  <si>
    <t>traffic management framework</t>
  </si>
  <si>
    <t>Energy-saving analysis of a case data center with a pump-driven loop heat pipe system in different climate regions in China</t>
  </si>
  <si>
    <t>https://www.sciencedirect.com/science/article/pii/S0378778817339841</t>
  </si>
  <si>
    <t>F Zhou, C Li, W Zhu, J Zhou, G Ma, Z Liu</t>
  </si>
  <si>
    <t>Energy-aware Virtual Machine Selection and Allocation Strategies in Cloud Data Centers</t>
  </si>
  <si>
    <t>https://ieeexplore.ieee.org/abstract/document/8745764/</t>
  </si>
  <si>
    <t>H Singh, S Tyagi, P Kumar</t>
  </si>
  <si>
    <t>Energy-oriented analysis of HPC cluster queues: emerging metrics for sustainable data center</t>
  </si>
  <si>
    <t>https://link.springer.com/chapter/10.1007/978-3-030-21507-1_41</t>
  </si>
  <si>
    <t>A Grishina, M Chinnici, D De Chiara, E Rondeau, AL Kor</t>
  </si>
  <si>
    <t>analysis productivity EE metrics</t>
  </si>
  <si>
    <t>SDN-based traffic scheduling scheme for energy storage data center based on differential algorithm and congestion degree</t>
  </si>
  <si>
    <t>https://ieeexplore.ieee.org/abstract/document/9213653/</t>
  </si>
  <si>
    <t>L Peizhe, L Chaoqun, Y Kai, Z Mingjie…</t>
  </si>
  <si>
    <t>improve network performance</t>
  </si>
  <si>
    <t>Analysis of air-side economizers in terms of cooling-energy performance in a data center considering exhaust air recirculation</t>
  </si>
  <si>
    <t>https://www.mdpi.com/1996-1073/11/2/444</t>
  </si>
  <si>
    <t>S Park, J Seo</t>
  </si>
  <si>
    <t>Energy efficiency of data center operating practices: Server clustering, powering on/off, and bang–bang control</t>
  </si>
  <si>
    <t>https://onlinelibrary.wiley.com/doi/abs/10.1002/net.21752</t>
  </si>
  <si>
    <t>Y Cho, YM Ko</t>
  </si>
  <si>
    <t xml:space="preserve">adaptive load management </t>
  </si>
  <si>
    <t>Brownout-oriented and energy efficient management of cloud data centers</t>
  </si>
  <si>
    <t>https://minerva-access.unimelb.edu.au/handle/11343/221608</t>
  </si>
  <si>
    <t>M Xu</t>
  </si>
  <si>
    <t>minerva-access.unimelb.edu.au</t>
  </si>
  <si>
    <t>Toward an Autonomic and Adaptive Load Management Strategy for Reducing Energy Consumption under Performance Constraints in Data Centers.</t>
  </si>
  <si>
    <t>https://www.researchgate.net/profile/Abdulrahman_Nahhas/publication/333335432_Toward_an_Autonomic_and_Adaptive_Load_Management_Strategy_for_Reducing_Energy_Consumption_under_Performance_Constraints_in_Data_Centers/links/5d1b96fa92851cf440600900/Toward-an-Autonomic-and-Adaptive-Load-Management-Strategy-for-Reducing-Energy-Consumption-under-Performance-Constraints-in-Data-Centers.pdf</t>
  </si>
  <si>
    <t>A Nahhas, S Bosse, M Pohl, K Turowski</t>
  </si>
  <si>
    <t>load management strategy</t>
  </si>
  <si>
    <t>Quantifying the impact of shutdown techniques for energy‐efficient data centers</t>
  </si>
  <si>
    <t>https://onlinelibrary.wiley.com/doi/abs/10.1002/cpe.4471</t>
  </si>
  <si>
    <t>I Raïs, AC Orgerie, M Quinson…</t>
  </si>
  <si>
    <t>shut-down policies EE hardware</t>
  </si>
  <si>
    <t>Utilization-prediction-aware virtual machine consolidation approach for energy-efficient cloud data centers</t>
  </si>
  <si>
    <t>https://www.sciencedirect.com/science/article/pii/S074373151930190X</t>
  </si>
  <si>
    <t>SY Hsieh, CS Liu, R Buyya, AY Zomaya</t>
  </si>
  <si>
    <t>VM consolidation</t>
  </si>
  <si>
    <t>Towards green cloud computing an algorithmic approach for energy minimization in cloud data centers</t>
  </si>
  <si>
    <t>https://www.igi-global.com/article/towards-green-cloud-computing-an-algorithmic-approach-for-energy-minimization-in-cloud-data-centers/218154</t>
  </si>
  <si>
    <t>JA Jeba, S Roy, MO Rashid, ST Atik…</t>
  </si>
  <si>
    <t>Reducing energy consumption in SDN-based data center networks through flow consolidation strategies</t>
  </si>
  <si>
    <t>https://dl.acm.org/doi/abs/10.1145/3297280.3297420</t>
  </si>
  <si>
    <t>MS Conterato, TC Ferreto, F Rossi, WS Marques, PSS Souza</t>
  </si>
  <si>
    <t>flow paths in DCN</t>
  </si>
  <si>
    <t>An energy-saving strategy based on multi-server vacation queuing theory in cloud data center</t>
  </si>
  <si>
    <t>https://link.springer.com/article/10.1007/s11227-018-2513-4</t>
  </si>
  <si>
    <t>Y Chunxia, J Shunfu</t>
  </si>
  <si>
    <t>server vacation queuing system</t>
  </si>
  <si>
    <t>Non-it energy accounting in virtualized datacenter</t>
  </si>
  <si>
    <t>https://ieeexplore.ieee.org/abstract/document/8416301/</t>
  </si>
  <si>
    <t>W Jiang, S Ren, F Liu, H Jin</t>
  </si>
  <si>
    <t>Energy aware resource efficient-(eare) server consolidation framework for cloud datacenter</t>
  </si>
  <si>
    <t>https://link.springer.com/chapter/10.1007/978-981-15-5341-7_111</t>
  </si>
  <si>
    <t>VM consolidation framework</t>
  </si>
  <si>
    <t>Optimization of Cooling Airflow in Data Center by CFD Analysis in a New Energy Efficient Cooling System Using CO2 as Cooling Medium</t>
  </si>
  <si>
    <t>https://link.springer.com/chapter/10.1007/978-981-13-9528-4_119</t>
  </si>
  <si>
    <t>W Zhang, H Li, Y Bai, Z Wang</t>
  </si>
  <si>
    <t>ESP-VDCE: Energy, SLA, and price-driven virtual data center embedding</t>
  </si>
  <si>
    <t>https://ieeexplore.ieee.org/abstract/document/9148838/</t>
  </si>
  <si>
    <t>K Kaur, S Garg, G Kaddoum, S Guo</t>
  </si>
  <si>
    <t>cloud computing</t>
  </si>
  <si>
    <t>Virtual Machine Migration and Rack Consolidation for Energy Management in Cloud Data Centers</t>
  </si>
  <si>
    <t>https://link.springer.com/chapter/10.1007/978-3-030-47560-4_22</t>
  </si>
  <si>
    <t>IG Hemanandhini, R Pavithra, P Sugantha Priyadharshini</t>
  </si>
  <si>
    <t>VM / rack consolidation</t>
  </si>
  <si>
    <t>GreenPOD: Leveraging queuing networks for reducing energy consumption in data centers</t>
  </si>
  <si>
    <t>https://ieeexplore.ieee.org/abstract/document/8401602/</t>
  </si>
  <si>
    <t>F Balde, H Elbiaze, B Gueye</t>
  </si>
  <si>
    <t>A simple but energy-efficient HVAC control synthesis for data centers</t>
  </si>
  <si>
    <t>https://ieeexplore.ieee.org/abstract/document/9037900/</t>
  </si>
  <si>
    <t>M Fliess, C Join, M Bekcheva, A Moradi…</t>
  </si>
  <si>
    <t>Optimization of energy consumption of green data center in e-commerce</t>
  </si>
  <si>
    <t>https://www.sciencedirect.com/science/article/pii/S2210537918302907</t>
  </si>
  <si>
    <t>Q Zhou, J Lou, Y Jiang</t>
  </si>
  <si>
    <t>energy consumption of switches</t>
  </si>
  <si>
    <t>Energy-aware dynamic resource management in elastic cloud datacenters</t>
  </si>
  <si>
    <t>https://www.sciencedirect.com/science/article/pii/S1569190X18301825</t>
  </si>
  <si>
    <t>AA Khan, M Zakarya, R Khan</t>
  </si>
  <si>
    <t>VM allocation and consolidation</t>
  </si>
  <si>
    <t>EPBLA: energy-efficient consolidation of virtual machines using learning automata in cloud data centers</t>
  </si>
  <si>
    <t>https://link.springer.com/content/pdf/10.1007/s10586-020-03066-6.pdf</t>
  </si>
  <si>
    <t>N Rasouli, R Razavi, HR Faragardi</t>
  </si>
  <si>
    <t xml:space="preserve">VM placement and migration </t>
  </si>
  <si>
    <t>An Energy Saving-Oriented Incentive Mechanism in Colocation Data Centers</t>
  </si>
  <si>
    <t>https://ieeexplore.ieee.org/abstract/document/9209724/</t>
  </si>
  <si>
    <t>C Chi, K Ji, A Marahatta, F Zhang, Y Wang, Z Liu</t>
  </si>
  <si>
    <t xml:space="preserve">energy saving for coloDC tenants </t>
  </si>
  <si>
    <t>Recalibrating global data center energy-use estimates</t>
  </si>
  <si>
    <t>https://science.sciencemag.org/content/367/6481/984.summary</t>
  </si>
  <si>
    <t>E Masanet, A Shehabi, N Lei, S Smith…</t>
  </si>
  <si>
    <t>science.sciencemag.org</t>
  </si>
  <si>
    <t>background: estimates energy usage</t>
  </si>
  <si>
    <t>Analysis of DVFS Technique for Efficient-Energy Management in Cloud Data Center</t>
  </si>
  <si>
    <t>https://www.researchgate.net/profile/Joshua_Samual/publication/330577923_Analysis_of_DVFS_Technique_for_Efficient-Energy_Management_in_Cloud_Data_Center/links/5c4955a6a6fdccd6b5c442a7/Analysis-of-DVFS-Technique-for-Efficient-Energy-Management-in-Cloud-Data-Center.pdf</t>
  </si>
  <si>
    <t>J Samual, M Hussin</t>
  </si>
  <si>
    <t>Data center energy efficiency case and energy saving operation</t>
  </si>
  <si>
    <t>http://www.infocomm-journal.com/dxkx/EN/Y2019/V35/I2/95</t>
  </si>
  <si>
    <t>LOU Jieliang</t>
  </si>
  <si>
    <t>infocomm-journal.com</t>
  </si>
  <si>
    <t>Optimal Energy aware Dynamic Virtual Machine consolidation in Cloud Data Centers</t>
  </si>
  <si>
    <t>https://ieeexplore.ieee.org/abstract/document/9029070/</t>
  </si>
  <si>
    <t>KS Reddi, SK Pasupuleti</t>
  </si>
  <si>
    <t>VM consolidation (bad English)</t>
  </si>
  <si>
    <t>Stochastic Modeling and Performance Analysis of Energy-Aware Cloud Data Center Based on Dynamic Scalable Stochastic Petri Net</t>
  </si>
  <si>
    <t>http://www.cai.sk/ojs/index.php/cai/article/viewArticle/4918</t>
  </si>
  <si>
    <t>H He, Y Zhao, S Pang</t>
  </si>
  <si>
    <t>Computing and Informatics</t>
  </si>
  <si>
    <t>CAI</t>
  </si>
  <si>
    <t>VM scheduling algorithm</t>
  </si>
  <si>
    <t>An Energy-efficient Genetic-based Algorithm for Virtual Machine Placement in Cloud Datacenter</t>
  </si>
  <si>
    <t>http://www.jmess.org/wp-content/uploads/2019/05/JMESSP13420537.pdf</t>
  </si>
  <si>
    <t>P Saeedi</t>
  </si>
  <si>
    <t>Journal of Multidisciplinary Engineering Science Studies</t>
  </si>
  <si>
    <t>JMESS</t>
  </si>
  <si>
    <t>VM placement algorithm</t>
  </si>
  <si>
    <t>Improve Energy Consumption Model for Cloud Data Centers using PSO Algorithm</t>
  </si>
  <si>
    <t>https://www.ijert.org/research/improve-energy-consumption-model-for-cloud-data-centers-using-pso-algorithm-IJERTCONV7IS01035.pdf</t>
  </si>
  <si>
    <t>CT Selvan, M Santhoshkumar, RM Santhoshkumar…</t>
  </si>
  <si>
    <t>International Journal of Engineering Research &amp; Technology</t>
  </si>
  <si>
    <t>IJERT</t>
  </si>
  <si>
    <t>PSO logic used to test results</t>
  </si>
  <si>
    <t>Location-aware energy efficient virtual network embedding in software-defined optical data center networks</t>
  </si>
  <si>
    <t>https://www.osapublishing.org/abstract.cfm?uri=jocn-10-7-B58</t>
  </si>
  <si>
    <t>Y Zong, Y Ou, A Hammad, K Kondepu, R Nejabati, D Simeonidou, Y Liu, L Guo</t>
  </si>
  <si>
    <t>Journal of Optical Communications and Networking</t>
  </si>
  <si>
    <t>JOCN</t>
  </si>
  <si>
    <t>Virtual network embedding (VNE)</t>
  </si>
  <si>
    <t>Energy-Efficient Resource Allocation Strategy Based on Task Classification in Data Center</t>
  </si>
  <si>
    <t>https://www.atlantis-press.com/proceedings/amcce-18/25895654</t>
  </si>
  <si>
    <t>H Li, S Ding, P Zhang, J Lai</t>
  </si>
  <si>
    <t>Atlantis Press</t>
  </si>
  <si>
    <t>AP</t>
  </si>
  <si>
    <t>resource allocation strategy</t>
  </si>
  <si>
    <t>Energy-Efficient Computing: Datacenters, Mobile Devices, and Mobile Clouds</t>
  </si>
  <si>
    <t>https://ieeexplore.ieee.org/abstract/document/8752117/</t>
  </si>
  <si>
    <t>M Pedram</t>
  </si>
  <si>
    <t>An adaptive autonomic framework for optimizing energy consumption in the cloud data centers</t>
  </si>
  <si>
    <t>http://www.inass.org/2019/2019083112.pdf</t>
  </si>
  <si>
    <t>International Journal of Intelligent Engineering &amp; Systems</t>
  </si>
  <si>
    <t>INASS</t>
  </si>
  <si>
    <t>EE autonomic framework</t>
  </si>
  <si>
    <t>Minimizing SLA violation and power consumption in Cloud data centers using adaptive energy-aware algorithms</t>
  </si>
  <si>
    <t>https://www.sciencedirect.com/science/article/pii/S0167739X17316059</t>
  </si>
  <si>
    <t>Z Zhou, J Abawajy, M Chowdhury, Z Hu, K Li, H Cheng, AA Alelaiwi, F Li</t>
  </si>
  <si>
    <t>energy-aware algorithms</t>
  </si>
  <si>
    <t>IBM z14: Improved datacenter characteristics, energy efficiency, and packaging innovation</t>
  </si>
  <si>
    <t>https://ieeexplore.ieee.org/abstract/document/8283825/</t>
  </si>
  <si>
    <t>WP Kostenko, DW Demetriou…</t>
  </si>
  <si>
    <t>Interference of billing and scheduling strategies for energy and cost savings in modern data centers</t>
  </si>
  <si>
    <t>https://www.sciencedirect.com/science/article/pii/S221053791830297X</t>
  </si>
  <si>
    <t>JM Kunkel, H Shoukourian, MR Heidari…</t>
  </si>
  <si>
    <t xml:space="preserve">focuses on saving energy costs </t>
  </si>
  <si>
    <t>Research on Key Energy-Saving Technologies in Green Data Centers</t>
  </si>
  <si>
    <t>https://ieeexplore.ieee.org/abstract/document/9265961/</t>
  </si>
  <si>
    <t>X Chang, S Yang, Y Jiang, X Xie…</t>
  </si>
  <si>
    <t>Energy Optimization for Software-Defined Data Center Networks Based on Flow Allocation Strategies</t>
  </si>
  <si>
    <t>https://www.mdpi.com/2079-9292/8/9/1014</t>
  </si>
  <si>
    <t>Z Lu, J Lei, Y He, Z Li, S Deng, X Gao</t>
  </si>
  <si>
    <t>flow allocation strategy</t>
  </si>
  <si>
    <t>Air flow measurement and management for improving cooling and energy efficiency in raised-floor data centers: A survey</t>
  </si>
  <si>
    <t>https://ieeexplore.ieee.org/abstract/document/8451865/</t>
  </si>
  <si>
    <t>J Wan, X Gui, S Kasahara, Y Zhang, R Zhang</t>
  </si>
  <si>
    <t>A proposed energy and performance aware cloud framework for improving service level agreements (SLAs) in cloud datacenters</t>
  </si>
  <si>
    <t>https://strathprints.strath.ac.uk/id/eprint/65612</t>
  </si>
  <si>
    <t>AAH Al-Mahruqi, V Athinarayanana…</t>
  </si>
  <si>
    <t>International Journal of Applied Engineering Research</t>
  </si>
  <si>
    <t>IJAER</t>
  </si>
  <si>
    <t>SLA Framework</t>
  </si>
  <si>
    <t>A reliable energy-aware approach for dynamic virtual machine consolidation in cloud data centers</t>
  </si>
  <si>
    <t>https://link.springer.com/article/10.1007/s11227-018-2709-7</t>
  </si>
  <si>
    <t>MH Sayadnavard, AT Haghighat…</t>
  </si>
  <si>
    <t>vm consolidation</t>
  </si>
  <si>
    <t>A Review on Energy-efficient Technology in Large Data Center</t>
  </si>
  <si>
    <t>https://ieeexplore.ieee.org/abstract/document/8408017/</t>
  </si>
  <si>
    <t>W Yaqi, F Baochuan, W Zhengtian…</t>
  </si>
  <si>
    <t>related work (Thermal &amp; Hardware)</t>
  </si>
  <si>
    <t>Security Analysis on Wireless Sensor Network in the Data Center for Energy Internet of Things</t>
  </si>
  <si>
    <t>http://www.iieta.org/sites/default/files/pdf/2020-07/10.03_12.pdf</t>
  </si>
  <si>
    <t>S Xie, X Wang, H Shang</t>
  </si>
  <si>
    <t>iieta.org</t>
  </si>
  <si>
    <t>security</t>
  </si>
  <si>
    <t>Application of Shuffled Frog-Leaping Algorithm to Reduce Energy Consumption in Cloud Data Centers by Optimizing Scheduling Management and Virtual Machines …</t>
  </si>
  <si>
    <t>http://tjee.tabrizu.ac.ir/article_7782.html?_action=article&amp;au=24511&amp;_au=%D8%B3%DB%8C%D9%85%DB%8C%D9%86++%D9%82%D8%A7%D8%B3%D9%85%DB%8C+%D9%81%D9%84%D8%A7%D9%88%D8%B1%D8%AC%D8%A7%D9%86%DB%8C</t>
  </si>
  <si>
    <t>V Sattari Naeini, Y Salem, E Rashedi</t>
  </si>
  <si>
    <t>tjee.tabrizu.ac.ir</t>
  </si>
  <si>
    <t>On Optimizing the Energy Consumption of Urban Data Centers</t>
  </si>
  <si>
    <t>https://link.springer.com/chapter/10.1007/978-3-319-92792-3_12</t>
  </si>
  <si>
    <t>AC Voulkidis, TH Velivassaki, T Zahariadis</t>
  </si>
  <si>
    <t>focus on hardware, book</t>
  </si>
  <si>
    <t>Memory-aware resource management algorithm for low-energy cloud data centers</t>
  </si>
  <si>
    <t>https://www.sciencedirect.com/science/article/pii/S0167739X20305835</t>
  </si>
  <si>
    <t>B Liang, X Dong, Y Wang, X Zhang</t>
  </si>
  <si>
    <t>memory prioritization</t>
  </si>
  <si>
    <t>Improving the energy efficiency of virtual data centers in an IT service provider through proactive fuzzy rules-based multicriteria decision making</t>
  </si>
  <si>
    <t>https://link.springer.com/article/10.1007/s11227-018-2301-1</t>
  </si>
  <si>
    <t>A Cocaña-Fernández, J Rodríguez-Soares…</t>
  </si>
  <si>
    <t>reallocation of VM and PM</t>
  </si>
  <si>
    <t>A Temperature Monitoring Infrastructure and Process for Improving Data Center Energy Efficiency with Results for a High Performance Computing Data Center</t>
  </si>
  <si>
    <t>https://onlinelibrary.wiley.com/doi/pdf/10.1002/9781119357056#page=337</t>
  </si>
  <si>
    <t>SE Michalak, AM Bonnie, AJ Montoya…</t>
  </si>
  <si>
    <t>ETAS: Energy and thermal‐aware dynamic virtual machine consolidation in cloud data center with proactive hotspot mitigation</t>
  </si>
  <si>
    <t>https://onlinelibrary.wiley.com/doi/abs/10.1002/cpe.5221</t>
  </si>
  <si>
    <t>S Ilager, K Ramamohanarao…</t>
  </si>
  <si>
    <t>Energy efficient data center resources management using beam search algorithm</t>
  </si>
  <si>
    <t>https://content.sciendo.com/view/journals/techtrans/11/4/article-p127.xml</t>
  </si>
  <si>
    <t>S Telenyk, O Rolik, E Zharikov…</t>
  </si>
  <si>
    <t>content.sciendo.com</t>
  </si>
  <si>
    <t>Mixed integer linear programming approach to optimize the hybrid renewable energy system management for supplying a stand-alone data center</t>
  </si>
  <si>
    <t>https://ieeexplore.ieee.org/abstract/document/8957199/</t>
  </si>
  <si>
    <t>M Haddad, JM Nicod, C Varnier…</t>
  </si>
  <si>
    <t>focus on energy efficiency equipment</t>
  </si>
  <si>
    <t>Towards an optimized energy consumption of resources in cloud data centers</t>
  </si>
  <si>
    <t>https://link.springer.com/chapter/10.1007/978-3-030-02849-7_16</t>
  </si>
  <si>
    <t>DATACENTERS AS PROSUMERSIN URBAN ENERGY SYSTEM: A REVIEW</t>
  </si>
  <si>
    <t>https://www.diva-portal.org/smash/record.jsf?pid=diva2:1474550</t>
  </si>
  <si>
    <t>P Huang, X Zhang, I Löfgren, M Rönnelid…</t>
  </si>
  <si>
    <t>diva-portal.org</t>
  </si>
  <si>
    <t>Energy-efficient task consolidation for cloud data center</t>
  </si>
  <si>
    <t>https://www.igi-global.com/article/energy-efficient-task-consolidation-for-cloud-data-center/196194</t>
  </si>
  <si>
    <t>SS Patra</t>
  </si>
  <si>
    <t>A Conditional-Constraint Optimization for Joint Energy Management of Data Center and Electric Vehicle Parking-Lot</t>
  </si>
  <si>
    <t>https://ieeexplore.ieee.org/abstract/document/8957214/</t>
  </si>
  <si>
    <t>S Sajid, M Jawad, MB Qureshi…</t>
  </si>
  <si>
    <t>Deep learning-based sustainable data center energy cost minimization with temporal MACRO/MICRO scale management</t>
  </si>
  <si>
    <t>https://ieeexplore.ieee.org/abstract/document/8581422/</t>
  </si>
  <si>
    <t>DK Kang, EJ Yang, CH Youn</t>
  </si>
  <si>
    <t>supply of renewable energy</t>
  </si>
  <si>
    <t>Energy and service level agreement aware resource allocation heuristics for cloud data centers</t>
  </si>
  <si>
    <t>https://www.koreascience.or.kr/article/JAKO201811459665241.page</t>
  </si>
  <si>
    <t>K Sutha, GM Nawaz</t>
  </si>
  <si>
    <t>koreascience.or.kr</t>
  </si>
  <si>
    <t>PINE: An energy efficient flexibly interconnected photonic data center architecture for extreme scalability</t>
  </si>
  <si>
    <t>https://ieeexplore.ieee.org/abstract/document/8422036/</t>
  </si>
  <si>
    <t>K Bergman, J Shalf, G Michelogiannakis…</t>
  </si>
  <si>
    <t>Negotiation game for joint IT and energy management in green datacenters</t>
  </si>
  <si>
    <t>https://www.sciencedirect.com/science/article/pii/S0167739X1931235X</t>
  </si>
  <si>
    <t>MT Thi, JM Pierson, G Da Costa, P Stolf…</t>
  </si>
  <si>
    <t>energy supply &amp; demand</t>
  </si>
  <si>
    <t>An energy-efficient algorithm for virtual machine placement optimization in cloud data centers</t>
  </si>
  <si>
    <t>https://link.springer.com/content/pdf/10.1007/s10586-020-03096-0.pdf</t>
  </si>
  <si>
    <t>S Azizi, D Li</t>
  </si>
  <si>
    <t>efficiency algorithms</t>
  </si>
  <si>
    <t>Heat to power: thermal energy harvesting and recycling for warm water-cooled datacenters</t>
  </si>
  <si>
    <t>https://ieeexplore.ieee.org/abstract/document/9138973/</t>
  </si>
  <si>
    <t>X Zhu, W Jiang, F Liu, Q Zhang, L Pan…</t>
  </si>
  <si>
    <t>DQN-based energy-efficient routing algorithm in software-defined data centers</t>
  </si>
  <si>
    <t>https://journals.sagepub.com/doi/abs/10.1177/1550147720935775</t>
  </si>
  <si>
    <t>Z Yao, Y Wang, X Qiu</t>
  </si>
  <si>
    <t>International Journal of Distributed Sensor Networks</t>
  </si>
  <si>
    <t>journals.sagepub.com</t>
  </si>
  <si>
    <t>networking algorithms</t>
  </si>
  <si>
    <t>Experimental Analysis of Energy Efficiency of Server Infrastructure in University Datacenters</t>
  </si>
  <si>
    <t>https://hrcak.srce.hr/index.php?show=clanak&amp;id_clanak_jezik=355662</t>
  </si>
  <si>
    <t>M Sarac, D Stamenkovic</t>
  </si>
  <si>
    <t>hrcak.srce.hr</t>
  </si>
  <si>
    <t>no strategy</t>
  </si>
  <si>
    <t>Study of Different Scheduling Techniques to Manage and Conserve Energy in Cloud Data Centers</t>
  </si>
  <si>
    <t>http://www.academia.edu/download/60782559/420191003-129556-iseegk.pdf</t>
  </si>
  <si>
    <t>S Kulshrestha, T Chaurasia, L Chauhan, U Saxena</t>
  </si>
  <si>
    <t>Cost Minimization for Geo-Distributed Data Centers with Renewable Resources and Energy Storages</t>
  </si>
  <si>
    <t>https://ieeexplore.ieee.org/abstract/document/9013172/</t>
  </si>
  <si>
    <t>S Zhang, Z Shen, G Zhang</t>
  </si>
  <si>
    <t>Optimized Energy Cost and Carbon Emission-Aware Virtual Machine Allocation in Sustainable Data Centers</t>
  </si>
  <si>
    <t>https://www.mdpi.com/2071-1050/12/16/6383</t>
  </si>
  <si>
    <t>T Renugadevi, K Geetha, K Muthukumar, ZW Geem</t>
  </si>
  <si>
    <t>RE aware vm placement</t>
  </si>
  <si>
    <t>Survey: An Optimized Energy Consumption of Resources in Cloud Data Centers</t>
  </si>
  <si>
    <t>http://www.academia.edu/download/55993183/11_Paper_31011840_IJCSIS_Camera_Ready_pp.99-104.pdf</t>
  </si>
  <si>
    <t>S DIOUANI, H Medromi</t>
  </si>
  <si>
    <t>academia.edu</t>
  </si>
  <si>
    <t>Joint server and network energy saving in data centers for latency-sensitive applications</t>
  </si>
  <si>
    <t>https://ieeexplore.ieee.org/abstract/document/8425223/</t>
  </si>
  <si>
    <t>L Zhou, CH Chou, LN Bhuyan…</t>
  </si>
  <si>
    <t>networking optimization algorithms</t>
  </si>
  <si>
    <t>An Energy Saving Mechanism Based on Vacation Queuing Theory in Data Center Networks</t>
  </si>
  <si>
    <t>https://books.google.com/books?hl=en&amp;lr=&amp;id=8k5aDwAAQBAJ&amp;oi=fnd&amp;pg=PA188&amp;dq=energy+%22data+center%22%7C%22data+centers%22%7Cdatacenter%7Cdatacenters&amp;ots=3OO4Vzwc0o&amp;sig=1kS6blU95KcjGuU45mbSW8yyIRE</t>
  </si>
  <si>
    <t>Z Tari, AY Zomaya</t>
  </si>
  <si>
    <t>refers to an article from 2017</t>
  </si>
  <si>
    <t>Matching geographically distributed micro-datacenters' energy consumption with renewable energy</t>
  </si>
  <si>
    <t>https://lutpub.lut.fi/handle/10024/159909</t>
  </si>
  <si>
    <t>MR Mishi</t>
  </si>
  <si>
    <t>lutpub.lut.fi</t>
  </si>
  <si>
    <t>Energy efficient resource allocation during initial mapping of virtual machines to servers in cloud datacenters</t>
  </si>
  <si>
    <t>https://www.igi-global.com/article/energy-efficient-resource-allocation-during-initial-mapping-of-virtual-machines-to-servers-in-cloud-datacenters/196266</t>
  </si>
  <si>
    <t>N Patel, H Patel</t>
  </si>
  <si>
    <t>Energy-efficient Nature-Inspired techniques in Cloud computing datacenters</t>
  </si>
  <si>
    <t>https://link.springer.com/article/10.1007/s11235-019-00549-9</t>
  </si>
  <si>
    <t>MJ Usman, AS Ismail, G Abdul-Salaam…</t>
  </si>
  <si>
    <t>related work (nature inspired techniques)</t>
  </si>
  <si>
    <t>Efficient vCPU Utilization for Reducing Energy Consumption in Cloud Data Centers</t>
  </si>
  <si>
    <t>https://dl.acm.org/doi/abs/10.1145/3436829.3436867</t>
  </si>
  <si>
    <t>NN Behiya, RA Ahmed</t>
  </si>
  <si>
    <t>Minimizing energy costs for geographically distributed heterogeneous data centers</t>
  </si>
  <si>
    <t>https://ieeexplore.ieee.org/abstract/document/8330027/</t>
  </si>
  <si>
    <t>N Hogade, S Pasricha, HJ Siegel…</t>
  </si>
  <si>
    <t>Erlang Based Server Selection Scheme Using Software Defined Networking in Datacenter for Energy Conservation</t>
  </si>
  <si>
    <t>https://ieeexplore.ieee.org/abstract/document/8991670/</t>
  </si>
  <si>
    <t>A Husen, I Raza, SA Hussain</t>
  </si>
  <si>
    <t>server selection through networking</t>
  </si>
  <si>
    <t>ENERGY EFFICIENCY AND PERFORMANCE IMPROVING IN DATA CENTER WITH PREDEFINED LOAD TYPES</t>
  </si>
  <si>
    <t>http://conferenc.its.kpi.ua/proc/article/viewFile/129563/125044</t>
  </si>
  <si>
    <t>LS Globa, NA Gvozdetska</t>
  </si>
  <si>
    <t>conferenc.its.kpi.ua</t>
  </si>
  <si>
    <t>Thermal Awareness to Enhance Data Center Energy Efficiency</t>
  </si>
  <si>
    <t>http://eprints.leedsbeckett.ac.uk/id/eprint/7316/</t>
  </si>
  <si>
    <t>A Grishina, M Chinnici, AL Kor…</t>
  </si>
  <si>
    <t>eprints.leedsbeckett.ac.uk</t>
  </si>
  <si>
    <t>Energy Saving Heuristics for Optimization of Cloud Data Center</t>
  </si>
  <si>
    <t>https://ieeexplore.ieee.org/abstract/document/9117280/</t>
  </si>
  <si>
    <t>S Saxena, MZ Khan, R Singh</t>
  </si>
  <si>
    <t>no evaluation</t>
  </si>
  <si>
    <t>An Intelligent Energy Aware Approach for Big Data Storage in Cloud Data Centers</t>
  </si>
  <si>
    <t>http://117.203.246.91:8080/jspui/handle/10266/6051</t>
  </si>
  <si>
    <t>S Arora</t>
  </si>
  <si>
    <t>117.203.246.91</t>
  </si>
  <si>
    <t>Effect of Cooling Systems on the Energy Efficiency of Data Centers: Machine Learning Optimisation</t>
  </si>
  <si>
    <t>https://ieeexplore.ieee.org/abstract/document/9200088/</t>
  </si>
  <si>
    <t>R Kumar, SK Khatri, MJ Diván</t>
  </si>
  <si>
    <t>VM migration algorithm for the balance of energy resource across data centers in cloud computing</t>
  </si>
  <si>
    <t>http://www.cnki.com.cn/Article/CJFDTotal-ZYGB201905004.htm</t>
  </si>
  <si>
    <t>S Da, F Xiong, Z Jingjing, W Junchang, Z Lin…</t>
  </si>
  <si>
    <t>cnki.com.cn</t>
  </si>
  <si>
    <t>payment required to access article, not sure if English</t>
  </si>
  <si>
    <t>DeepPM: Efficient Power Management in Edge Data Centers using Energy Storage</t>
  </si>
  <si>
    <t>https://ieeexplore.ieee.org/abstract/document/9284233/</t>
  </si>
  <si>
    <t>Z Shao, MA Islam, S Ren</t>
  </si>
  <si>
    <t>Energy saving analysis of evaporative cooling composite air conditioning system for data centers</t>
  </si>
  <si>
    <t>https://www.sciencedirect.com/science/article/pii/S1359431120339806</t>
  </si>
  <si>
    <t>Z Han, X Sun, H Wei, Q Ji, D Xue</t>
  </si>
  <si>
    <t>DCSim: Cooling Energy Aware VM Allocation Framework for a Cloud Data Center</t>
  </si>
  <si>
    <t>https://ieeexplore.ieee.org/abstract/document/9079962/</t>
  </si>
  <si>
    <t>P Bhandia, RS Anupindi, P Yekbote…</t>
  </si>
  <si>
    <t>cloudsim add on for cooling</t>
  </si>
  <si>
    <t>Experimental Study and Energy-Saving Analysis on Cooling Effect with Large Temperature Difference and High Temperature of Chilled Water System in Data Center</t>
  </si>
  <si>
    <t>https://link.springer.com/chapter/10.1007/978-981-13-9524-6_97</t>
  </si>
  <si>
    <t>Z Kang, Z Shao, L Su, K Dong, H Liu</t>
  </si>
  <si>
    <t>VMR: Virtual Machine Replacement Algorithm for QoS and Energy Efficiency in Cloud Data Centers</t>
  </si>
  <si>
    <t>http://cdmd.cnki.com.cn/Article/CDMD-10248-1019634716.htm</t>
  </si>
  <si>
    <t>R ALI</t>
  </si>
  <si>
    <t>cdmd.cnki.com.cn</t>
  </si>
  <si>
    <t>Energy-and locality-efficient multi-job scheduling based on MapReduce for heterogeneous datacenter</t>
  </si>
  <si>
    <t>https://link.springer.com/article/10.1007/s11761-019-00273-x</t>
  </si>
  <si>
    <t>L Chen, ZH Liu</t>
  </si>
  <si>
    <t>job scheduling</t>
  </si>
  <si>
    <t>Magnetic: Multi-agent machine learning-based approach for energy efficient dynamic consolidation in data centers</t>
  </si>
  <si>
    <t>https://ieeexplore.ieee.org/abstract/document/8727486/</t>
  </si>
  <si>
    <t>K Haghshenas, A Pahlevan, M Zapater…</t>
  </si>
  <si>
    <t>VM consolidation by ML</t>
  </si>
  <si>
    <t>Thermal Control Strategies for Reliable and Energy-Efficient Data Centers</t>
  </si>
  <si>
    <t>https://asmedigitalcollection.asme.org/electronicpackaging/article-abstract/141/4/041004/955783</t>
  </si>
  <si>
    <t>R Khalid, AP Wemhoff</t>
  </si>
  <si>
    <t>A Review of Energy Efficient Optimization Techniques for VM Placement in Cloud Data Centers</t>
  </si>
  <si>
    <t>https://ieeexplore.ieee.org/abstract/document/8991428/</t>
  </si>
  <si>
    <t>IS Dhanoa</t>
  </si>
  <si>
    <t>related work (review VM cloud)</t>
  </si>
  <si>
    <t>Energy efficiency of server-centric PON data center architecture for fog computing</t>
  </si>
  <si>
    <t>https://ieeexplore.ieee.org/abstract/document/8473877/</t>
  </si>
  <si>
    <t>SH Mohamed, TEH El-Gorashi…</t>
  </si>
  <si>
    <t>optical networks, topology</t>
  </si>
  <si>
    <t>Network-Aware Dynamic VM Placement for Achieving Energy Efficient Greeny Data Centers</t>
  </si>
  <si>
    <t>http://www.academia.edu/download/62232693/network-aware-dynamic-vm-placement-for-achieving-energy-efficient-greeny-data-centers-IJERTCONV8IS0201020200229-80968-1kl6osa.pdf</t>
  </si>
  <si>
    <t>E Kalpana, EK Reddy</t>
  </si>
  <si>
    <t>No evaluation</t>
  </si>
  <si>
    <t>An energy-efficient VM placement method for cloud data centers using a hybrid genetic algorithm</t>
  </si>
  <si>
    <t>https://www.emerald.com/insight/content/doi/10.1108/JSIT-10-2017-0089/full/html</t>
  </si>
  <si>
    <t>MA Kaaouache, S Bouamama</t>
  </si>
  <si>
    <t>Journal of Systems and Information Technology</t>
  </si>
  <si>
    <t>JSIT</t>
  </si>
  <si>
    <t>VM placement</t>
  </si>
  <si>
    <t>https://www.academia.edu/download/63660144/A150302011220200617-99944-com3ke.pdf</t>
  </si>
  <si>
    <t>M Dubarry, G Baure, C Pastor-Fernandez, TF Yu…</t>
  </si>
  <si>
    <t>A systems overview of commercial data centers: initial energy and cost analysis</t>
  </si>
  <si>
    <t>https://www.igi-global.com/article/a-systems-overview-of-commercial-data-centers/217694</t>
  </si>
  <si>
    <t>SK Uzaman, J Shuja, T Maqsood…</t>
  </si>
  <si>
    <t>Smart distribution of IT load in energy efficient data centers with focus on cooling systems</t>
  </si>
  <si>
    <t>https://ieeexplore.ieee.org/abstract/document/8591122/</t>
  </si>
  <si>
    <t>Y Berezovskaya, A Mousavi, V Vyatkin…</t>
  </si>
  <si>
    <t>AI-Assisted Knowledge-Defined Network Orchestration for Energy-Efficient Data Center Networks</t>
  </si>
  <si>
    <t>https://ieeexplore.ieee.org/abstract/document/8970172/</t>
  </si>
  <si>
    <t>W Lu, L Liang, B Kong, B Li…</t>
  </si>
  <si>
    <t>optical networks</t>
  </si>
  <si>
    <t>Optimal Energy Procurement for Geo-distributed Data Centers in Multi-timescale Electricity Markets</t>
  </si>
  <si>
    <t>https://dl.acm.org/doi/abs/10.1145/3199524.3199558</t>
  </si>
  <si>
    <t>TN Le, J Liang, Z Liu, RK Sitaraman, J Nair…</t>
  </si>
  <si>
    <t>Energy Saving in Data Centers Through Traffic and Application Scheduling</t>
  </si>
  <si>
    <t>https://escholarship.org/uc/item/1kg024gh</t>
  </si>
  <si>
    <t>L Zhou</t>
  </si>
  <si>
    <t>escholarship.org</t>
  </si>
  <si>
    <t>Evaluating energy saving system of data centers based on AHP and fuzzy comprehensive evaluation model</t>
  </si>
  <si>
    <t>https://iopscience.iop.org/article/10.1088/1757-899X/322/5/052037/meta</t>
  </si>
  <si>
    <t>Y Jiang</t>
  </si>
  <si>
    <t>IOP Conference Series</t>
  </si>
  <si>
    <t>IOP</t>
  </si>
  <si>
    <t xml:space="preserve">EE eval technique about everything </t>
  </si>
  <si>
    <t>The Numerical Simulation of the Airflow Distribution and Energy Efficiency in Data Centers with Three Types of Aisle Layout</t>
  </si>
  <si>
    <t>https://www.mdpi.com/2071-1050/11/18/4937</t>
  </si>
  <si>
    <t>J Ni, B Jin, S Ning, X Wang</t>
  </si>
  <si>
    <t>Joint optimization of energy saving and load balancing for data center networks based on software defined networks</t>
  </si>
  <si>
    <t>https://onlinelibrary.wiley.com/doi/abs/10.1002/cpe.6134</t>
  </si>
  <si>
    <t>Y He, Z Lu, J Lei, S Deng, X Gao</t>
  </si>
  <si>
    <t>Traffic flow management</t>
  </si>
  <si>
    <t>Managing energy, performance and cost in large scale heterogeneous datacenters using migrations</t>
  </si>
  <si>
    <t>https://www.sciencedirect.com/science/article/pii/S0167739X17326249</t>
  </si>
  <si>
    <t>M Zakarya, L Gillam</t>
  </si>
  <si>
    <t>VM</t>
  </si>
  <si>
    <t>Energy Efficient Cloud Control and Pricing in Geographically Distributed Data Centers</t>
  </si>
  <si>
    <t>https://arxiv.org/abs/1809.05853</t>
  </si>
  <si>
    <t>D Lučanin</t>
  </si>
  <si>
    <t>A big data-enabled consolidated framework for energy efficient software defined data centers in IoT setups</t>
  </si>
  <si>
    <t>https://ieeexplore.ieee.org/abstract/document/8825507/</t>
  </si>
  <si>
    <t>K Kaur, S Garg, G Kaddoum…</t>
  </si>
  <si>
    <t>resource management</t>
  </si>
  <si>
    <t>Energy-efficient cloud computing: autonomic resource provisioning for datacenters</t>
  </si>
  <si>
    <t>https://www.diva-portal.org/smash/record.jsf?pid=diva2:1192294</t>
  </si>
  <si>
    <t>SK Tesfatsion</t>
  </si>
  <si>
    <t>STUDY ON ENERGY CONSERVATION FOR DATA CENTER USING ECONOMIZER SYSTEM AND FREE COOLING</t>
  </si>
  <si>
    <t>https://www.jstage.jst.go.jp/article/gre/1/0/1_319/_article/-char/ja/</t>
  </si>
  <si>
    <t>H Emoto, M Ukai, H Tanaka…</t>
  </si>
  <si>
    <t>jstage.jst.go.jp</t>
  </si>
  <si>
    <t>Energy Management of Cloud Data Center Using Neural Networks</t>
  </si>
  <si>
    <t>https://ieeexplore.ieee.org/abstract/document/8648631/</t>
  </si>
  <si>
    <t>N Uv, KKG Pillai</t>
  </si>
  <si>
    <t>Collecting, monitoring, and analyzing facility and systems data at the national energy research scientific computing center</t>
  </si>
  <si>
    <t>https://dl.acm.org/doi/abs/10.1145/3339186.3339213</t>
  </si>
  <si>
    <t>E Bautista, M Romanus, T Davis, C Whitney…</t>
  </si>
  <si>
    <t>Green Cloud Computing: A New Approach to Reduce Energy Consumption in Cloud Data Center</t>
  </si>
  <si>
    <t>http://dspace.daffodilvarsity.edu.bd:8080/handle/123456789/4583</t>
  </si>
  <si>
    <t>M Khan, A Hossain, M Khan, A Hossain, R Akther</t>
  </si>
  <si>
    <t>dspace.daffodilvarsity.edu.bd</t>
  </si>
  <si>
    <t>bachelor thesis</t>
  </si>
  <si>
    <t>Type-aware virtual machine management for energy efficient cloud data centers</t>
  </si>
  <si>
    <t>https://www.sciencedirect.com/science/article/pii/S2210537917304249</t>
  </si>
  <si>
    <t>A Al-Dulaimy, W Itani, R Zantout, A Zekri</t>
  </si>
  <si>
    <t>Type aware vm</t>
  </si>
  <si>
    <t>Energy Saving in Green Cloud Computing Data Centers</t>
  </si>
  <si>
    <t>https://wwww.easychair.org/publications/preprint_download/ZxfV</t>
  </si>
  <si>
    <t>S Kumar</t>
  </si>
  <si>
    <t>wwww.easychair.org</t>
  </si>
  <si>
    <t>Data Center cooling systems and analysis of the improvement of their energy efficiency by the reuse of waste heat for the preparation of domestic hot water</t>
  </si>
  <si>
    <t>https://repo.pw.edu.pl/info/master/WUTd3ff4ce1d85849f790b02b2cc39caafb/</t>
  </si>
  <si>
    <t>PK Boniecki</t>
  </si>
  <si>
    <t>repo.pw.edu.pl</t>
  </si>
  <si>
    <t>A novel coalitional game-theoretic approach for energy-aware dynamic VM consolidation in heterogeneous cloud datacenters</t>
  </si>
  <si>
    <t>https://link.springer.com/chapter/10.1007/978-3-030-23499-7_7</t>
  </si>
  <si>
    <t>X Xiao, Y Xia, F Zeng, W Zheng, X Sun, Q Peng…</t>
  </si>
  <si>
    <t>game theory virtualization</t>
  </si>
  <si>
    <t>Dimensioning the relationship between availability and data center energy flow metrics</t>
  </si>
  <si>
    <t>https://www.seer.ufrgs.br/rita/article/view/RITA_VOL27_NR4_63</t>
  </si>
  <si>
    <t>TV Bezerra, W de Souza Leonardo…</t>
  </si>
  <si>
    <t>seer.ufrgs.br</t>
  </si>
  <si>
    <t>An Incentive Mechanism for Improving Energy Efficiency of Colocation Data Centers Based on Power Prediction</t>
  </si>
  <si>
    <t>https://ieeexplore.ieee.org/abstract/document/9219590/</t>
  </si>
  <si>
    <t>C Chi, K Ji, A Marahatta, F Zhang…</t>
  </si>
  <si>
    <t>optimizing colocations</t>
  </si>
  <si>
    <t>Resource scheduling for energy-efficient in cloud-computing data centers</t>
  </si>
  <si>
    <t>https://ieeexplore.ieee.org/abstract/document/8622869/</t>
  </si>
  <si>
    <t>S Xu, L Liu, L Cui, X Chang, H Li</t>
  </si>
  <si>
    <t>resource scheduling</t>
  </si>
  <si>
    <t>Energy efficiency optimization of an integrated heat pipe cooling system in data center based on genetic algorithm</t>
  </si>
  <si>
    <t>https://www.sciencedirect.com/science/article/pii/S1359431120332828</t>
  </si>
  <si>
    <t>Z He, H Xi, T Ding, J Wang, Z Li</t>
  </si>
  <si>
    <t>Accelerating Data Center Applications through Energy-Efficient Reconfigurable Computing: From Near-Data Processing to Data-Access Reduction</t>
  </si>
  <si>
    <t>http://search.proquest.com/openview/8832b8e532096fa88f3d8b42b7c35f69/1?pq-origsite=gscholar&amp;cbl=18750&amp;diss=y</t>
  </si>
  <si>
    <t>X Song</t>
  </si>
  <si>
    <t>Energy-Efficient Resource Provisioning using Adaptive Harmony Search Algorithm for Compute-Intensive Workloads with Load Balancing in Datacenters</t>
  </si>
  <si>
    <t>https://www.mdpi.com/2076-3417/10/7/2323</t>
  </si>
  <si>
    <t>load balancing</t>
  </si>
  <si>
    <t>SLA-aware and energy-efficient VM consolidation in cloud data centers using robust linear regression prediction model</t>
  </si>
  <si>
    <t>https://ieeexplore.ieee.org/abstract/document/8606094/</t>
  </si>
  <si>
    <t>L Li, J Dong, D Zuo, J Wu</t>
  </si>
  <si>
    <t>vm</t>
  </si>
  <si>
    <t>A comparison of energy efficient adaptation algorithms in cloud data centers</t>
  </si>
  <si>
    <t>https://www.diva-portal.org/smash/record.jsf?pid=diva2:1267779</t>
  </si>
  <si>
    <t>S Penumetsa</t>
  </si>
  <si>
    <t>Data Centers Optimized Integration with Multi-Energy Grids: Test Cases and Results in Operational Environment</t>
  </si>
  <si>
    <t>https://www.mdpi.com/2071-1050/12/23/9893</t>
  </si>
  <si>
    <t>T Cioara, M Antal, I Anghel, M Bertoncini, D Arnone…</t>
  </si>
  <si>
    <t>focus on hardware</t>
  </si>
  <si>
    <t>Distributed Control With Virtual Capacitance for the Voltage Restorations, State of Charge Balancing, and Load Allocations of Heterogeneous Energy Storages in a DC Datacenter Microgrid</t>
  </si>
  <si>
    <t>https://ieeexplore.ieee.org/abstract/document/8585154/</t>
  </si>
  <si>
    <t>R Zhang, B Hredzak, T Morstyn</t>
  </si>
  <si>
    <t>Performance &amp; Energy Consumption Metrics Of A Data Center According To The Energy Consumption Models Cubic, Linear, Square And Square Root</t>
  </si>
  <si>
    <t>https://ieeexplore.ieee.org/abstract/document/8931339/</t>
  </si>
  <si>
    <t>C Saad-Eddine, B Younes</t>
  </si>
  <si>
    <t>cloud simulation</t>
  </si>
  <si>
    <t>Robust optimization for energy-efficient virtual machine consolidation in modern datacenters</t>
  </si>
  <si>
    <t>https://link.springer.com/article/10.1007/s10586-018-2718-6</t>
  </si>
  <si>
    <t>R Nasim, E Zola, AJ Kassler</t>
  </si>
  <si>
    <t>extension of other work</t>
  </si>
  <si>
    <t>SDN-based energy management scheme for sustainability of data centers: An analysis on renewable energy sources and electric vehicles participation</t>
  </si>
  <si>
    <t>https://www.sciencedirect.com/science/article/pii/S0743731517302149</t>
  </si>
  <si>
    <t>GS Aujla, N Kumar</t>
  </si>
  <si>
    <t>not about ict equipment</t>
  </si>
  <si>
    <t>Cold LOGIK and RDHX Solution for Data Center Energy Optimization</t>
  </si>
  <si>
    <t>https://www.researchgate.net/profile/Annamalai_Murugan/publication/332683073_Cold_LOGIK_and_RDHX_Solution_for_Data_Center_Energy_Optimization/links/5e96b0f4299bf130799ad4c8/Cold-LOGIK-and-RDHX-Solution-for-Data-Center-Energy-Optimization.pdf</t>
  </si>
  <si>
    <t>T Suresh, A Murugan</t>
  </si>
  <si>
    <t>Optimal Sizing of Energy Station in the Multi-energy System Integrated with Data Center</t>
  </si>
  <si>
    <t>https://ieeexplore.ieee.org/abstract/document/9176752/</t>
  </si>
  <si>
    <t>J Lyu, S Zhang, H Cheng, K Yuan…</t>
  </si>
  <si>
    <t>Impact of Fan Airflow of IT Equipment on Thermal Environment and Energy Consumption of a Data Center</t>
  </si>
  <si>
    <t>https://www.mdpi.com/1996-1073/13/23/6166</t>
  </si>
  <si>
    <t>N Futawatari, Y Udagawa, T Mori, H Hayama</t>
  </si>
  <si>
    <t>Analog Coherent Detection for Energy Efficient Intra-Data Center Links at 200 Gbps Per Wavelength</t>
  </si>
  <si>
    <t>https://ieeexplore.ieee.org/abstract/document/9220973/</t>
  </si>
  <si>
    <t>T Hirokawa, S Pinna, N Hosseinzadeh…</t>
  </si>
  <si>
    <t>New six-phase on-line resource management process for energy and sla efficient consolidation in cloud data centers.</t>
  </si>
  <si>
    <t>https://pdfs.semanticscholar.org/c99b/2673db1e4879ded860a78e5cea1b40af7cab.pdf</t>
  </si>
  <si>
    <t>E Arianyan, H Taheri, S Sharifian…</t>
  </si>
  <si>
    <t>International Arab Journal of Information Technology</t>
  </si>
  <si>
    <t>IAJIT</t>
  </si>
  <si>
    <t>Optimization on Ports Activation Towards Energy Efficient Data Center Networks</t>
  </si>
  <si>
    <t>https://link.springer.com/chapter/10.1007/978-3-030-02849-7_14</t>
  </si>
  <si>
    <t>Z Chkirbene, R Hamila, S Foufou, S Kiranyaz…</t>
  </si>
  <si>
    <t>Performance Improvement of Cloud Computing Data Centers Using Energy Efficient Task Scheduling Algorithms</t>
  </si>
  <si>
    <t>http://www.academia.edu/download/57287382/9_PerformanceImprovement.pdf</t>
  </si>
  <si>
    <t>AS Umesh, P Kumar</t>
  </si>
  <si>
    <t xml:space="preserve">nternational Journal of Advanced Engineering, Management and Science </t>
  </si>
  <si>
    <t>IJAEMS</t>
  </si>
  <si>
    <t>Transforming data centers in active thermal energy players in nearby neighborhoods</t>
  </si>
  <si>
    <t>https://www.mdpi.com/2071-1050/10/4/939</t>
  </si>
  <si>
    <t>M Antal, T Cioara, I Anghel, C Pop, I Salomie</t>
  </si>
  <si>
    <t>Energy‐aware task scheduling with time constraint for heterogeneous cloud datacenters</t>
  </si>
  <si>
    <t>https://onlinelibrary.wiley.com/doi/abs/10.1002/cpe.5437</t>
  </si>
  <si>
    <t>X Liu, P Liu, L Hu, C Zou…</t>
  </si>
  <si>
    <t>hardware approach</t>
  </si>
  <si>
    <t>Research on Energy Efficiency Optimization of Energy Internet Data Center Based on Intelligent Energy Technology</t>
  </si>
  <si>
    <t>https://iopscience.iop.org/article/10.1088/1742-6596/1606/1/012021/meta</t>
  </si>
  <si>
    <t>Y Cao, H Hao</t>
  </si>
  <si>
    <t>How to deal with old and industrial data? The example of the Data Center for Deep Geothermal Energy (CDGP)</t>
  </si>
  <si>
    <t>https://ui.adsabs.harvard.edu/abs/2018EGUGA..2017425S/abstract</t>
  </si>
  <si>
    <t>M Schaming, A Fremand, N Cuenot, E Dalmais…</t>
  </si>
  <si>
    <t>ui.adsabs.harvard.edu</t>
  </si>
  <si>
    <t>Soaking Up Energy Savings from Water Projects: NREL ESIF Data Center Water Use Reductions</t>
  </si>
  <si>
    <t>https://www.osti.gov/servlets/purl/1543261</t>
  </si>
  <si>
    <t>OD Van Geet</t>
  </si>
  <si>
    <t>-Modular data centers: Faster, more flexible and more energy-efficient in the data centers</t>
  </si>
  <si>
    <t>https://ph01.tci-thaijo.org/index.php/IJSIT/article/download/146074/107751</t>
  </si>
  <si>
    <t>A Hennevogl-Kaulhausen, U Ostler</t>
  </si>
  <si>
    <t>ph01.tci-thaijo.org</t>
  </si>
  <si>
    <t>EnLoB: Energy and load balancing-driven container placement strategy for data centers</t>
  </si>
  <si>
    <t>https://ieeexplore.ieee.org/abstract/document/9024592/</t>
  </si>
  <si>
    <t>K Kaur, S Garg, G Kaddoum, F Gagnon…</t>
  </si>
  <si>
    <t>container placement</t>
  </si>
  <si>
    <t>A Study on Energy Consumption of DVFS and Simple VM Consolidation Policies in Cloud Computing Data Centers Using CloudSim Toolkit</t>
  </si>
  <si>
    <t>https://link.springer.com/content/pdf/10.1007/s11277-020-07070-2.pdf</t>
  </si>
  <si>
    <t>BP Singh, SA Kumar, XZ Gao, M Kohli…</t>
  </si>
  <si>
    <t>secondary research</t>
  </si>
  <si>
    <t>Energy aware virtual machine scheduling in data centers</t>
  </si>
  <si>
    <t>https://www.mdpi.com/1996-1073/12/4/646</t>
  </si>
  <si>
    <t>Y Qiu, C Jiang, Y Wang, D Ou, Y Li, J Wan</t>
  </si>
  <si>
    <t>VM scheduling</t>
  </si>
  <si>
    <t>Research on Energy Efficiency Optimization for New Renewable Energy Sources Data Center</t>
  </si>
  <si>
    <t>https://link.springer.com/chapter/10.1007/978-981-13-3648-5_118</t>
  </si>
  <si>
    <t>C Yu, L Lai</t>
  </si>
  <si>
    <t>Energy-sensitive Scheduling for Cloud Data Centers Prone to Failures</t>
  </si>
  <si>
    <t>https://ieeexplore.ieee.org/abstract/document/9238057/</t>
  </si>
  <si>
    <t>JJ Huang, QH Zhu, Y Hou</t>
  </si>
  <si>
    <t>cannot access</t>
  </si>
  <si>
    <t>An Optimization Model to Reduce Energy Consumption in Software-Defined Data Centers</t>
  </si>
  <si>
    <t>https://link.springer.com/content/pdf/10.1007/978-3-319-94959-8.pdf#page=150</t>
  </si>
  <si>
    <t>R Emilia</t>
  </si>
  <si>
    <t>refers to an article published in 2017</t>
  </si>
  <si>
    <t>Energy-Efficient Resource Allocation in Data Centers Using a Hybrid Evolutionary Algorithm</t>
  </si>
  <si>
    <t>https://link.springer.com/chapter/10.1007/978-981-15-3689-2_4</t>
  </si>
  <si>
    <t>VD Reddy, GR Gangadharan, G Rao…</t>
  </si>
  <si>
    <t>resource allocation</t>
  </si>
  <si>
    <t>Energy Efficient Task Scheduling in Cloud Data Center</t>
  </si>
  <si>
    <t>https://www.academia.edu/download/60782019/320191003-30157-m01c7a.pdf</t>
  </si>
  <si>
    <t>D Kumar, S Kulshrestha</t>
  </si>
  <si>
    <t>PINE: Photonic Integrated Networked Energy efficient datacenters (ENLITENED Program)</t>
  </si>
  <si>
    <t>https://ieeexplore.ieee.org/abstract/document/9275290/</t>
  </si>
  <si>
    <t>M Glick, NC Abrams, Q Cheng, MY Teh…</t>
  </si>
  <si>
    <t>Energy efficient scheduling of servers with multi-sleep modes for cloud data center</t>
  </si>
  <si>
    <t>https://ieeexplore.ieee.org/abstract/document/8356052/</t>
  </si>
  <si>
    <t>C Gu, Z Li, H Huang, X Jia</t>
  </si>
  <si>
    <t>scheduling servers</t>
  </si>
  <si>
    <t>Energy-saving Framework for Data Center from Reduce, Reuse and Recycle Perspectives.</t>
  </si>
  <si>
    <t>http://psasir.upm.edu.my/id/eprint/70614/1/17%20JST-1027-2017.pdf</t>
  </si>
  <si>
    <t>NM Nor, M Hussin, R Abdullah</t>
  </si>
  <si>
    <t>Availability-aware and Energy-efficient Virtual Cluster Allocation Based on Multi-objective Optimization in Cloud Datacenters</t>
  </si>
  <si>
    <t>https://ieeexplore.ieee.org/abstract/document/9006914/</t>
  </si>
  <si>
    <t>X Liu, B Cheng, S Wang</t>
  </si>
  <si>
    <t>cluster allocation</t>
  </si>
  <si>
    <t>Simultaneous application assignment and virtual machine placement via ant colony optimization for energy-efficient enterprise data centers</t>
  </si>
  <si>
    <t>https://link.springer.com/article/10.1007/s10586-020-03186-z</t>
  </si>
  <si>
    <t>F Alharbi, YC Tian, M Tang, MH Ferdaus, WZ Zhang…</t>
  </si>
  <si>
    <t>ant colony optimization</t>
  </si>
  <si>
    <t>Green IT scheduling for data center powered with renewable energy</t>
  </si>
  <si>
    <t>https://www.sciencedirect.com/science/article/pii/S0167739X17300092</t>
  </si>
  <si>
    <t>L Grange, G Da Costa, P Stolf</t>
  </si>
  <si>
    <t>energy availability aware schduling</t>
  </si>
  <si>
    <t>Smart Deployment of Virtual Machines to Reduce Energy Consumption of Cloud Computing Based Data Centers Using</t>
  </si>
  <si>
    <t>https://books.google.com/books?hl=en&amp;lr=&amp;id=WQRrDwAAQBAJ&amp;oi=fnd&amp;pg=PA164&amp;dq=energy+%22data+center%22%7C%22data+centers%22%7Cdatacenter%7Cdatacenters&amp;ots=kGV2C3Rr-v&amp;sig=ztNP9LZiVz18gR652Y2FlrqpUrY</t>
  </si>
  <si>
    <t>GW Optimizer</t>
  </si>
  <si>
    <t>see article published by Springer</t>
  </si>
  <si>
    <t>Prototype energy models for data centers</t>
  </si>
  <si>
    <t>https://www.sciencedirect.com/science/article/pii/S0378778820333892</t>
  </si>
  <si>
    <t>K Sun, N Luo, X Luo, T Hong</t>
  </si>
  <si>
    <t>SLA-Aware and Energy-Efficient VM Consolidation in Cloud Data Centers Using Host State Binary Decision Tree Prediction Model</t>
  </si>
  <si>
    <t>https://www.jstage.jst.go.jp/article/transinf/E102.D/10/E102.D_2018EDP7441/_article/-char/ja/</t>
  </si>
  <si>
    <t>L Li, J Dong, D Zuo, Y Zhao, T Li</t>
  </si>
  <si>
    <t>Sizing and management of hybrid renewable energy system for data center supply</t>
  </si>
  <si>
    <t>https://tel.archives-ouvertes.fr/tel-02736497/</t>
  </si>
  <si>
    <t>M Haddad</t>
  </si>
  <si>
    <t>tel.archives-ouvertes.fr</t>
  </si>
  <si>
    <t>thesis</t>
  </si>
  <si>
    <t>Energy efficient temporal load aware resource allocation in cloud computing datacenters</t>
  </si>
  <si>
    <t>https://link.springer.com/article/10.1186/s13677-017-0103-2</t>
  </si>
  <si>
    <t>S Vakilinia</t>
  </si>
  <si>
    <t>no concrete evaluation</t>
  </si>
  <si>
    <t>Modeling and analysis of performance and energy consumption in cloud data centers</t>
  </si>
  <si>
    <t>https://link.springer.com/article/10.1007/s13369-018-3196-0</t>
  </si>
  <si>
    <t>no strategy for efficiency</t>
  </si>
  <si>
    <t>Prediction Method of Energy Consumption Based on Multiple Energy-Related Features in Data Center</t>
  </si>
  <si>
    <t>https://ieeexplore.ieee.org/abstract/document/9047328/</t>
  </si>
  <si>
    <t>Y Liang, Z Hu</t>
  </si>
  <si>
    <t>energy prediction model</t>
  </si>
  <si>
    <t>Energy-Saving Resource Allocation in Cloud Data Centers</t>
  </si>
  <si>
    <t>https://ieeexplore.ieee.org/abstract/document/9022819/</t>
  </si>
  <si>
    <t>MM Than, T Thein</t>
  </si>
  <si>
    <t>DCDM1: Lessons Learned from the World's Most Energy Efficient Data Center</t>
  </si>
  <si>
    <t>https://www.osti.gov/biblio/1436572</t>
  </si>
  <si>
    <t>DE Sickinger, OD Van Geet, T Carter</t>
  </si>
  <si>
    <t>Energy-efficient approach to lower the carbon emissions of data centers</t>
  </si>
  <si>
    <t>https://link.springer.com/article/10.1007/s00607-020-00889-4</t>
  </si>
  <si>
    <t>R Bose, S Roy, H Mondal, DR Chowdhury…</t>
  </si>
  <si>
    <t>An Energy-Aware Dynamic Resource Management Technique Using Deep Q-Learning Algorithm and Joint VM and Container Consolidation Approach for Green Computing in Cloud Data Centers</t>
  </si>
  <si>
    <t>https://link.springer.com/chapter/10.1007/978-3-030-53829-3_26</t>
  </si>
  <si>
    <t>N Gholipour, N Shoeibi, E Arianyan</t>
  </si>
  <si>
    <t>no eval</t>
  </si>
  <si>
    <t>A Study on Energy Saving Monitoring System of Data Center based on Context Awareness</t>
  </si>
  <si>
    <t>https://www.koreascience.or.kr/article/JAKO201909258119994.page</t>
  </si>
  <si>
    <t>HJ Lee, MY Jung, CG Kim, HJ Kim</t>
  </si>
  <si>
    <t>Energy-Efficient Resource Allocation Technique Using Flower Pollination Algorithm for Cloud Datacenters</t>
  </si>
  <si>
    <t>https://link.springer.com/chapter/10.1007/978-3-319-99007-1_2</t>
  </si>
  <si>
    <t>MJ Usman, AS Ismail, AY Gital, A Aliyu…</t>
  </si>
  <si>
    <t>Machine Learning Approach for Energy Consumption Prediction in Datacenters</t>
  </si>
  <si>
    <t>https://ieeexplore.ieee.org/abstract/document/9046987/</t>
  </si>
  <si>
    <t>A Merizig, T Bendahmane, S Merzoug…</t>
  </si>
  <si>
    <t>prediction features based on old work</t>
  </si>
  <si>
    <t>Energy consumption of data centers worldwide</t>
  </si>
  <si>
    <t>https://pdfs.semanticscholar.org/3ae4/4c7ede7fbb743b91b0ab100019dc41237ea4.pdf</t>
  </si>
  <si>
    <t>energy consumption worldwide figures</t>
  </si>
  <si>
    <t>Peer-to-peer and real-time energy exchanges with data centers in a transactive energy framework</t>
  </si>
  <si>
    <t>https://ieeexplore.ieee.org/abstract/document/8859919/</t>
  </si>
  <si>
    <t>MA Rahama, M Ghamkhari</t>
  </si>
  <si>
    <t>Cloud Data Centers and the Challenge of Sustainable Energy</t>
  </si>
  <si>
    <t>http://www.academia.edu/download/62348129/CloudDataCenters20200312-80582-3k75cs.pdf</t>
  </si>
  <si>
    <t>R Buyya, SS Gill</t>
  </si>
  <si>
    <t>Comparing datasets of volume servers to illuminate their energy use in data centers</t>
  </si>
  <si>
    <t>https://link.springer.com/content/pdf/10.1007/s12053-019-09809-8.pdf</t>
  </si>
  <si>
    <t>H Fuchs, A Shehabi, M Ganeshalingam, LB Desroches…</t>
  </si>
  <si>
    <t>Immersion two-phase liquid cooling for data center thermal management–energy &amp; exergy analysis</t>
  </si>
  <si>
    <t>https://dr.ntu.edu.sg/handle/10356/75052</t>
  </si>
  <si>
    <t>AP Teo</t>
  </si>
  <si>
    <t>dr.ntu.edu.sg</t>
  </si>
  <si>
    <t>How do data centers make energy efficiency investment decisions? Qualitative evidence from focus groups and interviews</t>
  </si>
  <si>
    <t>https://link.springer.com/article/10.1007/s12053-019-09782-2</t>
  </si>
  <si>
    <t>H Klemick, E Kopits, A Wolverton</t>
  </si>
  <si>
    <t>An Energy-aware Host Resource Management Framework for Two-tier Virtualized Cloud Data Centers</t>
  </si>
  <si>
    <t>https://ieeexplore.ieee.org/abstract/document/9309376/</t>
  </si>
  <si>
    <t>C Zhang, Y Wang, H Wu, H Guo</t>
  </si>
  <si>
    <t>Energy Efficient Green Consolidator for Cloud Data Centers</t>
  </si>
  <si>
    <t>https://ieeexplore.ieee.org/abstract/document/8991325/</t>
  </si>
  <si>
    <t>C Dhule, U Shrawankar</t>
  </si>
  <si>
    <t>Adaptive Multi-Threshold Energy-Aware Virtual Machine Consolidation in Cloud Data Center</t>
  </si>
  <si>
    <t>https://ieeexplore.ieee.org/abstract/document/8963569/</t>
  </si>
  <si>
    <t>Y Hu, D Ding, K Kang, T Li</t>
  </si>
  <si>
    <t>Energy-efficient VM-placement in cloud data center</t>
  </si>
  <si>
    <t>https://www.sciencedirect.com/science/article/pii/S2210537917302536</t>
  </si>
  <si>
    <t>SK Mishra, D Puthal, B Sahoo, PP Jayaraman…</t>
  </si>
  <si>
    <t>vm placement</t>
  </si>
  <si>
    <t>REDUX: Managing Renewable Energy in Data Centers Using Distributed UPS Systems</t>
  </si>
  <si>
    <t>https://ieeexplore.ieee.org/abstract/document/8513714/</t>
  </si>
  <si>
    <t>X Peng, C Kauten, C Zhang, J Mao…</t>
  </si>
  <si>
    <t>Toward a More Energy Efficient Data Center–Photonics Role</t>
  </si>
  <si>
    <t>https://www.osapublishing.org/abstract.cfm?uri=PSC-2020-PsW1F.1</t>
  </si>
  <si>
    <t>R Baca</t>
  </si>
  <si>
    <t>A Modified Grey Wolf Optimization for Energy Efficiency and Resource Wastage Balancing in Cloud Data-Centers</t>
  </si>
  <si>
    <t>https://ieeexplore.ieee.org/abstract/document/9303615/</t>
  </si>
  <si>
    <t>A Ansari, M Asghari, S Gorgin…</t>
  </si>
  <si>
    <t>Workload management for air-cooled data centers: An energy and exergy based approach</t>
  </si>
  <si>
    <t>https://www.sciencedirect.com/science/article/pii/S0360544220315930</t>
  </si>
  <si>
    <t>R Gupta, H Moazamigoodarzi, SM MirhoseiniNejad…</t>
  </si>
  <si>
    <t>Energy recovery systems for the efficient cooling of data centers using absorption chillers and renewable energy resources</t>
  </si>
  <si>
    <t>http://jesi.astr.ro/wp-content/uploads/2019/01/4.Florea-Chiriac.pdf</t>
  </si>
  <si>
    <t>F CHIRIAC, V CHIRIAC</t>
  </si>
  <si>
    <t>jesi.astr.ro</t>
  </si>
  <si>
    <t>Joint workload scheduling and energy management for green data centers powered by fuel cells</t>
  </si>
  <si>
    <t>https://ieeexplore.ieee.org/abstract/document/8616794/</t>
  </si>
  <si>
    <t>X Hu, P Li, K Wang, Y Sun, D Zeng…</t>
  </si>
  <si>
    <t>Energy Flexibility Prediction for Data Center Engagement in Demand Response Programs</t>
  </si>
  <si>
    <t>https://www.mdpi.com/2071-1050/12/4/1417</t>
  </si>
  <si>
    <t>AV Vesa, T Cioara, I Anghel, M Antal, C Pop, B Iancu…</t>
  </si>
  <si>
    <t>focus on energy grid</t>
  </si>
  <si>
    <t>Prediction-Based Joint Energy Optimization for Virtualized Data Centers</t>
  </si>
  <si>
    <t>https://dl.acm.org/doi/abs/10.1145/3374135.3385279</t>
  </si>
  <si>
    <t>DATA CENTER ENERGY CONSERVATION BY HEAT PIPE BASED PRE-COOLER SYSTEM</t>
  </si>
  <si>
    <t>http://thermalfluidscentral.org/journals/index.php/Heat_Mass_Transfer/article/view/1041</t>
  </si>
  <si>
    <t>R Singh, M Mochizuki, K Mashiko…</t>
  </si>
  <si>
    <t>thermalfluidscentral.org</t>
  </si>
  <si>
    <t>A Novel Networking Box System Architecture and Design for Data Center Energy Efficiency</t>
  </si>
  <si>
    <t>https://ieeexplore.ieee.org/abstract/document/8419480/</t>
  </si>
  <si>
    <t>CC Baidu, HC Baidu, BL Baidu…</t>
  </si>
  <si>
    <t>Renewable energy-aware big data analytics in geo-distributed data centers with reinforcement learning</t>
  </si>
  <si>
    <t>https://ieeexplore.ieee.org/abstract/document/8309283/</t>
  </si>
  <si>
    <t>C Xu, K Wang, P Li, R Xia, S Guo…</t>
  </si>
  <si>
    <t>Reducing Energy and Carbon Cost of Cloud Data Centers through Optimal Virtual Machine Placement algorithms and an Automatic Servers Scale Controller …</t>
  </si>
  <si>
    <t>http://www.jscit.nit.ac.ir/index.php/jscit/issue/view/JSCIT_Vol.2_No.1/article_120535_9c78932d86af76b6bb69835262ffd488.pdf</t>
  </si>
  <si>
    <t>E Khodayarseresht, A Shameli-Sendi</t>
  </si>
  <si>
    <t>jscit.nit.ac.ir</t>
  </si>
  <si>
    <t>Hierarchical and hybrid energy storage devices in data centers: Architecture, control and provisioning</t>
  </si>
  <si>
    <t>https://journals.plos.org/plosone/article?id=10.1371/journal.pone.0191450</t>
  </si>
  <si>
    <t>M Sun, Y Xue, P Bogdan, J Tang, Y Wang, X Lin</t>
  </si>
  <si>
    <t>journals.plos.org</t>
  </si>
  <si>
    <t>Intelligent Energy Saving System of Precision Air Conditioning in Data Center Room</t>
  </si>
  <si>
    <t>https://ieeexplore.ieee.org/abstract/document/9213467/</t>
  </si>
  <si>
    <t>F Hu, Q Ma, X Hou, J Ye</t>
  </si>
  <si>
    <t>Multi-elastic datacenters: Auto-scaled virtual clusters on energy-aware physical infrastructures</t>
  </si>
  <si>
    <t>https://link.springer.com/article/10.1007/s10723-018-9449-z</t>
  </si>
  <si>
    <t>C de Alfonso, M Caballer, A Calatrava, G Moltó…</t>
  </si>
  <si>
    <t>not about energy efficiency</t>
  </si>
  <si>
    <t>Energy-aware task scheduling strategies with QoS constraint for green computing in cloud data centers</t>
  </si>
  <si>
    <t>https://dl.acm.org/doi/abs/10.1145/3264746.3264792</t>
  </si>
  <si>
    <t>X Liu, P Liu, H Li, Z Li, C Zou, H Zhou, X Yan…</t>
  </si>
  <si>
    <t>hardware</t>
  </si>
  <si>
    <t>Exact algorithms for energy-efficient virtual machine placement in data center</t>
  </si>
  <si>
    <t>https://eprints.qut.edu.au/135550/</t>
  </si>
  <si>
    <t>W Chen, ZH Hu, YG Wang</t>
  </si>
  <si>
    <t>item removed</t>
  </si>
  <si>
    <t>Energy-efficient data-based zonal control of temperature for data centers</t>
  </si>
  <si>
    <t>https://ieeexplore.ieee.org/abstract/document/8957198/</t>
  </si>
  <si>
    <t>M Kheradmandi, DG Down…</t>
  </si>
  <si>
    <t>Energy-efficient service provisioning in inter-data center elastic optical networks</t>
  </si>
  <si>
    <t>https://ieeexplore.ieee.org/abstract/document/8493368/</t>
  </si>
  <si>
    <t>M Hadi, MR Pakravan</t>
  </si>
  <si>
    <t>Classification-based and energy-efficient dynamic task scheduling scheme for virtualized cloud data center</t>
  </si>
  <si>
    <t>https://ieeexplore.ieee.org/abstract/document/8721126/</t>
  </si>
  <si>
    <t>A Marahatta, S Pirbhulal, F Zhang…</t>
  </si>
  <si>
    <t>task scheduling</t>
  </si>
  <si>
    <t>Energy Saving Transformation Technology of Green Data Center Based on Hardware and Software Joint Control</t>
  </si>
  <si>
    <t>http://www.dpi-proceedings.com/index.php/dtcse/article/view/26589</t>
  </si>
  <si>
    <t>C ZHANG, J ZHAO, LI Ying, LI Yun…</t>
  </si>
  <si>
    <t>dpi-proceedings.com</t>
  </si>
  <si>
    <t>Delayed Best-Fit Task Scheduling to Reduce Energy Consumption in Cloud Data Centers</t>
  </si>
  <si>
    <t>https://ieeexplore.ieee.org/abstract/document/8875333/</t>
  </si>
  <si>
    <t>Z Dong, W Zhuang…</t>
  </si>
  <si>
    <t>Energy Efficient Approach for Sustainable Cloud Data Center with Temperature Aware Scheduling</t>
  </si>
  <si>
    <t>https://www.researchgate.net/profile/Nirav_Shah6/publication/342945834_Energy_Efficient_Approach_for_Sustainable_Cloud_Data_Center_with_Temperature_Aware_Scheduling/links/5f0eaf28a6fdcc3ed7082b6c/Energy-Efficient-Approach-for-Sustainable-Cloud-Data-Center-with-Temperature-Aware-Scheduling.pdf</t>
  </si>
  <si>
    <t>B Jadav, N Shah</t>
  </si>
  <si>
    <t>Load management for multiple datacenters towards demand response in the smart grid integrating renewable energy</t>
  </si>
  <si>
    <t>https://dl.acm.org/doi/abs/10.1145/3297156.3297197</t>
  </si>
  <si>
    <t>focus on energy supply</t>
  </si>
  <si>
    <t>Energy Efficiency MapReduce Job Scheduling of Shuffle and Reduce Phases in Data Center</t>
  </si>
  <si>
    <t>https://link.springer.com/chapter/10.1007/978-3-030-15127-0_22</t>
  </si>
  <si>
    <t>J Wang, X Li, X Zhu</t>
  </si>
  <si>
    <t>MEnSuS: An efficient scheme for energy management with sustainability of cloud data centers in edge–cloud environment</t>
  </si>
  <si>
    <t>https://www.sciencedirect.com/science/article/pii/S0167739X17321581</t>
  </si>
  <si>
    <t>energy management</t>
  </si>
  <si>
    <t>Energy-aware virtual machines allocation by krill herd algorithm in cloud data centers</t>
  </si>
  <si>
    <t>https://www.sciencedirect.com/science/article/pii/S2405844019357263</t>
  </si>
  <si>
    <t>M Soltanshahi, R Asemi, N Shafiei</t>
  </si>
  <si>
    <t>vm allocation</t>
  </si>
  <si>
    <t>Two-Stage Passive Optical Pod Interconnects for Small Energy-Aware Data Centers</t>
  </si>
  <si>
    <t>https://ieeexplore.ieee.org/abstract/document/8840286/</t>
  </si>
  <si>
    <t>BD Feris, P Gravey, ML Moulinard…</t>
  </si>
  <si>
    <t>Configuration Optimization Model for Data-Center-Park-Integrated Energy Systems under Economic, Reliability, and Environmental Considerations</t>
  </si>
  <si>
    <t>https://www.mdpi.com/1996-1073/13/2/448</t>
  </si>
  <si>
    <t>Z Liu, H Yu, R Liu, M Wang, C Li</t>
  </si>
  <si>
    <t>Data center cooling system integrated with low-temperature desalination and intelligent energy-aware control</t>
  </si>
  <si>
    <t>https://ieeexplore.ieee.org/abstract/document/8752108/</t>
  </si>
  <si>
    <t>S Sondur, K Gross, M Li</t>
  </si>
  <si>
    <t>Energy-Efficient Algorithm for Load Balancing and VMs Reassignment in Data Centers</t>
  </si>
  <si>
    <t>https://ieeexplore.ieee.org/abstract/document/8488203/</t>
  </si>
  <si>
    <t>N Djennane, R Aoudjit…</t>
  </si>
  <si>
    <t>Improved data center energy efficiency and availability with multilayer node event processing</t>
  </si>
  <si>
    <t>https://www.mdpi.com/1996-1073/11/9/2478</t>
  </si>
  <si>
    <t>V Matko, B Brezovec</t>
  </si>
  <si>
    <t>Efficient techniques for energy saving in data center networks</t>
  </si>
  <si>
    <t>https://www.sciencedirect.com/science/article/pii/S014036641830121X</t>
  </si>
  <si>
    <t>Z Chkirbene, A Gouissem, R Hadjidj, S Foufou…</t>
  </si>
  <si>
    <t>network efficiency</t>
  </si>
  <si>
    <t>Slow Replica and Shared Protection: Energy-Efficient and Reliable Task Assignment in Cloud Data Centers</t>
  </si>
  <si>
    <t>https://ieeexplore.ieee.org/abstract/document/8759087/</t>
  </si>
  <si>
    <t>Y Fan, C Wang, W Wu, T Znati…</t>
  </si>
  <si>
    <t>task assignment</t>
  </si>
  <si>
    <t>A new indicator for a fair comparison on the energy performance of data centers</t>
  </si>
  <si>
    <t>https://www.sciencedirect.com/science/article/pii/S0306261920310096</t>
  </si>
  <si>
    <t>J Li, J Jurasz, H Li, WQ Tao, Y Duan, J Yan</t>
  </si>
  <si>
    <t>about cooling</t>
  </si>
  <si>
    <t>Less energy, more efficiency in server rooms and data centers</t>
  </si>
  <si>
    <t>https://link.springer.com/article/10.1007/s00450-017-0369-0</t>
  </si>
  <si>
    <t>B Koch, D Slezak</t>
  </si>
  <si>
    <t>PREDICTIONS &amp; MODELING ENERGY CONSUMPTION FOR IT DATA CENTER INFRASTRUCTURE</t>
  </si>
  <si>
    <t>https://hal-univ-pau.archives-ouvertes.fr/hal-02437210/</t>
  </si>
  <si>
    <t>P Roose, M Soltane…</t>
  </si>
  <si>
    <t>hal-univ-pau.archives-ouvertes.fr</t>
  </si>
  <si>
    <t>no energy efficiency model</t>
  </si>
  <si>
    <t>Evaluation of Energy-efficient VM Consolidation for Cloud Based Data Center-Revisited</t>
  </si>
  <si>
    <t>https://arxiv.org/abs/1812.06255</t>
  </si>
  <si>
    <t>N Akhter, M Othman, RK Naha</t>
  </si>
  <si>
    <t>re-evaluation</t>
  </si>
  <si>
    <t>Deep Reinforcement Learning for Economic Energy Scheduling in Data Center Microgrids</t>
  </si>
  <si>
    <t>https://ieeexplore.ieee.org/abstract/document/8974083/</t>
  </si>
  <si>
    <t>X Yang, Y Wang, H He, C Sun…</t>
  </si>
  <si>
    <t>Analysis of demand response for datacenter energy management using GA and time-of-use prices</t>
  </si>
  <si>
    <t>https://ieeexplore.ieee.org/abstract/document/8905618/</t>
  </si>
  <si>
    <t>B Celik, G Rostirolla, S Caux…</t>
  </si>
  <si>
    <t>Evaluating and modeling the energy impacts of data centers, in terms of hardware/software architecture and associated environment</t>
  </si>
  <si>
    <t>https://tel.archives-ouvertes.fr/tel-02948725/</t>
  </si>
  <si>
    <t>Y Wang</t>
  </si>
  <si>
    <t>Energy Efficient Load Balancing in Cloud Data Center Using Clustering Technique</t>
  </si>
  <si>
    <t>https://www.igi-global.com/article/energy-efficient-load-balancing-in-cloud-data-center-using-clustering-technique/221354</t>
  </si>
  <si>
    <t>N Thilagavathi, DD Dharani, R Sasilekha…</t>
  </si>
  <si>
    <t>Aggregation-based colocation datacenter energy management in wholesale markets</t>
  </si>
  <si>
    <t>https://ieeexplore.ieee.org/abstract/document/8359318/</t>
  </si>
  <si>
    <t>Y Guo, M Pan, Y Gong</t>
  </si>
  <si>
    <t>A novel scheduling approach to improve the energy efficiency in cloud computing data centers</t>
  </si>
  <si>
    <t>https://link.springer.com/article/10.1007/s12652-020-02283-6</t>
  </si>
  <si>
    <t>JK Jeevitha, G Athisha</t>
  </si>
  <si>
    <t>vm scheduling</t>
  </si>
  <si>
    <t>Multi-Energy Resources Planning for Data Center Operation and Residential Heating</t>
  </si>
  <si>
    <t>https://ieeexplore.ieee.org/abstract/document/8581654/</t>
  </si>
  <si>
    <t>P Wang, Y Cao, Z Ding</t>
  </si>
  <si>
    <t>A hybrid algorithm to reduce energy consumption management in cloud data centers.</t>
  </si>
  <si>
    <t>http://search.ebscohost.com/login.aspx?direct=true&amp;profile=ehost&amp;scope=site&amp;authtype=crawler&amp;jrnl=20888708&amp;AN=138302013&amp;h=GbgvDcZMIvldyslYrTGalV9KptTHDBQJ%2BvkrXtkaTtZRG4CuZH5zZI%2BTH4SgDSsLVZICYrK7r4yf8mGx55e0xQ%3D%3D&amp;crl=c</t>
  </si>
  <si>
    <t>only abstract and meta data</t>
  </si>
  <si>
    <t>Uncertainty Reduction for Data Centers in Energy Internet by a Compact AC-DC Energy Router and Coordinated Energy Management Strategy</t>
  </si>
  <si>
    <t>https://ieeexplore.ieee.org/abstract/document/9235727/</t>
  </si>
  <si>
    <t>J Khodabakhsh…</t>
  </si>
  <si>
    <t>Assessment of Data Center Energy Efficiency. Methods and Metrics</t>
  </si>
  <si>
    <t>https://ieeexplore.ieee.org/abstract/document/8559745/</t>
  </si>
  <si>
    <t>C Dumitrescu, A Plesca, L Dumitrescu…</t>
  </si>
  <si>
    <t>assessment strategy</t>
  </si>
  <si>
    <t>Energy, performance and cost efficient datacenters: A survey</t>
  </si>
  <si>
    <t>https://www.sciencedirect.com/science/article/pii/S1364032118304404</t>
  </si>
  <si>
    <t>M Zakarya</t>
  </si>
  <si>
    <t>An on-line virtual machine consolidation strategy for dual improvement in performance and energy conservation of server clusters in cloud data centers</t>
  </si>
  <si>
    <t>https://ieeexplore.ieee.org/abstract/document/8937836/</t>
  </si>
  <si>
    <t>W Lin, W Wu, L He</t>
  </si>
  <si>
    <t>Ensuring renewable energy utilization with quality of service guarantee for energy-efficient data center operations</t>
  </si>
  <si>
    <t>https://www.sciencedirect.com/science/article/pii/S0306261920309363</t>
  </si>
  <si>
    <t>S Kwon</t>
  </si>
  <si>
    <t>math model renewable energy</t>
  </si>
  <si>
    <t>Waste heat recovery from data centers using Organic Rankine Cycle (ORC), and Multi-objective energy and exergy optimization of the system in marine …</t>
  </si>
  <si>
    <t>https://www.researchgate.net/profile/Tahereh_Haghroosta/project/Research-in-Marine-Sciences/attachment/5e8086213843b0047b3809fd/AS:874385888002049@1585481249235/download/Research+in+Marine+Sciences-14+-3.pdf?context=ProjectUpdatesLog</t>
  </si>
  <si>
    <t>AM Arasteh, HHA Akbari</t>
  </si>
  <si>
    <t>waste-heat</t>
  </si>
  <si>
    <t>An optimal task placement strategy in geo-distributed data centers involving renewable energy</t>
  </si>
  <si>
    <t>https://ieeexplore.ieee.org/abstract/document/8493571/</t>
  </si>
  <si>
    <t>R Wang, Y Lu, K Zhu, J Hao, P Wang, Y Cao</t>
  </si>
  <si>
    <t>energy supply</t>
  </si>
  <si>
    <t>The effect of server energy proportionality on data center power oversubscription</t>
  </si>
  <si>
    <t>https://www.sciencedirect.com/science/article/pii/S0167739X19304145</t>
  </si>
  <si>
    <t>S Malla, K Christensen</t>
  </si>
  <si>
    <t>Joint Energy Optimization of Cooling Systems and Virtual Machine Consolidation in Data Centers</t>
  </si>
  <si>
    <t>https://ieeexplore.ieee.org/abstract/document/9209712/</t>
  </si>
  <si>
    <t>H Liu, WK Wong, S Ye…</t>
  </si>
  <si>
    <t>cooling aware vm consolidation</t>
  </si>
  <si>
    <t>An Advanced Power and Thermal Optimized High Density Rack Solution for Data Center Energy Efficiency</t>
  </si>
  <si>
    <t>https://ieeexplore.ieee.org/abstract/document/9190394/</t>
  </si>
  <si>
    <t>J Zhao, X Tan, Y Pan, Y Sheng, H Liu…</t>
  </si>
  <si>
    <t>Reinforcement learning based methodology for energy-efficient resource allocation in cloud data centers</t>
  </si>
  <si>
    <t>https://www.sciencedirect.com/science/article/pii/S1319157818306554</t>
  </si>
  <si>
    <t>T Thein, MM Myo, S Parvin, A Gawanmeh</t>
  </si>
  <si>
    <t>WGOA: Whale-Genetic Optimization Algorithm for Energy Efficient Task Scheduling in Cloud Data Center</t>
  </si>
  <si>
    <t>https://www.researchgate.net/profile/Mohan_Sharma12/publication/327271124_WGOA_Whale-Genetic_Optimization_Algorithm_for_Energy_Efficient_Task_Scheduling_in_Cloud_Computing/links/5e5186c8299bf1cdb94000ba/WGOA-Whale-Genetic-Optimization-Algorithm-for-Energy-Efficient-Task-Scheduling-in-Cloud-Computing.pdf</t>
  </si>
  <si>
    <t>M Sharma, R Garg</t>
  </si>
  <si>
    <t>An integer linear programming model and adaptive genetic algorithm approach to minimize energy consumption of cloud computing data centers</t>
  </si>
  <si>
    <t>https://www.sciencedirect.com/science/article/pii/S0045790617319808</t>
  </si>
  <si>
    <t>H Ibrahim, RO Aburukba, K El-Fakih</t>
  </si>
  <si>
    <t>dynamic task scheduling</t>
  </si>
  <si>
    <t>Short-Scale Stochastic Solar Energy Models: A Datacenter Use Case</t>
  </si>
  <si>
    <t>https://www.mdpi.com/2227-7390/8/12/2127</t>
  </si>
  <si>
    <t>S Alouf, A Jean-Marie</t>
  </si>
  <si>
    <t>Energy-Efficiency Query Optimization for Green Datacenters</t>
  </si>
  <si>
    <t>http://crad.ict.ac.cn/EN/Y2019/V56/I9/1821</t>
  </si>
  <si>
    <t>X Baoping, L Mengyuan, J Peiquan…</t>
  </si>
  <si>
    <t>crad.ict.ac.cn</t>
  </si>
  <si>
    <t>AWARENESS OF ENERGY CONSUMPTION IN CLOUD DATA CENTERS: A SURVEY ON EMPLOYEE ENGAGEMENT IN ENERGY MANAGEMENT</t>
  </si>
  <si>
    <t>https://www.researchgate.net/profile/Joshua_Samual/publication/342590540_AWARENESS_OF_ENERGY_CONSUMPTION_IN_CLOUD_DATA_CENTERS_A_SURVEY_ON_EMPLOYEE_ENGAGEMENT_IN_ENERGY_MANAGEMENT/links/5efc514fa6fdcc4ca4409952/AWARENESS-OF-ENERGY-CONSUMPTION-IN-CLOUD-DATA-CENTERS-A-SURVEY-ON-EMPLOYEE-ENGAGEMENT-IN-ENERGY-MANAGEMENT.pdf</t>
  </si>
  <si>
    <t>J Samual, M Hussin, NAWA Hamid…</t>
  </si>
  <si>
    <t>Embedding individualized machine learning prediction models for energy efficient VM consolidation within Cloud data centers</t>
  </si>
  <si>
    <t>https://www.sciencedirect.com/science/article/pii/S0167739X19308969</t>
  </si>
  <si>
    <t>SM Moghaddam, M O'Sullivan, C Walker…</t>
  </si>
  <si>
    <t>Energy Efficient Cloud Data Center Using Dynamic Virtual Machine Consolidation Algorithm</t>
  </si>
  <si>
    <t>https://link.springer.com/chapter/10.1007/978-3-030-20485-3_40</t>
  </si>
  <si>
    <t>Managing Energy Plus Performance in Data Centers and Battery-Based Devices Using an Online Non-Clairvoyant Speed-Bounded Multiprocessor Scheduling</t>
  </si>
  <si>
    <t>https://www.mdpi.com/2076-3417/10/7/2459</t>
  </si>
  <si>
    <t>P Singh, B Khan, OP Mahela, H Haes Alhelou…</t>
  </si>
  <si>
    <t>Towards Energy Efficiency and Power Trading Exploiting Renewable Energy in Cloud Data Centers</t>
  </si>
  <si>
    <t>https://ieeexplore.ieee.org/abstract/document/9194169/</t>
  </si>
  <si>
    <t>S Aslam, S Aslam, H Herodotou…</t>
  </si>
  <si>
    <t>Bridging Server and Cooling: Toward Effective Energy Management in Data Centers</t>
  </si>
  <si>
    <t>https://ieeexplore.ieee.org/abstract/document/8975843/</t>
  </si>
  <si>
    <t>B Zhou, X Song, X Shi, Y Lu…</t>
  </si>
  <si>
    <t>cooling aware energy efficiency</t>
  </si>
  <si>
    <t>An Energy-Efficient Task Scheduling Mechanism with Switching On/Sleep Mode of Servers in Virtualized Cloud Data Centers</t>
  </si>
  <si>
    <t>https://www.hindawi.com/journals/mpe/2020/4176308/</t>
  </si>
  <si>
    <t>C Yin, J Liu, S Jin</t>
  </si>
  <si>
    <t>hindawi.com</t>
  </si>
  <si>
    <t>Exact algorithms for energy-efficient virtual machine placement in data centers</t>
  </si>
  <si>
    <t>https://www.sciencedirect.com/science/article/pii/S0167739X19319594</t>
  </si>
  <si>
    <t>C Wei, ZH Hu, YG Wang</t>
  </si>
  <si>
    <t>Modeling green data-centers and jobs balancing with energy packet networks and interrupted Poisson energy arrivals</t>
  </si>
  <si>
    <t>https://link.springer.com/article/10.1007/s42979-019-0029-5</t>
  </si>
  <si>
    <t>JM Fourneau</t>
  </si>
  <si>
    <t>SLA-Aware and Energy-Efficient VM Consolidation in Cloud Data Centers Using Host States Naive Bayesian Prediction Model</t>
  </si>
  <si>
    <t>https://ieeexplore.ieee.org/abstract/document/8672350/</t>
  </si>
  <si>
    <t>L Li, J Dong, D Zuo, JI Liu</t>
  </si>
  <si>
    <t>VM consolidation, reduce E-costs</t>
  </si>
  <si>
    <t>Virtual machine placement algorithm for energy saving and reliability of servers in cloud data centers</t>
  </si>
  <si>
    <t>https://link.springer.com/article/10.1007/s10922-018-9462-3</t>
  </si>
  <si>
    <t>JY Choi</t>
  </si>
  <si>
    <t xml:space="preserve">takes heat islands into account </t>
  </si>
  <si>
    <t>Software-hardware co-design for energy efficient datacenter computing</t>
  </si>
  <si>
    <t>https://open.library.ubc.ca/collections/24/24/items/1.0384819</t>
  </si>
  <si>
    <t>TH Hetherington</t>
  </si>
  <si>
    <t>open.library.ubc.ca</t>
  </si>
  <si>
    <t>Productive efficiency of energy-aware data centers</t>
  </si>
  <si>
    <t>https://www.mdpi.com/1996-1073/11/8/2053</t>
  </si>
  <si>
    <t>D Fernández-Cerero, A Fernández-Montes, F Velasco</t>
  </si>
  <si>
    <t>An empirical evaluation of energy-aware load balancing technique for cloud data center</t>
  </si>
  <si>
    <t>https://link.springer.com/content/pdf/10.1007/s10586-017-1166-z.pdf</t>
  </si>
  <si>
    <t>NJ Kansal, I Chana</t>
  </si>
  <si>
    <t>load balancing technique</t>
  </si>
  <si>
    <t>Energy-aware virtual machine allocation and selection in cloud data centers</t>
  </si>
  <si>
    <t>https://link.springer.com/article/10.1007/s00500-017-2905-z</t>
  </si>
  <si>
    <t>VD Reddy, GR Gangadharan, GSVRK Rao</t>
  </si>
  <si>
    <t>VM selection and allocation</t>
  </si>
  <si>
    <t>Energy-efficient and sla-aware virtual machine selection algorithm for dynamic resource allocation in cloud data centers</t>
  </si>
  <si>
    <t>https://ieeexplore.ieee.org/abstract/document/8603157/</t>
  </si>
  <si>
    <t>SM Moghaddam, SF Piraghaj, M OS'ullivan, C Walker, C Unsworth</t>
  </si>
  <si>
    <t>VM allocation, load balancing</t>
  </si>
  <si>
    <t>EnLoc: Data locality-aware energy-efficient scheduling scheme for cloud data centers</t>
  </si>
  <si>
    <t>https://ieeexplore.ieee.org/abstract/document/8422225/</t>
  </si>
  <si>
    <t>K Kaur, N Kumar, S Garg, JJPC Rodrigues</t>
  </si>
  <si>
    <t>Comparison of several simplistic high-level approaches for estimating the global energy and electricity use of ICT networks and data centers</t>
  </si>
  <si>
    <t>https://www.researchgate.net/profile/Anders_Andrae/publication/336284632_Comparison_of_Several_Simplistic_High-Level_Approaches_for_Estimating_the_Global_Energy_and_Electricity_Use_of_ICT_Networks_and_Data_Centers/links/5d99962592851c2f70eed9a2/Comparison-of-Several-Simplistic-High-Level-Approaches-for-Estimating-the-Global-Energy-and-Electricity-Use-of-ICT-Networks-and-Data-Centers.pdf</t>
  </si>
  <si>
    <t>AS Andrae</t>
  </si>
  <si>
    <t>Energy Efficient and Multi-Parameters Based VM Selection for Cloud Data Centers</t>
  </si>
  <si>
    <t>https://papers.ssrn.com/sol3/papers.cfm?abstract_id=3394044</t>
  </si>
  <si>
    <t>S Singh, MS Aswal</t>
  </si>
  <si>
    <t>International Conference on Advances in Engineering Science Management &amp; Technology</t>
  </si>
  <si>
    <t>ICAESMT</t>
  </si>
  <si>
    <t>VM selection</t>
  </si>
  <si>
    <t>LEED: A Lightwave Energy-Efficient Datacenter</t>
  </si>
  <si>
    <t>https://www.osapublishing.org/abstract.cfm?uri=OFC-2019-M4D.4</t>
  </si>
  <si>
    <t>YS Fainman, J Ford, WM Mellette…</t>
  </si>
  <si>
    <t>Energy-aware fault-tolerant dynamic task scheduling scheme for virtualized cloud data centers</t>
  </si>
  <si>
    <t>https://link.springer.com/article/10.1007/s11036-018-1062-7</t>
  </si>
  <si>
    <t>A Marahatta, Y Wang, F Zhang, AK Sangaiah,  SKS Tyagi, Z Liu</t>
  </si>
  <si>
    <t>task scheduling scheme</t>
  </si>
  <si>
    <t>Simulation-based assessment of data center waste heat utilization using aquifer thermal energy storage of a university campus</t>
  </si>
  <si>
    <t>https://link.springer.com/content/pdf/10.1007/s12273-020-0629-y.pdf</t>
  </si>
  <si>
    <t>V Dvorak, V Zavrel, JIT Galdiz, JLM Hensen</t>
  </si>
  <si>
    <t>Renewable energy curtailment via incentivized inter-datacenter workload migration</t>
  </si>
  <si>
    <t>https://link.springer.com/chapter/10.1007/978-3-319-94295-7_10</t>
  </si>
  <si>
    <t>A Abada, M St-Hilaire</t>
  </si>
  <si>
    <t>balancing excess renew. energy</t>
  </si>
  <si>
    <t>An Energy Prediction Model for Cloud Data Centers Through Performance Counter.</t>
  </si>
  <si>
    <t>http://search.ebscohost.com/login.aspx?direct=true&amp;profile=ehost&amp;scope=site&amp;authtype=crawler&amp;jrnl=09731318&amp;AN=141016261&amp;h=qwZ%2BpYdlfk%2BzvtM7AVtTzVM%2Frs4veDzSUV5je6ybbkKWBm%2BeTA2vKShbEJm7FRybBjeDPxz80LJa8UdNAVljOA%3D%3D&amp;crl=c</t>
  </si>
  <si>
    <t>S Meng, P Sun, J Luo, H Xu</t>
  </si>
  <si>
    <t>International Journal of Performability Engineering</t>
  </si>
  <si>
    <t>IJPE</t>
  </si>
  <si>
    <t>A learning automata-based algorithm for energy and SLA efficient consolidation of virtual machines in cloud data centers</t>
  </si>
  <si>
    <t>https://www.sciencedirect.com/science/article/pii/S074373151730285X</t>
  </si>
  <si>
    <t>M Ranjbari, JA Torkestani</t>
  </si>
  <si>
    <t>VM consolidation learning autom.</t>
  </si>
  <si>
    <t>Energy Consumption Modeling and Prediction in the Cloud Data Centers.</t>
  </si>
  <si>
    <t>http://www.jestr.org/downloads/Volume13Issue3/fulltext251332020.pdf</t>
  </si>
  <si>
    <t>jestr.org</t>
  </si>
  <si>
    <t>proposed formula for calc. EC</t>
  </si>
  <si>
    <t>Data Center and Data Center Networks Energy-Aware Planning</t>
  </si>
  <si>
    <t>https://ieeexplore.ieee.org/abstract/document/8842783/</t>
  </si>
  <si>
    <t>T Yang</t>
  </si>
  <si>
    <t>Energy-Efficient Design of Data Center Spaces in the Era of IoT Exploiting the Concept of Digital Twins</t>
  </si>
  <si>
    <t>https://link.springer.com/chapter/10.1007/978-3-030-44907-0_6</t>
  </si>
  <si>
    <t>S Panagiotakis, Y Fandaoutsakis, M Vourkas…</t>
  </si>
  <si>
    <t>Heat energy from datacenters: an opportunity for marine energy</t>
  </si>
  <si>
    <t>https://eprints.lancs.ac.uk/id/eprint/147406/</t>
  </si>
  <si>
    <t>P Terenius, LG Golmen, P Garraghan, RHR Harper</t>
  </si>
  <si>
    <t>eprints.lancs.ac.uk</t>
  </si>
  <si>
    <t>Deepee: Joint optimization of job scheduling and cooling control for data center energy efficiency using deep reinforcement learning</t>
  </si>
  <si>
    <t>https://ieeexplore.ieee.org/abstract/document/8885255/</t>
  </si>
  <si>
    <t>Y Ran, H Hu, X Zhou, Y Wen</t>
  </si>
  <si>
    <t>sim platform for workload/cooling</t>
  </si>
  <si>
    <t>A smart coordinated temperature feedback controller for energy-efficient data centers</t>
  </si>
  <si>
    <t>https://www.sciencedirect.com/science/article/pii/S0167739X18321599</t>
  </si>
  <si>
    <t>X Zhao, Z Xiong, L Ding, X Zhang, F Xu</t>
  </si>
  <si>
    <t>Reliability Improvement and Energy Saving At Internet Data Center Microgrids</t>
  </si>
  <si>
    <t>https://ieeexplore.ieee.org/abstract/document/8783781/</t>
  </si>
  <si>
    <t>I Keskin, G Soykan</t>
  </si>
  <si>
    <t>Measurement of Energy Efficiency Metrics of Data Centers. Case Study: Higher Education Institution of Barranquilla</t>
  </si>
  <si>
    <t>https://link.springer.com/chapter/10.1007/978-3-030-63319-6_3</t>
  </si>
  <si>
    <t>L Hernandez, H Hernandez, M Orozco…</t>
  </si>
  <si>
    <t>uses existing metrics to calc. EE of university DC infrastructure</t>
  </si>
  <si>
    <t>Reallocation of Virtual Machines to Cloud Data Centers to Reduce Service Level Agreement Violation and Energy Consumption Using the FMT Method</t>
  </si>
  <si>
    <t>https://www.sid.ir/FileServer/JE/5055520192805</t>
  </si>
  <si>
    <t>HF Farimani, SRK Tabbakh, D Bahrepour, R Ghaemi</t>
  </si>
  <si>
    <t>Journal of Information Systems and Telecommunication</t>
  </si>
  <si>
    <t>JIST</t>
  </si>
  <si>
    <t>VM allocation</t>
  </si>
  <si>
    <t>Energy Consumption Modelling of Coherent Transmission in Data Centers</t>
  </si>
  <si>
    <t>https://www.osapublishing.org/abstract.cfm?uri=OFC-2019-W1F.1</t>
  </si>
  <si>
    <t>RS Tucker</t>
  </si>
  <si>
    <t>Energy Consumption of IT System in Cloud Data Center: Architecture, Factors and Prediction</t>
  </si>
  <si>
    <t>https://link.springer.com/chapter/10.1007/978-3-030-30709-7_25</t>
  </si>
  <si>
    <t>H Lin, X Xu, X Wang</t>
  </si>
  <si>
    <t>EC prediction framework</t>
  </si>
  <si>
    <t>Design of QoS and Energy Efficient VM Consolidation Framework for Cloud Data Centers</t>
  </si>
  <si>
    <t>https://link.springer.com/chapter/10.1007/978-981-15-3125-5_19</t>
  </si>
  <si>
    <t>N Songara, MK Jain</t>
  </si>
  <si>
    <t>future work: framework evalution</t>
  </si>
  <si>
    <t>Measurement, Analysis, and Enhancement of Multipath TCP Energy Efficiency for Datacenters</t>
  </si>
  <si>
    <t>https://ieeexplore.ieee.org/abstract/document/8932384/</t>
  </si>
  <si>
    <t>J Zhao, J Liu, H Wang, C Xu, W Gong, C Xu</t>
  </si>
  <si>
    <t>mutipath TCP EE enhancement</t>
  </si>
  <si>
    <t>Energy Consumption in a Data Control Center of a Cloud-based Cyber-Physical System</t>
  </si>
  <si>
    <t>https://www.researchgate.net/profile/Efe_Orumwense/publication/346714078_Energy_Consumption_in_a_Data_Control_Center_of_a_Cloud_based_Cyber_Physical_System/links/5fcf24b3a6fdcc697bebb697/Energy-Consumption-in-a-Data-Control-Center-of-a-Cloud-based-Cyber-Physical-System.pdf</t>
  </si>
  <si>
    <t>EF Orumwense, K Abo-Al-Ez</t>
  </si>
  <si>
    <t>Energy-efficient sensors in data centers for industrial internet of things (IIoT)</t>
  </si>
  <si>
    <t>https://ieeexplore.ieee.org/abstract/document/8519871/</t>
  </si>
  <si>
    <t>WP Nwadiugwu, DS Kim</t>
  </si>
  <si>
    <t>IoT sensors</t>
  </si>
  <si>
    <t>New metrics for the measurement of energy efficiency in data centers</t>
  </si>
  <si>
    <t>http://search.proquest.com/openview/17e1a4ca3f63bb14901b4c42c9bc9b49/1?pq-origsite=gscholar&amp;cbl=1536338</t>
  </si>
  <si>
    <t>DM Rădulescu, CZ Rădulescu…</t>
  </si>
  <si>
    <t>PhD Thesis</t>
  </si>
  <si>
    <t>Comparison of Approaches for Calculating Annualized Data Center Energy Metrics.</t>
  </si>
  <si>
    <t>http://search.ebscohost.com/login.aspx?direct=true&amp;profile=ehost&amp;scope=site&amp;authtype=crawler&amp;jrnl=00012505&amp;AN=136722418&amp;h=lVXboxqmVAB80%2BcozYlVHTrT9zdgNa9nWnKGELKhtdBXJtPA9RjXsHMcThJhitGUgSIT7x98kuf5zWFb019smg%3D%3D&amp;crl=c</t>
  </si>
  <si>
    <t>LACE: A locust-inspired scheduling algorithm to reduce energy consumption in cloud datacenters</t>
  </si>
  <si>
    <t>https://ieeexplore.ieee.org/abstract/document/8401956/</t>
  </si>
  <si>
    <t>HA Kurdi, SM Alismail, MM Hassan</t>
  </si>
  <si>
    <t>green cloud scheduling algorithm</t>
  </si>
  <si>
    <t>Virtual machine consolidation framework for energy and performance efficient cloud data centers</t>
  </si>
  <si>
    <t>https://ieeexplore.ieee.org/abstract/document/8878805/</t>
  </si>
  <si>
    <t>RA Arockia, S Arun</t>
  </si>
  <si>
    <t>Multi-constrained energy-saving routing algorithm in software-defined data center networks</t>
  </si>
  <si>
    <t>http://crad.ict.ac.cn/EN/abstract/abstract3946.shtml</t>
  </si>
  <si>
    <t>H Rongxi, L Tianying, L Ziwei</t>
  </si>
  <si>
    <t>PreMatch: An Adaptive Cost-Effective Energy Scheduling System for Data Centers</t>
  </si>
  <si>
    <t>https://www.storageconference.us/2020/Papers/19.PreMatch.pdf</t>
  </si>
  <si>
    <t>D Li, J Wan, N Zhao, D Wen, C Zhang, F Wu, C Xie</t>
  </si>
  <si>
    <t>Storage system (SSD and HDD)</t>
  </si>
  <si>
    <t>PEFS: AI-driven Prediction based Energy-aware Fault-tolerant Scheduling Scheme for Cloud Data Center</t>
  </si>
  <si>
    <t>https://ieeexplore.ieee.org/abstract/document/9165232/</t>
  </si>
  <si>
    <t>A Marahatta, Q Xin, C Chi, F Zhang, Z Liu</t>
  </si>
  <si>
    <t>prediction of task failures</t>
  </si>
  <si>
    <t>BiTE: a dynamic bi-level traffic engineering model for load balancing and energy efficiency in data center networks</t>
  </si>
  <si>
    <t>https://link.springer.com/article/10.1007/s10489-020-02003-9</t>
  </si>
  <si>
    <t>N Rikhtegar, M Keshtgari, O Bushehrian, G Pujolle</t>
  </si>
  <si>
    <t>load balancing scheme</t>
  </si>
  <si>
    <t>J-OPT: A Joint Host and Network Optimization Algorithm for Energy-Efficient Workflow Scheduling in Cloud Data Centers</t>
  </si>
  <si>
    <t>https://dl.acm.org/doi/abs/10.1145/3344341.3368822</t>
  </si>
  <si>
    <t>A Jayanetti, R Buyya</t>
  </si>
  <si>
    <t>workflow scheduling approach</t>
  </si>
  <si>
    <t>Energy Efficiency of Data Center Network Based on Software Defined Network</t>
  </si>
  <si>
    <t>https://ieeexplore.ieee.org/abstract/document/8878624/</t>
  </si>
  <si>
    <t>F Fattah, H Darwis, H Azis, W Astuti…</t>
  </si>
  <si>
    <t xml:space="preserve">only explaining existing methods </t>
  </si>
  <si>
    <t>Energy and economic assessment of major free cooling retrofits for data centers in Turkey</t>
  </si>
  <si>
    <t>http://journals.tubitak.gov.tr/elektrik/abstract.htm?id=24846</t>
  </si>
  <si>
    <t>O GÖZCÜ, HS Erden</t>
  </si>
  <si>
    <t>journals.tubitak.gov.tr</t>
  </si>
  <si>
    <t>Energy Efficiency of Modern Datacenter</t>
  </si>
  <si>
    <t>https://aaltodoc.aalto.fi/handle/123456789/32476</t>
  </si>
  <si>
    <t>S Korhonen</t>
  </si>
  <si>
    <t>Development of a New Prototype Energy Model for Data Centers.</t>
  </si>
  <si>
    <t>https://go.gale.com/ps/i.do?id=GALE%7CA616448758&amp;sid=googleScholar&amp;v=2.1&amp;it=r&amp;linkaccess=abs&amp;issn=00012505&amp;p=AONE&amp;sw=w</t>
  </si>
  <si>
    <t>K Sun, T Hong, X Luo</t>
  </si>
  <si>
    <t>Energy performance of heuristics and meta-heuristics for real-time joint resource scaling and consolidation in virtualized networked data centers</t>
  </si>
  <si>
    <t>https://link.springer.com/article/10.1007/s11227-018-2244-6</t>
  </si>
  <si>
    <t xml:space="preserve">M Scarpiniti, E Baccarelli, PGV Naranjo, A Uncini </t>
  </si>
  <si>
    <t>meta-heuristic VM consolidation</t>
  </si>
  <si>
    <t>Dual-Level Cooperative Game Approach for Energy-Aware Resource Allocation in Data Centers</t>
  </si>
  <si>
    <t>https://ieeexplore.ieee.org/abstract/document/8794793/</t>
  </si>
  <si>
    <t>S Kim</t>
  </si>
  <si>
    <t>cooling system control algorithm</t>
  </si>
  <si>
    <t>Energy-aware virtual machine selection method for cloud data center resource allocation</t>
  </si>
  <si>
    <t>https://arxiv.org/abs/1812.08375</t>
  </si>
  <si>
    <t>Energy efficient data center resources management using beam search algorithm Energooszczędne zarządzanie zasobami centrów danych za pomocą …</t>
  </si>
  <si>
    <t>http://www.ejournals.eu/pliki/art/11540/pl</t>
  </si>
  <si>
    <t>S Telenyk, O Rolik, E Zharikov, Y Serdiuk</t>
  </si>
  <si>
    <t>see other article</t>
  </si>
  <si>
    <t>Energy consumption improvement and cost saving by cloud broker in cloud datacenters.</t>
  </si>
  <si>
    <t>http://iajit.org/PDF/May%202018,%20No.%203/10882.pdf</t>
  </si>
  <si>
    <t>A Karamollahi, A Chalechale, M Ahmadi</t>
  </si>
  <si>
    <t>The International Arab Journal of Information Technology</t>
  </si>
  <si>
    <t>cloud broker' algorithm</t>
  </si>
  <si>
    <t>Energy efficiency strategy in cloud data center based on DVFS-aware and dynamic virtual machines consolidation</t>
  </si>
  <si>
    <t>http://en.cnki.com.cn/Article_en/CJFDTotal-JSYJ201808063.htm</t>
  </si>
  <si>
    <t>W Wentie, Y Rui, L Min</t>
  </si>
  <si>
    <t>en.cnki.com.cn</t>
  </si>
  <si>
    <t>cannot access article, not sure if in English</t>
  </si>
  <si>
    <t>Eawa: Energy-aware workload assignment in data centers</t>
  </si>
  <si>
    <t>https://ieeexplore.ieee.org/abstract/document/8514358/</t>
  </si>
  <si>
    <t>SMM Nejad, G Badawy…</t>
  </si>
  <si>
    <t>incorporates thermal models</t>
  </si>
  <si>
    <t>Energy efficiency in virtual machines allocation for cloud data centers with lottery algorithm</t>
  </si>
  <si>
    <t>http://search.proquest.com/openview/fbc5529f7cfcd78fae1b9de175c55a90/1?pq-origsite=gscholar&amp;cbl=1686344</t>
  </si>
  <si>
    <t>International Journal of Electrical and Computer Engineering</t>
  </si>
  <si>
    <t>IJECE</t>
  </si>
  <si>
    <t>A QoS-Guaranteed Energy-Efficient VM Dynamic Migration Strategy in Cloud Data Centers</t>
  </si>
  <si>
    <t>https://ieeexplore.ieee.org/abstract/document/8555561/</t>
  </si>
  <si>
    <t>H Cao, H Sun, M Sheng, Y Shi, J Li</t>
  </si>
  <si>
    <t>VM migration, cannot access!!!</t>
  </si>
  <si>
    <t>Energy management of data centers powered by fuel cells and heterogeneous energy storage</t>
  </si>
  <si>
    <t>https://ieeexplore.ieee.org/abstract/document/8422876/</t>
  </si>
  <si>
    <t>Energy-aware virtual data center embedding</t>
  </si>
  <si>
    <t>http://jips-k.org/full-text/398</t>
  </si>
  <si>
    <t>Journal of Information Processing Systems</t>
  </si>
  <si>
    <t>JIPS</t>
  </si>
  <si>
    <t>VDC embedding algorithm</t>
  </si>
  <si>
    <t>Truthful Double Auction Based VM Allocation for Revenue-Energy Trade-Off in Cloud Data Centers</t>
  </si>
  <si>
    <t>https://ieeexplore.ieee.org/abstract/document/8732201/</t>
  </si>
  <si>
    <t>YS Patel, A Nighojkar, R Misra</t>
  </si>
  <si>
    <t>VM allocation bidding algortihm</t>
  </si>
  <si>
    <t>On energy conservation in data centers</t>
  </si>
  <si>
    <t>https://dl.acm.org/doi/abs/10.1145/3364210</t>
  </si>
  <si>
    <t>S Albers</t>
  </si>
  <si>
    <t>Energy policies for data-center monolithic schedulers</t>
  </si>
  <si>
    <t>https://www.sciencedirect.com/science/article/pii/S0957417418303531</t>
  </si>
  <si>
    <t>D Fernández-Cerero, A Fernández-Montes, JA Ortega</t>
  </si>
  <si>
    <t>policies for maximizing EE</t>
  </si>
  <si>
    <t>Greening cloud data centers in an economical way by energy trading with power grid</t>
  </si>
  <si>
    <t>https://www.sciencedirect.com/science/article/pii/S0167739X16308330</t>
  </si>
  <si>
    <t>C Gu, L Fan, W Wu, H Huang, X Jia</t>
  </si>
  <si>
    <t>energy trading with power grid</t>
  </si>
  <si>
    <t>Flexible Multi-Energy Scheduling Scheme for Data Center to Facilitate Wind Power Integration</t>
  </si>
  <si>
    <t>https://ieeexplore.ieee.org/abstract/document/9078781/</t>
  </si>
  <si>
    <t>thermal units, inc. wind power</t>
  </si>
  <si>
    <t>Integrated stochastic energy management for data center microgrid considering waste heat recovery</t>
  </si>
  <si>
    <t>https://ieeexplore.ieee.org/abstract/document/8600385/</t>
  </si>
  <si>
    <t>Z Ding, Y Cao, L Xie, Y Lu…</t>
  </si>
  <si>
    <t>Transient and Steady Experimental and Numerical Thermal Studies towards Energy Efficiency Improvements in Data Centers</t>
  </si>
  <si>
    <t>https://ui.adsabs.harvard.edu/abs/2019PhDT........44T/abstract</t>
  </si>
  <si>
    <t>M Tradat</t>
  </si>
  <si>
    <t>Data center energy consumption models and energy efficient algorithms</t>
  </si>
  <si>
    <t>http://crad.ict.ac.cn/EN/10.7544/issn1000-1239.2019.20180574</t>
  </si>
  <si>
    <t>W Jiye, Z Biyu, Z Fa, S Xiang, Z Nan…</t>
  </si>
  <si>
    <t>GreenEdge: Greening Edge Datacenters with Energy-Harvesting IoT Devices</t>
  </si>
  <si>
    <t>https://ieeexplore.ieee.org/abstract/document/8888103/</t>
  </si>
  <si>
    <t>Z Zhou</t>
  </si>
  <si>
    <t>IoT devices / smart lighting etc.</t>
  </si>
  <si>
    <t>Forecasting the effect of heat stress index and climate change on cloud data center energy consumption</t>
  </si>
  <si>
    <t>https://arxiv.org/abs/1911.03730</t>
  </si>
  <si>
    <t>V Ramachandra</t>
  </si>
  <si>
    <t>ENERGY EFFICIENCY AND SCHEDULING TECHNIQUES USING CLOUD COMPUTING METHODS WITHIN DATA CENTERS</t>
  </si>
  <si>
    <t>https://www.researchgate.net/profile/Saad_Butt5/publication/338357732_ENERGY_EFFICIENCY_AND_SCHEDULING_TECHNIQUES_USING_CLOUD_COMPUTING_METHODS_WITHIN_DATA_CENTERS/links/5e0f12aca6fdcc283752c67f/ENERGY-EFFICIENCY-AND-SCHEDULING-TECHNIQUES-USING-CLOUD-COMPUTING-METHODS-WITHIN-DATA-CENTERS.pdf</t>
  </si>
  <si>
    <t>YAOFM KRA, SM BUTT, NK BAAH…</t>
  </si>
  <si>
    <t>Transmission Timing on Optical Data-Center RotorNet for Reduced Cost, Energy and Latency</t>
  </si>
  <si>
    <t>https://ieeexplore.ieee.org/abstract/document/8646078/</t>
  </si>
  <si>
    <t>Y Birk, T Friedman</t>
  </si>
  <si>
    <t>An Energy and SLA-Aware Resource Management Strategy in Cloud Data Centers</t>
  </si>
  <si>
    <t>https://www.hindawi.com/journals/sp/2019/3204346/abs/</t>
  </si>
  <si>
    <t>C Zhang, Y Wang, Y Lv, H Wu, H Guo</t>
  </si>
  <si>
    <t>Hindawi Scientific Programming</t>
  </si>
  <si>
    <t>HSP</t>
  </si>
  <si>
    <t>resource management strategy</t>
  </si>
  <si>
    <t>Multi-stage Power Scheduling Framework for Data Center with Chilled Water Storage in Energy and Regulation Markets</t>
  </si>
  <si>
    <t>https://arxiv.org/abs/2007.09770</t>
  </si>
  <si>
    <t>Y Fu, X Han, J Stershic, W Zuo, K Baker…</t>
  </si>
  <si>
    <t>Energy efficient job scheduling with workload prediction on cloud data center</t>
  </si>
  <si>
    <t>https://link.springer.com/article/10.1007/s10586-018-2154-7</t>
  </si>
  <si>
    <t>X Tang, X Liao, J Zheng, X Yang</t>
  </si>
  <si>
    <t>considers cooling in PC model</t>
  </si>
  <si>
    <t>Evaluation of the Heat and Energy Performance of a Datacenter Using a New Efficiency Index: Energy Usage Effectiveness Design–EUED.</t>
  </si>
  <si>
    <t>https://www.scielo.br/scielo.php?pid=S1516-89132019000200220&amp;script=sci_arttext</t>
  </si>
  <si>
    <t>AF Santos, PD Gaspar, HJL de Souza</t>
  </si>
  <si>
    <t>SciELO Brasil</t>
  </si>
  <si>
    <t>free cooling' use, considers heat</t>
  </si>
  <si>
    <t>Ts-batpro: Improving energy efficiency in data centers by leveraging temporal–spatial batching</t>
  </si>
  <si>
    <t>https://ieeexplore.ieee.org/abstract/document/8468062/</t>
  </si>
  <si>
    <t>F Yao, J Wu, G Venkataramani, S Subramaniam</t>
  </si>
  <si>
    <t>job batching and scheduling</t>
  </si>
  <si>
    <t>https://books.google.com/books?hl=en&amp;lr=&amp;id=fDy5DwAAQBAJ&amp;oi=fnd&amp;pg=PA314&amp;dq=energy+%22data+center%22%7C%22data+centers%22%7Cdatacenter%7Cdatacenters&amp;ots=tpvfF-nBD6&amp;sig=bXgLtoXh7u9dxM2bkYDZZYP4T7I</t>
  </si>
  <si>
    <t>M Singh</t>
  </si>
  <si>
    <t>Virtual Machine Migration Algorithm to Reduce Energy Consumption in Datacenter</t>
  </si>
  <si>
    <t>http://en.cnki.com.cn/Article_en/CJFDTotal-JSSG201801010.htm</t>
  </si>
  <si>
    <t>W SHI, Z LIU</t>
  </si>
  <si>
    <t>Energy efficiency in large data-centers using performance evaluation techniques</t>
  </si>
  <si>
    <t>https://www.politesi.polimi.it/handle/10589/137637</t>
  </si>
  <si>
    <t>R Pinciroli</t>
  </si>
  <si>
    <t>politesi.polimi.it</t>
  </si>
  <si>
    <t>Energy Cost Minimization in Cloud Datacenter</t>
  </si>
  <si>
    <t>http://103.82.172.44:8080/xmlui/handle/123456789/607</t>
  </si>
  <si>
    <t>M Wasif, TA Akash</t>
  </si>
  <si>
    <t>103.82.172.44</t>
  </si>
  <si>
    <t>Intra-and Inter-Server Smart Task Scheduling for Profit and Energy Optimization of HPC Data Centers</t>
  </si>
  <si>
    <t>https://www.mdpi.com/2079-9268/10/4/32</t>
  </si>
  <si>
    <t>SA Mamun, A Gilday, AK Singh, A Ganguly, GV Merrett, X Wang, BM Al-Hashimi</t>
  </si>
  <si>
    <t>task sch., profit, energy efficiency</t>
  </si>
  <si>
    <t>A Framework for Optimizing Energy Efficiency in Data Centers</t>
  </si>
  <si>
    <t>https://link.springer.com/chapter/10.1007/978-3-319-65687-8_24</t>
  </si>
  <si>
    <t>V Gizli, JM Gómez</t>
  </si>
  <si>
    <t>allows pre. assessment, no eval.</t>
  </si>
  <si>
    <t>Renewable Energy Aware Cost Assessment for Green Data Center with Hybrid Energy Sources</t>
  </si>
  <si>
    <t>https://ieeexplore.ieee.org/abstract/document/8644224/</t>
  </si>
  <si>
    <t>MS Islam, A Jahid, ASMT Islam…</t>
  </si>
  <si>
    <t>Reduction of Energy Consumption in Mobile Cloud Computing by‎ Classification of Demands and Executing in Different Data Centers</t>
  </si>
  <si>
    <t>https://eej.aut.ac.ir/article_2689_0.html</t>
  </si>
  <si>
    <t>H Yeganeh, A Salahi, MA Pourmina</t>
  </si>
  <si>
    <t>eej.aut.ac.ir</t>
  </si>
  <si>
    <t>http://search.proquest.com/openview/ce6696a884d693164672c307d63d48ca/1?pq-origsite=gscholar&amp;cbl=18750&amp;diss=y</t>
  </si>
  <si>
    <t>S Chen</t>
  </si>
  <si>
    <t>Battery size impact in green coverage of datacenters powered by renewable energy: A latitude comparison</t>
  </si>
  <si>
    <t>https://link.springer.com/chapter/10.1007/978-3-319-75928-9_49</t>
  </si>
  <si>
    <t>E Sheme, S Lafond, D Minarolli, EK Meçe…</t>
  </si>
  <si>
    <t>Heuristics and metaheuristics for dynamic management of computing and cooling energy in cloud data centers</t>
  </si>
  <si>
    <t>https://onlinelibrary.wiley.com/doi/abs/10.1002/spe.2603</t>
  </si>
  <si>
    <t>P Arroba, JL Risco‐Martín, JM Moya…</t>
  </si>
  <si>
    <t>A Failure Model for Reducing Energy Consumption in Data Centers</t>
  </si>
  <si>
    <t>https://www.researchgate.net/profile/Yuhui_Deng/publication/329458793_Air_Flow_Based_Failure_Model_for_Data_Centers_18th_International_Conference_ICA3PP_2018_Guangzhou_China_November_15-17_2018_Proceedings_Part_I/links/5ee96f90458515814a652552/Air-Flow-Based-Failure-Model-for-Data-Centers-18th-International-Conference-ICA3PP-2018-Guangzhou-China-November-15-17-2018-Proceedings-Part-I.pdf</t>
  </si>
  <si>
    <t>H Feng, Y Deng, L Yu</t>
  </si>
  <si>
    <t>An Energy-Aware Time-Predictable Cloud Data Center</t>
  </si>
  <si>
    <t>https://www.diva-portal.org/smash/record.jsf?pid=diva2:1182242</t>
  </si>
  <si>
    <t>A demonstration of monitoring and measuring data centers for energy efficiency using opensource tools</t>
  </si>
  <si>
    <t>https://dl.acm.org/doi/abs/10.1145/3208903.3213522</t>
  </si>
  <si>
    <t>J Gustafsson, S Fredriksson, M Nilsson-Mäki…</t>
  </si>
  <si>
    <t>Reigning in on Data Center Energy Efficiency</t>
  </si>
  <si>
    <t>https://www.tandfonline.com/doi/abs/10.1080/01998595.2018.11969275</t>
  </si>
  <si>
    <t>S Ajmera, T Desai, F Morrison</t>
  </si>
  <si>
    <t>Taylor &amp; Francis</t>
  </si>
  <si>
    <t>Energy Efficient Scheduling Based on Marginal Cost and Task Grouping in Data Centers</t>
  </si>
  <si>
    <t>https://dl.acm.org/doi/abs/10.1145/3396851.3402657</t>
  </si>
  <si>
    <t>K Ji, C Chi, A Marahatta, F Zhang, Z Liu</t>
  </si>
  <si>
    <t>A model-based strategy for quantifying the impact of availability on the energy flow of data centers</t>
  </si>
  <si>
    <t>https://link.springer.com/article/10.1007/s11227-020-03353-4</t>
  </si>
  <si>
    <t>T Valentim, G Callou</t>
  </si>
  <si>
    <t>impact availability on energy flow</t>
  </si>
  <si>
    <t>Electrical Energy Consumption Model of Internal Components in Data Centers</t>
  </si>
  <si>
    <t>https://ieeexplore.ieee.org/abstract/document/8905595/</t>
  </si>
  <si>
    <t>KMU Ahmed, J Sutaria, MHJ Bollen…</t>
  </si>
  <si>
    <t>electric energy consumption components data center</t>
  </si>
  <si>
    <t>Characterization of triboelectric charging in data centers/display panel manufactures, and EMI visualization based on energy parcels method in high speed …</t>
  </si>
  <si>
    <t>https://scholarsmine.mst.edu/doctoral_dissertations/2690/</t>
  </si>
  <si>
    <t>A Talebzadehghahroudi</t>
  </si>
  <si>
    <t>scholarsmine.mst.edu</t>
  </si>
  <si>
    <t>Development and Application of Metrics for Evaluation of Cumulative Energy Efficiency for IT Devices in Data Centers</t>
  </si>
  <si>
    <t>https://link.springer.com/chapter/10.1007/978-3-662-57886-5_17</t>
  </si>
  <si>
    <t>F Peñaherrera, K Szczepaniak</t>
  </si>
  <si>
    <t>Communication-Aware and Energy Saving Virtual Machine Allocation Algorithm in Data Center</t>
  </si>
  <si>
    <t>https://ieeexplore.ieee.org/abstract/document/8855662/</t>
  </si>
  <si>
    <t>J Luo, X Fan, L Yin</t>
  </si>
  <si>
    <t>Genetic algorithm-based tabu search for optimal energy-aware allocation of data center resources</t>
  </si>
  <si>
    <t>https://link.springer.com/article/10.1007/s00500-020-05240-9</t>
  </si>
  <si>
    <t>R Chandran, SR Kumar, N Gayathri</t>
  </si>
  <si>
    <t>Integrated planning of internet data centers and battery energy storage systems in smart grids</t>
  </si>
  <si>
    <t>https://www.sciencedirect.com/science/article/pii/S030626192031518X</t>
  </si>
  <si>
    <t>C Guo, F Luo, Z Cai, ZY Dong, R Zhang</t>
  </si>
  <si>
    <t>SLA-Aware and Energy-Efficient VM Consolidation in Cloud Data Centers Using Host State 3rd-Order Markov Chain Model</t>
  </si>
  <si>
    <t>https://digital-library.theiet.org/content/journals/10.1049/cje.2020.10.008</t>
  </si>
  <si>
    <t>L Li, J Dong, D Zuo, S Ji</t>
  </si>
  <si>
    <t>IET</t>
  </si>
  <si>
    <t>Cannot access (IET)</t>
  </si>
  <si>
    <t>Prediction-based underutilized and destination host selection approaches for energy-efficient dynamic VM consolidation in data centers</t>
  </si>
  <si>
    <t>https://link.springer.com/content/pdf/10.1007/s11227-020-03248-4.pdf</t>
  </si>
  <si>
    <t>K Haghshenas, S Mohammadi</t>
  </si>
  <si>
    <t>State-of-the-art on thermal energy storage technologies in data center</t>
  </si>
  <si>
    <t>https://www.sciencedirect.com/science/article/pii/S0378778819336771</t>
  </si>
  <si>
    <t>L Liu, Q Zhang, J Zhai, C Yue, X Ma</t>
  </si>
  <si>
    <t xml:space="preserve">background (overview thermal energy storage tech) </t>
  </si>
  <si>
    <t>Energy-Efficient Improvement Approaches through Numerical Simulation and Field Measurement for a Data Center</t>
  </si>
  <si>
    <t>https://www.mdpi.com/1996-1073/12/14/2757</t>
  </si>
  <si>
    <t>F Wang, Y Huang, BY Prasetyo</t>
  </si>
  <si>
    <t>Prediction and Optimization on Energy Consumption of Data Center Based on Multi-layer Feedforward Neural Network</t>
  </si>
  <si>
    <t>https://ieeexplore.ieee.org/abstract/document/9224637/</t>
  </si>
  <si>
    <t>S Zhang, X Ye, Y Ren</t>
  </si>
  <si>
    <t>Energy Efficient Measures for Sustainable Development of Data Centers</t>
  </si>
  <si>
    <t>https://link.springer.com/chapter/10.1007/978-981-10-8533-8_2</t>
  </si>
  <si>
    <t>T Aggarwal, S Khatri, A Singla</t>
  </si>
  <si>
    <t>A novel host readiness factor for energy-efficient VM consolidation in cloud data centers</t>
  </si>
  <si>
    <t>https://ieeexplore.ieee.org/abstract/document/8880271/</t>
  </si>
  <si>
    <t>S Ismaeel, A Miri, A Al-Khazraji</t>
  </si>
  <si>
    <t>Energy-aware adaptation in Cloud datacenters</t>
  </si>
  <si>
    <t>https://www.diva-portal.org/smash/record.jsf?pid=diva2:1267777</t>
  </si>
  <si>
    <t>S Mahadevamangalam</t>
  </si>
  <si>
    <t>Smart deployment of virtual machines to reduce energy consumption of cloud computing based data centers using gray wolf optimizer</t>
  </si>
  <si>
    <t>https://link.springer.com/chapter/10.1007/978-3-319-99972-2_13</t>
  </si>
  <si>
    <t>H Shahbazi, S Jamshidi-Nejad</t>
  </si>
  <si>
    <t>An ant colony system for energy-efficient dynamic virtual machine placement in data centers</t>
  </si>
  <si>
    <t>https://www.sciencedirect.com/science/article/pii/S0957417418307498</t>
  </si>
  <si>
    <t>F Alharbi, YC Tian, M Tang, WZ Zhang, C Peng, M Fei</t>
  </si>
  <si>
    <t>Holistic energy and failure aware workload scheduling in Cloud datacenters</t>
  </si>
  <si>
    <t>https://www.sciencedirect.com/science/article/pii/S0167739X17315650</t>
  </si>
  <si>
    <t>X Li, X Jiang, P Garraghan, Z Wu</t>
  </si>
  <si>
    <t>Centralizing Energy Consumption Data in State Energy Data Centers</t>
  </si>
  <si>
    <t>https://scholarship.law.umn.edu/cgi/viewcontent.cgi?article=1467&amp;context=mjlst</t>
  </si>
  <si>
    <t>Z Sibley</t>
  </si>
  <si>
    <t>scholarship.law.umn.edu</t>
  </si>
  <si>
    <t>The CDGP, Data Center for Deep Geothermal Energy.</t>
  </si>
  <si>
    <t>http://search.ebscohost.com/login.aspx?direct=true&amp;profile=ehost&amp;scope=site&amp;authtype=crawler&amp;jrnl=10297006&amp;AN=140479668&amp;h=90OHaLIeD5fuvb1G7LBafy%2BsFKHh8LrcmGB7ejZwDKCfX0DYAOHRdOX5uAd2DuvRTZ4WyGiXnLBfTrnfp5%2B5HA%3D%3D&amp;crl=c</t>
  </si>
  <si>
    <t>M Schaming, A Fremand, N Cuenot…</t>
  </si>
  <si>
    <t>EATSDCD: A green energy-aware scheduling algorithm for parallel task-based application using clustering, duplication and DVFS technique in cloud datacenters</t>
  </si>
  <si>
    <t>https://content.iospress.com/articles/journal-of-intelligent-and-fuzzy-systems/ifs171927</t>
  </si>
  <si>
    <t>B Barzegar, H Motameni, A Movaghar</t>
  </si>
  <si>
    <t>IOS Press Content Library</t>
  </si>
  <si>
    <t>IOS Press</t>
  </si>
  <si>
    <t>LEMoNet: low energy wireless sensor network design for data center monitoring</t>
  </si>
  <si>
    <t>https://ieeexplore.ieee.org/abstract/document/8999456/</t>
  </si>
  <si>
    <t>C Li, J Li, M Jafarizadeh, G Badawy…</t>
  </si>
  <si>
    <t>Energy proportionality in near-threshold computing servers and cloud data centers: Consolidating or Not?</t>
  </si>
  <si>
    <t>https://ieeexplore.ieee.org/abstract/document/8341994/</t>
  </si>
  <si>
    <t>A Pahlevan, YM Qureshi, M Zapater, A Bartolini, D Rossi, L Benini, D Atienza</t>
  </si>
  <si>
    <t>Energy Performance of Air-side Economizer System for Data Center Considering Supply Temperature and Design Airflow Rate of CRAH (Computer Room Air Handler …</t>
  </si>
  <si>
    <t>https://www.koreascience.or.kr/article/JAKO201935236777775.page</t>
  </si>
  <si>
    <t>JH Kim, TY Aum, CS Jeong</t>
  </si>
  <si>
    <t>Evaluation of the heat and energy performance of a datacenter by a new efficiency index: Energy Usage Effectiveness Design-EUED</t>
  </si>
  <si>
    <t>https://ubibliorum.ubi.pt/handle/10400.6/7528</t>
  </si>
  <si>
    <t>AF Santos, HJL de Souza…</t>
  </si>
  <si>
    <t>ubibliorum.ubi.pt</t>
  </si>
  <si>
    <t>LCA of Energy and Material Demands in Professional Data Centers: Case Study of a Server</t>
  </si>
  <si>
    <t>https://link.springer.com/chapter/10.1007/978-3-319-92237-9_9</t>
  </si>
  <si>
    <t>F Peñaherrera, J Hobohm, K Szczepaniak</t>
  </si>
  <si>
    <t>Energy Audit of Data Centers and Server Rooms on an Academic Campus: Impact of Energy Conservation Measures</t>
  </si>
  <si>
    <t>https://ieeexplore.ieee.org/abstract/document/9190515/</t>
  </si>
  <si>
    <t>TA Gudluru, A Upadhyay, S Okam…</t>
  </si>
  <si>
    <t>Sharing with Live Migration Energy Optimization Scheduler for Cloud Computing Data Centers</t>
  </si>
  <si>
    <t>https://www.mdpi.com/1999-5903/10/9/86</t>
  </si>
  <si>
    <t>S Alshathri, B Ghita, N Clarke</t>
  </si>
  <si>
    <t>Energy-Aware Multi-Objective Placement of Virtual Machines in Cloud Data Centers</t>
  </si>
  <si>
    <t>https://dl.acm.org/doi/abs/10.1145/3239264.3239275</t>
  </si>
  <si>
    <t>HA Al-shehri, K Hamdi</t>
  </si>
  <si>
    <t>Survey of Energy Efficient &amp; Innovative Data Center Around the World</t>
  </si>
  <si>
    <t>http://www.openscienceonline.com/journal/archive2?journalId=742&amp;paperId=4097</t>
  </si>
  <si>
    <t>N Singh, V Dhir</t>
  </si>
  <si>
    <t>openscienceonline.com</t>
  </si>
  <si>
    <t>A cloud data center virtual machine placement scheme based on energy optimization</t>
  </si>
  <si>
    <t>https://ieeexplore.ieee.org/abstract/document/8644591/</t>
  </si>
  <si>
    <t>S Zhang, F Meng, Z Zhang</t>
  </si>
  <si>
    <t>Advances in data center energy optimization [panel discussion]</t>
  </si>
  <si>
    <t>https://ieeexplore.ieee.org/abstract/document/8752120/</t>
  </si>
  <si>
    <t>B Celik, J Li, TM Hansen</t>
  </si>
  <si>
    <t>An adaptive heuristic for managing energy consumption and overloaded hosts in a cloud data center</t>
  </si>
  <si>
    <t>https://link.springer.com/article/10.1007/s11276-018-1874-1</t>
  </si>
  <si>
    <t>R Yadav, W Zhang, K Li, C Liu, M Shafiq, NK Karn</t>
  </si>
  <si>
    <t>A Method of Rack Level Power Supply to Save Data Center Energy</t>
  </si>
  <si>
    <t>https://www.koreascience.or.kr/article/CFKO201835372170716.page</t>
  </si>
  <si>
    <t>S Cho, D Kim</t>
  </si>
  <si>
    <t>rack level power supply</t>
  </si>
  <si>
    <t>Design of Large Data Center Based on High Standard of Safety and Energy Saving</t>
  </si>
  <si>
    <t>http://en.cnki.com.cn/Article_en/CJFDTotal-ZWJC201807042.htm</t>
  </si>
  <si>
    <t>C Guang</t>
  </si>
  <si>
    <t>Energy-efficient Deployment of Fat-Tree Hybrid Data Center Networks</t>
  </si>
  <si>
    <t>https://ieeexplore.ieee.org/abstract/document/8555630/</t>
  </si>
  <si>
    <t>M Luo, H Sun, M Sheng, Y Shi…</t>
  </si>
  <si>
    <t>deployment fat tree hybrid data center networks</t>
  </si>
  <si>
    <t>Distributed Energy Management for Multiple Data Centers with Renewable Resources and Energy Storages</t>
  </si>
  <si>
    <t>https://ieeexplore.ieee.org/abstract/document/9234691/</t>
  </si>
  <si>
    <t>G Zhang, S Zhang, W Zhang, Z Shen, L Wang</t>
  </si>
  <si>
    <t>A Stochastic Approach to Energy Cost Minimization in Smart-Grid-Enabled Data Center Network</t>
  </si>
  <si>
    <t>https://www.hindawi.com/journals/jcnc/2019/4390917/abs/</t>
  </si>
  <si>
    <t>A Ghassemi, P Goudarzi, MR Mirsarraf…</t>
  </si>
  <si>
    <t>An artificial neural network based approach for energy efficient task scheduling in cloud data centers</t>
  </si>
  <si>
    <t>https://www.sciencedirect.com/science/article/pii/S2210537918302798</t>
  </si>
  <si>
    <t>CSL-driven and energy-efficient resource scheduling in cloud data center</t>
  </si>
  <si>
    <t>https://link.springer.com/article/10.1007/s11227-019-03036-9</t>
  </si>
  <si>
    <t>H Li, Y Zhao, S Fang</t>
  </si>
  <si>
    <t>Evaluating the upper bound of energy cost saving by proactive data center management</t>
  </si>
  <si>
    <t>https://ieeexplore.ieee.org/abstract/document/9069318/</t>
  </si>
  <si>
    <t>R Milocco, P Minet, E Renault, S Boumerdassi</t>
  </si>
  <si>
    <t>A framework to optimize energy efficiency in data centers based on certified KPIs</t>
  </si>
  <si>
    <t>https://www.mdpi.com/2227-7080/6/3/87</t>
  </si>
  <si>
    <t>V Gizli, J Marx Gómez</t>
  </si>
  <si>
    <t>WITHDRAWN: A Dynamic Energy-efficient Resource Management Scheme and Performance Optimization in Cloud Data Centers</t>
  </si>
  <si>
    <t>https://www.sciencedirect.com/science/article/abs/pii/S2542660520300470</t>
  </si>
  <si>
    <t>Y Cui, S Jin, W Yue</t>
  </si>
  <si>
    <t>withdrawn</t>
  </si>
  <si>
    <t>A Temperature-Risk and Energy-Saving Evaluation Model for Supporting Energy-Saving Measures for Data Center Server Rooms</t>
  </si>
  <si>
    <t>https://www.mdpi.com/1996-1073/13/19/5222</t>
  </si>
  <si>
    <t>K Sasakura, T Aoki, M Komatsu, T Watanabe</t>
  </si>
  <si>
    <t>Energy-aware resource prediction in virtualized data centers: A machine learning approach</t>
  </si>
  <si>
    <t>https://ieeexplore.ieee.org/abstract/document/8552101/</t>
  </si>
  <si>
    <t>A Rayan, Y Nah</t>
  </si>
  <si>
    <t>A Dynamic Threshold Based Energy Efficient Method for Cloud Datacenters</t>
  </si>
  <si>
    <t>https://www.igi-global.com/article/a-dynamic-threshold-based-energy-efficient-method-for-cloud-datacenters/248530</t>
  </si>
  <si>
    <t>SK Sharma, S Kumar</t>
  </si>
  <si>
    <t>Welcome to zombieland: Practical and energy-efficient memory disaggregation in a datacenter</t>
  </si>
  <si>
    <t>https://dl.acm.org/doi/abs/10.1145/3190508.3190537</t>
  </si>
  <si>
    <t>V Nitu, B Teabe, A Tchana, C Isci, D Hagimont</t>
  </si>
  <si>
    <t>resource disaggregation requires changes in hardware</t>
  </si>
  <si>
    <t>An Energy-Efficient Allocation Technique for Distributing Resources in a Heterogeneous Data Center</t>
  </si>
  <si>
    <t>https://ieeexplore.ieee.org/abstract/document/9079973/</t>
  </si>
  <si>
    <t>M Mursleen, Y Kothyari</t>
  </si>
  <si>
    <t>An adaptive grid frequency support mechanism for energy management in cloud data centers</t>
  </si>
  <si>
    <t>https://ieeexplore.ieee.org/abstract/document/8782131/</t>
  </si>
  <si>
    <t>K Kaur, S Garg, N Kumar, GS Aujla…</t>
  </si>
  <si>
    <t>grid frequency support</t>
  </si>
  <si>
    <t>IBM z15: Improved data center density and energy efficiency, new system packaging, and modeling</t>
  </si>
  <si>
    <t>https://ieeexplore.ieee.org/abstract/document/9138729/</t>
  </si>
  <si>
    <t>WP Kostenko, JG Torok…</t>
  </si>
  <si>
    <t>Determining wasted energy in the airside of a perimeter-cooled data center via direct computation of the Exergy Destruction</t>
  </si>
  <si>
    <t>https://www.sciencedirect.com/science/article/pii/S030626191830031X</t>
  </si>
  <si>
    <t>L Silva-Llanca, A Ortega, K Fouladi, M del Valle…</t>
  </si>
  <si>
    <t>An Energy Dynamic Control Algorithm Based on Reinforcement Learning for Data Centers</t>
  </si>
  <si>
    <t>https://www.worldscientific.com/doi/abs/10.1142/S0218001419510091</t>
  </si>
  <si>
    <t>Y Xiang, J Yuan, R Luo, X Zhong, T Li</t>
  </si>
  <si>
    <t>International Journal of Pattern Recognition and Artificial Intelligence</t>
  </si>
  <si>
    <t>IJPRAI</t>
  </si>
  <si>
    <t>Improvement of energy efficiency and control performance of cooling system fan applied to Industry 4.0 data center</t>
  </si>
  <si>
    <t>https://www.mdpi.com/2079-9292/8/5/582</t>
  </si>
  <si>
    <t>JS Ko, JH Huh, JC Kim</t>
  </si>
  <si>
    <t>ENERGY THEFT DETECTION IN MULTI TENANT DATA CENTERS AND DISTRIBUTION LINE USING SMART GRIDS</t>
  </si>
  <si>
    <t>http://www.arpnjournals.org/jeas/research_papers/rp_2019/jeas_1019_7940.pdf</t>
  </si>
  <si>
    <t>M Sivarathinabala, TN Projoth</t>
  </si>
  <si>
    <t>arpnjournals.org</t>
  </si>
  <si>
    <t>cyber security</t>
  </si>
  <si>
    <t>Energy Credits Auction Mechanism for Enhancing the Grid's Upward Flexibility Using Datacenters</t>
  </si>
  <si>
    <t>https://ieeexplore.ieee.org/abstract/document/9200929/</t>
  </si>
  <si>
    <t>Data center energy efficiency assessment based on real data analysis</t>
  </si>
  <si>
    <t>https://lutpub.lut.fi/handle/10024/159900</t>
  </si>
  <si>
    <t>A Grishina</t>
  </si>
  <si>
    <t>A robust optimization technique for energy cost minimization of cloud data centers</t>
  </si>
  <si>
    <t>https://ieeexplore.ieee.org/abstract/document/8526339/</t>
  </si>
  <si>
    <t>M Jawad, MB Qureshi, U Khan, SM Ali…</t>
  </si>
  <si>
    <t>Data center network energy consumption minimization: a hierarchical FAT-tree approach</t>
  </si>
  <si>
    <t>https://link.springer.com/article/10.1007/s41870-018-0258-1</t>
  </si>
  <si>
    <t>J Mishra, J Sheetlani, KHK Reddy</t>
  </si>
  <si>
    <t>Cooling Control Strategies in Data Centers for Energy Efficiency and Heat Recovery</t>
  </si>
  <si>
    <t>https://www.diva-portal.org/smash/get/diva2:1349556/FULLTEXT02</t>
  </si>
  <si>
    <t>R Lucchese</t>
  </si>
  <si>
    <t>Energy Sustainable Provisioning for Green Data Centers</t>
  </si>
  <si>
    <t>https://ieeexplore.ieee.org/abstract/document/8745652/</t>
  </si>
  <si>
    <t>GREEN GEOGRAPHICALLY LOAD BALANCING USING VIABILITY OF DISTRIBUTED DATA CENTERS'LOCAL CONDITION FOR ENERGY EFFICIENCY</t>
  </si>
  <si>
    <t>https://www.sid.ir/en/seminar/ViewPaper.aspx?id=46963</t>
  </si>
  <si>
    <t>S TAHERI, M GOUDARZI</t>
  </si>
  <si>
    <t>Scientific Information Database</t>
  </si>
  <si>
    <t>SID</t>
  </si>
  <si>
    <t>ENEDI: Energy Saving in Datacenters</t>
  </si>
  <si>
    <t>https://ieeexplore.ieee.org/abstract/document/8620159/</t>
  </si>
  <si>
    <t>A Tryfonos, A Andreou, N Loulloudes…</t>
  </si>
  <si>
    <t>Thermal-aware hybrid workload management in a green datacenter towards renewable energy utilization</t>
  </si>
  <si>
    <t>https://www.mdpi.com/1996-1073/12/8/1494</t>
  </si>
  <si>
    <t>Y Li, X Wang, P Luo, Q Pan</t>
  </si>
  <si>
    <t>Energy-efficient virtual content distribution network provisioning in cloud-based data centers</t>
  </si>
  <si>
    <t>https://www.sciencedirect.com/science/article/pii/S0167739X1732099X</t>
  </si>
  <si>
    <t>D Liao, G Sun, G Yang, V Chang</t>
  </si>
  <si>
    <t>A virtualized data center energy‐saving mechanism based on switching operating mode of physical servers and reserving virtual machines</t>
  </si>
  <si>
    <t>https://onlinelibrary.wiley.com/doi/abs/10.1002/cpe.5785</t>
  </si>
  <si>
    <t>Blockchain-based decentralized workload and energy management of geo-distributed data centers</t>
  </si>
  <si>
    <t>https://www.sciencedirect.com/science/article/pii/S2210537920301852</t>
  </si>
  <si>
    <t>S Sajid, M Jawad, K Hamid, MUS Khan, SM Ali…</t>
  </si>
  <si>
    <t>Optimal dispatching of data center energy-supplying system with demand response</t>
  </si>
  <si>
    <t>http://en.cnki.com.cn/Article_en/CJFDTotal-CSDL201802006.htm</t>
  </si>
  <si>
    <t>J GUO, H YANG, P ZHANG, X YE, T XIONG…</t>
  </si>
  <si>
    <t>Virtualization of data centers: study on server energy consumption performance</t>
  </si>
  <si>
    <t>https://www.diva-portal.org/smash/record.jsf?pid=diva2:1192586</t>
  </si>
  <si>
    <t>PR Padala</t>
  </si>
  <si>
    <t>DATA CENTERS AND THEIR ENERGY CONSUMPTION FOR CLIMATIZATION</t>
  </si>
  <si>
    <t>https://paginas.fe.up.pt/~irf/Proceedings_IRF2018/data/papers/7056.pdf</t>
  </si>
  <si>
    <t>paginas.fe.up.pt</t>
  </si>
  <si>
    <t>Energy-aware Fault-tolerant Scheduling Scheme based on Intelligent Prediction Model for Cloud Data Center</t>
  </si>
  <si>
    <t>https://ieeexplore.ieee.org/abstract/document/8752123/</t>
  </si>
  <si>
    <t>A Marahatta, C Chi, F Zhang, , Z Liu</t>
  </si>
  <si>
    <t>Multilevel resource allocation for performance-aware energy-efficient cloud data centers</t>
  </si>
  <si>
    <t>https://ieeexplore.ieee.org/abstract/document/8969751/</t>
  </si>
  <si>
    <t>FD Rossi, PSS de Souza, W dos Santos Marques, M da Silva Conterato, TC Ferreto, AF Lorenzon, MC Luizelli</t>
  </si>
  <si>
    <t>Energy theft detection in an edge data center using threshold-based abnormality detector</t>
  </si>
  <si>
    <t>https://www.sciencedirect.com/science/article/pii/S0142061519322768</t>
  </si>
  <si>
    <t>Y Zhang, Q Ai, H Wang, Z Li, X Zhou</t>
  </si>
  <si>
    <t>energy theft</t>
  </si>
  <si>
    <t>Optimal design of data center cooling systems concerning multi-chiller system configuration and component selection for energy-efficient operation and maximized …</t>
  </si>
  <si>
    <t>https://www.sciencedirect.com/science/article/pii/S0960148119308006</t>
  </si>
  <si>
    <t>H Cheung, S Wang</t>
  </si>
  <si>
    <t>Architecture of an end-to-end energy consumption model for a Cloud Data Center</t>
  </si>
  <si>
    <t>https://ieeexplore.ieee.org/abstract/document/9249479/</t>
  </si>
  <si>
    <t>K Basu, A Maqousi, F Ball</t>
  </si>
  <si>
    <t>Sampling Workloads with Dynamic Time Scale to Promote the Energy Efficiency of Datacenters</t>
  </si>
  <si>
    <t>https://ieeexplore.ieee.org/abstract/document/9291589/</t>
  </si>
  <si>
    <t>C Hu, Y Zhou, R Ding</t>
  </si>
  <si>
    <t>Influence of Cold Aisle Containment Technology on the Indoor Thermal Environment and the Energy Consumption in Data Center</t>
  </si>
  <si>
    <t>http://en.cnki.com.cn/Article_en/CJFDTotal-JSXR201901042.htm</t>
  </si>
  <si>
    <t>G Yuefen, G Tingting</t>
  </si>
  <si>
    <t>Network-aware energy saving techniques in cloud data centers</t>
  </si>
  <si>
    <t>https://lib.dr.iastate.edu/etd/16960/</t>
  </si>
  <si>
    <t>M Al-Tarazi</t>
  </si>
  <si>
    <t>lib.dr.iastate.edu</t>
  </si>
  <si>
    <t>Interval graph multi-coloring-based resource reservation for energy-efficient containerized cloud data centers</t>
  </si>
  <si>
    <t>https://link.springer.com/article/10.1007/s11227-020-03439-z?error=cookies_not_supported&amp;error=cookies_not_supported&amp;code=54c48cd0-8f25-4364-8710-c07ad1dcce69&amp;code=526b045d-e4e9-4c95-9c3e-e8d6c55ffef4</t>
  </si>
  <si>
    <t>YS Patel, A Baheti, R Misra</t>
  </si>
  <si>
    <t>Modeling Energy Efficiency of Future Green Data centers</t>
  </si>
  <si>
    <t>https://ieeexplore.ieee.org/abstract/document/9291049/</t>
  </si>
  <si>
    <t>T Bhattacharya, X Qin</t>
  </si>
  <si>
    <t>Seven Pillars to Achieve Energy Efficiency in High-Performance Computing Data Centers</t>
  </si>
  <si>
    <t>https://link.springer.com/chapter/10.1007/978-3-319-99966-1_9</t>
  </si>
  <si>
    <t>SM Hussain, A Wahid, MA Shah, A Akhunzada…</t>
  </si>
  <si>
    <t>A system of systems approach for data centers optimization and integration into smart energy grids</t>
  </si>
  <si>
    <t>https://www.sciencedirect.com/science/article/pii/S0167739X17310129</t>
  </si>
  <si>
    <t>M Antal, C Pop, T Cioara, I Anghel, I Salomie…</t>
  </si>
  <si>
    <t>Improving big data centers energy efficiency: Traffic based model and method</t>
  </si>
  <si>
    <t>https://link.springer.com/chapter/10.1007/978-3-030-00253-4_8</t>
  </si>
  <si>
    <t>G Kuchuk, A Kovalenko, IE Komari, A Svyrydov…</t>
  </si>
  <si>
    <t>Data Center Server Energy Consumption Optimization Algorithm</t>
  </si>
  <si>
    <t>https://ieeexplore.ieee.org/abstract/document/8442890/</t>
  </si>
  <si>
    <t>I Stamatescu, S Ploix, I Făgărăşan…</t>
  </si>
  <si>
    <t>temperature responsive Monitoring system for smarter Energy Consumption in Data Centers</t>
  </si>
  <si>
    <t>http://journals.lepenseur.it/index.php/cse/article/view/113</t>
  </si>
  <si>
    <t>A da Silva Rodrigues, MR dos Santos…</t>
  </si>
  <si>
    <t>journals.lepenseur.it</t>
  </si>
  <si>
    <t>PLDAD—An Algorihm to Reduce Data Center Energy Consumption</t>
  </si>
  <si>
    <t>https://www.mdpi.com/1996-1073/11/10/2821</t>
  </si>
  <si>
    <t>J Ferreira, G Callou, D Tutsch, P Maciel</t>
  </si>
  <si>
    <t>An efficient energy-aware method for virtual machine placement in cloud data centers using the cultural algorithm</t>
  </si>
  <si>
    <t>https://link.springer.com/article/10.1007/s11227-019-02909-3</t>
  </si>
  <si>
    <t>M Mohammadhosseini, AT Haghighat, E Mahdipour</t>
  </si>
  <si>
    <t>Datazero: Datacenter with zero emission and robust management using renewable energy</t>
  </si>
  <si>
    <t>https://ieeexplore.ieee.org/abstract/document/8768369/</t>
  </si>
  <si>
    <t>JM Pierson, G Baudic, S Caux, B Celik, G Da Costa, L Grange, M Haddad, J Lecuivre, JM Nicod, L Phillipe. V Rehn-Sonigo, R Roche, G Rostirolla, A Sayah, P Stolf, MT Thi, C Varnier</t>
  </si>
  <si>
    <t>Optical networking within the Lightwave Energy-Efficient Datacenter project</t>
  </si>
  <si>
    <t>https://ieeexplore.ieee.org/abstract/document/9217881/</t>
  </si>
  <si>
    <t>WM Mellette, A Forencich, J Kelley…</t>
  </si>
  <si>
    <t>optical network</t>
  </si>
  <si>
    <t>Converting Data Centers in Energy Flexibility Ecosystems</t>
  </si>
  <si>
    <t>https://ieeexplore.ieee.org/abstract/document/8493735/</t>
  </si>
  <si>
    <t>I Anghel, T Cioara, C Pop, M Bertoncini…</t>
  </si>
  <si>
    <t>Energy-Efficient Data Center Networks</t>
  </si>
  <si>
    <t>https://ieeexplore.ieee.org/abstract/document/8548323/</t>
  </si>
  <si>
    <t>JA Manjate, M Hidell, P Sjödin</t>
  </si>
  <si>
    <t>A New Proposed Energy Baseline Model for a Data Center as a Tool for Energy Efficiency Evaluation</t>
  </si>
  <si>
    <t>https://pdfs.semanticscholar.org/7108/6c527083818c4c696a386fd16e3e569116b2.pdf</t>
  </si>
  <si>
    <t>S Livieratos, S Panetsos, A Fotopoulos, M Karagiorgas</t>
  </si>
  <si>
    <t>International Journal of Power and Energy Research</t>
  </si>
  <si>
    <t>IJPER</t>
  </si>
  <si>
    <t>Energy Management for an Integrated Energy System with Data Centers Considering Carbon Trading</t>
  </si>
  <si>
    <t>https://ieeexplore.ieee.org/abstract/document/9281980/</t>
  </si>
  <si>
    <t>Y Wang, Z Li, F Wen, I Palu, Y Sun…</t>
  </si>
  <si>
    <t>Energy-aware container consolidation based on PSO in cloud data centers</t>
  </si>
  <si>
    <t>https://ieeexplore.ieee.org/abstract/document/8477708/</t>
  </si>
  <si>
    <t>T Shi, H Ma, G Chen</t>
  </si>
  <si>
    <t>A testbed and data yields for studying data center energy efficiency and reliability</t>
  </si>
  <si>
    <t>https://dl.acm.org/doi/abs/10.1145/3277868.3277877</t>
  </si>
  <si>
    <t>D Van Le, Y Liu, R Wang, R Tan, LH Ngoh</t>
  </si>
  <si>
    <t>Review of energy management for data centers in energy internet</t>
  </si>
  <si>
    <t>https://www.research-collection.ethz.ch/handle/20.500.11850/431536</t>
  </si>
  <si>
    <t>C Feng, Y Wang, Q Chen…</t>
  </si>
  <si>
    <t>research-collection.ethz.ch</t>
  </si>
  <si>
    <t>Wind-Driven Clouds-Utilizing wind energy in data centers</t>
  </si>
  <si>
    <t>https://www.duo.uio.no/handle/10852/64457</t>
  </si>
  <si>
    <t>IRS Osnes</t>
  </si>
  <si>
    <t>duo.uio.no</t>
  </si>
  <si>
    <t>EcoVMbroker: energy-aware scheduling for multi-layer datacenters</t>
  </si>
  <si>
    <t>https://dl.acm.org/doi/abs/10.1145/3167132.3167178</t>
  </si>
  <si>
    <t>R Fernandes, J Simão, L Veiga</t>
  </si>
  <si>
    <t>Energy-Efficient Workflow Scheduling using Container based Virtualization in Software Defined Data Centers</t>
  </si>
  <si>
    <t>https://ieeexplore.ieee.org/abstract/document/9057431/</t>
  </si>
  <si>
    <t>R Ranjan, I Thakur, GS Aujla, N Kumar, AY Zomaya</t>
  </si>
  <si>
    <t>Energy efficiency analysis of coherent links for datacenters</t>
  </si>
  <si>
    <t>https://ieeexplore.ieee.org/abstract/document/8714461/</t>
  </si>
  <si>
    <t>T Hirokawa, S Pinna, J Klamkin…</t>
  </si>
  <si>
    <t>optical communication</t>
  </si>
  <si>
    <t>Scheduling in cloud data center powered by renewable energy only with mixed phases-based workload</t>
  </si>
  <si>
    <t>https://tel.archives-ouvertes.fr/tel-02628518/</t>
  </si>
  <si>
    <t>G Rostirolla</t>
  </si>
  <si>
    <t>Energy-saving potential of separated two-phase thermosiphon loops for data center cooling</t>
  </si>
  <si>
    <t>https://link.springer.com/content/pdf/10.1007/s10973-020-09499-w.pdf</t>
  </si>
  <si>
    <t>MW Sulaiman, HM Daraghmeh, CC Wang</t>
  </si>
  <si>
    <t>Energy-aware resource management framework for overbooked cloud data centers with SLA assurance</t>
  </si>
  <si>
    <t>https://ieeexplore.ieee.org/abstract/document/8647884/</t>
  </si>
  <si>
    <t>S Alanazi, B Hamdaoui</t>
  </si>
  <si>
    <t>Segment routing based energy aware routing for software defined data center</t>
  </si>
  <si>
    <t>https://www.sciencedirect.com/science/article/pii/S1389041720300553</t>
  </si>
  <si>
    <t>B Balakiruthiga, P Deepalakshmi, SN Mohanty, D Gupta, PP Kuman, K Shankar</t>
  </si>
  <si>
    <t>Energy Consumption and Cost Analysis for Data Centers with Workload Control</t>
  </si>
  <si>
    <t>https://books.google.com/books?hl=en&amp;lr=&amp;id=DZBQDwAAQBAJ&amp;oi=fnd&amp;pg=PA92&amp;dq=energy+%22data+center%22%7C%22data+centers%22%7Cdatacenter%7Cdatacenters&amp;ots=eS_suGR3kd&amp;sig=9D2OGbyEgZ6nawsg5dg1uBkm2_s</t>
  </si>
  <si>
    <t>AB Tahar</t>
  </si>
  <si>
    <t>Renewable energy-based multi-indexed job classification and container management scheme for sustainability of cloud data centers</t>
  </si>
  <si>
    <t>https://ieeexplore.ieee.org/abstract/document/8278252/</t>
  </si>
  <si>
    <t>N Kumar, GS Aujla, S Garg, K Kaur…</t>
  </si>
  <si>
    <t>Monte carlo based server consolidation for energy efficient cloud data centers</t>
  </si>
  <si>
    <t>https://par.nsf.gov/biblio/10157200</t>
  </si>
  <si>
    <t>B Harris, N Altiparmak</t>
  </si>
  <si>
    <t>IEEE</t>
  </si>
  <si>
    <t>A novel energy-aware resource management technique using joint VM and container consolidation approach for green computing in cloud data centers</t>
  </si>
  <si>
    <t>https://www.sciencedirect.com/science/article/pii/S1569190X20300666</t>
  </si>
  <si>
    <t>N Gholipour, E Arianyan, R Buyya</t>
  </si>
  <si>
    <t>The Potential Influence of Workload Management Across Heterogeneous Server Systems on Datacenter Energy Use and Power Draw</t>
  </si>
  <si>
    <t>https://ieeexplore.ieee.org/abstract/document/8612307/</t>
  </si>
  <si>
    <t>DH Harryvan, R Chamberlane, A SCionti…</t>
  </si>
  <si>
    <t>Performance Analysis of a Hybrid Micro-Energy System for SA Data Centers</t>
  </si>
  <si>
    <t>https://www.e3s-conferences.org/articles/e3sconf/abs/2018/39/e3sconf_icpre2018_01003/e3sconf_icpre2018_01003.html</t>
  </si>
  <si>
    <t>TL Sempe, AO Pius, TA Kayode</t>
  </si>
  <si>
    <t>e3s-conferences.org</t>
  </si>
  <si>
    <t>A Network Traffic Scheduling Strategy for Energy Storage Data Centers Based on SDN</t>
  </si>
  <si>
    <t>https://ieeexplore.ieee.org/abstract/document/8947192/</t>
  </si>
  <si>
    <t>L Peizhe, X Zhenfeng, C Zhongwei…</t>
  </si>
  <si>
    <t>Energy-saving Effect of Integrated Cooling Unit with Rotary Booster and Compressor for Data Center</t>
  </si>
  <si>
    <t>https://www.sciencedirect.com/science/article/pii/S0140700720301626</t>
  </si>
  <si>
    <t>Y Liu, G Ma, L Xue, F Zhou, L Wang</t>
  </si>
  <si>
    <t>Minimising energy costs of data centers using high dense heterogeneous systems and intelligent resource management</t>
  </si>
  <si>
    <t>https://dl.acm.org/doi/abs/10.1145/3208903.3213777</t>
  </si>
  <si>
    <t>A Oleksiak, T Ciesielczyk, M Kierzynka, W Piatek</t>
  </si>
  <si>
    <t>microserver and energy reduction in cooling system</t>
  </si>
  <si>
    <t>Adaptive Clock Frequency Based Energy Efficient Provisioning for Virtual Data Centers</t>
  </si>
  <si>
    <t>https://www.osapublishing.org/abstract.cfm?uri=ACPC-2020-S4I.6</t>
  </si>
  <si>
    <t>Z Wang, C Guo, SK Bose, G Shen</t>
  </si>
  <si>
    <t>Energy efficient VM scheduling strategies for HPC workloads in cloud data centers</t>
  </si>
  <si>
    <t>https://www.sciencedirect.com/science/article/pii/S2210537916301718</t>
  </si>
  <si>
    <t>AA Chandio, N Tziritas, MS Chandio, CZ Xu</t>
  </si>
  <si>
    <t>Improving stability and thermal properties of TiO2 nanofluids by supramolecular modification: high energy efficiency heat transfer medium for data center cooling …</t>
  </si>
  <si>
    <t>https://www.sciencedirect.com/science/article/pii/S0017931019367195</t>
  </si>
  <si>
    <t>Y Wang, C Zou, W Li, Y Zou, H Huang</t>
  </si>
  <si>
    <t>An energy, performance efficient resource consolidation scheme for heterogeneous cloud datacenters</t>
  </si>
  <si>
    <t>https://www.sciencedirect.com/science/article/pii/S1084804519303571</t>
  </si>
  <si>
    <t>AA Khan, M Zakarya, R Khan, IU Rahman…</t>
  </si>
  <si>
    <t>A Review on Dynamic Virtual Machine Consolidation Approaches for Energy-Efficient Cloud Data Centers</t>
  </si>
  <si>
    <t>https://link.springer.com/chapter/10.1007/978-981-15-8530-2_60</t>
  </si>
  <si>
    <t>B Prabha, K Ramesh, PN Renjith</t>
  </si>
  <si>
    <t>related work (VM consolidation)</t>
  </si>
  <si>
    <t>HIGA: Harmony-inspired genetic algorithm for rack-aware energy-efficient task scheduling in cloud data centers</t>
  </si>
  <si>
    <t>https://www.sciencedirect.com/science/article/pii/S2215098618312023</t>
  </si>
  <si>
    <t>MULTI-LEVEL ATTRIBUTE-BASED MATCHING APPROACH TOWARDS ENERGY-EFFICIENT RESOURCE PROVISIONING IN CLOUD DATA CENTERS.</t>
  </si>
  <si>
    <t>http://www.jatit.org/volumes/Vol96No2/22Vol96No2.pdf</t>
  </si>
  <si>
    <t>F ELIJORDE, S KIM, J LEE</t>
  </si>
  <si>
    <t>Journal of Theoretical and Applied Information Technology</t>
  </si>
  <si>
    <t>JATIT</t>
  </si>
  <si>
    <t>A green energy-efficient scheduler for cloud data centers</t>
  </si>
  <si>
    <t>https://link.springer.com/article/10.1007/s10586-018-2028-z</t>
  </si>
  <si>
    <t>M Amoon, TEE Tobely</t>
  </si>
  <si>
    <t>RETRACTED ARTICLE: Sustainable cost and energy consumption analysis for cloud data centers</t>
  </si>
  <si>
    <t>https://link.springer.com/article/10.1007/s11704-014-4019-4</t>
  </si>
  <si>
    <t>A Uchechukwu, K Li, Y Shen</t>
  </si>
  <si>
    <t>retracted article</t>
  </si>
  <si>
    <t>Energy-Efficient Virtual Machine Replication for Data Centers</t>
  </si>
  <si>
    <t>https://ieeexplore.ieee.org/abstract/document/8452029/</t>
  </si>
  <si>
    <t>O Raluca, P Florin</t>
  </si>
  <si>
    <t>Profile-based power-aware workflow scheduling framework for energy-efficient data centers</t>
  </si>
  <si>
    <t>https://www.sciencedirect.com/science/article/pii/S0167739X18318491</t>
  </si>
  <si>
    <t>B Qureshi</t>
  </si>
  <si>
    <t>Performance-aware energy saving for data center networks</t>
  </si>
  <si>
    <t>https://ieeexplore.ieee.org/abstract/document/8606104/</t>
  </si>
  <si>
    <t>Energy and carbon footprint-aware management of geo-distributed cloud data centers: A taxonomy, state of the art, and future directions</t>
  </si>
  <si>
    <t>https://www.igi-global.com/chapter/energy-and-carbonfootprint-aware-management-of-geo-distributed-clouddata-centers/189954</t>
  </si>
  <si>
    <t>Thermal Energy Storage for Datacenters with Phase Change Materials</t>
  </si>
  <si>
    <t>https://deepblue.lib.umich.edu/handle/2027.42/147726</t>
  </si>
  <si>
    <t>M Skach</t>
  </si>
  <si>
    <t>Energy-Efficient task scheduling in cloud data center-A temperature aware approach</t>
  </si>
  <si>
    <t>https://ieeexplore.ieee.org/abstract/document/8822159/</t>
  </si>
  <si>
    <t>S Sobhanayak, AK Turuk</t>
  </si>
  <si>
    <t>thermal aware task scheduling</t>
  </si>
  <si>
    <t>Energy hogs: Can world's huge data centers be made more efficient</t>
  </si>
  <si>
    <t>https://www.digiplex.com/resources/nyheter/Energy-Hogs.pdf</t>
  </si>
  <si>
    <t>F Pearce</t>
  </si>
  <si>
    <t>digiplex.com</t>
  </si>
  <si>
    <t>Cost‐minimizing online algorithm for internet green data centers on multi‐source energy</t>
  </si>
  <si>
    <t>https://onlinelibrary.wiley.com/doi/abs/10.1002/cpe.5044</t>
  </si>
  <si>
    <t>H He, H Shen, D Liang</t>
  </si>
  <si>
    <t>Energy Efficient Data Centers Powered by On-site Renewable Energy and UPS Devices</t>
  </si>
  <si>
    <t>https://ieeexplore.ieee.org/abstract/document/9291205/</t>
  </si>
  <si>
    <t>X Peng, X Qin</t>
  </si>
  <si>
    <t>Green cloud computing: Efficient energy-aware and dynamic resources management in data centers</t>
  </si>
  <si>
    <t>https://www.researchgate.net/profile/Sara_Diouani/publication/326832527_Green_Cloud_Computing_Efficient_Energy-Aware_and_Dynamic_Resources_Management_in_Data_Centers/links/5b92ad6892851c78c4f6d0a7/Green-Cloud-Computing-Efficient-Energy-Aware-and-Dynamic-Resources-Management-in-Data-Centers.pdf</t>
  </si>
  <si>
    <t>Energy Efficient Resource Management and Task Scheduling at the Cloud Data Center</t>
  </si>
  <si>
    <t>http://idr.nitk.ac.in/jspui/handle/123456789/14122</t>
  </si>
  <si>
    <t>NK Sharma</t>
  </si>
  <si>
    <t>idr.nitk.ac.in</t>
  </si>
  <si>
    <t>Joint Energy Optimization on the Server and Network Sides for Geo-Distributed Datacenters</t>
  </si>
  <si>
    <t>https://ieeexplore.ieee.org/abstract/document/8761333/</t>
  </si>
  <si>
    <t>Y Qin, W Han, Y Yang, W Yang…</t>
  </si>
  <si>
    <t>A Decadal Walkthrough on Energy Modelling for Cloud Datacenters</t>
  </si>
  <si>
    <t>https://www.igi-global.com/chapter/a-decadal-walkthrough-on-energy-modelling-for-cloud-datacenters/269819</t>
  </si>
  <si>
    <t>A Chatterjee</t>
  </si>
  <si>
    <t>Experimental Characterization of Two-phase Microchannel Cold Plates for Waste Heat Energy Recovery in Data Centers</t>
  </si>
  <si>
    <t>http://search.proquest.com/openview/e662afdead5bbe60b28364c35154ce1f/1?pq-origsite=gscholar&amp;cbl=18750&amp;diss=y</t>
  </si>
  <si>
    <t>D Fritch</t>
  </si>
  <si>
    <t>On Dependability Traffic Load and Energy Consumption Tradeoff in Data Center Networks</t>
  </si>
  <si>
    <t>https://www.qscience.com/content/papers/10.5339/qfarc.2018.ICTPD814</t>
  </si>
  <si>
    <t>Z Chkirbene, A Gouissem, R Hamila…</t>
  </si>
  <si>
    <t>qscience.com</t>
  </si>
  <si>
    <t>poster</t>
  </si>
  <si>
    <t>Energy-aware dynamic virtual machine consolidation for cloud datacenters</t>
  </si>
  <si>
    <t>https://ieeexplore.ieee.org/abstract/document/8308710/</t>
  </si>
  <si>
    <t>H Wang, H Tianfield</t>
  </si>
  <si>
    <t>An energy-efficient strategy for virtual machine allocation over cloud data centers</t>
  </si>
  <si>
    <t>https://link.springer.com/article/10.1007/s10922-019-09489-w</t>
  </si>
  <si>
    <t>X Qie, S Jin, W Yue</t>
  </si>
  <si>
    <t>Experimental study on a loop thermosyphon cooling system in data centers using CO2 as a working Fluid, especially thermal environment and energy-saving effect</t>
  </si>
  <si>
    <t>https://www.sciencedirect.com/science/article/pii/S1359431119387824</t>
  </si>
  <si>
    <t>T Ding, H wen Cao, Z guang He, J da Wu…</t>
  </si>
  <si>
    <t>Optimal asynchronous dynamic policies in energy-efficient data centers</t>
  </si>
  <si>
    <t>https://arxiv.org/abs/1901.03371</t>
  </si>
  <si>
    <t>JY Ma, QL Li, L Xia</t>
  </si>
  <si>
    <t>See article published by springer (ID 651)</t>
  </si>
  <si>
    <t>Optimal energy-efficient policies for data centers through sensitivity-based optimization</t>
  </si>
  <si>
    <t>https://link.springer.com/article/10.1007/s10626-019-00293-x</t>
  </si>
  <si>
    <t>JY Ma, L Xia, QL Li</t>
  </si>
  <si>
    <t>Energy related goal</t>
  </si>
  <si>
    <t>Strategy type</t>
  </si>
  <si>
    <t>Techniques/Algorithms</t>
  </si>
  <si>
    <t>Software-driven</t>
  </si>
  <si>
    <t>Energy related metrics</t>
  </si>
  <si>
    <t>Other metrics</t>
  </si>
  <si>
    <t>Evaluation</t>
  </si>
  <si>
    <t>DC component</t>
  </si>
  <si>
    <t>DC type</t>
  </si>
  <si>
    <t xml:space="preserve">https://ieeexplore.ieee.org/abstract/document/8874886/ </t>
  </si>
  <si>
    <t>reduce power consumption</t>
  </si>
  <si>
    <t>Combine multiple servers through virtualization and thus reducing the number of physical servers.</t>
  </si>
  <si>
    <t>group and cluster VMs</t>
  </si>
  <si>
    <t>virtualization is realized through software</t>
  </si>
  <si>
    <t>power consumption (watt), Pvm (consumed power per VM), Phost (physical host power consumption)</t>
  </si>
  <si>
    <t>CPU utilization (%)</t>
  </si>
  <si>
    <t>16 physical servers in Universitas Klabat (UNKLAB) data center. With clustering and virtualization 286.66% less power consumed compared to having each server run on a physicial machine.</t>
  </si>
  <si>
    <t>servers</t>
  </si>
  <si>
    <t>16 physical servers</t>
  </si>
  <si>
    <t xml:space="preserve">https://link.springer.com/article/10.1007/s10586-018-2235-7 </t>
  </si>
  <si>
    <t>reduce energy consumption</t>
  </si>
  <si>
    <t>load balancing of VMs algorithm</t>
  </si>
  <si>
    <t xml:space="preserve">shuffled frog leaping algorithm (SFLA) </t>
  </si>
  <si>
    <t>SFLA is an algorithm to allocate resources (demands relating to the CPU, the memory, and the storage)</t>
  </si>
  <si>
    <t>energy consumption (KWH)</t>
  </si>
  <si>
    <t>number of migrations, total simulation time (sec)</t>
  </si>
  <si>
    <t>Simulated data center 100, 300, 500 VMs. compare SFLA with First fit (FF) algorithm and Particle swarm optimization (PSO). SFLA consumes less energy compared to FF and PSO.</t>
  </si>
  <si>
    <t>server, CPU, memory, storage</t>
  </si>
  <si>
    <t xml:space="preserve">Cloud data center. Similated data center comprises of 100, 300, 500 VMs. </t>
  </si>
  <si>
    <t xml:space="preserve">https://ieeexplore.ieee.org/abstract/document/9053186/ </t>
  </si>
  <si>
    <t>predict amount of renewable energy</t>
  </si>
  <si>
    <t>multi-site load management strategy with renewable energy</t>
  </si>
  <si>
    <t>Recurrent Neural Networks (RNN) to predict level of green energy production</t>
  </si>
  <si>
    <t>algorithm to predict green energy production</t>
  </si>
  <si>
    <t>prediction renewable energy consumption</t>
  </si>
  <si>
    <t>number of VMs, cost saving</t>
  </si>
  <si>
    <t>compare RNN with Feed Forward Neural Network (FNN). RNN resulted to perform better than FNN in predicting RE production.</t>
  </si>
  <si>
    <t>whole DC</t>
  </si>
  <si>
    <t>geographical distributed DC composed of a few sites, each equipped with a hybrid power
supply system composed of photovoltaic (PV) panels, energy storage units and access to the power grid</t>
  </si>
  <si>
    <t xml:space="preserve">https://www.mdpi.com/1996-1073/12/17/3301 </t>
  </si>
  <si>
    <t>Energy managemant system to minimize energy consumption and reduce peak power demand during demand-response periods. Used mechanisms: consolidation, migration, flexible SLAs.</t>
  </si>
  <si>
    <t>Energy Management System (EMS) with an energy optimizer, power demand predictor, and orchestrator. Identify minimum number of ICT equipment needed to run services without violating SLAs. Consolidate servers. Give priority to most energy-efficient resources. Shutdown unused or idle resources.</t>
  </si>
  <si>
    <t>EMS is a software algorithm</t>
  </si>
  <si>
    <t>energy consumption (Wh), power consumption (Watt)</t>
  </si>
  <si>
    <t>Experimental analysis on a cloud-based lab by setting up several scenarios. In certain cases, total energy reductions reached 25%.</t>
  </si>
  <si>
    <t>ICT equipment</t>
  </si>
  <si>
    <t>HPE cloud computing lab Italy, production-grade cloud computing data center. two data centers geographically dispersed by 1 km from each other.</t>
  </si>
  <si>
    <t xml:space="preserve">https://link.springer.com/chapter/10.1007/978-3-030-12065-8_1 </t>
  </si>
  <si>
    <t>model energy consumption</t>
  </si>
  <si>
    <t>Define a model that predicts the energy consumption of all ICT resources in a DC.</t>
  </si>
  <si>
    <t>Calculate power consumption by both considering the efficiency of the internal function (tracing energy consumed by each resource), and the external function (the total energy consumption prediction).</t>
  </si>
  <si>
    <t>algorithm to predict energy consumption</t>
  </si>
  <si>
    <t xml:space="preserve">rack power = power of all resources installed in the rack = (P.CPU + P.RAM + P.CoolingF) + (P.Disk) + (P.Switch), P.Server = All energy consumed by all components of this server = (P.CPU) + (P.RAM) + (P.CoolingF), P.Storage = (P.ActiveDisk*M), P.Network = (P.Switch*N) (N = total number of active switches). Formulas for processor, memory, cooling fans, storage, and network power consumption are also defined. </t>
  </si>
  <si>
    <t>simulated algorithm and model of energy consumption using the ICan Cloud simulator. Remarkable good prediction of energy consumed.</t>
  </si>
  <si>
    <t>rack: server (cooling fans, RAM, CPU), storage (disks), network (switches)</t>
  </si>
  <si>
    <t>cloud</t>
  </si>
  <si>
    <t>Runtime power management system which combines heterogeneous servers to improve energy efficiency while guaranteeing the defined QoS.</t>
  </si>
  <si>
    <t>Montgolfier: latency-aware power management system that schedules latency-critical services on heterogeneous server platform at runtime. Depending on continuously measurements of actual latency and load intensity, as well as a well-designed load prediction policy, Montgolfier prefers to allocate workloads to wimpy servers once existing a sufficient computing capacity to meet the QoS requirements. When the wimpy server cannot maintain the workload performance at even its top computing capacity, the system rapidly shifts current workloads to its twin brawny server to keep up the performance. When the workload intensity is lower than a specified threshold, Montgolfier also automatically switches workloads to the wimpy server to reduce energy consumption.</t>
  </si>
  <si>
    <t>Montgolifier is an algorithm written in computer code.</t>
  </si>
  <si>
    <t>energy efficieny (workload/watt), power consumption (watt), energy saving (%)</t>
  </si>
  <si>
    <t>latency (ms)</t>
  </si>
  <si>
    <t>We build a 20 servers prototype and evaluate three typical interactive workloads. According to the results, Montgolfier can reduce the energy consumption for Memcached, Web-search, and SPECjbb by 34.9%, 27.9% and 23.8%, respectively compared with Brawny-Only policy. At the same time, Montgolfier can strictly meet the QoS constraints for all workloads.</t>
  </si>
  <si>
    <t>heterogenous data center with (1) high performance (Brawny) servers and (2) low computing capacity but high energy efficient (Whimpy) servers</t>
  </si>
  <si>
    <t xml:space="preserve">VM allocation algorithm that maps a VM to a PM, which is hosting less similar VMs. </t>
  </si>
  <si>
    <t>Minimum Interference First Fit (MFF). In our approach, interference is estimated by computing a value called similarity index, which is a measure of how similar a host is to an incoming VM. The algorithm clusters VMs using K-means based on resources usage.</t>
  </si>
  <si>
    <t>clustering algorithm to allocate VMs</t>
  </si>
  <si>
    <t>energy consumption (joules)</t>
  </si>
  <si>
    <t>memory usage, CPU usage</t>
  </si>
  <si>
    <t>CloudSim Plus simulator. Simulated results show that MFF beats First fit (FF), Best fit (BF), and Worst fit (WF) VM algorithms.</t>
  </si>
  <si>
    <t>Multi-tenant public Infrastructure as a Service (IaaS) cloud. SImulation: 49 hosts and 520 VMs.</t>
  </si>
  <si>
    <r>
      <rPr>
        <color rgb="FF1155CC"/>
        <u/>
      </rPr>
      <t>https://link.springer.com/article/10.1007/s10586-018-2869-5</t>
    </r>
    <r>
      <rPr/>
      <t xml:space="preserve"> </t>
    </r>
  </si>
  <si>
    <t>Framework for managing and controlling virtual machines placement on physical servers. The framework considers the current status of the network when making migration decisions.</t>
  </si>
  <si>
    <t>Multi-objective Integer Linear Program (ILP) to reduce consumed energy and minimizing migration time. Input: collected virtual machines resource utilization and the network traffic matrix.</t>
  </si>
  <si>
    <t>algorithm for VM placement</t>
  </si>
  <si>
    <t>energy consumption (Joules)</t>
  </si>
  <si>
    <t>network bandwidth (%), computation time (seconds)</t>
  </si>
  <si>
    <t xml:space="preserve">Investigate the computation time and energy consumption of the optimal solutions obtained by CPLEX 12.7 and compare them to the ones achieved by our proposed heuristic. The results show that the gap between the optimal energy consumption and the ones obtained by the heuristic algorithm is less than 7% for all cases. </t>
  </si>
  <si>
    <t>(1) Network, (2) All server resources (CPU, memory, network, and disk)</t>
  </si>
  <si>
    <t>large data centers. one master node (name node) and 12 slave nodes (data nodes).</t>
  </si>
  <si>
    <r>
      <rPr>
        <color rgb="FF1155CC"/>
        <u/>
      </rPr>
      <t>https://search.ieice.org/bin/summary.php?id=e101-d_7_1816</t>
    </r>
    <r>
      <rPr/>
      <t xml:space="preserve"> </t>
    </r>
  </si>
  <si>
    <t>VM selection strategy for migration and VM allocation policy</t>
  </si>
  <si>
    <t>VM selection strategy named Minimized Square Root available Resource (MISR). VM allocation policy based on RAC model named Balanced Selection (BS).</t>
  </si>
  <si>
    <t>algorithm to realize VM allocation</t>
  </si>
  <si>
    <t>DC total energy consumption (KWH), energy and SLA Violation (ESV)</t>
  </si>
  <si>
    <t xml:space="preserve">number of VM migrations, Service Level Agreement Violation (SLAV), </t>
  </si>
  <si>
    <t>The optimization combination BS-MISR is evaluated on the CloudSim with the real workload traces from PlanetLab. Simulation results validate that the proposed BS-MISR is reliable and can significantly reduce the energy consumption compared with the benchmarks while the BS-MISR remaining the SLA violations at a reasonable level.</t>
  </si>
  <si>
    <t>CPU, RAM, network bandwidth</t>
  </si>
  <si>
    <t>cloud, IaaS.CloudSim simulation. 800 heterogeneous PMs and 2 types of physical servers. Four types of VM specifications.</t>
  </si>
  <si>
    <r>
      <rPr>
        <color rgb="FF1155CC"/>
        <u/>
      </rPr>
      <t>https://ieeexplore.ieee.org/abstract/document/8726577/</t>
    </r>
    <r>
      <rPr/>
      <t xml:space="preserve"> </t>
    </r>
  </si>
  <si>
    <t>optimize use renewable energy</t>
  </si>
  <si>
    <t>Optimization based scheduling framework to intelligently schedule tasks from different users to geo-distributed computing nodes.</t>
  </si>
  <si>
    <t xml:space="preserve">To tackle the randomness of REG, a distribution uncertainty model is developed allowing renewable energy generation distributions to fluctuate around their reference distributions, and then uncertainty sets are defined to confine the unstable renewable energy generation.Then, an electricity cost minimization framework is built to intelligently schedule different tasks from different users togeo-distributed computing nodes. Chance constraint approximation and a robust optimization approach are developed to transform and solve the problem. </t>
  </si>
  <si>
    <t>implements optimazation algorithms</t>
  </si>
  <si>
    <t>energy supply and demand (MWh), electricity cost ($), energy consunmption (MWh) , renewable energy generation (MWh), electricity cost ($), electricity price ($/MWh)</t>
  </si>
  <si>
    <t>128 geo-distribured homegenous computing nodes with fixed processing speed (5000 MIPS). The active power of the processor is 400 MW and the idle power is 250 MW. Compare the proposed energy-efficient task scheduling with random task scheduling.</t>
  </si>
  <si>
    <t>Internet Data Center (IDC) with m homogeneous geo-distributed computing nodes. All tasks arrive at the scheduler and wait in the global queue.</t>
  </si>
  <si>
    <t xml:space="preserve">https://link.springer.com/chapter/10.1007/978-3-319-69889-2_5 </t>
  </si>
  <si>
    <t>energy saving</t>
  </si>
  <si>
    <t>VM scheduling optimization technique model. Algorithm to minimize the number of active server by consolidation VMs on few servers.</t>
  </si>
  <si>
    <t>computational intelligence (CI) algorithms are inspired by natural process, animals’ behavior, or sports to optimize complex real-world problems or systems. SOS-VNS algorithm: SOS-VNS combines SOS and VNS to enhance the ability of the proposed algorithm to jump out of likely local maxima, and speed up convergence rate.</t>
  </si>
  <si>
    <t>VM scheduling algorithm to minimze the number of active servers</t>
  </si>
  <si>
    <t>energy consumption (kW)</t>
  </si>
  <si>
    <t>CPU -, memory -, storage utilization (%)</t>
  </si>
  <si>
    <t xml:space="preserve">CloudSim simulator toolkit. </t>
  </si>
  <si>
    <t xml:space="preserve">IaaS large-scale cloud. two data centers, 200 hosts of two types, each type consisting of 100 hosts. </t>
  </si>
  <si>
    <t xml:space="preserve">https://link.springer.com/chapter/10.1007/978-3-030-33702-5_24 </t>
  </si>
  <si>
    <t>minimize brown energy</t>
  </si>
  <si>
    <t>executes more microservices when green energy and battery charge are available and less microservices when green/battery energy is not available</t>
  </si>
  <si>
    <t>Finite horizon Markov Decision Process problem with the objective to minimize the usage of brown energy while maximizing the number of microservices deployed. In our model, we consider renewable energy (green), grid electricity (brown) and battery to power the system.</t>
  </si>
  <si>
    <t>algorithm that controls system actions and decides number of microservices that must be executed together with battery usage</t>
  </si>
  <si>
    <t>brown energy usage (average amount of brown energy usage over all hours), percentage of green energy, battery level</t>
  </si>
  <si>
    <t>number of microservices, algorithm efficiency (optimization objective that cibsuders both the brown energy usage and the number of active microservuces simultaneously)</t>
  </si>
  <si>
    <t>Simulation-based experiments using real data derived from workload traces and renewable energy availability. The results show that our proposed approach significantly reduces brown energy usage while deploying more microservices compared with baselines.</t>
  </si>
  <si>
    <t xml:space="preserve">data center is powered by an on-site renewable energy system and the residual green energy can be stored in batteries for near future use. </t>
  </si>
  <si>
    <t xml:space="preserve">https://ieeexplore.ieee.org/abstract/document/8836768/ </t>
  </si>
  <si>
    <t>increase energy efficiency</t>
  </si>
  <si>
    <t>calculating the switching equipment's power in DCNs. network-level energy-efficient routing mechanism. dynamically select routes to achieve energy efficiently balance under the characteristic of new topologies and complex traffic requests.</t>
  </si>
  <si>
    <t>Migrating Birds Optimization Algorithm (MBOA)</t>
  </si>
  <si>
    <t>algorithm to find the best route</t>
  </si>
  <si>
    <t>total energy consumption of the network, energy efficiency (KB/J)</t>
  </si>
  <si>
    <t>load balancing rate (LBR), blocking rate</t>
  </si>
  <si>
    <t>Simulation experiments are carried out with two classical data center network topologies. Experiments show that the proposed mechanism improves the energy efficiency of DCNs, and the network performance is significantly better than the traditional algorithms.</t>
  </si>
  <si>
    <t>data center network</t>
  </si>
  <si>
    <t xml:space="preserve">https://ieeexplore.ieee.org/abstract/document/9133776/ </t>
  </si>
  <si>
    <t>optimize VM placement and migration</t>
  </si>
  <si>
    <t>Algorithm for Selecting Virtual machine to Migrate (ASVM). Vm Reallocation Algorithm (VRA) provides VM scheduling strategy, which dynamically migrate VMs among computing nodes, transferring VMs from underloaded hosts to loaded but not overloaded hosts.</t>
  </si>
  <si>
    <t>algorithm to allocate and migrate VMs</t>
  </si>
  <si>
    <t>energy consumption</t>
  </si>
  <si>
    <t>number of migrations, execution time</t>
  </si>
  <si>
    <t>simulated cloud enviromnent CloudSim. optimizing migration can reduce energy consumed of data centers. However, a strong limitation of migration can lead to performance degradation and mostly cause many SLA violations.</t>
  </si>
  <si>
    <t>cloud data center</t>
  </si>
  <si>
    <t>optimize energy efficiency</t>
  </si>
  <si>
    <t>joint optimzation technique that optimizes IT and cooling systems cooperatively</t>
  </si>
  <si>
    <t>MACEEC (Multi-Agent deep reinforcement learning-based Cooperative Energy Efficient Control of IT and cooling systems. Strategy is learnt through direct interactions with the real environment.</t>
  </si>
  <si>
    <t>algorithm to control scheduling and cooling</t>
  </si>
  <si>
    <t>energy consumption (kWh)</t>
  </si>
  <si>
    <t>Compared to PowerTRade-d and DeepEE. MACEEC consumes more energy on IT system than DeepEE, but saves a lot of energy from cooling system. As a result, MACEEC out performs DeepEE in energy saving. both MACEEC and DeepEE consume less energy than PowerTrade-d.</t>
  </si>
  <si>
    <t>IT and cooling</t>
  </si>
  <si>
    <t>Data center containing 20 racks, each rack equipped with homogeneous 42 servers.</t>
  </si>
  <si>
    <t>model energy efficiency and consumption</t>
  </si>
  <si>
    <t>predict (1) PUE and (2) macro-level energy consumption</t>
  </si>
  <si>
    <t>(1) predict PUE based on climate conditions using Monte Carlo simulation, data center energy system parameters, data center economizer choices (2) bottom up approach to quatify past, current, and near future electricity used by worldwide data centers</t>
  </si>
  <si>
    <t>simulation and prediction is enabled by software</t>
  </si>
  <si>
    <t>PUE, TWh/year</t>
  </si>
  <si>
    <t>(1) 17 hyperscale data centers from Google and Facebook were chosen as the case studies for model validation. The results suggested that the model could generate acceptable PUE values</t>
  </si>
  <si>
    <t>powering off the unused network resources with a low complexity algorithm that has a minimum effect on the network connectivity and performance</t>
  </si>
  <si>
    <t>Power off unused links in network by deactivating end port. The ports deactivation is done directly based on the traffic matrix by exploiting the internode correlation which reduces largely the computing complexity and delay.</t>
  </si>
  <si>
    <t>resource management algorithm</t>
  </si>
  <si>
    <t>energy consumption (WU (Watt per unit of time))</t>
  </si>
  <si>
    <t>average path length (APL)</t>
  </si>
  <si>
    <t>Compare the results with the original HyperFlatNet. Energy saving.</t>
  </si>
  <si>
    <t>network</t>
  </si>
  <si>
    <t>HyperFlatNet network topology with 1000 servers.</t>
  </si>
  <si>
    <t xml:space="preserve">energy efficient and QoS-aware VM consolidation technique </t>
  </si>
  <si>
    <t>Markov chain-based prediction approach to identify the over-utilized and under-utilized hosts in the data center. Efficient VM selection and placement policy based on linear weighted sum approach to migrate the VMs from over-utilized and under-utilized hosts considering both energy and QoS.</t>
  </si>
  <si>
    <t>software algorithm to schedule the VMs</t>
  </si>
  <si>
    <t>total energy consumed, ESV (energy and SLA violations)</t>
  </si>
  <si>
    <t xml:space="preserve">number of VM migrations, level of SLA violations (SLAV), PDM (performance degradation due to migration), SLATAH (SLA violation time per active host) </t>
  </si>
  <si>
    <t xml:space="preserve">simulations using CloudSim: significantly reducing energy consumption, number of VM migrations and SLA violations compared to MM, MMT, MBFD, etc. </t>
  </si>
  <si>
    <t xml:space="preserve">200 hosts. </t>
  </si>
  <si>
    <t xml:space="preserve">Proactive autoscaling and allocation of VMs. Consolidation of load on as few physical machines as possible, without affecting user application performance. </t>
  </si>
  <si>
    <t xml:space="preserve">(1) Online Multi-Resource Feed-forward Neural Network (OM-FNN) to forecast the multiple resource demands concurrently for the future applications, (2) autoscaling of VMs based on the clustering of the predicted resource requirements, (3) allocation of the scaled VMs on the energy-efficient PMs. </t>
  </si>
  <si>
    <t>algorithm to autoscale and allocate VMs</t>
  </si>
  <si>
    <t>power saving (%), power consumption (KW)</t>
  </si>
  <si>
    <t>resource utilization improvement (%), number of active servers, resource utilization (%), number of epochs</t>
  </si>
  <si>
    <t>Compared against Self-adaptive DE (SaDE) and Backpropagation (BP), Secure and Energy efficient load balancing (SEA-LB), Random-Fit (RF), Best-Fit (BF). The observed results reveal its superiority over existing methods in terms of prediction accuracy, resource utilization and reduction in power consumption.</t>
  </si>
  <si>
    <t xml:space="preserve">Three different types of server and four types of VMs configuration. </t>
  </si>
  <si>
    <t>improve energy efficiency</t>
  </si>
  <si>
    <t>energy efficiency model (1) to predict PUE over time, (2) analyze DC energy consumption, (3) determine key factors for PUE optimization</t>
  </si>
  <si>
    <t>deep machine learning-approach, Deep Neural Networks (DNNs)</t>
  </si>
  <si>
    <t xml:space="preserve">physical sensors are required for measurement, however, the prediction and analysis are performed by software </t>
  </si>
  <si>
    <t>PUE (total DC power consumption / IT equipment power consumption)</t>
  </si>
  <si>
    <t>RMSE (Root Mean Square Error), power consumption (Kw)</t>
  </si>
  <si>
    <t>Real datasets to validate the approach. Sensors are placed in the DC to perform more precise and technical data readings. As a results, we observe a decrease of 0.005 for the average predicted PUE. This decrease demonstrates that DNN is a good prediction model</t>
  </si>
  <si>
    <t>440 heterogenous servers distributed on 20 racks</t>
  </si>
  <si>
    <t>Approach to resolve the availability-aware and energy-efficient multi-objective Virtual Cluster (VC) allocation problem in datacenters.</t>
  </si>
  <si>
    <t>We described an availability model, an energy consumption model, an average resource utilization model, and a resource load balance model. Based on these models, we formulated the AEMoVCA problem as a constrained multi-objective optimization problem. Then we proposed the IBBBO algorithm</t>
  </si>
  <si>
    <t>algoritm to allocate VCs on PMs</t>
  </si>
  <si>
    <t>energy consumption (W)</t>
  </si>
  <si>
    <t>average resource utilization, risk value, load balance value</t>
  </si>
  <si>
    <t xml:space="preserve">Experiments in CloudSim. Simulated datacenter including 256 PMs and 32 edge switches. Compared to: RFF (random first-fit) algorithm, CMBFD (CPU utilization-based modified best fit decreasing) algorithm, PSO (particle swarm optimization) algorithm. IBBBO algorithm outperform the other algorithms in terms of risk value, energy consumption, and average resource utilization. </t>
  </si>
  <si>
    <t>256 PMs</t>
  </si>
  <si>
    <t>flow routing and scheduling in hybrid (wireless and wired) data center network</t>
  </si>
  <si>
    <t xml:space="preserve">The original problem of hybrid routing and scheduling is decomposed into two subproblems. A novel weight-relaxing rounding algorithm is developed to solve the first subproblem. After that, the relaxand-rounding technology is adopted to obtain energy-efficient wireless links scheduling solution. </t>
  </si>
  <si>
    <t>algorithm to take full usage of wired and wireless links</t>
  </si>
  <si>
    <t>energy consumption (% of origin)</t>
  </si>
  <si>
    <t xml:space="preserve">CPLEX as the ILP and LP solver. 3-layer Fat-Tree as the wired topology and Flyways as the reconfigurable wireless structure of the hybrid DCN. We compare the proposed algorithm with ECMP, ElasticTree, and OPT. </t>
  </si>
  <si>
    <t>tree-based hybrid DCNs</t>
  </si>
  <si>
    <t xml:space="preserve">VM deployment framework that considers multiple criteria, i.e., reducing energy consumptions and SLA violations simultaneously while determining target hosts for VMs placement. </t>
  </si>
  <si>
    <t xml:space="preserve">Ranks are generated according to optimal hosts. The proposed ITHSP scheme uses Improved TOPSIS to evaluate the energy efficiency of hosts. The energy efficiency estimated by ITHSP is categorized into five classes, ranging from extremely energy efficient to minimal energy efficient. </t>
  </si>
  <si>
    <t>strategy to schedule VMs to PMs is realized software</t>
  </si>
  <si>
    <t>increase in power consumption (PI)</t>
  </si>
  <si>
    <t>available capacity in terms of RAM (AC RAM), capacity in terms of MIPS (AC MIPS), number of VMs allocated, migration delay</t>
  </si>
  <si>
    <t>The framework proposed in this paper is more robust, energy efficient and considers multiple resources like CPU, RAM and network.</t>
  </si>
  <si>
    <t>CPU, RAM and network</t>
  </si>
  <si>
    <t>optimize use green energy minimize brown energy</t>
  </si>
  <si>
    <t>renewable-aware and temperature-aware tasks scheduling method</t>
  </si>
  <si>
    <t xml:space="preserve">(1) Part of the more delay-tolerant tasks are postponed to be executed until the solar energy is sufficient. (2) Considering the temperature provided by the cooling device inside the datacenter. </t>
  </si>
  <si>
    <t>task scheduling method is realized in software</t>
  </si>
  <si>
    <t>solar utilization rate, power consumption (w)</t>
  </si>
  <si>
    <t>number of tasks, cooling temperature</t>
  </si>
  <si>
    <t xml:space="preserve">CloudSim to simulate datacenter. Experiment results illustrated that TATM could better achieve the energy saving goal and thus minimize the overall cost of the datacenter. </t>
  </si>
  <si>
    <t>datacenter powered by both green energy and brown energy</t>
  </si>
  <si>
    <t>minimize energy consumption</t>
  </si>
  <si>
    <t xml:space="preserve">real-time VM consolidation taking into account user behavior and VM historical usage to forecast the number of future VMs
</t>
  </si>
  <si>
    <t>efficient and novel data pre-processing, real-time clustering, instant multivariate time-series prediction and placement algorithms.</t>
  </si>
  <si>
    <t>VM clustering and scheduling is realized in software</t>
  </si>
  <si>
    <t>energy (watt)</t>
  </si>
  <si>
    <t>number of tasks, RMSE, memory and CPU request</t>
  </si>
  <si>
    <t>compared to other algorithms like last minute predictors, Min predictors, Max predictors, Average predictor, Exponential Weighted Moving Average predictor (EWMA), Linear Regression predictor (LR), Wiener filter, and Simple ELM. 80% improvement compared to data center without the proposed management tools.</t>
  </si>
  <si>
    <t>CPU and memory</t>
  </si>
  <si>
    <t>multi-objective optimization model of virtual machine migration, and the integration mechanism of virtual machine migration based on mixed single-parent genetic algorithm is proposed.</t>
  </si>
  <si>
    <t xml:space="preserve">The design of hybrid partheno-genetic algorithm combines the advantages of single parent genetic algorithm and heuristic algorithm, and overcome the disadvantages of traditional genetic algorithm search ability difference, by introducing a single genetic operators and the FFD mutation operator to ensure algorithm in search ability and global convergence of the iterative process. </t>
  </si>
  <si>
    <t>The VM migration mechanism is realized in software</t>
  </si>
  <si>
    <t>minimum number of hosts required, number of virtual machine migrations, average number of iterations to get the optimal solution</t>
  </si>
  <si>
    <t>The experiment shows that the algorithm can show better performance in solving the problem of virtual machine migration integration.</t>
  </si>
  <si>
    <t>large-scale distributed computing cloud data center based on SDN. Simulated 500 virtual machines distributed on 200 physical hosts.</t>
  </si>
  <si>
    <t>virtual data center migration algorithm process of embedding virtual data cen-ter to the physical data center., called CA-VDCM-ACO Cost Aware Virtual Data Center Mi-gration based Ant Colony Optimization Algorithm.</t>
  </si>
  <si>
    <t>Ant Colony Optimization (ACO) Algorithm with energy as the object function. Design the highest pheromone allocation strategy to avoid falling into a local optimal solution. To accelerate the convergence speed, we also design the pheromone matrix updating strategy.</t>
  </si>
  <si>
    <t>VM migration algorithm is realized in software</t>
  </si>
  <si>
    <t>energy cost</t>
  </si>
  <si>
    <t>compared with the state of art algorithm, CA-VDCE</t>
  </si>
  <si>
    <t>five physical data centers</t>
  </si>
  <si>
    <t>Virtual resource management unified framework that classifies tasks into multiple classes and assigns them to VMs, and places the VMs placement to PMs.</t>
  </si>
  <si>
    <t>This paper formulates the virtual resource management problem
for energy efficiency as a constrained optimization problem.
Then, the paper simplifies the problem through profile-guided
task classification and problem decomposition for complexity
reduction and improved energy efficiency. After that, a three-
phase framework and algorithms are presented for profiling and
profile updating, task classification and application assignment,
and successive virtual machine placement.</t>
  </si>
  <si>
    <t>task classification and assignment, and VM placement are algorithms realized in software</t>
  </si>
  <si>
    <t>energy savings (%)</t>
  </si>
  <si>
    <t>number of jobs, PM quantity gap, number of VMs, execution time (sec)</t>
  </si>
  <si>
    <t>Experimental studies show energy savings of 8% to 12% by the three-phase framework virtual resource allocation using
FFD.</t>
  </si>
  <si>
    <t>CPU</t>
  </si>
  <si>
    <t>small-, medium-, and large-scale data
centers</t>
  </si>
  <si>
    <t>trade-off between power consumption and delay performance</t>
  </si>
  <si>
    <t>policy to turn servers on/off based on jobs in the queue when considering the startup time of the server</t>
  </si>
  <si>
    <t xml:space="preserve">multiserver queueing system with state-dependent setup time and batch 
arrival, where a batch is a big task and a job in the batch is a 
subtask. </t>
  </si>
  <si>
    <t>queueing system that can be implemented to manage turning servers on/off</t>
  </si>
  <si>
    <t>power consumption</t>
  </si>
  <si>
    <t>mean queue length</t>
  </si>
  <si>
    <t>numerical/theoretical proof</t>
  </si>
  <si>
    <t>server</t>
  </si>
  <si>
    <t>virtual machine placement (VMP) scheme (E2VMP)</t>
  </si>
  <si>
    <t>formulates the VMP as a bi-objective optimization problem and solves the VMP problem based on ant colony optimization</t>
  </si>
  <si>
    <t>VMP is an algorithm that is realized in software</t>
  </si>
  <si>
    <t>power consumption (W)</t>
  </si>
  <si>
    <t>communication cost (Watt), bandwidth (Mbps)</t>
  </si>
  <si>
    <t>The performance of our proposed scheme is evaluated in comparison with FFD algorithm and Random algorithm. Simulation results demonstrated that our scheme achieved improvements in power consumption and communication cost, and had a significant reduction in run time under different traffic patterns and configurations.</t>
  </si>
  <si>
    <t>reducing energy cost, increase use renewable energy</t>
  </si>
  <si>
    <t>Management of geographically-distributed data centers including the assignment and migrations of virtual machines (VMs) on the basis of the technical and business objectives. VMs are assigned to a given data center by considering both energy cost variations and the presence of local renewable energy production.</t>
  </si>
  <si>
    <t>Extension of EcoMultiCloud, a flexible load management tool that implements multi-objective load management strategies, and we adapt it to the presence of renewable energy sources to power data centers. This includes information exchange among DCs.</t>
  </si>
  <si>
    <t>VMs assignment and migration are performed by an algorithm that is realized in software</t>
  </si>
  <si>
    <t>energy price ($/kWh), PUE, hourly RE producition (kWh), energy consumption (kWh), energy cost ($), cost saving ($), grid energy demand (MWh)</t>
  </si>
  <si>
    <t>number of VMs</t>
  </si>
  <si>
    <t>scenario with four data centers, located in various geographical areas and with different patterns of renewable energy generation. we evaluated the advantages deriving from the use of the novel strategy with respect to a strategy that does not exploit migrations and to a strategy that moves the workload randomly from the most costly data center to the other data centers. We conclcude that renewable energy can be effectively used in geographically-distributed data centers to reduce operational costs due to the infrastructure power supply, given that a smart and dynamic workload management is adopted.</t>
  </si>
  <si>
    <t>geograhically distributed datacenter</t>
  </si>
  <si>
    <t>Load balancing by improving the process of executing requests. Optimize the scheduling of the execution of the tasks.</t>
  </si>
  <si>
    <t>The decision making logic has been used to select the suitable data center based on distance from source and the bandwidth. Fuzzy logic is used for finding most adequate DC, improved DVFS algorithm is used for selecting ideal host and developed version of EDF-VD algorithmis utilized for Task scheduling and load balance in cloud computing.</t>
  </si>
  <si>
    <t>load balancing algorithm are realized in software</t>
  </si>
  <si>
    <t>execution time of tasks, response time (ms), number of tasks migrated</t>
  </si>
  <si>
    <t>Our approach improvement to the current methods including EEVS, DVFS, Homogeneous, MBFD and EEVS-N.</t>
  </si>
  <si>
    <t>optimize power consumption</t>
  </si>
  <si>
    <t>Efficient server utilization through resources allocation and optimized scheduling of incoming tasks which lead to an optimum number of servers being made use of.</t>
  </si>
  <si>
    <t xml:space="preserve">The allocation problem is modeled using Integer Linear Programming (ILP) techniques, where models are formulated with the objective of 
minimizing the total power consumed by the active and idle cores of the servers. </t>
  </si>
  <si>
    <t>resource utilization is computed and managed by software</t>
  </si>
  <si>
    <t>minimum energy</t>
  </si>
  <si>
    <t>number of tasks, CPU time (s)</t>
  </si>
  <si>
    <t>The model and its usefulness is validated using the generic ILP solver CPLEX. Preliminary results show that an optimization driven servers’ allocation strategy produces noticeable improvement in power consumption when compared to Round Robin and Maximum Possible Value.</t>
  </si>
  <si>
    <t>servers (CPU)</t>
  </si>
  <si>
    <t>save energy</t>
  </si>
  <si>
    <t>Network Function Virtualization (NFV). The purpose of NFV is to use virtualization technology to softwareize network functions, and dynamically deploy virtual network functions (VNFs) according to the usage status of network links and the service requirements of users. NFV can increase the flexibility of network services and the utilization of network resources.</t>
  </si>
  <si>
    <t xml:space="preserve">We abstract the dynamic deployment scheme of vDCs into a multicommodity flow problem, and model the problem using ILP. We design a greedy algorithm for dynamically deployment of vDCs, which converts multi-objective functions into single-objective functions. </t>
  </si>
  <si>
    <t>the dynamic deployment scheme is realized in software</t>
  </si>
  <si>
    <t>average network hops, number of vDC</t>
  </si>
  <si>
    <t>MATLAB to solve the ILP mathematical model and run the greedy algorithm. The evaluation results show that the greedy algorithm can obtain the approximate optimal solution of ILP, and the running time of the proposed algorithm is shorter than the ILP solution when the number of network nodes increases.</t>
  </si>
  <si>
    <t>storage, computing, and other network resources on a single server</t>
  </si>
  <si>
    <t>virtual data center (vDC)</t>
  </si>
  <si>
    <t>predict global energy consumption, reduce energy consumption</t>
  </si>
  <si>
    <t>Compare predicted energy consumption of current scenario with scenorio that moves 80% of DCs to Pan-Arctic region.</t>
  </si>
  <si>
    <t>Firstly, global data center traffic growth is predicted based on the Cisco’s research. Secondly, the dynamic global average PUE and the high latitude PUE based on Romonet simulation model are obtained, and then global data center energy consumption with two different scenarios, the decentralized scenario and the centralized scenario, is analyzed quantitatively via the polynomial fitting method.</t>
  </si>
  <si>
    <t>prediction is performed using software</t>
  </si>
  <si>
    <t>PUE, energy consumption (billion KWH/year), power demand (billion KWH/year)</t>
  </si>
  <si>
    <t>CO2 emissions (tons/year), DC traffic (exabyte/year)</t>
  </si>
  <si>
    <t>missing, but not relevant as it concerns a mathematic correct predication</t>
  </si>
  <si>
    <t>global DC</t>
  </si>
  <si>
    <t>Jointly optimizing the energy consumption of servers and network elements by optimal VM scheduling and routing. The idea is to consolidate the virtual machines onto minimal number of servers in such a way that any two communicating virtual machines are placed very close to each other in the proximity of the data center network.</t>
  </si>
  <si>
    <t>Integer programming problem, to solve it a phase-wise optimization approach with two ant colony based meta-heuristic algorithm is proposed. The topology features of the data center network and the communication patterns of the applications are considered in the construction of the solution.</t>
  </si>
  <si>
    <t>the VM consolidation strategy is realized in software</t>
  </si>
  <si>
    <t>The solution is tested for three standard data center networks,3-tier, B-Cube and Hyper-tree of different sizes and compared against two standard algorithms, first-fit and round-robin algorithms. The results showed that the proposed solution improves energy savings by 15% and 20% on anaverage when compared with first-fit and round-robin respectively.</t>
  </si>
  <si>
    <t>both servers and networks</t>
  </si>
  <si>
    <t>multi-tenant cloud DC</t>
  </si>
  <si>
    <t>improve use renewable energy</t>
  </si>
  <si>
    <t>Allocating jobs with the same service-level-objective (SLO) level to the same physical machine (PM) group, and power each PM group with renewable energy generators that have probability no less than its SLO to produce the amount no less than its energy demand. It ensures that insufficient renewable energy supply will not lead to SLO violations.</t>
  </si>
  <si>
    <t>We use a deep learning technique to predict the probability of producing amount no less than each value of each renewable energy source and predict the energy demands of each PM area. We formulate an optimization problem: how to match renewable energy resources with different instabilities to different PM groups as energy supply in order to minimize the number of SLO violations (due to interruption from insufficient renewable energy supply), total energy monetary cost and total carbon emission. We then use reinforcement learning method and linear programming method to solve the optimization problem.</t>
  </si>
  <si>
    <t>predictions and optimization calculations are realized through software techniques and the allocation is realized in software</t>
  </si>
  <si>
    <t>renewable energy generation (KWh), uninterrupted PM area ratio (percentage of PM areas that always receive renewable energy no less than their demands), cost ($), carbon emission (tons)</t>
  </si>
  <si>
    <t>SLO satisfaction ratio, prediction accuracy, time overhead (mins)</t>
  </si>
  <si>
    <t>Real trace driven experiments show that our method can achieve much lower SLO violations, total energy monetary cost and total carbon emission compared to (1) Renewable and Cooling Aware Workload Management (RCA) (2) Green Scheduling for Cloud Datacenters (GS) (3) Renewable Energy-Aware Reinforcement Learning (REA).</t>
  </si>
  <si>
    <t>PM</t>
  </si>
  <si>
    <t>minimize energy consumption while ensuring QoS</t>
  </si>
  <si>
    <t>Algorithm to detect overloaded/underloaded hosts, selects VMs, and places VMs.</t>
  </si>
  <si>
    <t>Empirical forecast algorithm (EFA) to predict the load states of physical nodes in a dynamically changing heterogeneous cloud environment. The algorithm obtains the future state of a physical node by statistically analyzing the historical data and current utilization of the physical node. After the overloaded host is determined, the weight priority algorithm (WPA) assigns weights to several history factors of each migratable VM on the overloaded host, and the migration priority of each VM is calculated according to all weighting factors. The algorithm selects the VM with the highest priority for migration based on this priority list.</t>
  </si>
  <si>
    <t>the detection, selection, and placement algorithms are realized in software</t>
  </si>
  <si>
    <t>performance metric Pertric in to measure the efficiency of the algorithm, which is expressed as Pertric = EC × SLAV × NHS (EC = energy consumption, SLAV = SLA violations, NHS = number of shutdown hosts)</t>
  </si>
  <si>
    <t>SLATPAH (the percentage of time each active host violated the SLA), SLAPDM (the performance degradation caused by migration), SLAV (SLA violation) = SLAPAH × SLAPDM</t>
  </si>
  <si>
    <t>We simulate EfWp in CloudSim and compare it with the existing overloaded hosts detection algorithms (MeMs, LrMmt,MadMu, IqrMc). The overal performance (petric) of EfWp is significantly different from MeMs, LrMmt, MadMu and IqrMc.</t>
  </si>
  <si>
    <t>heterogeneous cloud environment</t>
  </si>
  <si>
    <t>very nice article that explains concepts such as VM consolation, SLA, QoS etc. clearly</t>
  </si>
  <si>
    <t>minimze energy consumption</t>
  </si>
  <si>
    <t>VM placement, optimization solution through workload distribution, optimum VM relocation method based on real-world resource utilization data for VMs operated over a certain period of time.</t>
  </si>
  <si>
    <t>Placing VMs on hosts according to task patterns, in order to handle all VM workloads while fulfilling the SLA with the minimum number of hosts.</t>
  </si>
  <si>
    <t>optimization model for VM placement is realized in software</t>
  </si>
  <si>
    <t>power consumption (Watt)</t>
  </si>
  <si>
    <t>CPU usage (%), SLA violation rate</t>
  </si>
  <si>
    <t>Compared against: random placement, optimization with all of the data, optimization with monthly pattern, optimization with total average, optimization with weekly pattern. The experimental results confirm that energy consumption can be reduced significantly according to the designed model, and that the SLA target level can be achieved with the same energy consumption.</t>
  </si>
  <si>
    <t>public cloud data centers (CDCs)</t>
  </si>
  <si>
    <t xml:space="preserve">network‐aware virtual machine (VM) placement and relocation algorithm, which optimizes the distribution of the VMs running on the data center </t>
  </si>
  <si>
    <t xml:space="preserve">The proposed technique targets the communicated VMs and places them closer to each other. This would reduce the traffic overhead between any communicating VMs so that fewer network devices are involved in the communication process. This also increases the VMs consolidation to some servers while leaving other servers idle. </t>
  </si>
  <si>
    <t>the network-aware VM placement and relocation algorithm is realized in software</t>
  </si>
  <si>
    <t>energy consumption host + network components (kWh)</t>
  </si>
  <si>
    <t xml:space="preserve">percentage service level agreement violations, number of VM migrations. </t>
  </si>
  <si>
    <t>We compare our algorithm against the algorithm proposed in the work of Beloglazov and Buyya and NPA algorithm. Simulation results show that the proposed algorithm outperforms the existing algorithms in terms of all evaluation metrics.</t>
  </si>
  <si>
    <t>servers and network devices (switches)</t>
  </si>
  <si>
    <r>
      <rPr>
        <color rgb="FF1155CC"/>
        <u/>
      </rPr>
      <t>https://www.emerald.com/insight/content/doi/10.1108/IJPPM-08-2016-0160/full/html</t>
    </r>
    <r>
      <rPr/>
      <t xml:space="preserve"> </t>
    </r>
  </si>
  <si>
    <t>monitor energy efficiency</t>
  </si>
  <si>
    <t>Proposing a new measure (EEUI) to assess the degree of energy efficiency of operating servers.</t>
  </si>
  <si>
    <t>The purpose of this paper was to rely on operations management to define a commensurate and proportionate DC performance indicator: the energy-efficient utilization indicator (EEUI). EEUI makes objective and comparative assessment of efficiency possible independently of the operating environment and its constraints. We first clarified different concepts of efficiency such as power, energy, and energy and power efficiency, and how these are related. We then proposed the EEUI to measure the degree of EE at which servers and clusters operate.</t>
  </si>
  <si>
    <t>measure for EE of servers and clusters, not really software-driven but does address software.</t>
  </si>
  <si>
    <t>energy consumed (kWh), energy productivity</t>
  </si>
  <si>
    <t>total throughput</t>
  </si>
  <si>
    <t>The authors tested EEUI by collecting data from three scientific DCs and performing controlled laboratory tests. The results indicate that the optimization of EEUI makes it possible to run computing resources more efficiently. This leads to a higher EE and throughput of the DC while reducing the carbon footprint associated to DC operations.</t>
  </si>
  <si>
    <t>operations</t>
  </si>
  <si>
    <t>data centers</t>
  </si>
  <si>
    <r>
      <rPr>
        <color rgb="FF1155CC"/>
        <u/>
      </rPr>
      <t>https://link.springer.com/article/10.1007/s11390-018-1811-x</t>
    </r>
    <r>
      <rPr/>
      <t xml:space="preserve"> </t>
    </r>
  </si>
  <si>
    <t>improve energy efficiency of servers</t>
  </si>
  <si>
    <t>CPicker algorithm based on genetic programming using PERC (performance-equivalent resource configurations) replacement approach.</t>
  </si>
  <si>
    <t xml:space="preserve">We leverage PERC replacement, which usually selects the configuration with low energy from PERC to replace current one, to optimize the energy dissipation of applications and servers. We propose the CPicker algorithm based on genetic programming for online optimization. To boost convergent rate, we design a greedy policy to initialize a group, which first chooses configurations of each application from its equivalent regions with higher energy variation. </t>
  </si>
  <si>
    <t>exploited CPicker based on genetic programming</t>
  </si>
  <si>
    <t>relative energy efficiency (PE), normalized energy, power (W)</t>
  </si>
  <si>
    <t>CPU utilization (%), IQR/s</t>
  </si>
  <si>
    <t>Implement CPicker using Python to conduct experiment. For comparison, we design a greedy policy, which is the solution of seeds of CPicker. CPicker obtains above 8% energy efficiency improvement compared with the greedy approach on Sugon server. When conducted the experiment on a laptop, CPicker obtains above 17% energy efficiency improvement compared with the greedy approach.</t>
  </si>
  <si>
    <t>(cloud) data centers</t>
  </si>
  <si>
    <r>
      <rPr>
        <color rgb="FF1155CC"/>
        <u/>
      </rPr>
      <t>https://ieeexplore.ieee.org/abstract/document/8731726/</t>
    </r>
    <r>
      <rPr/>
      <t xml:space="preserve"> </t>
    </r>
  </si>
  <si>
    <t>improve energy and performance efficiency</t>
  </si>
  <si>
    <t>A combination of the proposed energy-performance-aware allocation (EPC-FU) and migration/consolidation technique (CPER) to improve efficiency.</t>
  </si>
  <si>
    <t>We investigate how migration decisions can be made such that the energy and performance costs involved with the migration are recoverable, after which energy is saved and performance is maintained (improved or at least not degraded). We explore the impact on energy and performance efficiencies of allocation heuristics such as Round Robin (RR), Random (R), Best Resource Selection (BRS), Minimum Power Difference (MPD), First Fit (FF), FILLUP (FU) and EPC-FU when combined with different approaches to migration (no migration (NO) migrate all (ALL) or Dynamic Consolidation (DC) migrate relatively long-running VMs (CMCR) migrate relatively long running containers (CPER)). Key to this exploration is the recovery of costs (in terms of energy and performance) incurred by a migration</t>
  </si>
  <si>
    <t>software-based approach evaluated in CloudSim</t>
  </si>
  <si>
    <t>energy consumption (KWh)</t>
  </si>
  <si>
    <t>number of migrations, execution time (s)</t>
  </si>
  <si>
    <t xml:space="preserve">We demonstrate through several experiments how different allocation policies, combined with various migration approaches, will impact on datacenter’s energy and performance efficiencies. We observed that the energy consumption of various applications varies significantly from 1.75% to 43.31%, across various policies and hardware platforms. Results show that EPC-aware scheduling techniques would be more economical than consolidation techniques. For example, without migration a 1.27% decrease in energy consumption was achieved using EPCFU instead of RR. But using EPC-FU, only 0.93% decrease in energy consumption was achieved with dynamic consolidation. </t>
  </si>
  <si>
    <t>containers</t>
  </si>
  <si>
    <t>containerized data center</t>
  </si>
  <si>
    <r>
      <rPr>
        <color rgb="FF1155CC"/>
        <u/>
      </rPr>
      <t>https://ieeexplore.ieee.org/abstract/document/8631005/</t>
    </r>
    <r>
      <rPr/>
      <t xml:space="preserve"> </t>
    </r>
  </si>
  <si>
    <t xml:space="preserve">optimize energy consumption </t>
  </si>
  <si>
    <t xml:space="preserve">Proposing energy-aware coflow scheduling and a heuristic algorithm. </t>
  </si>
  <si>
    <t>Energy-aware scheduling of coflows and antenna directions in a server-centric DCN. We formulate this scheduling problem as an optimization problem named energy-aware coflow and antenna scheduling (ECAS) and solve it using a mathematical programming solver. We further prove the NP-hardness (computational complexity) of the formulated ECAS problem. We also introduce a heuristic algorithm to reduce the computational complexity.</t>
  </si>
  <si>
    <t xml:space="preserve">software-based algorithm that reduce computational complexity </t>
  </si>
  <si>
    <t>normalized energy consumption (0-1)</t>
  </si>
  <si>
    <t>hop counts, coflow completion time (s)</t>
  </si>
  <si>
    <t>Our simulation results show that our optimal solution saves up to 48% of energy compared with representative competitors. Our heuristic algorithm achieves lower energy savings but still generates the shortest paths and lowest transferring time of flows. Further simulations on the network topology with a different size also confirm the efficiency of our proposed model and algorithm</t>
  </si>
  <si>
    <t>coflows (groups of parallel and highvolume flows generated by big data applications)</t>
  </si>
  <si>
    <t>server-centric data center networks (DCN)</t>
  </si>
  <si>
    <r>
      <rPr>
        <color rgb="FF1155CC"/>
        <u/>
      </rPr>
      <t>https://www.sciencedirect.com/science/article/pii/S0957417420305431</t>
    </r>
    <r>
      <rPr/>
      <t xml:space="preserve"> </t>
    </r>
  </si>
  <si>
    <t>optimize power consumption (and resource utilization)</t>
  </si>
  <si>
    <t xml:space="preserve">Proposing an algorithm for optimal VM placement. </t>
  </si>
  <si>
    <t>We address the problem of container and VM placement in CaaS environments with consideration of optimizing both power consumption and resource utilization. We propose the DWO-CP algorithm based on the Whale Optimization Algorithm (WOA) to solve these two stages of placement as one optimization problem. The proposed algorithm searches for the optimal numbers of VMs and PMs in one search space.</t>
  </si>
  <si>
    <t>adapts whale optimization algorithm (WOA)</t>
  </si>
  <si>
    <t xml:space="preserve">power consumption (W) </t>
  </si>
  <si>
    <t>RAM and CPU utilization (%), residial capacity (%)</t>
  </si>
  <si>
    <t>The proposed method is evaluated over different levels of heterogeneous environments against recent methods. For instance, the DWO-CP algorithm placed 10,000 containers in 2643 VMs and 761 PMs in about 3.5s using 179,836W. For the same problem the First-Fit baseline algorithm places the same 10,000 containers in 3866 VMs and 1029 PMs using 236,868W; meaning the improvement of the DWO-CP algorithm in comparison to the First-Fit is 32% and 26% for the number of VMs and PMs, respectively.</t>
  </si>
  <si>
    <t>VM (virtual machines) and PM (physical machines)</t>
  </si>
  <si>
    <t>CaaS (container-as-a-service) data centers</t>
  </si>
  <si>
    <r>
      <rPr>
        <color rgb="FF1155CC"/>
        <u/>
      </rPr>
      <t>https://link.springer.com/content/pdf/10.1007/s42235-019-0030-7.pdf</t>
    </r>
    <r>
      <rPr/>
      <t xml:space="preserve"> </t>
    </r>
  </si>
  <si>
    <t>improve energy efficiency (and data center performance), mentions enhancing environmental sustainability</t>
  </si>
  <si>
    <t xml:space="preserve">Proposing an energy-oriented algorithm for VM allocation. </t>
  </si>
  <si>
    <t>Proposes an Energy-oriented Flower Pollination Algorithm (E-FPA) for VM allocation. A system framework for the scheme was developed to enable energy-oriented allocation of various VMs on a PM. The allocation uses a strategy called Dynamic Switching Probability (DSP). The framework finds a near optimal solution quickly and balances the exploration of the global search and exploitation of the local search. It considers a processor, storage, and memory constraints of a PM while prioritizing energy-oriented allocation for a set of VMs.</t>
  </si>
  <si>
    <t>flower pollination algorihm simulated in CloudSim</t>
  </si>
  <si>
    <t>number of active PMs, resource utilization (%), computational performance</t>
  </si>
  <si>
    <t>Simulations performed on MultiRecCloudSim utilizing planet workload show that the E-FPA outperforms the Genetic Algorithm for Power-Aware (GAPA) by 21.8%, Order of Exchange Migration (OEM) ant colony system by 21.5%, and First Fit Decreasing (FFD) by 24.9%.</t>
  </si>
  <si>
    <t>VM, PM</t>
  </si>
  <si>
    <t>(large-scale) cloud datacenter</t>
  </si>
  <si>
    <r>
      <rPr>
        <color rgb="FF1155CC"/>
        <u/>
      </rPr>
      <t>https://www.sciencedirect.com/science/article/pii/S1568494618301327</t>
    </r>
    <r>
      <rPr/>
      <t xml:space="preserve"> </t>
    </r>
  </si>
  <si>
    <t>trade-off between energy efficiency and resource utilization</t>
  </si>
  <si>
    <t>Proposing an optimization algorithm implemented in a three-layer energy management framework.</t>
  </si>
  <si>
    <t>A Repairing Genetic Algorithm (RGA) is presented to solve the large-scale optimization problem. It enhances penalty-based genetic algorithm by incorporating the Longest Cloudlet Fastest Processor (LCFP), from which an initial population is generated, and an infeasible-solution repairing procedure (ISRP). The application assignment to VMs with RGA is integrated into a three-layer energy management framework for data centres.</t>
  </si>
  <si>
    <t>application assignment algorithm for VMs</t>
  </si>
  <si>
    <t>energy consumption (Wh), daily energy consumption (kWh)</t>
  </si>
  <si>
    <t>resource utilization (%), makespan (s)</t>
  </si>
  <si>
    <t>Experiments are conducted to demonstrate the effectiveness of the presented approach, e.g., 23% less energy consumption and 43% more resource utilization in comparison with the steady-state Genetic Algorithm (GA) under investigated scenarios.</t>
  </si>
  <si>
    <t>application assignment to VMs</t>
  </si>
  <si>
    <r>
      <rPr>
        <color rgb="FF1155CC"/>
        <u/>
      </rPr>
      <t>https://ieeexplore.ieee.org/abstract/document/8267099/</t>
    </r>
    <r>
      <rPr/>
      <t xml:space="preserve"> </t>
    </r>
  </si>
  <si>
    <t>minimize energy costs</t>
  </si>
  <si>
    <t>Proposing three different strategies to solve the joint computing, data transmission and migration energy costs (JCDME) problem with an automatic and adaptive computation of the weight parameter for the VEs migration costs.</t>
  </si>
  <si>
    <t>We model the energy consumption by considering the computing costs of the VEs on the physical servers, the costs for migrating VEs across the servers, and the costs for transferring data between VEs. In addition, a weight parameter to avoid an excessive number of VE migrations is introduced. We propose: (1) new model of cloud servers based on different operating regimes with different degrees of energy efficiency (processing power versus energy consumption), namely Joint Compuing, Data Transmission and Migration Energy Costs (JCDME), (2)a new algorithm that performs load balancing and task scaling to maximize the number of servers operating under the energy-optimal regime; and (3) an overview and comparison.</t>
  </si>
  <si>
    <t>rebalancing approach based on Honeybee Foraging Algorithm and Effective clustering algorithm</t>
  </si>
  <si>
    <t>average energy consumption per timeslot (kJ), total energy consumption (kJ)</t>
  </si>
  <si>
    <t>computation time per timeslot (s), CPU and memory utilization (%)</t>
  </si>
  <si>
    <t>We evaluate the considered strategies over a set of scenarios, ranging from a small sized SDDC up to a medium sized SDDC composed of hundreds of VEs and hundreds of servers. Our results demonstrate that JCDME is able to save up to an
additional 7% of energy w.r.t. previous energy-aware algorithms, without a substantial increase in the solution complexity.</t>
  </si>
  <si>
    <t>VE</t>
  </si>
  <si>
    <t>Software-defined cloud data centers (SDDCs)</t>
  </si>
  <si>
    <r>
      <rPr>
        <color rgb="FF1155CC"/>
        <u/>
      </rPr>
      <t>https://ieeexplore.ieee.org/abstract/document/8626500/</t>
    </r>
    <r>
      <rPr/>
      <t xml:space="preserve"> </t>
    </r>
  </si>
  <si>
    <t>improve power consumption</t>
  </si>
  <si>
    <t>Formulating the dynamic VM management and proposing MadVM.</t>
  </si>
  <si>
    <t>We formulate the dynamic VM management as a large-scale Markov decision process (MDP) problem and derive an optimal solution. We further exploit the special structure of the problem and propose an approximate MDP-based dynamic VM management method, called MadVM. Furthermore, we propose a robust method to estimate the transition kernel, called Combined Estimator, which combines the sliding window based maximum likelihood stimator and the weak estimator.</t>
  </si>
  <si>
    <t>software-based dynamic VM placement method</t>
  </si>
  <si>
    <t>average power consumption (kW)</t>
  </si>
  <si>
    <t>transition probability, CPU usage, average number of PMs used, average resource shortage (%), average number of VM migrations</t>
  </si>
  <si>
    <t>Extensive simulations based on two real-world workload traces show that MadVM achieves significant performance gains over two existing baseline approaches in power consumption, resource shortage, and the number of VM migrations. Specifically, the more intensely the resource demands fluctuate, the more MadVM outperforms.</t>
  </si>
  <si>
    <t xml:space="preserve">VM </t>
  </si>
  <si>
    <r>
      <rPr>
        <color rgb="FF1155CC"/>
        <u/>
      </rPr>
      <t>https://ieeexplore.ieee.org/abstract/document/8982573/</t>
    </r>
    <r>
      <rPr/>
      <t xml:space="preserve"> </t>
    </r>
  </si>
  <si>
    <t xml:space="preserve">Targets on energy saving for SDN-based datacenter, an SApriori energy-efficient algorithm is provided. </t>
  </si>
  <si>
    <t>A novel energy saving algorithm SApriori for SDN datacenter is proposed. The SApriori's advantage and innovation is based on SDN network architecture and makes full use of Apriori strategy. Through fully interacting with network components and data center server by OpenFlow protocol, the algorithm obtains corresponding network traffic information and server load information. By means of this, vistiror access efficiency is improved, total storage is reduced and the purpose of data center energy saving is achieved.</t>
  </si>
  <si>
    <t>algorithm interacts with network components (servers)</t>
  </si>
  <si>
    <t>energy saving ratio</t>
  </si>
  <si>
    <t>storage saving ratio</t>
  </si>
  <si>
    <t>SApriori is more practical and more valuable than other typical energy-efficient algorithm. Access efficiency is improved and overall storage requirements are reduced by running the SApriori. The datacenter network's control and forwarding is separated effectively by adopting SDN. Simulation results show that the strategy proposed by this paper can save more energy than other typical energy-efficient algorithm and overall storage is reduced.</t>
  </si>
  <si>
    <t>DCN (data center network)</t>
  </si>
  <si>
    <t>SDN-based data centers</t>
  </si>
  <si>
    <r>
      <rPr>
        <rFont val="arial,sans,sans-serif"/>
        <color rgb="FF1155CC"/>
        <u/>
      </rPr>
      <t>https://jit.ndhu.edu.tw/article/view/2085</t>
    </r>
    <r>
      <rPr>
        <rFont val="arial,sans,sans-serif"/>
      </rPr>
      <t xml:space="preserve"> </t>
    </r>
  </si>
  <si>
    <t>conserve energy</t>
  </si>
  <si>
    <t>Proposing an adaptive (data) flow scheduling model for Data Center Networks in cloud data centers.</t>
  </si>
  <si>
    <t>The proposed Adaptive flow scheduling technique (AFS) is intended to constantly monitor the traffic characteristics of the data center and accordingly activate or deactivate the spine switches. An adaptive threshold is used to identify the minimum utilized switches and a deadline based threshold is used to identify the switches that have flows with minimum completion time. The identified switches are put to sleep mode.</t>
  </si>
  <si>
    <t>benchmarked with that of typical Artificial Bee Colony (ABC) algorithm and evaluated in CloudSim</t>
  </si>
  <si>
    <t>assuming that fixed number of switches
without energy management will consume 100% of
their rated power (a comparison is made to that), energy loss</t>
  </si>
  <si>
    <t>delay, node loss, reputation, execution time (s)</t>
  </si>
  <si>
    <t>The proposed work is evaluated using the Cloudsim toolkit with traffic patterns that model the real data center traffic. The simulation results effectively demonstrate that the proposed system consumes 15% less energy as against the baseline data centers with static set of active switches and state of art technique.</t>
  </si>
  <si>
    <t>cloud data centers</t>
  </si>
  <si>
    <r>
      <rPr>
        <rFont val="arial,sans,sans-serif"/>
        <color rgb="FF1155CC"/>
        <u/>
      </rPr>
      <t>https://jespublication.com/upload/2019-V10-I12-10.pdf</t>
    </r>
    <r>
      <rPr>
        <rFont val="arial,sans,sans-serif"/>
      </rPr>
      <t xml:space="preserve"> </t>
    </r>
  </si>
  <si>
    <t>Scheduling of servers with multi-sleep modes in cloud data centers.</t>
  </si>
  <si>
    <t xml:space="preserve">We formulate the problem of scheduling servers with multi-sleep modes as an integer linear programming (ILP) problem during the whole period of time with millions of decision variables. To solve this problem, we divide it into subproblems with smaller periods while ensuring the feasibility and transition continuity for each subproblem through a Backtrack-and-Update technique. We also consider using DVFS to adjust the frequency of active servers, so that the requests can be processed with the least power. </t>
  </si>
  <si>
    <t>integer linear programming (ILP) method for scheduling server sleep modes</t>
  </si>
  <si>
    <t>Our simulations are based on traces from real world and show that our scheduling using multi-sleep modes can significantly reduce the total energy with QoS of less than 10ms. Against the over-provisioned strategy of AlwaysOn, our method can reduce more than 28% of the total energy on average.</t>
  </si>
  <si>
    <t>evaluation method is inexplicit and used metrics unclear</t>
  </si>
  <si>
    <r>
      <rPr>
        <color rgb="FF1155CC"/>
        <u/>
      </rPr>
      <t>https://link.springer.com/chapter/10.1007/978-3-319-62238-5_8</t>
    </r>
    <r>
      <rPr/>
      <t xml:space="preserve"> </t>
    </r>
  </si>
  <si>
    <t>predict (renewable) energy production</t>
  </si>
  <si>
    <t>Proposing a prediction model for short-term renewable energy production by data centers.</t>
  </si>
  <si>
    <t>We presented a short-term renewable energy production prediction to predict the renewable energy level for many time-steps ahead into the future. The proposed model is based on the Gaussian mixture model and uses history data to train itself and predict the next level of renewable energy in a data center. Knowing the future level of renewable energy helps the cloud provider to make an informed decision to migrate the VMs in the absence of the renewable energy in a data center to a data center with excess renewable energy. This way, the cloud provider can maximize the usage of renewable energy.</t>
  </si>
  <si>
    <t>prediction model is benchmarked to other software-based prediction models</t>
  </si>
  <si>
    <t>bounded predicted values (kWh), renewable energy production (kWh)</t>
  </si>
  <si>
    <t>R-squared, standard error, mean absolute error (MAE), P-percentile</t>
  </si>
  <si>
    <t>To validate the accuracy of the proposed model, we used renewable energy measurements by NREL. The prediction results show that GMM model can predict up to 15 min ahead into the future with nearly 98% precision around ± 10% of the actual values. This means that cloud provider can perform online VM migrations with performance close to the optimal offline, that has the full knowledge of the future level of renewable energy.</t>
  </si>
  <si>
    <t>cloud data centers of cloud service providers (CSPs)</t>
  </si>
  <si>
    <r>
      <rPr>
        <color rgb="FF1155CC"/>
        <u/>
      </rPr>
      <t>http://search.proquest.com/openview/21c57e9527878ff9b6c8a99d58d1bdb0/1?pq-origsite=gscholar&amp;cbl=4477230</t>
    </r>
    <r>
      <rPr/>
      <t xml:space="preserve"> </t>
    </r>
  </si>
  <si>
    <t>EAI</t>
  </si>
  <si>
    <t>minimum energy consumption</t>
  </si>
  <si>
    <t>Proposing a Hybrid-Best-Fit (HBF) heuristic algorithm for energy-efficient resource allocation in cloud data centres. Here one type of resource is considered for allocation.</t>
  </si>
  <si>
    <t>The algorithm works as follows: For each VM in the VM list, each PM is checked whether it is suitable to host the VM. If suitable, the residue fragment after the allocation is found out. The PM which leaves the least residue after that particular VM allocated is chosen to host in that PM. A temporary allocation list is generated. The process is iterated again until all VM requests are satisfied and energy consumption of PMs is calculated. The process is repeated for increasing and decreasing order of VM requests and each time the energy consumption of PMs are calculated. The order which results in minimum consumption is finalized.</t>
  </si>
  <si>
    <t>simulation experiments were developed in Java programming language</t>
  </si>
  <si>
    <t>total energy consumption (kWh)</t>
  </si>
  <si>
    <t>PM capacities, PM energy requirements and VM requests are generated randomly. A comparison is made between BestFit, BestFit Decreasing, and Hybrid Best-Fit algorithms. The process is done for 100 times using simulation experiments that were developed in Java programming language. Experimental results show that the proposed HBF is consuming 2.516% and 3.392% less energy compared to Best-Fit and BFD heuristics.</t>
  </si>
  <si>
    <r>
      <rPr>
        <rFont val="arial,sans,sans-serif"/>
        <color rgb="FF1155CC"/>
        <u/>
      </rPr>
      <t>https://www.mdpi.com/1424-8220/19/18/3980</t>
    </r>
    <r>
      <rPr>
        <rFont val="arial,sans,sans-serif"/>
      </rPr>
      <t xml:space="preserve"> </t>
    </r>
  </si>
  <si>
    <t>Developing a mixed integer programming (MIP) algorithm to optimize the power consumption of network devices via energy aware traffic engineering.</t>
  </si>
  <si>
    <t>We show that via energy aware traffic engineering, an SDN application can successfully address the problem. Depending on hardware properties and traffic conditions, links can be put on a lower power state or completely shut off via traffic steering. We formulate the optimization process as a mixed integer programming (MIP) algorithm that models power consumption taking into account all relevant constraints. Since the solution is optimal only for a short time frame, as long as traffic loads do not change considerably, periodical repetitions and fast execution times are required and fine tuning of the solver is mandatory.</t>
  </si>
  <si>
    <t>mixed integer programming (MIP) algorithm</t>
  </si>
  <si>
    <t>number of links</t>
  </si>
  <si>
    <t xml:space="preserve">We evaluated the results of the optimization algorithm on various network topologies, sizes (number of nodes) and traffic volumes. We emulated three different network topologies applicable to DC networking (a) classical three tier topology, (b) fat tree, and (c) leaf and spine. We focused only to inter-switch communications and did not consider the impact of multihomed servers where further benefits can be achieved. We showed that DC networking can be largely optimized regarding power consumption regardless of the topology selected. The benefits in power consumption range
from 65% to 90% in all typical scenarios depending on the total load. </t>
  </si>
  <si>
    <r>
      <rPr>
        <color rgb="FF1155CC"/>
        <u/>
      </rPr>
      <t>https://ieeexplore.ieee.org/abstract/document/8364052/</t>
    </r>
    <r>
      <rPr/>
      <t xml:space="preserve"> </t>
    </r>
  </si>
  <si>
    <r>
      <rPr/>
      <t xml:space="preserve">Articulating a novel heuristic DVMC
algorithm, </t>
    </r>
    <r>
      <rPr>
        <i/>
      </rPr>
      <t>RTDVMC</t>
    </r>
    <r>
      <rPr/>
      <t>, which exploits CSU provided
information such as VMRT in its substratum.</t>
    </r>
  </si>
  <si>
    <t>Finding the right benign information to be received from a
Cloud Service User (CSU) which can complement the energy-efficiency of cloud data centers (CDC) and a smart application of such information to significantly reduce the energy consumption of CDC To address those
research challenges, we have proposed a novel heuristic Dynamic VM Consolidation algorithm, RTDVMC, which minimizes the energy consumption of CDC through exploiting CSU provided information.</t>
  </si>
  <si>
    <t>simulated a cloud environment and implemented the proposed algorithm</t>
  </si>
  <si>
    <t>none</t>
  </si>
  <si>
    <t>To evaluate the performance, we have modelled and simulated a cloud environment and implemented our proposed algorithm, RTDVMC in CloudSim. Then, we have simulated RTDVMC algorithm in different workload scenarios. We have simulated the performance of RTDVMC with real Cloud workload traces originated from more than 800 PlanetLab VMs. The empirical figures affirm the superiority of RTDVMC over existing prominent Static and Adaptive Threshold based DVMC algorithms.</t>
  </si>
  <si>
    <t>VM, cloud service user (CSU)</t>
  </si>
  <si>
    <t>cloud data centers (CDC)</t>
  </si>
  <si>
    <t>Proposing a framework while energy-aware traffic consolidation in DCNs is best performed in a distributed manner.</t>
  </si>
  <si>
    <t>The distributed energy-aware traffic management framework, DREAM, consolidates traffic to a minimal portion of DCN at the flowlet granularity. Flowlet scheduling produces less fragmenting of the link capacity and allows for better energy savings. The distributed agent is implemented in Open vSwitch and utilizes ECN to sense the queue build-up at the intermediate switches. As reaction to ECN operates at RTT timescales, DREAM has good responsiveness to traffic variations and bursts. As a result, DREAM fully utilizes every energy saving opportunity and quickly reroutes flowlets to avoid packet drops and long delays</t>
  </si>
  <si>
    <t>software-based framework that interacts with servers in DCN</t>
  </si>
  <si>
    <t>throughput (Mbps), computation time</t>
  </si>
  <si>
    <t xml:space="preserve">Testbed results using the Wikipedia trace and the Facebook MapReduce trace prove that DREAM on average saves at least 15.8% DCN energy, compared to existing schemes such as CARPO which saves only 11.6% and ElasticTree which saves 8.4% energy. </t>
  </si>
  <si>
    <t>DCN (data center network), flowlets</t>
  </si>
  <si>
    <r>
      <rPr>
        <color rgb="FF1155CC"/>
        <u/>
      </rPr>
      <t>https://link.springer.com/chapter/10.1007/978-3-030-21507-1_41</t>
    </r>
    <r>
      <rPr/>
      <t xml:space="preserve"> </t>
    </r>
  </si>
  <si>
    <t>useful energy use / monitor energy consumption</t>
  </si>
  <si>
    <t>Investigating a specific class of energy metrics (i.e. productivity and waste energy metrics) for DCs and presenting the assessment results based on energy-oriented analysis.</t>
  </si>
  <si>
    <t>Estimates the energy use by different queues where different (regarding the kind - parallel/serial - and services area) sets of applications are running. During a certain period, the energy consumed by individual applications and the energy consumed at queues level is analyzed, the energy used by the queues in terms of useful computing (useful work) and non-useful computing (waste energy) work is calculaed by employing the Energy Waste Ratio (EWR) metric, energy consumption for running parallel versus serial jobs is evaluated, the energy consumed by a DC Cluster at computing level based on (a-c) is assessed, and sustainability in the DC is assessed by translating energy use into a sustainability metric of carbon emissions.</t>
  </si>
  <si>
    <t>set of data is related to the energy consumption of operating systems of an HPC Cluster</t>
  </si>
  <si>
    <t>productivity and waste metrics (specific class of energy metrics)</t>
  </si>
  <si>
    <t>WUE / CUE / EWR</t>
  </si>
  <si>
    <t>Evaluation shows that measurements at different granularity levels (i.e. jobs or queues), and execution modes (i.e. parallel or serial) provide invaluable statistical data. Rigorous analysis of such collated data highlights areas for improvement and demonstrated the need for optimized software engineering techniques for a higher level of energy efficiency. Also, carbon emissions estimation (using CUE) could provide an insight into the environmental impact of working IT facilities and this poses as a step towards more environmentally related metrics. Finally, the findings foster a better understanding and enhancement of the existing pool of DC sustainability-related metrics.</t>
  </si>
  <si>
    <t>HPC-cluster</t>
  </si>
  <si>
    <t>ENEA data centers</t>
  </si>
  <si>
    <r>
      <rPr>
        <color rgb="FF1155CC"/>
        <u/>
      </rPr>
      <t>https://onlinelibrary.wiley.com/doi/abs/10.1002/net.21752</t>
    </r>
    <r>
      <rPr/>
      <t xml:space="preserve"> </t>
    </r>
  </si>
  <si>
    <t>Re-examning the current operating practices in data centers; server clustering, powering on/off, and bang–bang control.</t>
  </si>
  <si>
    <t xml:space="preserve">This article re‐examines the current operating practices in data centers, that is, server clustering, powering on/off, and bang–bang control. We develop three procedures to make the optimization problem address these practices. First, three algorithms are developed to incorporate these practices into the optimization problem. We also develop a clustering algorithm for building an energy efficient cluster of servers from the upper bounds for the size of clusters we derive. Second, we conduct extensive numerical studies and show that some of these practices do not harm energy efficiency in data center operations. This result is relevant to data center operations because it demonstrates that energy efficiency can be achieved by using these practices. Additionally, some research extensions are presented. </t>
  </si>
  <si>
    <t>three algorithms to incorporate data center practices into the optimization problem and a clustering algorithm for building an energy efficient cluster of servers are developed (mixed integer programming MIP)</t>
  </si>
  <si>
    <t xml:space="preserve">workload for applications </t>
  </si>
  <si>
    <t>Computational results show that: (1) bang–bang type frequency scaling is energy efficient for some instances, (2) server clustering does not hurt energy efficiency while providing stability and scalability. Hence, we conclude that data center operators could use both to manage their servers and still achieve high energy efficiency.</t>
  </si>
  <si>
    <r>
      <rPr>
        <color rgb="FF1155CC"/>
        <u/>
      </rPr>
      <t>https://www.researchgate.net/profile/Abdulrahman_Nahhas/publication/333335432_Toward_an_Autonomic_and_Adaptive_Load_Management_Strategy_for_Reducing_Energy_Consumption_under_Performance_Constraints_in_Data_Centers/links/5d1b96fa92851cf440600900/Toward-an-Autonomic-and-Adaptive-Load-Management-Strategy-for-Reducing-Energy-Consumption-under-Performance-Constraints-in-Data-Centers.pdf</t>
    </r>
    <r>
      <rPr/>
      <t xml:space="preserve"> </t>
    </r>
  </si>
  <si>
    <t>Overview of load management strategies and a conceptual model.</t>
  </si>
  <si>
    <t>Presented an overview on the current advances of load management strategies targeting sustainable management of IT resources in data centers. Sheds light on the usual formulation of static and dynamic Virtual Machines (VMs) placement problems, and present an intermediate analysis from our systemic literature analysis. Furthermore, the adopted solution approaches are discussed from an algorithmic point of view. Lastly, a conceptual design for an autonomic and adaptive load management strategy is presented.</t>
  </si>
  <si>
    <t>takes an algorithmic point of view and targets IT resources</t>
  </si>
  <si>
    <t>none, online time will be linked to energy consumption in future work</t>
  </si>
  <si>
    <t xml:space="preserve">total online hours of servers </t>
  </si>
  <si>
    <t>We simulated five days of operations and relied on the expert’s interviews to derive mathematical distribution that describes the behavior of the considered virtual machines. The IT landscape of the considered system consists of eight homogeneous servers, which host five different types of virtualized systems deployed in 290 VMs. This preliminary analysis (small use case) showed that the framework can achieve considerable improvements in minimizing the objective values</t>
  </si>
  <si>
    <r>
      <rPr>
        <color rgb="FF1155CC"/>
        <u/>
      </rPr>
      <t>https://www.sciencedirect.com/science/article/pii/S074373151930190X</t>
    </r>
    <r>
      <rPr/>
      <t xml:space="preserve"> </t>
    </r>
  </si>
  <si>
    <t>reduce power consumption and number of migrations</t>
  </si>
  <si>
    <t>Expanding on dynamic virtual machine (VM) consolidation and resource utilization prediction model.</t>
  </si>
  <si>
    <t>The dynamic VM consolidation problem is solved by forecasting CPU utilization on the basis of the Gray–Markov model. The objective of the approach is to minimize unnecessary VM migrations and the number of active hosts to economize on energy. Through the resource utilization prediction approach, a consolidation approach with UP-POD and UP-PUD algorithms for energy-efficient cloud data centers is proposed.</t>
  </si>
  <si>
    <t>proposed UP-POD and UP-PUD algorithms</t>
  </si>
  <si>
    <t>energy consumption (kWh), power-saving value (based on power consumption and number of migrations)</t>
  </si>
  <si>
    <t>number of VM migrations, SLA violation rate</t>
  </si>
  <si>
    <t>In an experimental setting, the proposed approach is applied for real-world workload traces in CloudSim and were compared with the existing benchmark algorithms (THR, MAD, IQR, etc.). Simulation (involving a data center comprising 800 heterogeneous PMs) results show that the proposed approaches significantly reduce the number of VM migrations and energy consumption while maintaining the QoS guarantee.</t>
  </si>
  <si>
    <r>
      <rPr>
        <color rgb="FF1155CC"/>
        <u/>
      </rPr>
      <t>https://dl.acm.org/doi/abs/10.1145/3297280.3297420</t>
    </r>
    <r>
      <rPr/>
      <t xml:space="preserve"> </t>
    </r>
  </si>
  <si>
    <t>Proposing techniques to define flow paths respecting flow bandwidth requirements.</t>
  </si>
  <si>
    <t>A novel flow mapping algorithm aiming at reducing the energy consumption of the network layer in SDN-based Data Centers. The algorithm focuses on consolidating network flows based on bandwidth demands and mapping them to the existing network infrastructure. Network elements (switches and links) are dynamically put in a low energy consumption mode when not used, and the speed on switch ports are adjusted based on the required bandwidth demand, according to mapped flows. The impact of using different heuristics to perform the consolidation and different oversubscription ratios to increase energy savings is analyzed.</t>
  </si>
  <si>
    <t>algorithm for the application of energy reduction strategies and a flow mapping algorithm for calculating energy consumption</t>
  </si>
  <si>
    <t xml:space="preserve">POD size, workloads, oversubscription factor, network load </t>
  </si>
  <si>
    <t>Tests were performed on a Fat-tree topology with different strategies, numbers of PODs, port speed, network loads, and number of flows. For the construction of the fat-tree topology, a simulator was developed in Python to automatically generate the Data Center scenarios used in the experiments, implementing the algorithms of the flow mapping strategies and performing the energy consumption calculation based on the proposed consumption model. Results show savings of up to 70% regarding energy consumption in the network layer.</t>
  </si>
  <si>
    <t>DCN</t>
  </si>
  <si>
    <r>
      <rPr>
        <color rgb="FF1155CC"/>
        <u/>
      </rPr>
      <t>https://link.springer.com/article/10.1007/s11227-018-2513-4</t>
    </r>
    <r>
      <rPr/>
      <t xml:space="preserve"> </t>
    </r>
  </si>
  <si>
    <t>Modeling the data center as an M/M/H vacation queuing system and construct a two-dimensional continuous-time Markov chain to formulate the queuing system.</t>
  </si>
  <si>
    <t>A novel energy-saving strategy that switches server between on and sleep in a group basis by integrating synchronous and asynchronous methods. The cloud data center is modeled as an M/M/H vacation queuing system. We construct a two-dimensional continuous-time Markov chain to analyze the queuing system and provide formulas for estimating system performance (total number of tasks and the number of sleeping servers in the system), paying particular attention to the mean sojourn time and total energy cost.</t>
  </si>
  <si>
    <t>Markov chain to analyze the multi-server queuing system regarding server sleep modes</t>
  </si>
  <si>
    <t>total energy consumption (W)</t>
  </si>
  <si>
    <t>arrival rate of tasks, sojourn time of tasks</t>
  </si>
  <si>
    <t>Tested the strategy by employing two-dimensional continuous-time Markov chains to estimate system performance and energy consumption. The experimental results show that a smaller group is superior from the perspective of energy saving and that a larger group is superior from the perspective of the response delay.</t>
  </si>
  <si>
    <t>homogeneous computing servers</t>
  </si>
  <si>
    <r>
      <rPr>
        <color rgb="FF1155CC"/>
        <u/>
      </rPr>
      <t>https://link.springer.com/chapter/10.1007/978-981-15-5341-7_111</t>
    </r>
    <r>
      <rPr/>
      <t xml:space="preserve"> </t>
    </r>
  </si>
  <si>
    <t>maximum resource utilization and minimum power consumption</t>
  </si>
  <si>
    <t>Proposing an optimized VM placement framework for effective server consolidation.</t>
  </si>
  <si>
    <t>A novel multi-objective VM placement framework is proposed based on GA-based evolutionary optimization and non-dominated sorting approach. The proposed VM placement method applies rank-based sorting according to both the objectives and selects the non-dominated solution which gives feasibly optimal VM placement. We have encoded VM placement information as genetic chromosome followed by selection of feasibly optimal VM allocation based on ranking-based fitness evaluation.</t>
  </si>
  <si>
    <t>encoded VM placement and summarized operational algorithm</t>
  </si>
  <si>
    <t>resource utilization (%)</t>
  </si>
  <si>
    <t>Simulation experiments executed with 50 VMs on 30 servers, 100 VMs on 60 servers, 200, 300, 400, and 500 VMs on 120, 180, 240, and 300 servers, respectively. Each experiment was executed for 20 times, and mean value of the obtained results is reported. proposed GA scales down power consumption by 11.32, 12, and 13.7% over random, best-fit, and first-fit heuristic-based VM allocations.</t>
  </si>
  <si>
    <t>VM (servers)</t>
  </si>
  <si>
    <r>
      <rPr>
        <color rgb="FF1155CC"/>
        <u/>
      </rPr>
      <t>https://ieeexplore.ieee.org/abstract/document/9148838/</t>
    </r>
    <r>
      <rPr/>
      <t xml:space="preserve"> </t>
    </r>
  </si>
  <si>
    <t xml:space="preserve">energy minimization </t>
  </si>
  <si>
    <t>Multi-objective Virtual Data Center Embedding (VDCE) scheme, named ESP-driven VDCE.</t>
  </si>
  <si>
    <t>A multi-objective Virtual Data Center Embedding (VDCE) scheme for multi-domain cloud computing setups. The primary focus of the proposed scheme is on energyy minimization, SLA assurance, and reduced energy Prices; named the ESP-driven VDCE. The proposed scheme was formulated as an optimization problem. However, due to the intractability of the formulated problem, its is remodelled and divided into three sub-problems (SP), i.e., data center identification, virtual machine mapping, and virtual link embedding. The output of one SP serves as an input to the next SP, such that the search space can be significantly narrowed.</t>
  </si>
  <si>
    <t>scheme for multi-domain cloud computing, tested against other algorithms</t>
  </si>
  <si>
    <t xml:space="preserve">energy cost ($), average SLA </t>
  </si>
  <si>
    <t>The scripting of the proposed scheme was done in MATLAB and 5 geographically distributed DCs were considered for evaluation purposes. The performance of the proposed ESP-driven VDCE scheme is evaluated against three algorithms, namely random, worst and best fit. The obtained results demonstrate that the proposed ESP-driven VDCE approach achieves almost 7.6% more energy-aware embeddings with 11.5% higher SLA levels and approximately 23% lower energy expenses.</t>
  </si>
  <si>
    <t>multi-domain cloud computing setups</t>
  </si>
  <si>
    <t>virtual data centers (collection of VMs)</t>
  </si>
  <si>
    <r>
      <rPr>
        <color rgb="FF1155CC"/>
        <u/>
      </rPr>
      <t>https://link.springer.com/chapter/10.1007/978-3-030-47560-4_22</t>
    </r>
    <r>
      <rPr/>
      <t xml:space="preserve"> </t>
    </r>
  </si>
  <si>
    <t>minimize power consumption</t>
  </si>
  <si>
    <t>Shifting a VM among the available servers using live VM migration technique.</t>
  </si>
  <si>
    <t>The proposed system reduces the active physical servers by migrating the VMs from overutilized or underutilized servers to other non-underutilized servers. Also to decrease the number of migrations and to improve the migration strategy, the virtual machines are first scheduled using particle swarm optimization (PSO) algorithm. After scheduling VMs, they are migrated to an appropriate physical server. The energy aware scheduling aims at minimizing the power consumed by the PMs for processing the VMs. Also, scheduling improves migration process. The number of migrations required for server consolidation is minimized by scheduling. After scheduling and migration, the servers running are consolidated into racks using Hybrid Server and Rack Consolidation (HSRC) algorithm.</t>
  </si>
  <si>
    <t>algorithm for Modified Best Fit Decreasing, PSO algorithm and HSRC algorithm</t>
  </si>
  <si>
    <t>power consumpion (W)</t>
  </si>
  <si>
    <t>The experimental tests were conducted among existing and proposed methodology with varying number of tasks. The comparison is made between the existing methodology and the proposed rack consolidation technique. The overall work utilizes technique intended for reducing the energy used by the physical machines in data center by scheduling and migrating the VMs from one or more idle physical servers to other active non-underutilized servers based on the threshold values and also consolidating servers into non-underutilized racks.</t>
  </si>
  <si>
    <r>
      <rPr>
        <color rgb="FF1155CC"/>
        <u/>
      </rPr>
      <t>https://ieeexplore.ieee.org/abstract/document/8401602/</t>
    </r>
    <r>
      <rPr/>
      <t xml:space="preserve"> </t>
    </r>
  </si>
  <si>
    <t>reduce consumed energy</t>
  </si>
  <si>
    <t xml:space="preserve">Using queuing theory to reduce consumed energy of servers. </t>
  </si>
  <si>
    <t xml:space="preserve">GreenPOD is based on mathematical model and aims to reduce the consumed energy as well as to satisfy predefined response time for fat-tree data center networks by using queuing theory. GreenPOD considers different activation thresholds based on request queuing to switch ON/OFF different POD which is formed by a certain group of servers when needed. Furthermore, the activation threshold is in correlation with the queue size. Also, GreenPOD is able to check whether target servers have tasks in progress before to turn it off. </t>
  </si>
  <si>
    <t xml:space="preserve">addresses request queuing for ON/OFF switch by a group of servers </t>
  </si>
  <si>
    <t>response time (s)</t>
  </si>
  <si>
    <t>Comparison is made with Dan et al. energy-aware approach. Results show that GreenPOD outperforms previous energy-aware queuing theoretical model. In respect of a moderately demanded system (resp. highly demanded system), GreenPOD saves up to 61.72% (resp. 47.75%).</t>
  </si>
  <si>
    <t>DCN (fat-tree)</t>
  </si>
  <si>
    <r>
      <rPr>
        <color rgb="FF1155CC"/>
        <u/>
      </rPr>
      <t>https://www.sciencedirect.com/science/article/pii/S2210537918302907</t>
    </r>
    <r>
      <rPr/>
      <t xml:space="preserve"> </t>
    </r>
  </si>
  <si>
    <t>optimize energy consumption</t>
  </si>
  <si>
    <t>Proposing an energy-saving strategy based on artificial bee colony (ABC) for Fat Tree.</t>
  </si>
  <si>
    <t>Focusing on the optimization of energy consumption of network in data center, specifically the switches, a linear programming model was established based on multi-commodity network flow. Next to that, the work determined the minimizing objective function of energy consumption, with the target optimization of the model by ABC.</t>
  </si>
  <si>
    <t>strategy and programming model based on artificial bee colony (ABC)</t>
  </si>
  <si>
    <t>energy consumption (W), energy percentage (%)</t>
  </si>
  <si>
    <t>network load rate, number of tasks, global marketspan</t>
  </si>
  <si>
    <t>Based on ABC, the work analyzed the optimization of energy consumption for the network in the data center with 12 core switches. The simulation shows after optimization of energy consumption, a satisfactory path is obtained by the proposed algorithm, and the solution approximates the optimal solution. The proposed algorithm is validated.</t>
  </si>
  <si>
    <t>green data centers (GDC)</t>
  </si>
  <si>
    <r>
      <rPr>
        <color rgb="FF1155CC"/>
        <u/>
      </rPr>
      <t>https://www.sciencedirect.com/science/article/pii/S1569190X18301825</t>
    </r>
    <r>
      <rPr/>
      <t xml:space="preserve"> </t>
    </r>
  </si>
  <si>
    <t>Proposing a VM allocation and a consolidation with migration control technique that ensure energy efficiency at a minimum loss in workload performance.</t>
  </si>
  <si>
    <t>Various resource management techniques are investigated, and several heuristic approaches to optimise energy consumption and performance in elastic datacenters are suggested. We propose a VM allocation policy (Cbfd) that selects the “best” (energy efficient) host to run a particular VM/workload. Furthermore, a VM selection policy (Cmur) is presented that chooses an appropriate VM for migration and accouns for migration costs in terms of energy consumption and performance degradation, when consolidating the workload onto the fewest hosts. To avoid migrating a particular VM several times, a migration control policy (Mcp) is proposed as well.</t>
  </si>
  <si>
    <t xml:space="preserve">VM allocation and VM selection heuristics, implemented in CloudSim </t>
  </si>
  <si>
    <t xml:space="preserve">power consumpion (kWh) </t>
  </si>
  <si>
    <t>number of hosts, number of VM migrations, average SLA violations (%)</t>
  </si>
  <si>
    <t>The proposed techniques are evaluated through simulations using several plausible assumptions and real workload traces from a cloud provider. The proposed VM allocation policy was implemented as an abstract allocation policy in CloudSim, and the results of five different techniques for allocation, i.e., MAD, IQR, LR, LRR and THR, were evaluated. We observed optimal results for our proposed algorithms (“Cbfd” and “Cmur”) when combined with two host overload detection algorithms, i.e. THR and LRA. A combination of the proposed VM allocation and consolidation with migration control technique could save approximately 1.96%–9.38% energy, and improve 0.32%–5.96% performance, as compared to its closest rivals.</t>
  </si>
  <si>
    <t>elasic cloud data centers (cloud providers)</t>
  </si>
  <si>
    <r>
      <rPr>
        <color rgb="FF1155CC"/>
        <u/>
      </rPr>
      <t>https://link.springer.com/content/pdf/10.1007/s10586-020-03066-6.pdf</t>
    </r>
    <r>
      <rPr/>
      <t xml:space="preserve"> </t>
    </r>
  </si>
  <si>
    <t>diminish energy consumption</t>
  </si>
  <si>
    <t>Using learning automata for VM placement and migration.</t>
  </si>
  <si>
    <t>Presented a new approach based on Learning Automata, called extended-placement by learning automata (EPBLA), for dynamic placement of VMs among the physical hosts in a data center to reduce power consumption. We used dynamic migration to make as much as idle host as possible and forcing idle hosts to shut down. The algorithm could considerably diminish energy consumption while maintaining QoS and thereby reducing the heat and greenhouse gases.</t>
  </si>
  <si>
    <t>learning automata (machine learning algorithm)</t>
  </si>
  <si>
    <t>energy consumption (kWh), energy consumption (W*s)</t>
  </si>
  <si>
    <t>number of VM migrations, SLA violation rate, greenhouse gases (not measured)</t>
  </si>
  <si>
    <t>Experimental results, while using a real-world workload, demonstrated that EPBLA reduced the energy consumed in the considered data center by 20% compared to PBLA (our previous work) while maintaining the quality of services. Compared with a non-power-aware method, the energy consumption decreased by 70%. In comparison with the Firefly algorithm, our approach outperformed to save energy of the data center about 30%.</t>
  </si>
  <si>
    <r>
      <rPr>
        <color rgb="FF1155CC"/>
        <u/>
      </rPr>
      <t>https://ieeexplore.ieee.org/abstract/document/9209724/</t>
    </r>
    <r>
      <rPr/>
      <t xml:space="preserve"> </t>
    </r>
  </si>
  <si>
    <t>energy reduction</t>
  </si>
  <si>
    <t>Proposing an energy saving-oriented incentive (reward) mechanism.</t>
  </si>
  <si>
    <t>To solve the “uncoordinated relationship” issue between owners and tenants (in colocation data centers) and achieve the energy reduction with a limited cost budget, an energy saving-oriented incentive mechanism, ESCo is proposed in this paper. Different from existing mechanisms that emphasize on minimizing the cost for the owners, this mechanism emphasizes on the maximization of the amount of energy saved by the tenants given a limited budget that the owner wants to pay for the energy saving. Furthermore, an algorithm is developed to realize an envy-free equilibrium assignment for ESCo.</t>
  </si>
  <si>
    <t>software-based algorithm for efficient assignment of the mechanism</t>
  </si>
  <si>
    <t>energy reduction (kWh), energy savings per reward (kWh/cent), energy
saving per unit cost (kWh/cent)</t>
  </si>
  <si>
    <t>The effectiveness of the proposed mechanism and the algorithm is validated through trace-driven simulations based on real-world data. The workload trace data in the experiments derives from “MSR” and “Florida International University” and is extracted into 6 parts to represent the workload of 6 different tenants at 8 time slots (hours). The results show that ESCo can achieve 14.47% more energy saving than existing colocation incentive mechanisms.</t>
  </si>
  <si>
    <t>DC</t>
  </si>
  <si>
    <t>colocation data centers</t>
  </si>
  <si>
    <r>
      <rPr>
        <color rgb="FF1155CC"/>
        <u/>
      </rPr>
      <t>https://ieeexplore.ieee.org/abstract/document/9029070/</t>
    </r>
    <r>
      <rPr/>
      <t xml:space="preserve"> </t>
    </r>
  </si>
  <si>
    <t xml:space="preserve">finding best trade-off between enery consumption and SLA violations </t>
  </si>
  <si>
    <t>Proposing an algorithm which shows a better trade-off between energy consumption and SLA violations.</t>
  </si>
  <si>
    <t>Proposed an optimal energy aware dynamic virtual machine consolidation by using new VM Selection Policy (MCSSD), which is a maximum correlation of sum of squares of ordinary least squares regression. Our VM consolidation mechanism involves four types of algorithms. Out of which we used our own VM selection policy. We used different combinations of default available host overloading detection mechanism,VM placement policies along with our proposed VM selection policy.</t>
  </si>
  <si>
    <t>addresses a selection policy for dynamic VMs (virtual machines)</t>
  </si>
  <si>
    <t>number of VM migrations, SLA time per active host (%)</t>
  </si>
  <si>
    <t>In order to simulate a data center we used Cloudsim toolkit. We took 800 servers in our data center, these physical servers are not homogeneous and have two different configurations. This simulation setup will get real workload traces from CoMon project. For every 5 minute gap each of the physical host will calculate utilization of resources and runs for ten times. Results show the proposed VM selection is giving better trade-off with energy consumption and SLA violations.</t>
  </si>
  <si>
    <t>Bad English</t>
  </si>
  <si>
    <r>
      <rPr>
        <color rgb="FF1155CC"/>
        <u/>
      </rPr>
      <t>http://www.cai.sk/ojs/index.php/cai/article/viewArticle/4918</t>
    </r>
    <r>
      <rPr/>
      <t xml:space="preserve"> </t>
    </r>
  </si>
  <si>
    <t>Design and model resource scheduling for cloud data centers.</t>
  </si>
  <si>
    <t>We abstract a task scheduling and VMs allocation model of energy-aware migration-enabled cloud data centers (EAMEC). In order to improve energy efficiency, ensure performance by avoiding hot spots in clusters and enhance resource utilization, we put forward an Energy-Aware Optimization (EAO) algorithm to allocate and migrate VMs. Based on Dynamic Scalable Stochastic Petri Net (DSSPN), we establish the stochastic model of EAMEC. Furthermore, we evaluate some performance parameters (such as task backlogs, throughput, utilization, and energy consumption) of EAMEC.</t>
  </si>
  <si>
    <t>software-based VM allocation and migration algorithm</t>
  </si>
  <si>
    <t>average energy consumption (W)</t>
  </si>
  <si>
    <t>CPU utilization (%), memory utilization (%), average error rate, average throughput, average reject rate, average queue length, service time (s)</t>
  </si>
  <si>
    <t>To validate the proposed approach and algorithm, we conduct extensive experiments through simulations, and receive performance results under different resources or different runtime. We evaluate task backlogs, throughput, reject rate, utilization, and energy consumption under different runtime and machines. Finally, we use a tool called SPNP to simulate analytical solutions of these parameters. The analysis results show that DSSPN is applicable to model and evaluate complex cloud systems, and can help
to optimize the performance of EAMEC data centers.</t>
  </si>
  <si>
    <t>energy-aware migration-enabled cloud data centers (EAMEC)</t>
  </si>
  <si>
    <r>
      <rPr>
        <color rgb="FF1155CC"/>
        <u/>
      </rPr>
      <t>http://www.jmess.org/wp-content/uploads/2019/05/JMESSP13420537.pdf</t>
    </r>
    <r>
      <rPr/>
      <t xml:space="preserve"> </t>
    </r>
  </si>
  <si>
    <t>Presenting an optimal VM placement algorithm on Tree topology.</t>
  </si>
  <si>
    <t>This paper presents an optimal VM placement algorithm on Tree topology which is three-tier in nature. This paper presents an optimal VM placement strategy with an energy-efficient approach. To do so, the canonical three-tier datacenter topology and datacenter energy model are introduced. Then, an optimal energy-efficient VM placement algorithm is presented. As VM placement problem is NP-hard, a Genetic-based meta-heuristic algorithm has been developed.</t>
  </si>
  <si>
    <t>software-based VM placement algorithm</t>
  </si>
  <si>
    <t>number of active servers</t>
  </si>
  <si>
    <t>To evaluate the effectiveness of our proposed metaheuristic genetic algorithm, we define different scenarios. However, we produce a random dataset representative of VMs requests. Also, we compare our work with famous heuristic algorithm first fit
decreasing (FFD) and a random-based algorithm in terms of number of used server and total power consumption in datacenter. Results prove that our proposed method beats FFD and Random algorithm in term of used (active) servers datacenter total power consumption.</t>
  </si>
  <si>
    <r>
      <rPr>
        <color rgb="FF1155CC"/>
        <u/>
      </rPr>
      <t>https://www.osapublishing.org/abstract.cfm?uri=jocn-10-7-B58</t>
    </r>
    <r>
      <rPr/>
      <t xml:space="preserve"> </t>
    </r>
  </si>
  <si>
    <t xml:space="preserve">minimize power consumption </t>
  </si>
  <si>
    <t>Proposing location-aware energy efficient VNE algorithm called GTR-VNE.</t>
  </si>
  <si>
    <t xml:space="preserve">A mixed integer linear programming (MILP) model is proposed with the objective of minimizing the total power consumption in software defined optical data center networks (SD-ODCNs) by reducing the active data centers and power-consuming network components. In addition, the coordinates of nodes and delay of links are considered for more realistic scenario. Comparing with existing node ranking method, proposed global topology resource (GTR) can effectively evaluate the possibility of each DC node to host virtual nodes. Based on GTR method, we propose location aware energy efficient VNE algorithm, namely GTR-VNE. </t>
  </si>
  <si>
    <t>mixed integer linear programming (MILP) model</t>
  </si>
  <si>
    <t>power consumpion (kW)</t>
  </si>
  <si>
    <t xml:space="preserve">active DC number, running time (ms), revenue-cost ratio in % (R/C), acceptance ratio (%) </t>
  </si>
  <si>
    <t>Simulation results show that GTRVNE can obtain up to 9.3% and 5% improvement of power consumption and acceptance ratio compared with benchmarks. Furthermore, based on GTR and artificial intelligence ant colony optimization (ACO), another energy efficient algorithm ACO-VNE is proposed. ACO-VNE can obtain up to 28.7% improvement on power consumption compared with GTR-VNE. In addition, ACO-VNE has better performance in terms of revenue cost ratio and acceptance ratio.</t>
  </si>
  <si>
    <t>VNE (virtual network embedding), network components</t>
  </si>
  <si>
    <t>optical data center networks (SD-ODCNs)</t>
  </si>
  <si>
    <r>
      <rPr>
        <color rgb="FF1155CC"/>
        <u/>
      </rPr>
      <t>https://www.atlantis-press.com/proceedings/amcce-18/25895654</t>
    </r>
    <r>
      <rPr/>
      <t xml:space="preserve"> </t>
    </r>
  </si>
  <si>
    <t>Proposing energy efficient resource allocation strategy.</t>
  </si>
  <si>
    <t xml:space="preserve">An energy-efficient resource allocation strategy based on task classification (Classification-Based Resource Allocation Strategy, CBRAS) is proposed. This scheme fully considers the heterogeneity of workload task in the data center and classify the task into different task classes through cluster analysis, with similar resource and performance requirements. While ensuring the QoS requirements of different types of tasks such as duration, priority and delay sensitivity, resources preemption of tasks of the same resource requirement type is avoided, enabling energy-efficient resource allocation with low-power and QoS guarantees in the data center. </t>
  </si>
  <si>
    <t>resource allocation strategy tested in CloudSim</t>
  </si>
  <si>
    <t xml:space="preserve">energy consumption (Eucledian Distance) </t>
  </si>
  <si>
    <t xml:space="preserve">VM migration times, conflict times </t>
  </si>
  <si>
    <t>The CloudSim cloud computing simulation platform is used to simulate the data center in the paper, and the data used is the second day’s data of the Google produces data center workload tracking data. The efficiency performance of the proposed CBRAS, the RB algorithm and the MBFD (Modi-fied Best Fit Decrease) algorithm are compared under the same workload task number. Results show that in comparison, the CBRAS effectively improves the data center energy efficiency.</t>
  </si>
  <si>
    <r>
      <rPr>
        <color rgb="FF1155CC"/>
        <u/>
      </rPr>
      <t>http://www.inass.org/2019/2019083112.pdf</t>
    </r>
    <r>
      <rPr/>
      <t xml:space="preserve"> </t>
    </r>
  </si>
  <si>
    <t xml:space="preserve">reduce energy consumption </t>
  </si>
  <si>
    <t>Proposing energy efficient and autonomic resource optimization management framework.</t>
  </si>
  <si>
    <t>This paper focused on the energy utilization of the data centers and how this can be limited so as to make the cloud computing greener. Thus, a new autonomic resource optimization manager has been proposed to avail the most optimum level of resources with reduced server energy consumption for execution of heterogeneous workloads. Furthermore, the generic property of selfmanagement has been considered using the MAPE-K loop, to reduce the energy consumption and response time and incorporate self optimization in the framework.</t>
  </si>
  <si>
    <t>the MAPE-K loop of the Autonomic Computing paradigm is utilized</t>
  </si>
  <si>
    <t>energy consumed (Wh), energy saved (%)</t>
  </si>
  <si>
    <t>number of migrations, response time (s)</t>
  </si>
  <si>
    <t xml:space="preserve">An experimental validation is based on the implementation of the autonomic energy consumption saving engine. We use a set of sensors to measure the real energy consumption and the set of agents to follow CPU, memory, disk usage per VM and per server. This has demonstrated that the effectiveness of the proposed solution is greater than the state-ofthe-art methods in terms of reducing energy consumption and response time. </t>
  </si>
  <si>
    <t>cloud computing data centers</t>
  </si>
  <si>
    <r>
      <rPr>
        <color rgb="FF1155CC"/>
        <u/>
      </rPr>
      <t>https://www.sciencedirect.com/science/article/pii/S0167739X17316059</t>
    </r>
    <r>
      <rPr/>
      <t xml:space="preserve"> </t>
    </r>
  </si>
  <si>
    <t>Proposing algorithms for maximizing energy efficiency and minimizing SLA violation rate.</t>
  </si>
  <si>
    <t xml:space="preserve">Two novel adaptive energy-aware algorithms for maximizing energy efficiency and minimizing SLA violation rate in cloud datacenters are presented. These two energy-aware algorithms (KMI-MRCU-1.0 and KMI-MPCU-2.0) are based on the adaptive three-threshold framework (ATF), KMI algorithm, VM selection policies (MRCU, MPCU), and maximum energy efficiency placement of VM (VPME) according to the difference of workload. Unlike the existing approaches, the proposed energy-aware algorithms take into account the application types as well as the CPU and memory resources during the deployment of VMs. </t>
  </si>
  <si>
    <t>two software-based energy-aware algorithms tested in PlanetLab</t>
  </si>
  <si>
    <t>energy consumption (kWh), energy efficiency</t>
  </si>
  <si>
    <t>number of SLA violations, SVTAH (%), PDCVM (%), number of VM migrations</t>
  </si>
  <si>
    <t>We performed extensive experimental analysis using real-world workload, which comes from more than a thousand PlanetLab VMs. The experimental results show that regarding the energy efficiency, the algorithm with maximizing the energy efficiency (VPME) has a better performance than the algorithm with minimizing the energy consumption during the placement of VM; and during the selection of a VM, considering both CPU and memory factor is more effective than a single factor such as CPU. Moreover, the algorithms are more effective than the other energy-aware algorithms regardless the workload types.</t>
  </si>
  <si>
    <r>
      <rPr>
        <rFont val="arial"/>
        <color rgb="FF1155CC"/>
        <u/>
      </rPr>
      <t>https://www.mdpi.com/2079-9292/8/9/1014</t>
    </r>
    <r>
      <rPr>
        <rFont val="arial"/>
        <color rgb="FF000000"/>
        <u/>
      </rPr>
      <t xml:space="preserve"> </t>
    </r>
  </si>
  <si>
    <t>Proposing a strategy-based Minimum Energy Consumption (MEC) heuristic algorithm based on three flow scheduling strategies.</t>
  </si>
  <si>
    <t>Three different strategies based on the order of flow scheduling, namely, Random-order Demand (RD), Biggest Demand First (BDF), and Smallest Demand First (SDF) are presented. Then, a strategy-based Minimum Energy Consumption (MEC) heuristic algorithm based on different strategies is proposed. We also take the unique features of SDN, such as the limited size of TCAM, flow conservation constraints, and link capacity constraints into consideration, and formulate the SD-DCN energy consumption optimization problem as an Integer Linear Programming (ILP) model.</t>
  </si>
  <si>
    <t>an Integer Linear Programming (ILP) model</t>
  </si>
  <si>
    <t>QoS satisfaction ratio (%)</t>
  </si>
  <si>
    <t>Simulation results show that our strategy-based heuristic algorithm can achieve better network performance in terms of QoS satisfaction ratio under the high traffic load and bring efficient energy savings under the low traffic load and medium traffic load. More specifically, in terms of energy savings, the RD-MEC can save energy effectively under the conditions of low traffic load and medium traffic load. In terms of QoS satisfaction ratio of total flows and mice flows, the SDF-MEC is superior to RD-MEC, BDF-MEC, and RD-MSA under high traffic load. As for QoS satisfaction ratio of elephant flows, the BDF-MEC is better than the SDF-MEC in most cases, and one of the strategy-based algorithms can achieve the best QoS satisfaction ratio of elephant flows</t>
  </si>
  <si>
    <t>SD-DCN (software-defined data center networks)</t>
  </si>
  <si>
    <t>Based on the authors’ previous practical work on a high-end server on ESXi 5.5 hypervisor platform, a novel framework for improving computational efficiency, performance and reducing cloud energy consumption is proposed in this paper.</t>
  </si>
  <si>
    <t>The proposed framework integrates with hardware through a server classification process (idle server, under-loaded server, balance server and over-loaded server) and distributes computational loads with a built-in logic to reduce energy consumption. In addition, the framework promises an efficient solution for Virtual Machines (VMs) allocation and optimization that will satisfy SLAs for cloud consumers.</t>
  </si>
  <si>
    <t>The uniqueness of the framework can be validated with its implementation on CloudSim software.</t>
  </si>
  <si>
    <t>cloud providers</t>
  </si>
  <si>
    <t>energy efficiency</t>
  </si>
  <si>
    <t>in this paper a novel approach is proposed that considers the reliability of each PM along with reducing the number of active PMs simultaneously.</t>
  </si>
  <si>
    <t xml:space="preserve">To determine the reliability of PMs, a Markov chain model is
designed, and then, PMs have prioritized based on their CPU utilization level and
the reliability status. In each phase of the consolidation process, a new algorithm is
proposed. A target PM selection criterion is also presented that by considering both
energy consumption and reliability selects the appropriate PM. </t>
  </si>
  <si>
    <t>Markov chain models used for vm consolidation</t>
  </si>
  <si>
    <t>energy consumption kWh</t>
  </si>
  <si>
    <t>Vm migrations, sla violations</t>
  </si>
  <si>
    <t>We have validated the effectiveness of our proposed approach by conducting a performance evaluation study using CloudSim toolkit. The simulation results show that the proposed approach can significantly improve energy efficiency, avoid inefficient VM migrations and reduce SLA violations.</t>
  </si>
  <si>
    <t>reduction of energy consumption</t>
  </si>
  <si>
    <t>This paper systematically analyzes the mapping relationship between cloud tasks, virtual machines and physical machines. At the same time, the performance of cloud tasks, virtual machines, and physical machines is modeled in the cloud data center.</t>
  </si>
  <si>
    <t>By comprehensively considering the CPU and memory characteristics of cloud tasks, the memory priority cloud task mapping rule is established. Based on the rule, the memory-aware resource management algorithm for low-energy cloud data centers (MALE) is proposed. The algorithm maps cloud tasks and deploys virtual machines according to the memory requirements of the cloud tasks, thereby achieving the goal of simultaneously reducing the total fee of cloud users and the energy consumption of cloud data centers.</t>
  </si>
  <si>
    <t>energy consumption ratio that scales relative to PMs or amount of cloud tasks</t>
  </si>
  <si>
    <t>Finally, we implemented the algorithm with CloudSim. Through comparison, we can see that MALE algorithm can effectively reduce the average running time of physical machines compared with existing algorithms, thereby reducing the total fee of cloud users and the energy consumption of cloud data centers.</t>
  </si>
  <si>
    <t>CPU, memory, cloud tasks</t>
  </si>
  <si>
    <t>A proactive multicriteria mechanism for virtual data center optimization through server consolidation is proposed</t>
  </si>
  <si>
    <t>the new proactive approach uses multiobjective evolutionary algorithms to learn fuzzy rule-based systems that determine optimal reallocation decisions according to the preferences of the data center operator and a prediction of the load</t>
  </si>
  <si>
    <t>Power use in kWh next to QoS, #VM reallocs, #PM reconfigs</t>
  </si>
  <si>
    <t>Experimental evaluations based on an actual IT service provider show that the proactive mechanism is capable of improving energy savings compared to commercial hypervisors while complying with service provider’s preferences and constraints.</t>
  </si>
  <si>
    <t>virtual data center</t>
  </si>
  <si>
    <t>reduction of overall energy consumption</t>
  </si>
  <si>
    <t xml:space="preserve">aggressive consolidation leads to the creation of local hotspots that has adverse effects onenergy consumption and reliability of the system. These issues can be addressed throughefficient and thermal-aware consolidation methods. </t>
  </si>
  <si>
    <t xml:space="preserve">We propose an Energy and Thermal-AwareScheduling (ETAS ) algorithm that dynamically consolidates VM s to minimize the overall energyconsumption while proactively preventing hotspots. ETAS is designed to address the trade-offbetween time and the cost savings and it can be tuned based on the requirement. </t>
  </si>
  <si>
    <t>Total energy in kWh, with respect to #hotspots and % of SLA violations</t>
  </si>
  <si>
    <t>CloudSim, with added thermal parameters to eventually compare energy consumption to other baseline algorithms.</t>
  </si>
  <si>
    <t>decrease power consumption</t>
  </si>
  <si>
    <t>The authors propose a two-stage method to solve the virtual machine consolidation problem in cloud data centres.</t>
  </si>
  <si>
    <t>In this paper, it is proposed to apply a local search on a data set obtained at the previous stage of the optimisation in order to reduce the number of migrations of the VMs and to increase the number of PMs being switched to ‘sleep’ mode.</t>
  </si>
  <si>
    <t>software based vm consolidation algorithm</t>
  </si>
  <si>
    <t>#pm's in sleep mode, #number of migrations</t>
  </si>
  <si>
    <t>The proposed method is programmed in C# to evaluate it and to perform modelling using Google cluster-usage traces. The proposed method enables powering off nearly fifty percent of the previously selected physical servers by using an acceptable number of migrations of virtual machines.</t>
  </si>
  <si>
    <t>By taking into consideration the importance of the transmitted data and the critical parameters for the receiver (e.g. time, energy), the proposed topology dynamically controls the number of active communication links by turning off and on ports in the network (switches ports and nodes ports)</t>
  </si>
  <si>
    <t>In this paper, we present a new energy efficient algorithm for ScalNet called Green ScalNet. The proposed topology strikes a compromise between maximizing the energy saving and minimizing the average path length.</t>
  </si>
  <si>
    <t>Energy consumption in watts with respect to average path length and active ports</t>
  </si>
  <si>
    <t>Both theoretical analysis and simulation experiments are conducted to evaluate its overall performance in terms of average path length and energy consumption.</t>
  </si>
  <si>
    <t>network architecture</t>
  </si>
  <si>
    <t>large data center</t>
  </si>
  <si>
    <t>Our proposed model is organized as follows: a) SLA violation detection model is used to prevent Virtual Machines (VMs) from overloaded and underloaded host usage; b) for reducing power consumption of VMs, we have introduced Enhanced minPower and maxUtilization (EMPMU) VM migration policy; and c) efficient utilization of cloud resources and VM placement are achieved using SLA-aware Modified Best Fit Decreasing (MBFD) algorithm.</t>
  </si>
  <si>
    <t>In this paper, we have proposed Energy and Service Level Agreement (SLA) Aware Resource Allocation Heuristic Algorithms. These algorithms are essential for reducing power consumption and SLA violation without diminishing the performance and Quality-of-Service (QoS) in cloud data centers.</t>
  </si>
  <si>
    <t>energy consumption in kWh with respect to SLA violations and VM migrations</t>
  </si>
  <si>
    <t>We have validated our test results using CloudSim toolkit 3.0.3. Finally, experimental results have shown better resource utilization, reduced energy consumption and SLA violation in heterogeneous dynamic cloud environment.</t>
  </si>
  <si>
    <t>The proposed algorithm, called MinPR, minimizes the total power consumption by reducing the number of active physical machines and prioritizing the power-efficient ones. Also, it reduces resource wastage by maximizing and balancing resource utilization among physical machines</t>
  </si>
  <si>
    <t>In this paper, we propose an efficient heuristic algorithm that focuses on power consumption and resource wastage optimization to solve difficulties such as machine heterogeneity, multi-dimensional resources, and large scale cloud data centers in the Virtual Machine Placement (VPM) problem.</t>
  </si>
  <si>
    <t>energy consumption in KW</t>
  </si>
  <si>
    <t>Simulations based on cloud user-customized VMs and Amazon EC2 Instances workloads illustrate that the proposed algorithm outperforms existing approaches. In particular, the proposed algorithm reduces total energy consumption by up to 15% for cloud user-customized VMs and by up to 10% for Amazon EC2 Instances.</t>
  </si>
  <si>
    <t>cloud data center (IaaS)</t>
  </si>
  <si>
    <t>In this article, we focus on the energy-efficient routing problem in software-defined network–based data center networks. For the scenario of in-band control mode of software-defined data centers, we formulate the dual optimal objective of energy-saving and the load balancing between controllers.</t>
  </si>
  <si>
    <t>In order to cope with a large solution space, we design the deep Q-network-based energy-efficient routing algorithm to find the energy-efficient data paths for traffic flow and control paths for switches.</t>
  </si>
  <si>
    <t>energy savings in %</t>
  </si>
  <si>
    <t>The simulation result reveals that the deep Q-network-based energy-efficient routing algorithm only trains part of the states and gets a good energy-saving effect and load balancing in control plane.</t>
  </si>
  <si>
    <t>software-defined data center</t>
  </si>
  <si>
    <t>reduction of energy costs</t>
  </si>
  <si>
    <t>We propose renewable-aware algorithms to schedule the workload to the data centers with an aim to maximize the green energy usage.</t>
  </si>
  <si>
    <t>ARM Algorithm, Renewable and Total Cost-Aware First-Fit Optimal Frequency VM Placement,  Cost-Aware First-Fit Optimal Frequency VM Placement,  Renewable and Energy Cost-Aware First-Fit Optimal Frequency VM Placement, Energy Cost with First-Fit Optimal Frequency VM Placement, Renewable and Carbon Footprint-Aware First-Fit Optimal Frequency VM Placement, Carbon Footprint Rate-Aware First-Fit Optimal Frequency VM Placement, Renewable and Carbon Cost-Aware First-Fit Optimal Frequency VM Placement, Carbon Cost-Aware First-Fit Optimal Frequency VM Placement</t>
  </si>
  <si>
    <t>software based vm placement</t>
  </si>
  <si>
    <t>total energy in kWh with respect to green/brown source</t>
  </si>
  <si>
    <t>carbon footprint</t>
  </si>
  <si>
    <t>Table 8 depicts the energy consumption of the proposed renewable-based and brown energy algorithms discussed in Section 5. To check the competence of different algorithms on VM to PM mapping, instruction to total energy ratio (IER), instruction to carbon footprint ratio (ICFR), instruction to cost ratio (ICR) and RVA measures are calculated based on the results</t>
  </si>
  <si>
    <t>In this paper, we propose EPRONS to minimize the overall data center’s power consumption with latency-sensitive applications by trading-off network slack in favor of providing additional slack for computations.</t>
  </si>
  <si>
    <t>We utilize the linear programming model to consolidate latency-sensitive search queries and latency-tolerant background flows to a minimal subnet of the topology by turning off unused switches and links without violating the application deadlines.</t>
  </si>
  <si>
    <t>power consumption in Watss with respect to link utalization</t>
  </si>
  <si>
    <t>Simulation with the MiniNet emulator and POX controller that captures statistics shows us that for the total data center power consumption, EPRONS can save up to a maximum of 31.25%, measured over one minute intervals, of total system power.</t>
  </si>
  <si>
    <t>The proposed approach handles the aforementioned challenges using proactive use of Erlang distribution of services along with centralized control plane architecture of SDN, thus maximizing energy efficiency, and ensuring optimal performance of services.</t>
  </si>
  <si>
    <t>This paper implements an Erlang based approach to control server allocation in Software Defined Networking (SDN) based datacenters.</t>
  </si>
  <si>
    <t>power consumption in mw</t>
  </si>
  <si>
    <t>Three main factors evaluated to calculate energy conservation are; 1) number of idle servers, 2) under-utilized servers 3) normaly utilized servers. The proposed scheme shows energy consumption improvements up to 52% in comparison to state-of-art existing techniques.</t>
  </si>
  <si>
    <t>software defined data center</t>
  </si>
  <si>
    <t>an energy- and locality-efficient MapReduce multi-job scheduling algorithm is developed for the heterogeneous datacenter.</t>
  </si>
  <si>
    <t>rack as the basic unit of resource in job scheduling to reduce data communication, multi-job pre-mapping method to optimize the execution order of jobs and jointly optimize, the map and reduce tasks of a job will be divided into multiple
task groups for parallel execution
the scheduling time, job costs and energy consumption</t>
  </si>
  <si>
    <t>software based algortihm to solve MapReduce job scheduling problems</t>
  </si>
  <si>
    <t>physical host usage to compare energy levels</t>
  </si>
  <si>
    <t>job scheduling time, resource balance rate, rack-to-rack traffic, amount of rack use, host energy usage</t>
  </si>
  <si>
    <t>In this paper, we build a heterogeneous Hadoop cluster to simulate the heterogeneous datacenter. And, we select three typical algorithms (MAR ++, SARS, and EMRSA) to compare with our proposed algorithm (TPJS).</t>
  </si>
  <si>
    <t>racks</t>
  </si>
  <si>
    <t>heterogeneous data center</t>
  </si>
  <si>
    <t>Our approach selects the most adequate power mode and frequency of each host during runtime using a distributed multi-agent Machine Learning (ML) based strategy, and migrates the VMs accordingly using a centralized heuristic.</t>
  </si>
  <si>
    <t>c. Our Multi-AGent machine learNing-based approach for Energy efficienT dynamIc Consolidation (MAGNETIC) is implemented in a modified version of the CloudSim simulator</t>
  </si>
  <si>
    <t>software based VM consolidation algorithm</t>
  </si>
  <si>
    <t>% SLA violations, QoS, #migrations</t>
  </si>
  <si>
    <t>Cloudsim, evaluated using power traces collected from various workloads running in real servers and resource utilization logs from cloud data center infrastructures. Results show how our strategy reduces data center energy consumption by up to 15% compared to other works in the state-of-the-art (SoA)</t>
  </si>
  <si>
    <t>large scale data centers</t>
  </si>
  <si>
    <t>This purpose of this paper is to propose a novel hybrid genetic algorithm based on a virtual machine (VM) placement method to improve energy efficiency in cloud data centers</t>
  </si>
  <si>
    <t>Our approach uses a repairing procedure based on a best-fit decreasing heuristic to resolve violations caused by infeasible solutions that exceed the capacity of the resources during the evolution process.</t>
  </si>
  <si>
    <t>software base hybrid genetic algortihm to optimize VM placement</t>
  </si>
  <si>
    <t>Vm migrations</t>
  </si>
  <si>
    <t>Cloudsim, For the evaluation, we focused on two metrics: the performance and the efficiency of the
HGBF_BP.</t>
  </si>
  <si>
    <t>Vm</t>
  </si>
  <si>
    <t>In this article, we propose a traffic flow managementstrategy which jointly considers energy optimization and load balancing.</t>
  </si>
  <si>
    <t xml:space="preserve">The strategyforwards traffic flows with maximum available bandwidth multipath routing to balancenetwork load. We minimize activated links and switches to save energy by schedul-ing traffic flows. We jointly formulate these as an integer linear programming (ILP)problem. We propose a heuristic algorithm to handle the problem. </t>
  </si>
  <si>
    <t>software based traffic flow management algorithm</t>
  </si>
  <si>
    <t>energy savings %</t>
  </si>
  <si>
    <t>throughput rate %, Link utilization %</t>
  </si>
  <si>
    <t>heuristic algorithm in python compared to other algorithms</t>
  </si>
  <si>
    <t>data center networks</t>
  </si>
  <si>
    <t>migration approach</t>
  </si>
  <si>
    <t>the existence of a trade-off between overall energy consumption and performance (hence cost), (ii) that higher utilization decreases the energy efficiency as it offers fewer chances to CPU management tools for energy savings, and (iii) how our migration approach could save up to 3.66% energy, and could improve VMs performance up to 1.87% compared with no migration</t>
  </si>
  <si>
    <t>software based approach for migration</t>
  </si>
  <si>
    <t>energy consuption (Wh)</t>
  </si>
  <si>
    <t>To evaluate the effect of scheduling policies on VM performance, energy and user cost, we consider the following migration strategies: (i) no migration— No; (ii) dynamic consolidation (all possible migrations)—All; (iii) migrate for better performance—Perf; (iv) Cmcr (runtime-based consolidation technique that migrates relatively long-running VMs to better demonstrate the trade-off between runtime (hence cost) and energy [14]); and (v) migrate for both better performance and Cmcr - Perf+Cmcr.</t>
  </si>
  <si>
    <t>VM migration</t>
  </si>
  <si>
    <t>large scale heterogeneous datacenters</t>
  </si>
  <si>
    <t>software defined data centers refers to the process of programmatically abstracting the logical
computing, network, and storage resources; and configuring them in real-time based on workload demands</t>
  </si>
  <si>
    <t>i) designing a consolidated SDDC-based model to jointly optimize the process of Virtual Machine (VM) deployment and network bandwidth allocation for reduced energy consumption and guaranteed Quality of Service (QoS), particularly for heterogeneous computing infrastructures, ii) formulating a multi-objective optimization problem to deduce the optimal allocation of resources for both critical and noncritical applications, and iii) designing an efficient scheme based on heuristics to provide suboptimal results for the formulated multi-objective optimization problem</t>
  </si>
  <si>
    <t>energy utilization kWh</t>
  </si>
  <si>
    <t>amount of workload and QoS</t>
  </si>
  <si>
    <t>our empirical evaluations suggest that the proposed framework leads to almost 27.9% savings in terms of energy consumptions against the existing schemes with negligible QoS violations (approximately 0.33).</t>
  </si>
  <si>
    <t>The paper presents a distributed approach to an energy-efficient dynamic virtual machine consolidation mechanism.</t>
  </si>
  <si>
    <t>This approach determines, based on novel algorithms, which virtual machines to migrate, and when. Then, the placement of the virtual machines selected for migration is achieved based on a generalization of the Knapsack Problem known as the Multiple Choice Knapsack Problem</t>
  </si>
  <si>
    <t>algorithms for vm migration selection</t>
  </si>
  <si>
    <t>consumed energy</t>
  </si>
  <si>
    <t>The results of the performance evaluation demonstrate that the proposed new algorithms are able to enhance the energy efficiency in cloud data centers.</t>
  </si>
  <si>
    <t>In this paper, we propose a novel merge-and-split-based coalitional game-theoretic approach for VM consolidation in heterogeneous clouds.</t>
  </si>
  <si>
    <t>The proposed approach first partitions PMs into different groups based on their load levels, then employs a coalitional-game-based VM consolidation algorithm (CGMS) in choosing members from such groups to form effective coalitions, performs VM migrations among the coalition members to maximize the payoff of every coalition, and close PMs with low energyefficiency</t>
  </si>
  <si>
    <t>software based approach</t>
  </si>
  <si>
    <t>energy savings</t>
  </si>
  <si>
    <t>load fairness, computational cost, #migrations</t>
  </si>
  <si>
    <t>Experimental results based on multiple cases clearly demonstrate that our proposed approach outperforms traditional ones in terms of energy-saving and level of load fairness.</t>
  </si>
  <si>
    <t>Heterogeneous Cloud Datacenters</t>
  </si>
  <si>
    <t>To solve the “uncoordinated relationship” issue between operators and tenants, a truthful and feasible incentive mechanism MesPP is proposed in this paper.</t>
  </si>
  <si>
    <t>Different from existing works, MesPP aims at maximizing the energy reduction of colocations with a limited cost budget and can be applied even there is no demand response (DR) program. Meanwhile, power prediction is integrated into MesPP to further improve the energy efficiency of colocations and fairness of the mechanism</t>
  </si>
  <si>
    <t>software based management system</t>
  </si>
  <si>
    <t>Simulations are performed and show that MesPP can achieve 12.23% more energy saving compared with existing incentive mechanisms.</t>
  </si>
  <si>
    <t>management of incentive mechanism</t>
  </si>
  <si>
    <t>Colocation Data Centers</t>
  </si>
  <si>
    <t>this paper transforms the conflict between quality of service and energy consumptions into one between profits and costs in this paper.</t>
  </si>
  <si>
    <t xml:space="preserve">Appropriate loss of QoS is allowed as long as the benefits of
cloud service providers can be maximized. To this end, this
paper proposes a novel scheduling scheme for data center, in
which a contest model has been developed. </t>
  </si>
  <si>
    <t>software based resource scheduling</t>
  </si>
  <si>
    <t>QoS, profits, costs</t>
  </si>
  <si>
    <t>The performance of the proposed scheme is evaluated in terms of scheduling strategies under different system configurations and user traffic. The results indicate the feasibility of the proposed scheme.</t>
  </si>
  <si>
    <t xml:space="preserve">In this research work, a power-aware algorithm (PA) and an adaptive harmony search algorithm (AHSA) are proposed for the placement of reserved virtual machines in the datacenters to reduce the power consumption of servers. A task distribution algorithm is also proposed to distribute
and balance the workload </t>
  </si>
  <si>
    <t>&lt;</t>
  </si>
  <si>
    <t>software algorithms for vm placement</t>
  </si>
  <si>
    <t>power in kW</t>
  </si>
  <si>
    <t>CPU demand</t>
  </si>
  <si>
    <t>Considering the expense and time incurred in the evaluation of large-scale experiments in real-time, Matlab is used to simulate the environment.</t>
  </si>
  <si>
    <t>Heterogeneous Datacenters</t>
  </si>
  <si>
    <t>In this paper, we propose a Host Overloading/Underloading Detection algorithm and a new VM placement algorithm</t>
  </si>
  <si>
    <t>algorithm based on our proposed Robust Simple Linear Regression prediction model for SLAaware and energy-efficient consolidation of virtual machines in cloud data centers. Different from the native linear regression, our proposed methods amend the prediction and squint towards over-prediction by adding the error to the prediction.</t>
  </si>
  <si>
    <t>software algorithms for overloading and vm placement</t>
  </si>
  <si>
    <t>energy kWh</t>
  </si>
  <si>
    <t>SLA violations</t>
  </si>
  <si>
    <t>We evaluate our proposed algorithms by extended Cloudsim simulator using PlanetLab workload and random workload. The experimental results show that our proposed model can reduce SLA violation rates by at most 99.16% and energy consumption by at most 25.43% for real world workload.</t>
  </si>
  <si>
    <t>Cloud Data Centers</t>
  </si>
  <si>
    <t>test energy consumption</t>
  </si>
  <si>
    <t>we will present the CloudReports simulator add on for extended metrics in cloudsim</t>
  </si>
  <si>
    <t>CloudReports [10] is a graphic tool, which is built upon CloudSim framework that simulates cloud-computing environments supported on the Cloud Computing and to encourage scientists to make various composite simulation situations across a simple user interface. It offers report generation and a straightforward application programming interface that make sure the inclusion of extensions that are joined to the simulator as modules.</t>
  </si>
  <si>
    <t>software add on for cloudsim</t>
  </si>
  <si>
    <t>CPU utilization</t>
  </si>
  <si>
    <t>Then we will evaluate different energy aware power models to check the performance of each model of power and we will discuss the results obtain from the simulator.</t>
  </si>
  <si>
    <t>cloud simulator</t>
  </si>
  <si>
    <t>This study proposes a new six-phase procedure for on-line resource management process.</t>
  </si>
  <si>
    <t>More precisely, this study proposes addition of two new phases to the default on-line resource management process including VM sorting phase and condition evaluation phase. Moreover, this paper shows the deficiencies of present resource management methods which fail to consider all effective system parameters as well as their importance, and do not have load prediction models.</t>
  </si>
  <si>
    <t>softwarebased system for resource management</t>
  </si>
  <si>
    <t>Sla violations</t>
  </si>
  <si>
    <t>The results of simulations using cloudSim simulator validates the applicability of our proposed algorithms in reducing energy consumption as well as decreasing SLA violations and number of VMs' migration in cloud data centers.</t>
  </si>
  <si>
    <t>W</t>
  </si>
  <si>
    <t>we designed an online solution based on the incremental exploration of the solution space to map containers on the available array of hosts such that the objectives mentioned above can be attained</t>
  </si>
  <si>
    <t>The proposed algorithm works on the notion of incrementally exploration of the solution space; thereby significantly reducing the number of input variables for the objective function</t>
  </si>
  <si>
    <t>softwarebased container placement</t>
  </si>
  <si>
    <t>average load, SLA violations</t>
  </si>
  <si>
    <t>Finally, we evaluated the performance of the proposed algorithm in contrast to an existing algorithm on real-time workload traces obtained from PlanetLab. The obtained results confirm the superior performance of the proposed algorithm relative state-of-the-art.</t>
  </si>
  <si>
    <t>In this paper we propose EASE, the Energy efficiency and proportionality Aware VM SchEduling framework containing data collection and scheduling algorithms</t>
  </si>
  <si>
    <t>The rationale of EASE is to schedule VMs to servers to keep them working around their peak energy efficiency point, i.e., the near optimal working range. When workload fluctuates, EASE re-schedules or migrates VMs to other servers to make sure that all the servers are running as near their optimal working range as they possibly can.</t>
  </si>
  <si>
    <t>software based vm scheduling</t>
  </si>
  <si>
    <t>power in Watts</t>
  </si>
  <si>
    <t>Average completion time</t>
  </si>
  <si>
    <t>The experimental results on real clusters show that EASE can save servers’ power consumption as much as 37.07%–49.98% in both homogeneous and heterogeneous clusters, while the average completion time of the computing intensive VMs increases only 0.31%–8.49%.</t>
  </si>
  <si>
    <t>&gt;</t>
  </si>
  <si>
    <t>This chapter presents an interactive PSO-GA algorithm that performs parallel processing of particle swarm optimization (PSO) and genetic algorithm (GA) using multi-threading and shared memory for information exchange to enhance convergence time and global exploration.</t>
  </si>
  <si>
    <t>software based resource allocation</t>
  </si>
  <si>
    <t>convergence, parallel convergence, speedup</t>
  </si>
  <si>
    <t>This chapter also evaluates effectiveness of the proposed algorithm on benchmark optimization test problems over the state-of-the art algorithms. reduces the total energy consumption up to 34% and the convergence time up to 50%</t>
  </si>
  <si>
    <t xml:space="preserve"> In this paper, we consider using stateof-the-art servers with multi-sleep modes.</t>
  </si>
  <si>
    <t>We formulate this problem as an integer linear programming (ILP) problem during the whole period of time with millions of decision variables. To solve this problem, we divide it into sub-problems with smaller periods while ensuring the feasibility and transition continuity for each sub-problem through a Backtrack-and-Update technique</t>
  </si>
  <si>
    <t>softwarebased scheduling approach</t>
  </si>
  <si>
    <t>total power consumption kWh</t>
  </si>
  <si>
    <t>#ups and downs, response time</t>
  </si>
  <si>
    <t>Our simulations are based on traces from real world. Experiments show that our method can significantly reduce the power consumption for a cloud data center.</t>
  </si>
  <si>
    <t>multi objective optimization model</t>
  </si>
  <si>
    <t>In this paper, we consider four optimization objectives about the VC and the datacenter, i.e., availability, energy consumption, average resource utilization, and resource load balance. Then we propose a multi-objective optimization model and raise an evolution algorithm to trade-off among these four optimization objectives.</t>
  </si>
  <si>
    <t>software based virtual cluster allocation</t>
  </si>
  <si>
    <t>energy consumption in Watts</t>
  </si>
  <si>
    <t>availability risk value, average resource utilization, load balance value</t>
  </si>
  <si>
    <t>Finally, experimental results showed that IBBBO outperformed other approaches with a better trade-off among all optimization objectives.</t>
  </si>
  <si>
    <t>virtual cluster</t>
  </si>
  <si>
    <t>an integrated any colony optimization approach is proposed in this paper to deal with both layers simultaneously.</t>
  </si>
  <si>
    <t>It formulates the two-layer resource management into an integrated two-layer bin packing (Int2LBP) optimization problem. Then, an integrated first fit-decreasing (FFD) algorithm Int2LBP_FFD is proposed to solve this optimization problem. Using the result of Int2LBP_FFD as an initial solution, an integrated ant colony system (ACS) algorithm Int2LBP_ACS is further developed to improve the quality of solution</t>
  </si>
  <si>
    <t>software based optimization approach</t>
  </si>
  <si>
    <t>total energy kWh, energy improvement %</t>
  </si>
  <si>
    <t>runtime performance</t>
  </si>
  <si>
    <t>Simulation experiments are conducted to demonstrate the effectiveness of our integrated approach.</t>
  </si>
  <si>
    <t>enterprise data center</t>
  </si>
  <si>
    <t>redution of brown energy use</t>
  </si>
  <si>
    <t>In this paper, we present an approach for scheduling batch jobs with due date constraints, which takes into account the availability of the renewable energy to reduce the need of brown energy and therefore running cost.</t>
  </si>
  <si>
    <t>The approach we propose differs from the existing methods by providing a scheduling algorithm agnostic of the electrical infrastructure. A separated system, managing the renewable sources, provides an arbitrary objective function, which is used to guide the scheduling heuristic</t>
  </si>
  <si>
    <t>software based scheduling system aware of electrical grid</t>
  </si>
  <si>
    <t>grid energy consumed kWh</t>
  </si>
  <si>
    <t>We implemented our approach in a data center simulator, and evaluated it by considering a small-scale center powered with solar panels and connected to the electrical grid. Our experiments show a reduction of brown energy consumption up to 49% and a cost saving up to 51%, compared to a traditional scheduler unaware of renewable availability.</t>
  </si>
  <si>
    <t>vm consolidation using a new predicition model</t>
  </si>
  <si>
    <t>In this paper, we propose two Host State Detection algorithms and an improved VM placement algorithm based on our proposed Host State Binary Decision Tree Prediction model for SLA-aware and energy-efficient consolidation of VMs in cloud data centers.</t>
  </si>
  <si>
    <t>software based prediction for vm consolidation</t>
  </si>
  <si>
    <t>SLA violations, vm migrations</t>
  </si>
  <si>
    <t>We extend Cloudsim simulator to evaluate our algorithms by using PlanetLab workload and random workload. The experimental results show that our proposed model can significantly reduce SLA violation rates while keeping energy cost efficient, it can reduce the metric of SLAV by at most 98.12% and the metric of Energy by at most 33.96% for real world workload</t>
  </si>
  <si>
    <t>this work presents an energy consumption method based on multiple energy-related features to cope with low energy efficiency.</t>
  </si>
  <si>
    <t>Unlike other methods that focus only on a few performance features, the proposed method screens out 12 key features related to energy and uses the deep learning model for adequate training. In particular, this approach is composed of three main phases including (i) energy-related features acquisition, (ii)essential feature selection, and (iii) energy consumption model establishment.</t>
  </si>
  <si>
    <t>software based prediciton model</t>
  </si>
  <si>
    <t>power consumption in W</t>
  </si>
  <si>
    <t>In the verification stage, each feature vector in test set is inputted into the trained model, and thus, the energy consumption of this vector is predicted. The proposed approach based on multiple energy-related features(MERF) is compared with other five methods</t>
  </si>
  <si>
    <t>This paper proposes two energysaving resource allocation algorithms that take into account several energy efficiency factors: resource allocation policies, power management techniques, and power models for better energy management in cloud data centers.</t>
  </si>
  <si>
    <t>software based resource allocation algorithms</t>
  </si>
  <si>
    <t>These two algorithms are implemented on CloudSim toolkit and evaluated with real-world workload data. By the experimental evaluation of these algorithms for competitive analysis of energy consumption, we found that this work contributes to save the energy consumption in cloud data centers.</t>
  </si>
  <si>
    <t>This paper proposes Energy-Efficient Flower Pollination Algorithm (EE-FPA) for optimal resource allocation of datacenter Virtual Machines (VMs) and also resource under-utilization</t>
  </si>
  <si>
    <t>The proposed technique uses Processor, Storage and Memory as major resource component of PM to allocate a set of VMs, such that the capacity of PM will satisfy the resource requirement of all VMs operating on it.</t>
  </si>
  <si>
    <t>software based resource allocation algorithm</t>
  </si>
  <si>
    <t>resource utilization</t>
  </si>
  <si>
    <t>The experiment was conducted on Multi-RecCloudSim using Planet workload. The results indicate that the proposed technique energy consumption outperform the benchmarking techniques which include GAPA, and OEMACS with 91% and 94.5% energy consumption while EE-FPA is around 65%. On average 35% of energy has been saved using EE-FPA and resource utilization has been improved.</t>
  </si>
  <si>
    <t>In this paper, both the CPU utilization of system and SLA of users are taken into account to classify hosts and an adaptive multi-threshold energy-aware virtual machine consolidation algorithm is proposed to provide different consolidation mechanisms for different types of hosts.</t>
  </si>
  <si>
    <t>First, compound threshold is designed for overload hosts and will be adjusted dynamically to ensure both CPU utilization and SLA. Then a Q-learning based method is proposed to further divide underload hosts to save energy.</t>
  </si>
  <si>
    <t>migration costs, sla violations</t>
  </si>
  <si>
    <t xml:space="preserve">To evaluate the proposed VM consolidation mechanism, we have simulated a data center comprising 800 heterogeneous hosts. We implemented the proposed algorithm using the
CloudSim toolkit </t>
  </si>
  <si>
    <t>In this paper, a complete mapping (i.e., task VM and VM to PM) algorithm is proposed.</t>
  </si>
  <si>
    <t>The tasks are classified according to their resource requirement and then searching for the appropriate VM and again searching for the appropriate PM where the selected VM can be deployed. The proposed algorithm reduces the energy consumption by depreciating the number of active PMs, while also minimizes the makespan and task rejection rate.</t>
  </si>
  <si>
    <t>software based vm placement algorithm</t>
  </si>
  <si>
    <t>energy consumption KJ</t>
  </si>
  <si>
    <t>makespan, task rejection rate</t>
  </si>
  <si>
    <t>We have evaluated our proposed approach in CloudSim simulator, and the results demonstrate the effectiveness of the proposed algorithm over some existing standard algorithms.</t>
  </si>
  <si>
    <t>energy optimization</t>
  </si>
  <si>
    <t>The problem was formulated as a Mixed Integer Linear Program (MILP) that is solvable by an optimization software to jointly minimize the energy consumed by the servers and DCN. To overcome the optimization software high computational time, a heuristic algorithm to provide practical and efficient solution is introduced</t>
  </si>
  <si>
    <t>The heuristic algorithm has two stages: first, it uses the virtual machines (VM) and the predicted servers resource utilization to provide VM consolidation algorithm and turn-off unused servers. The second stage uses an abstract performance-aware network flow consolidation that focused the traffic on subset of the network and turn-off the unused network devices.</t>
  </si>
  <si>
    <t>energy consumed kWh</t>
  </si>
  <si>
    <t>response time, wikipedia requests</t>
  </si>
  <si>
    <t>Simulation experiments using CloudsimSDN were conducted to validate the heuristic using real traces from Wikipedia in terms of energy consumption and average response time. The results show that the heuristic can save servers and network energy while maintaining performance.</t>
  </si>
  <si>
    <t>virtualized data center</t>
  </si>
  <si>
    <t>reduce costs of energy consumption</t>
  </si>
  <si>
    <t>we propose a renewable energy aware Reinforcement Learning (RL) based job scheduling algorithm by combining RL with neural network (NN)</t>
  </si>
  <si>
    <t>Specifically, Random Pool Sampling (RPS) is proposed to retrain the NN via accumulated training data, and a novel Unidirectional Bridge Network (UBN) structure is designed for further enhancing the training speed by using the historical knowledge stored in the trained NN</t>
  </si>
  <si>
    <t>software based job scheduling algorithms</t>
  </si>
  <si>
    <t>electricity costs</t>
  </si>
  <si>
    <t>action values</t>
  </si>
  <si>
    <t>Experiment results on real Google cluster traces and electricity price from Energy Information Administration show that our approach is able to reduce the data centers’ cost significantly compared with other benchmark algorithms.</t>
  </si>
  <si>
    <t>geo-distributed data centers</t>
  </si>
  <si>
    <t>Thus, an energy-efficient dynamic scheduling scheme (EDS) of real-time tasks for virtualized CDC is presented in this paper</t>
  </si>
  <si>
    <t>In the scheduling scheme, the heterogeneous tasks and virtual machines are first classified based on a historical scheduling record. Then, similar type of tasks are merged and scheduled to maximally utilize an operational state of the host. In addition, energy efficiencies and optimal operating frequencies of heterogeneous physical hosts are employed to attain energy preservation while creating and deleting the virtual machines.</t>
  </si>
  <si>
    <t>software based task scheduling scheme</t>
  </si>
  <si>
    <t>total energy consumption kWh</t>
  </si>
  <si>
    <t>guarantee ratio, response time</t>
  </si>
  <si>
    <t>Experimental results show that, in comparison with existing techniques, EDS significantly improves overall scheduling performance, achieves a higher CDC resource utilization, increases task guarantee ratio, minimizes the mean response time, and reduces energy consumption.</t>
  </si>
  <si>
    <t>virtualized cloud data center</t>
  </si>
  <si>
    <t>reducing energy consumption</t>
  </si>
  <si>
    <t>We propose the delayed bestfit task-scheduling scheme that strategically delays the scheduling of tasks to the most energy-efficient servers of data centers to reduce its energy consumption</t>
  </si>
  <si>
    <t>The proposed scheme uses static and dynamic thresholds mechanisms to an allocated task to an assigned server to balance energy consumption and task completion time.</t>
  </si>
  <si>
    <t>software based task scheduling</t>
  </si>
  <si>
    <t>delay, cpu utilization</t>
  </si>
  <si>
    <t>The proposed scheme is tested on a real traffic trace from a Google data center and compared with best-fit and first-fit scheduling algorithms. We show that the proposed delayed best-fit task-scheduling scheme reduces data center energy consumption by 15% of that attained by the best-fit algorithm on the same trace, without compromising the average task completion time</t>
  </si>
  <si>
    <t>In this paper, job scheduling of shuffle and reduce phases is considered for data center with heterogenous servers to minimize energy consumption.</t>
  </si>
  <si>
    <t>Two main steps (candidate servers construction and allocate tasks) are in the proposed assignment. The set of candidate servers is constructed in terms of data size and network topology. Allocation of tasks and slots with normalized shuffle time and data size decreases completion times of jobs, in which shuffle time is calculated by two new bandwidth allocations considering deadlines.</t>
  </si>
  <si>
    <t xml:space="preserve">software based job scheduling </t>
  </si>
  <si>
    <t>Residual Predictive Deviation</t>
  </si>
  <si>
    <t>Experimental results show that the proposed task scheduling has less energy consumption and more jobs finished before deadlines compared to adapted algorithms</t>
  </si>
  <si>
    <t>data center</t>
  </si>
  <si>
    <t>in this paper, an efficient scheme for energy management with sustainability (MEnSuS) of Cloud Data Centers in Edge– Cloud Environment using SDN is presented.</t>
  </si>
  <si>
    <t>In the proposed scheme, a support vector machine-based workload classification approach is presented. Moreover, a two-stage game for workload scheduling for
sustainability of DCs is designed. In order to achieve energy efficiency and optimal utilization of network and computing resources, different consolidation schemes are also presented.</t>
  </si>
  <si>
    <t>software based energy management scheme</t>
  </si>
  <si>
    <t>sla violations, migration rate, carbon rate, PUE</t>
  </si>
  <si>
    <t>The proposed scheme is evaluated using Google workload traces and the results obtained prove the effectiveness.</t>
  </si>
  <si>
    <t>dc sustainability</t>
  </si>
  <si>
    <t>cloud data center in edge cloud enviroment</t>
  </si>
  <si>
    <t>In this study, a novel solution was proposed for the allocation of virtual machines to physical hosts in cloud data centers using the Krill Herd algorithm, which is the fastest collective intelligence algorithm recently introduced.</t>
  </si>
  <si>
    <t>We aim to obtain an appropriate scheme for allocating resources to physical hosts using relying on the krill algorithm. In addition to the time complexity of the algorithm, energy consumption is reduced in data centers as a result of the load congestion of the system at any given moment. Given that VM allocation to physical hosts is an NP-Hard problem, metaheuristic algorithms are the best solution strategies to take. A</t>
  </si>
  <si>
    <t>software based vm allocation scheme</t>
  </si>
  <si>
    <t>energy W/H</t>
  </si>
  <si>
    <t>The performance of the proposed method was evaluated using the CloudSim simulator, and the results are suggestive of a 35% reduction in energy consumption</t>
  </si>
  <si>
    <t>In this paper, we propose a load-balancing algorithm that is based on a new parameter called the balance factor of the data center, introduced here, to determine if a data center is imbalanced or not, in order to redistribute the workload equally over all the hosts.</t>
  </si>
  <si>
    <t>To minimize the energy consumption of the data center, our strategy relies on the live migration of virtual machines (VMs) while using a mathematical model.</t>
  </si>
  <si>
    <t>software based load balancing and vm reassignment</t>
  </si>
  <si>
    <t>Power consumption in Watts</t>
  </si>
  <si>
    <t>migrations</t>
  </si>
  <si>
    <t>The simulation results, using the CloudSim toolkit, have shown that the energy efficiency can be managed by reassigning VMs to the data-center hosts.</t>
  </si>
  <si>
    <t>In this paper, we propose a new approach to improve the efficiency of data centers in terms of energy consumption</t>
  </si>
  <si>
    <t>Our approach exploits the correlation in time of the inter-node communication traffic and some topological features to maximize energy saving with only a minor increase in the average path length. Our approach dynamically controls the number of active communication links by turning off and on ports in the network (switches ports and nodes ports)</t>
  </si>
  <si>
    <t>software based network optimization</t>
  </si>
  <si>
    <t>relative energy consumption</t>
  </si>
  <si>
    <t>Average path length</t>
  </si>
  <si>
    <t>Simulations results confirmed the energy saving gain procured by the proposed approach with a low impact on the average path length.</t>
  </si>
  <si>
    <t>dc network</t>
  </si>
  <si>
    <t>We propose a reliability-aware and energy-efficient task replica assignment algorithm based on running task replicas at a low speed and enabling multiple task replicas to share the same server resources.</t>
  </si>
  <si>
    <t>Each task in a job processed by the cloud computing platform has two instances: main task and task replica (shadow). Each main task runs on an individual server, and the task replica associated with the main task is assigned on a different server. The main tasks run at the full server speed, while the task replicas run at a lower rate than the main tasks. The task replicas can be mapped onto dedicated backup servers or be assigned to the servers on which the main tasks are running. Multiple task replicas can share the same server resources to reduce the number of servers required.</t>
  </si>
  <si>
    <t>software based task assignment</t>
  </si>
  <si>
    <t>job completion time, #servers</t>
  </si>
  <si>
    <t>We conduct experiments through simulations. Experimental results demonstrate that the proposed algorithm can effectively reduce the energy consumption, while achieving a good balance between the number of servers used and job completion time.</t>
  </si>
  <si>
    <t>This research article is going to address the problem of high energy consumption at datacenter. Concentrate on virtual machine scheduling in cloud datacenter with Dynamic Voltage Frequency Scaling (DVFS) approach.</t>
  </si>
  <si>
    <t>We have combined shortest job frst and Round Robin algorithms with Vibrant Quantum. This combination of algorithm is considered as shortest round vibrant queue (SRVQ) algorithm. SRVQ reduces the waiting time of the scheduling process and minimize the starvation.</t>
  </si>
  <si>
    <t>running time</t>
  </si>
  <si>
    <t>The DVFS and SRVQ worked together and produced fruitful results in the fnal experiments. This work reduced the server’s energy consumption in the cloud data center. In the fnal results, our proposed framework exhibits 45% of energy efciency compare to other previously proposed algorithms. 33% of QoS performance were enhanced by our framework.</t>
  </si>
  <si>
    <t>vm consolidation strategy that is aware of peak power from the perspective of server clusters</t>
  </si>
  <si>
    <t>In this paper, we first define the metrics of peak power efficiency and optimal utilization for heterogeneous physical machines (PMs). Then we propose Peak Efficiency Aware Scheduling (PEAS), a novel strategy of VM placement and reallocation for achieving dual improvement in performance and energy conservation from the perspective of server clusters. PEAS allocates and reallocates VMs in an on-line manner and always attempts to maintain PMs working in their peak power efficiency via VM consolidation.</t>
  </si>
  <si>
    <t xml:space="preserve">software based vm consolidation </t>
  </si>
  <si>
    <t>job runtime, #migrations</t>
  </si>
  <si>
    <t>Extensive experiments on Cloudsim show that PEAS outperforms several energy-aware consolidation algorithms with regard to energy consumption, system performance as well as multiple QoS metrics.</t>
  </si>
  <si>
    <t>In this work, we investigate the joint energy optimization of cooling systems and VM consolidations in cloud data centers. We propose a cooling-aware VM consolidation (CAVC for short) algorithm to the problem</t>
  </si>
  <si>
    <t>The CAVC algorithm is a two-stage solution: 1) we first relax the constraints of the problem and determine an optimal number of physical machines (PMs) and an optimal CPU utilization of the PMs that yields the minimum cooling power; and 2) based on the initial solution of the first stage, we consolidate the VMs into the predetermined PMs with the predetermined CPU utilization ratio as much as possible.</t>
  </si>
  <si>
    <t>software based vm consolidation aware of cooling measures</t>
  </si>
  <si>
    <t>#active PMs</t>
  </si>
  <si>
    <t>The real-world data set (i.e., Google cluster data) is adopted in the simulations and the results show that the CAVC algorithm yields very close energy consumption to the theoretical lower bound.</t>
  </si>
  <si>
    <t>in this paper we proposed a framework which can show effective performance for achieving the high data center energy efficiency and preventing Service Level Agreement (SLA) violation respectively with the aim of green cloud resources deployment.</t>
  </si>
  <si>
    <t>The framework accomplishes cloud infrastructure resource allocation on the basic of Reinforcement Learning mechanism and Fuzzy Logic for green solutions.</t>
  </si>
  <si>
    <t>software based resource allocation framework</t>
  </si>
  <si>
    <t>PUE, #vms, CPU utilization, #sla violations</t>
  </si>
  <si>
    <t>The evaluation for Energy-efficient Resource Allocation is experimented on the traces of the PlanetLab virtualized environment for gaining good PUE and CPU utilization.</t>
  </si>
  <si>
    <t>dynamic task scheduling algorithm to optimize energy consumption</t>
  </si>
  <si>
    <t>This paper focuses on the development of a dynamic task scheduling algorithm by proposing an Integer Linear Programming (ILP) model that minimizes the energy consumption in a Cloud data center. Furthermore, an Adaptive Genetic Algorithm (GA) is proposed to reflect the dynamic nature of the Cloud environment and to provide a near optimal scheduling solution that minimizes the energy consumption.</t>
  </si>
  <si>
    <t>energy consumption (unit not clear)</t>
  </si>
  <si>
    <t>elapsed time</t>
  </si>
  <si>
    <t>The proposed adaptive GA is validated by simulating the Cloud infrastructure and conducting a set of performance and quality evaluation study in this environment. The results demonstrate that the proposed solution offers performance gains with regards to response time and in reducing energy consumption.</t>
  </si>
  <si>
    <t>in this paper, we propose an energy aware VM consolidation algorithm that minimizes SLAVs</t>
  </si>
  <si>
    <t>the proposed VM consolidation algorithm contains different models for each stage. For the first stage, we developed different fine-tuned Machine Learning (ML) prediction models for individual VMs to predict the best time to trigger migrations from hosts. For the second stage, we lexicographically consider migration time and host CPU usage when selecting VMs to migrate. Finally, a new method based on the Best Fit Decreasing (BFD) algorithm was developed to select a destination host for the VMs being migrated.</t>
  </si>
  <si>
    <t>software based vm consolidation</t>
  </si>
  <si>
    <t>#sla violations</t>
  </si>
  <si>
    <t>Our algorithm was compared to a baseline VM consolidation algorithm that used Local Regression for detecting over-utilized hosts, minimum migration time for the VM selection stage and power-aware best fit for the host selection stage. The comparison demonstrated that our VM consolidation algorithm improved energy consumption and SLAVs by 26% and 50%, respectively.</t>
  </si>
  <si>
    <t>In this article we focus on energy-efficiency of Cloud datacenter using Dynamic Virtual Machine Consolidation Algorithms by planetLab workload traces, which consists of a thousand PlanetLab VMs with large-scale simulation environments</t>
  </si>
  <si>
    <t>The proposed algorithm works by associating a credit value with each node. For a node, the credit depends on the affinity it has for its VMs, its current workload, and VM communications. Energy savings are achieved by continuous consolidation of VMs according to current utilization of resources, virtual network topologies established between VMs and thermal state of computing nodes.</t>
  </si>
  <si>
    <t>energy</t>
  </si>
  <si>
    <t>host switches, job mean load</t>
  </si>
  <si>
    <t>Experiments are done in a simulated cloud environment by the CloudSim simulation tool. The obtained results show that consolidation reduces the number of migrations and the power consumption of the servers. Also application performances are improved.</t>
  </si>
  <si>
    <t>effective energy management</t>
  </si>
  <si>
    <t>In this paper, we formulate the joint server and cooling energy management problem and analyze its challenges, and design a Learning-based Energy management Scheme (LEES) to solve the problem</t>
  </si>
  <si>
    <t>Firstly, machine learning methods are investigated in the cooling power consumption modeling and cabinet temperature modeling. Based on the models, a simple yet efficient energy management scheme is proposed to find an optimized configuration of server load distribution, server status and air supply temperature for the data center to reduce the total energy consumption</t>
  </si>
  <si>
    <t>software based energy management solution</t>
  </si>
  <si>
    <t>energy consumption KW</t>
  </si>
  <si>
    <t>temperature</t>
  </si>
  <si>
    <t>This section provides the evaluation results of LEES using the widely used CFD simulator 6SigmaRoom. We focus this evaluation on two aspects: (1) the total energy consumption of the data center and (2) the maximum cabinet temperature of the data center.</t>
  </si>
  <si>
    <t>To save more energy in a cloud data center, we propose an energy-efficient task-scheduling mechanism with switching on/sleep mode of servers in the virtualized cloud data center</t>
  </si>
  <si>
    <t>the key idea is that when the number of idle VMs reaches a specified threshold, the server with the most idle VMs will be switched to sleep mode after migrating all the running tasks to other servers. From the perspective of the total number of tasks and the number of servers in sleep mode in the system, we establish a two-dimensional Markov chain to analyse the proposed energy-efficient mechanism. By using the method of the matrix-geometric solution, we mathematically estimate the energy consumption and the response performance</t>
  </si>
  <si>
    <t>total energy cost W</t>
  </si>
  <si>
    <t>system cost</t>
  </si>
  <si>
    <t>To evaluate the system performance with the proposed energy-efficient mechanism, we provide numerical experiments and simulation experiments with analyses. ,e results are calculated using Matlab 2011a. ,e simulation program is written in Java language. ,e simulation results are obtained by averaging the results from 100 independent run</t>
  </si>
  <si>
    <t>In this paper, we formulate the problem as a three-dimension bin-packing optimization to minimize the energy cost of working machines and idle machines.</t>
  </si>
  <si>
    <t>By considering the CPU and memory requirements from a virtual machine, the assignment is constrained under the capacities of the physical machine.
Inspired by the best-fit decreasing algorithm, four variants of this exact algorithm are developed to address the multiple-objective problem under multiple-capacity constraints.</t>
  </si>
  <si>
    <t>Experimental results demonstrate the effectiveness of the proposed algorithms on small-, medium- and large-scale instances profiled from data centers. The results indicate that the algorithms assigning virtual machines to the physical machines of best-fit hosting time is competitive in cases with loose capacity constraints, and the energy-efficiency best-fit algorithm produces efficient assignments when a makespan limit is required on the physical machines</t>
  </si>
  <si>
    <t>reduce energy costs, predict energy consumption</t>
  </si>
  <si>
    <t>Proposing a host states prediction method for VM consolidation.</t>
  </si>
  <si>
    <t>We present a host states prediction mode for SLA-aware and energy-efficient consolidation of VMs in cloud data centers. Different from other future resource utilization prediction methods, our proposed method predict the future host states instead. This method is based on Naive Bayesian classifier using the host CPU utilization and named the Host States Naive Bayesian Prediction (HSNBP) model. The main objective of HSNBP mode is to minimize the power consumption and SLA violation level.</t>
  </si>
  <si>
    <t>software-based model tested in CloudSim and PlanetLab</t>
  </si>
  <si>
    <t>SLA violations, SLATAH, PDM, number of VM migrations, number of host shutdowns</t>
  </si>
  <si>
    <t>We have simulated a data center that comprises 800 heterogeneous physical nodes using the CloudSim toolkit. Experimental results show that our proposed method can significantly reduce SLA violation rates while keeping energy cost efficient.</t>
  </si>
  <si>
    <t>focuses on cost efficiency and energy usage prediction</t>
  </si>
  <si>
    <r>
      <rPr>
        <color rgb="FF1155CC"/>
        <u/>
      </rPr>
      <t>https://link.springer.com/content/pdf/10.1007/s10586-017-1166-z.pdf</t>
    </r>
    <r>
      <rPr/>
      <t xml:space="preserve"> </t>
    </r>
  </si>
  <si>
    <t>Proposing an energy-aware load balancing technique based on the artificial bee colony and the firefly algortihms.</t>
  </si>
  <si>
    <t>Presents a novel energy-aware load balancing technique ELB, based on the energy-aware resource utilization technique and the energyaware VM migration technique. The energy-aware resource utilization technique is based on the artificial bee colony optimization. Through this resource utilization technique, the model aspires to maximize the utilization of the system resources thus improving the energy efficiency of the system by appropriately assigning the users workload to the energy-aware nodes and without degrading the system’s performance. Furthermore, by using the energy-aware VM migration technique, which is based on the firefly optimization, it migrates the VMs containing the workloads to the more energy-efficient nodes, thereby curtailing the systems energy needs and balancing the system workload hence achieving load balancing and green computing.</t>
  </si>
  <si>
    <t>ELB technique is based on the two algorithms, ERU (based on artificial bee colony optimization algorithm) and FFO-EVMM (based on firefly optimization algorithm)</t>
  </si>
  <si>
    <t>energy consumption (Wh)</t>
  </si>
  <si>
    <t xml:space="preserve">workloads, memory utilization (%), CPU utilization (%), number of nodes used, number of VM migrations </t>
  </si>
  <si>
    <t xml:space="preserve">The proposed ELB model has been evaluated in BSNL data center and compared with the three standard techniques namely RR, FFD and ACO. The experimentation results show that the proposed algorithm outperformed the existing approach, followed in the data center and the other two approaches. It saved 40.47% of the average energy consumption, which is accomplished by improving CPU utilization level by 49.68%, memory utilization level by 24.41%, reducing VM migrations by 63.10% and saving 53.21% of nodes. The improved results illustrate that the proposed technique effectively balances the load, thereby curtailing the energy consumption. </t>
  </si>
  <si>
    <t>server nodes (workload)</t>
  </si>
  <si>
    <r>
      <rPr>
        <color rgb="FF1155CC"/>
        <u/>
      </rPr>
      <t>https://link.springer.com/article/10.1007/s00500-017-2905-z</t>
    </r>
    <r>
      <rPr/>
      <t xml:space="preserve"> </t>
    </r>
  </si>
  <si>
    <t>Proposing an energy-aware VM allocation approach called MDPSO.</t>
  </si>
  <si>
    <t>Proposes a modified discrete particle swarm optimization (MDPSO) approach for optimal energy-aware virtual machine allocation that minimizes the power consumption of the physical machine by estimating the increase in the power consumption before a VM is placed onto the physical machine. Furthermore, a novel virtual machine selection method is presented, namely MBS-VM selection, which optimally selects the virtual machines from a over-utilized or under-utilized server and performs migration to further improve the utilization of servers that in turn improves the energy efficiency in virtualized data centers.</t>
  </si>
  <si>
    <t>software-based particle swarm optimization (PSO) for VM allocation tested in CloudSim</t>
  </si>
  <si>
    <t xml:space="preserve">number of VM migrations, number of VMs, SLA violations </t>
  </si>
  <si>
    <t>We simulated a cloud data center comprising 100 heterogeneous physical machines in CloudSim, characterized according to their configurations. We compare our proposed approach with few other approaches concerning energy consumption, SLA violations, number of migrations and active hosts. The experimental results illustrate that the combination of proposed allocation and selection algorithms leads to significant reduction in energy consumption in a cloud data center up to 32%.</t>
  </si>
  <si>
    <r>
      <rPr>
        <color rgb="FF1155CC"/>
        <u/>
      </rPr>
      <t>https://ieeexplore.ieee.org/abstract/document/8603157/</t>
    </r>
    <r>
      <rPr/>
      <t xml:space="preserve"> </t>
    </r>
  </si>
  <si>
    <t xml:space="preserve">Proposing an energy-aware VM selection policy. </t>
  </si>
  <si>
    <t xml:space="preserve">We studied a hybrid load balancing model that performed VM selection by considering both the VM CPU utilization and its correlation with its co-hosted VMs. We propose an energy aware VM selection policy to minimize the number of migrations and consequently decrease SLAVs. The focus of this research is on the VM selection stage of CPU load balancing. Our proposed VM selection algorithm considers CPU utilization of the VMs on each host and any linear correlation between the CPU usage of the VMs. </t>
  </si>
  <si>
    <t>software-based approach simulated in CloudSim and using PlanetLab</t>
  </si>
  <si>
    <t xml:space="preserve">energy consumption </t>
  </si>
  <si>
    <t>number of migrations, SLA violations, ES violations (SLA violations × energy consumption), number of re ove-utilization</t>
  </si>
  <si>
    <t>We evaluated the proposed model through simulation of two real workload traces, one from PlanetLab and one from Google, in CloudSim. The results showed that our proposed algorithm decreases SLAVs by 66%, ESV (SLAVs × energy consumption) by 64% and the number of “re over-utilized” hosts by 81% when the CPU usage of VMs in a data set are highly correlated.</t>
  </si>
  <si>
    <r>
      <rPr>
        <color rgb="FF1155CC"/>
        <u/>
      </rPr>
      <t>https://ieeexplore.ieee.org/abstract/document/8422225/</t>
    </r>
    <r>
      <rPr/>
      <t xml:space="preserve"> </t>
    </r>
  </si>
  <si>
    <t xml:space="preserve">Proposing an energy-efficient task scheduling scheme. </t>
  </si>
  <si>
    <t>A data locality-aware energy-efficient (EnLoc) scheme for task scheduling and data placement has been proposed, particularly for MapReduce framework. Task scheduling and data placement problem is modeled as a multi-objective optimization problem (MOOP) that primarily aims to reduce the energy consumption of cloud DCs. The formulated problem also involves maximal SLA guarantee along with enhanced data locality. The evolutionary framework of MOEA with "Tchebycheff decomposition" (MOEA/D) is then used to deduce optimal task scheduling and data placement decisions under variable workload traces.</t>
  </si>
  <si>
    <t xml:space="preserve">software-based task scheduling algorithm </t>
  </si>
  <si>
    <t>energy consumption, energy efficiency (%)</t>
  </si>
  <si>
    <t>SLA efficiency (%), data locality (%), number of map and reduce tasks, job deadline (ms)</t>
  </si>
  <si>
    <t xml:space="preserve">The performance of the proposed EnLoc scheme was validated on real-time data traces acquired from OpenCloud Hadoop Cluster on different evaluation parameters. The obtained results indicate that EnLoc is more reasonable and effective in achieving better results in terms energy efficiency, SLA guarantee and data locality assurance.
</t>
  </si>
  <si>
    <r>
      <rPr>
        <color rgb="FF1155CC"/>
        <u/>
      </rPr>
      <t>https://papers.ssrn.com/sol3/papers.cfm?abstract_id=3394044</t>
    </r>
    <r>
      <rPr/>
      <t xml:space="preserve"> </t>
    </r>
  </si>
  <si>
    <t xml:space="preserve">Proposing an energy efficient VM selection policy. </t>
  </si>
  <si>
    <t xml:space="preserve">We proposed an energy efficient VM selection scheme for the selection of required VMs from the overloaded host, so after migration of these VMs from the host it can stay in green and SLA economical state. This VM selection policy is called EEAMP and selects the required VMs from overloaded hosts to optimize the energy efficiency and the SLA violation. In this proposed policy, we have designed a selection criteria function based on multi features by accounting different parameters. </t>
  </si>
  <si>
    <t>VM selection policy simulated and tested in CloudSim</t>
  </si>
  <si>
    <t>number of VM migrations, SLA violations, PDM (performance due to migration)</t>
  </si>
  <si>
    <t xml:space="preserve">We have used CloudSim simulator to evaluate the performance of the proposed technique and study the performance with other state of arts. We have used real workload that is collected in 2011 as the part of CoMon project. The results show that the proposed solution is highly skilled to increase the efficiency of cloud comprehensively in terms of energy and quality of service and also indicate that the proposed scheme outperforms many existing state of arts. </t>
  </si>
  <si>
    <t>VM (IaaS)</t>
  </si>
  <si>
    <r>
      <rPr>
        <color rgb="FF1155CC"/>
        <u/>
      </rPr>
      <t>https://link.springer.com/article/10.1007/s11036-018-1062-7</t>
    </r>
    <r>
      <rPr/>
      <t xml:space="preserve"> </t>
    </r>
  </si>
  <si>
    <t>Proposing an energy-aware task scheduling scheme for VMs.</t>
  </si>
  <si>
    <t>A task assignment and scheduling scheme, energy-aware fault-tolerant dynamic task scheduling scheme (EFDTS), is developed to coordinately consider resource utilization, energy efficiency, and fault-tolerance in task assignment, scheduling, and migration processes, such that resource utilization and energy efficiency will be improved while the fault tolerance feature is provided. In EFDTS, tasks are classified with a specially designed classification mechanism. The tasks are assigned to appropriate virtual machines and hosts based on their class (in accordance with their characteristics) and the current capacity of the hosts, such that the mean response time and rejection ratio will be reduced. Furthermore, a migration policy is designed to simultaneously improve resource utilization and energy efficiency by migrating tasks among hosts in accordance with a power model.</t>
  </si>
  <si>
    <t>software-based task scheduling algorithm tested in CloudSim</t>
  </si>
  <si>
    <t>rejection ratio of task scheduling, utilization ratio (%), average response time (s)</t>
  </si>
  <si>
    <t>An extensive simulation experiment in the CloudSim toolkit to validate the superiority of the proposed model. In this experiment, we compared the task rejection ratio, mean response time, resource utilization, and energy consumption with the existing algorithms. The experimental results show that the proposed scheme has a lower rejection ratio, shorter response time, higher resource utilization ratio, and lower energy consumption than some of the existing schemes.</t>
  </si>
  <si>
    <t>virtualized cloud data centers</t>
  </si>
  <si>
    <r>
      <rPr>
        <color rgb="FF1155CC"/>
        <u/>
      </rPr>
      <t>http://search.ebscohost.com/login.aspx?direct=true&amp;profile=ehost&amp;scope=site&amp;authtype=crawler&amp;jrnl=09731318&amp;AN=141016261&amp;h=qwZ%2BpYdlfk%2BzvtM7AVtTzVM%2Frs4veDzSUV5je6ybbkKWBm%2BeTA2vKShbEJm7FRybBjeDPxz80LJa8UdNAVljOA%3D%3D&amp;crl=c</t>
    </r>
    <r>
      <rPr/>
      <t xml:space="preserve"> </t>
    </r>
  </si>
  <si>
    <t>predict energy consumption</t>
  </si>
  <si>
    <t>Proposing a model to estimate the energy consumption of cloud servers.</t>
  </si>
  <si>
    <t>We propose a model to estimate the energy consumption of cloud servers based on the performance counter. Although the widely used Intel processors with Sandy Bridge architecture have RAPL counters for direct power reading, most processors do not provide such an interface for power measurement. Our aim was to estimate the energy consumption of the machines without RAPL counters by using the performance counter. We used a multivariate linear regression method to construct the energy prediction model that is suitable for predicting future energy consumption through resource utilization of cloud servers.</t>
  </si>
  <si>
    <t>energy consumption prediction model for machines without RAPL counter interfaces for direct power reading</t>
  </si>
  <si>
    <t>power/watter</t>
  </si>
  <si>
    <t>error (%)</t>
  </si>
  <si>
    <t xml:space="preserve">The proposed model has been tested under a wide
selection of benchmarks, including SPEC2006, I/Ozone, and Netperf. We collected the dataset including the measurement of energy consumption and the values of all the performance counters. Then, we divided the dataset into two groups: one for training the linear model following the step regression method, the other for validating the prediction model. The experiment demonstrated that the proposed energy prediction model can predict energy consumption with high accuracy.
</t>
  </si>
  <si>
    <t>prediction of energy footprint for machines without power reading</t>
  </si>
  <si>
    <r>
      <rPr>
        <color rgb="FF1155CC"/>
        <u/>
      </rPr>
      <t>https://www.sciencedirect.com/science/article/pii/S074373151730285X</t>
    </r>
    <r>
      <rPr/>
      <t xml:space="preserve"> </t>
    </r>
  </si>
  <si>
    <t>Proposing a power and SLA efficient resource allocation algorithm.</t>
  </si>
  <si>
    <t>A novel algorithm based on learning automata is proposed, which improves resource utilization and reduces energy consumption. The algorithm considers changes in the user demanded resources to predict the PM, which may suffer from overload. Due to preventing server overload, the proposed algorithm improves PMs’ utilization, reduces the number of migrations, and shuts down idle servers to reduce the energy consumption of the data center.</t>
  </si>
  <si>
    <t>learning automata-based algorithm</t>
  </si>
  <si>
    <t>number of migrations, SLA violations, number of shutdowns, PDM, OTF</t>
  </si>
  <si>
    <t>The proposed algorithm is simulated in CloudSim simulator; the 10-day processor information of a real PlanetLab cloud infrastructure system are used for workload data. Performance is compared with existing algorithms such as DVFS, NPA, and the threshold algorithm in terms of energy consumption and the number of shut down PMs. Simulation results indicate that the proposed algorithm outperforms other algorithms with 175.48 Kwh, 0.00326 in energy consumption, SLA violation respectively.</t>
  </si>
  <si>
    <r>
      <rPr>
        <color rgb="FF1155CC"/>
        <u/>
      </rPr>
      <t>https://www.sid.ir/FileServer/JE/5055520192805</t>
    </r>
    <r>
      <rPr/>
      <t xml:space="preserve"> </t>
    </r>
  </si>
  <si>
    <t>Proposing the three SMT - NMT and FMT methods for reallocation of resources.</t>
  </si>
  <si>
    <t>This study aimed to identify low, medium, and high load identification techniques, as well as minimize the energy consumption and SLAv. To this end, reallocation of resources to physical hosts was performed at the medium load level using a centralized method to classify the physical hosts. In addition, quartile was applied in each medium to reduce the energy consumption parameters and violation level. The proposed method by introducing three policies to resource reallocation for this goal, we used physical hostsand by IQR Method classification. The proposed algorithm attempts to identify the mediumsized hosts that reduce their energy consumption through their reallocation and minimization of the service level agreement violation and to implement and compare the proposed algorithm with other algorithms.</t>
  </si>
  <si>
    <t>software-based VM reallocation method tested in CloudSim and using PlanetLab</t>
  </si>
  <si>
    <t>energy consumption (W, kWh)</t>
  </si>
  <si>
    <t>SLA violation (%), contract breach (%)</t>
  </si>
  <si>
    <t>The three introduced SMT - NMT and FMT methods for reallocation of resources were tested and the best results were compared with previous methods.The proposed method was evaluated using the Cloudsim software with real Planet Lab data and five times run, the simulation results confirmed the efficiency of the proposed algorithm, which tradeoff between decreased the energy consumption and service level of agreement violation (SLAv) properly.</t>
  </si>
  <si>
    <t>Analyze factors on energy consumption in data centers and use the RBF neural network to predict energy consumption.</t>
  </si>
  <si>
    <t>This paper analyzes the architecture of energy consumption of IT system in cloud data centers, which is divided in a physical layer, resource management layer, virtual layer and application layer, and proposes a new framework for collecting energy consumption. Based on this framework, the factors affecting energy consumption are studied, and various parameters closely related to energy consumption are selected. Finally, the RBF neural network is used to model and predict the energy consumption of the cloud data centers, which is aim to prove the accuracy of the framework for collecting energy consumption and influencing factors.</t>
  </si>
  <si>
    <t xml:space="preserve">framework for collecting energy consumption of IT system comprises not only physical, but also virtual and application layer. </t>
  </si>
  <si>
    <t>energy (Ws)</t>
  </si>
  <si>
    <t>By experiments, we found that there was better predicted effect of the RBF neural network model, which was trained by the training data that did not include the compute nodes that did not enter the virtual layer. We also found that there was better predicted effect of the RBF neural network model, which was trained by the training data that included the energy consumption in the time of last unit. The presented framework for collecting energy consumption has better accuracy and adaptability to the prediction of energy consumption in cloud data centers than the previous model of energy consumption prediction.</t>
  </si>
  <si>
    <t>entire IT system</t>
  </si>
  <si>
    <t xml:space="preserve">energy efficiency </t>
  </si>
  <si>
    <t>Presenting an energy-efficient enhancement of multipath TCP, named MPTCP-D, in datacenter networks</t>
  </si>
  <si>
    <t>Through real-world measurement of multipath TCP (MTCP), we show that the energy efficiency of MPTCP is largely related to the flow completion time and the existence of link-sharing subflows. We find that the link-sharing subflows in MPTCP will significantly elevate the CPUs' power consumption on hosts. It will also reduce the transmission efficiency for both throughput-sensitive long flows and latency-sensitive short flows. To address this problem, we present MPTCP-D, an energy-efficient enhancement of MPTCP in datacenter networks. MPTCP-D incorporates a novel congestion control algorithm that improves energy efficiency by minimizing the flow completion time. It also has a build-in subflow elimination mechanism that precludes link-sharing subflows from increasing the host CPU power consumption.</t>
  </si>
  <si>
    <t xml:space="preserve">software-based congestion control algorithm </t>
  </si>
  <si>
    <t>energy consumption (W, Gb)</t>
  </si>
  <si>
    <t>Throughput (Mbps), RTT (ms)</t>
  </si>
  <si>
    <t>We implement MPTCP-D in the Linux kernel, analyze the parameter selection in the algorithm and study its performance through packet-level simulation and on Amazon EC2. Our results show that, without degrading the performance of the long flow throughput and the short flow completion time, MPTCP-D reduces the long flow energy consumption by up to 72% compared to DCTCP for data transfers, and reduces the short flow power consumption by up to 46% compared to MPTCP with link-sharing subflows.</t>
  </si>
  <si>
    <t>(SDN-based) data centers</t>
  </si>
  <si>
    <t>Proposing a green cloud algorithm for VM scheduling, namely LACE.</t>
  </si>
  <si>
    <t>The paper introduces distributed Locust-inspired scheduling Algorithm to reduce Cloud Computing Consumed Energy (LACE), a green cloud scheduling algorithm that is based on locusts’ phase change behaviors to address power consumption problems and optimize VM allocation. The proposed algorithm utilizes distributed scheduling between servers, where each server is responsible for allocating and migrating its VMs similar to that used by locusts in order to reduce levels of energy consumed in cloud datacenters to ensure robustness, scalability, and cost effectiveness.</t>
  </si>
  <si>
    <t>software-based (green) cloud computing algorithm tested in CloudSim</t>
  </si>
  <si>
    <t>processor use, response time</t>
  </si>
  <si>
    <t>LACE was evaluated by comparing it to long-standing VM scheduling algorithms: Dynamic Voltage Frequency Scaling (DVFS), Energy-aware Scheduling using the Workload-aware Consolidation Technique (ESWCT) and the static Threshold with Minimum Utilization policy (ThrMu). The experimental results show that LACE considerably outperforms the other algorithms in almost every area. Most importantly, LACE exhibited significant levels of fault tolerance under heavy workloads that benchmarks were unable to sustain.</t>
  </si>
  <si>
    <r>
      <rPr>
        <color rgb="FF1155CC"/>
        <u/>
      </rPr>
      <t>https://ieeexplore.ieee.org/abstract/document/8878805/</t>
    </r>
    <r>
      <rPr/>
      <t xml:space="preserve"> </t>
    </r>
  </si>
  <si>
    <t>Proposing an energy-efficient framework for VM consolidation.</t>
  </si>
  <si>
    <t xml:space="preserve">A VM consolidation framework is projected for overload detection using the LR algorithm to detect overloaded PMs. Additional, a selection significant factor is added for PM migration to reduce unnecessary migration and enhance performance as well. Following the underload detection of the PM, an additional condition termed the Minimum Number of VMs policy is checked. It ensures that the data center is energy-efficient and increases migration efficiency. The Maximum Utilization policy chooses a VM with the maximum CPU utilization for migration, compared with other VMs in the PM. It reduces the SLAV of the maximum utilized VM in the selected PM. </t>
  </si>
  <si>
    <t>software-based VM consolidation framework tested in CloudSim and using PlanetLab</t>
  </si>
  <si>
    <t>number of VM migrations, Service Level Agreement (SLA), energy and SLA violations (ESV), energy-SLAV-migration (ESM)</t>
  </si>
  <si>
    <t>Implementing this algorithm need a simulation environment which is relatively equal to actual. Cloud Sim tool supports different types of PM and VM configuration for simulation and modeling. Experimental simulations in CloudSim show that using the VM placement algorithm puts the VM in a high-availability capacity, reduces future migrations in the selected PM, and locates the PM with the minimum power consumption to ensure energy efficiency.</t>
  </si>
  <si>
    <t>written in sometimes incomprehensible English</t>
  </si>
  <si>
    <r>
      <rPr>
        <color rgb="FF1155CC"/>
        <u/>
      </rPr>
      <t>https://ieeexplore.ieee.org/abstract/document/9165232/</t>
    </r>
    <r>
      <rPr/>
      <t xml:space="preserve"> </t>
    </r>
  </si>
  <si>
    <t>Using a deep neural network (DNN) approach to propose a model (PEFS) for predicting task failure rates.</t>
  </si>
  <si>
    <t>A DNN model, the Prediction based Energy-aware Fault-tolerant Scheduling scheme (PEFS), is proposed for the prediction of the possibility of failure of incoming tasks, so that further scheduling strategy can be developed based on the prediction. Different resource allocation and scheduling strategies are developed for failure-prone and non-failureprone tasks for both reduction of task failure and energy consumption. A unique fault-tolerant mechanism is developed to schedule failure-prone tasks by constructing super tasks based on the vector reconstruction method.</t>
  </si>
  <si>
    <t>AI-driven (based on machine learning) Prediction based Energyaware Fault-tolerant Scheduling scheme (PEFS)</t>
  </si>
  <si>
    <t>resource utilization ratio (%), rejection ratio (%)</t>
  </si>
  <si>
    <t>Based on an experimental setting, we summarize the results using a DNN based prediction model. Extensive experiments using the CloudSim2 toolkit have been conducted to evaluate this model. The results validate that our scheme outperforms the state-of-the-art in terms of failure ratio, resource utilization, and energy consumption.</t>
  </si>
  <si>
    <t>servers (task scheduling)</t>
  </si>
  <si>
    <r>
      <rPr>
        <color rgb="FF1155CC"/>
        <u/>
      </rPr>
      <t>https://link.springer.com/article/10.1007/s10489-020-02003-9</t>
    </r>
    <r>
      <rPr/>
      <t xml:space="preserve"> </t>
    </r>
  </si>
  <si>
    <t>Proposing an energy-efficient load balancing scheme (BiTE).</t>
  </si>
  <si>
    <t>This paper presents a dynamic bi-level traffic engineering (BiTE) scheme for DCNs as an efficient mechanism to improve the network performance in terms of load balancing and energy efficiency. The proposed TE method is implemented in an SDN-based data center network without requiring any modifications in the network stack. We formulated BiTE as a dynamic bi-level mixed-integer model comprising a hierarchy of two opponent optimization problems. A Co-evolutionary metaheuristics approach was applied to solve the proposed model, in which the ACO and PSA heuristics were combined to solve the upper and lower-level sub-problems.</t>
  </si>
  <si>
    <t>BiTE is an automated scheme</t>
  </si>
  <si>
    <t xml:space="preserve">time fraction of links blocking (%), average idle time fraction (%), over-utilized time fraction (%), flow completion ratio </t>
  </si>
  <si>
    <t>BiTE is compared with a dynamic version of TPM as a multipath forwarding scheme, Hou-MOPSO as a routing optimization approach, ElasticTree and STREETE as the power-aware TE methods, and NSGA-II as a multi-objective optimization strategy. Extensive simulations showed that BiTE achieved a good trade-off between load balancing and energy efficiency especially when the network is large. Among performance criteria, BiTE scheme achieves a rank near TPM and HouMOPSO in traffic distribution for highly loaded network, as well as ElasticTree, STREETE and NSGA-II in energy  efficiency when the network is lightly loaded.</t>
  </si>
  <si>
    <t xml:space="preserve">DCN </t>
  </si>
  <si>
    <r>
      <rPr>
        <color rgb="FF1155CC"/>
        <u/>
      </rPr>
      <t>https://dl.acm.org/doi/abs/10.1145/3344341.3368822</t>
    </r>
    <r>
      <rPr/>
      <t xml:space="preserve"> </t>
    </r>
  </si>
  <si>
    <t>Proposing an energy-efficient workflow scheduling
approach (J-OPT).</t>
  </si>
  <si>
    <t>This paper proposes an energy-efficient workflow scheduling approach (J-OPT) for cloud data centers. J-OPT is a novel topology-aware resource approach that operates with the objective of minimizing total data center power consumption by jointly optimizing the utilization of servers and networking elements used in the execution of workflows. J-OPT considers precedence constraints and data dependencies among workflow tasks as well as communication requirements among task instances in the formulation of topology-aware scheduling decisions.</t>
  </si>
  <si>
    <t>software-based workflow scheduling scheme simulated in CloudSim</t>
  </si>
  <si>
    <t xml:space="preserve">total (relative) energy consumption </t>
  </si>
  <si>
    <t>percentage improvement over the baseline algorithm
(RandomFF), relative network utilization, relative execution time</t>
  </si>
  <si>
    <t xml:space="preserve">J-OPT was evaluated in a simulated environment, i.e. CloudSimDCN, using synthetic and real-world workflow traces of scientific as well as commercial applications. For the simulation, we used a homogeneous data center configuration. Fat Tree topology  was used for connecting servers in the simulated cloud data center. Simulation results clearly demonstrate the effectiveness of the proposed algorithm compared to state-of-theart approaches. </t>
  </si>
  <si>
    <r>
      <rPr>
        <color rgb="FF1155CC"/>
        <u/>
      </rPr>
      <t>https://link.springer.com/article/10.1007/s11227-018-2244-6</t>
    </r>
    <r>
      <rPr/>
      <t xml:space="preserve"> </t>
    </r>
  </si>
  <si>
    <t>Proposing three “ad hoc” meta-heuristic approaches after investigating the VM consolidation problem.</t>
  </si>
  <si>
    <t xml:space="preserve">We have investigated the VMC problem by proposing three “ad hoc” meta-heuristic approaches, namely Tabu Search Resource Scaling and Consolidation (TS-RSC), Simulated Annealing Resource Scaling and Consolidation (SA-RSC) and Evolutionary Strategy Resource Scaling and Consolidation (ES-RSC). The proposed methods have been adapted to the consolidation problem and, in order to refine the search space of algorithms, the Rechemberg success rule has been used. Furhermore, the energy and delay performances of Tabu Search (TS), Simulated Annealing (SA) and Evolutionary Strategy (ES) meta-heuristics are tested and compared with the corresponding ones of Best-Fit Decreasing-type heuristics, in order to give insight on the resulting performance-versus-implementation complexity trade-offs. </t>
  </si>
  <si>
    <t>software-based meta-heuristic VM consolidation approaches</t>
  </si>
  <si>
    <t>per-VM energy consumption (J), relative gain in energy consumption (%)</t>
  </si>
  <si>
    <t>normalized workload</t>
  </si>
  <si>
    <t>Comparisons with state-of-the-art heuristics and a pure random search metaheuristic have demonstrated the effectiveness of the proposed approaches. Experimental results have shown that the ES-RSC approach provides the best reduction in energy consumption and it becomes the suggested approach in solving the resource scaling and consolidation problem. The obtained energy reduction applying the ESRSC approach is always greater than 10% with respect to the heuristic solution.</t>
  </si>
  <si>
    <t>virtualized network data centers</t>
  </si>
  <si>
    <t xml:space="preserve">http://iajit.org/PDF/May%202018,%20No.%203/10882.pdf </t>
  </si>
  <si>
    <t>improve energy consumption</t>
  </si>
  <si>
    <t>Introducing an algorithm that acts as a 'cloud broker' to assign servers to users.</t>
  </si>
  <si>
    <t>We introduced an algorithm that worked with ranking cloud data centers as a type of 'cloud broker'. The Cloud broker as an intermediary between users and datacenters can play a key role to enhance users' satisfaction and reducing energy consumption of datacenters that are located geographically in different areas. We have attempted to provide an algorithm that assigns datacenter to users through rating various datacenters. The algorithm has two phases. It ranks data centers on energy, cost and performance in the first phase by calculating them. In the second phase it ranks data centers on rank peak work time of servers and gives an overall rank of datacenter and assign best server to proper users.</t>
  </si>
  <si>
    <t xml:space="preserve">software-based algorithm simulated in CloudSim </t>
  </si>
  <si>
    <t>energy consumption (kWh), energy improvement (%)</t>
  </si>
  <si>
    <t>cost saving (%)</t>
  </si>
  <si>
    <t xml:space="preserve">The algorithm has been simulated by Cloudsim and will result in high levels of user satisfaction, cost-effectiveness and improving energy consumption. Simulation results show that this algorithm can save 44% of energy consumption and 7% of cost saving to users are in sample simulation space.
</t>
  </si>
  <si>
    <t>cloud data centers (IaaS)</t>
  </si>
  <si>
    <r>
      <rPr>
        <color rgb="FF1155CC"/>
        <u/>
      </rPr>
      <t>http://search.proquest.com/openview/fbc5529f7cfcd78fae1b9de175c55a90/1?pq-origsite=gscholar&amp;cbl=1686344</t>
    </r>
    <r>
      <rPr/>
      <t xml:space="preserve"> </t>
    </r>
  </si>
  <si>
    <t>Proposing a lottery algorithm for VM allocation.</t>
  </si>
  <si>
    <t>A new approach based on lottery algorithm is proposed for virtual machine allocation to physical hosts. To explore both performance and energy efficiency, three crucial issues must be addressed. First, excessive power cycling of a server could reduce its reliability. Second, turning resources off in a dynamic environment is risky from the QoS perspective. Due to the variability of the workload and aggressive consolidation, some VMs may not obtain required resources under peak load, and fail to meet the desired QoS. Third, ensuring SLAs brings challenges to accurate application performance management in virtualized environments. The purpose of this study is achieving a pattern for virtual machine allocation to physical hosts by lottery algorithm. In other words a new approach for solving the third-issue has been proposed in this paper to minimize the switch on physical hosts and minimize the energy consumption.</t>
  </si>
  <si>
    <t>overall SLA violation (%)</t>
  </si>
  <si>
    <t xml:space="preserve">The Cloudsim is used to evaluate and analyzing the proposed algorithm’s performance. This simulator is a toolkit in java language which is used to simulate cloud environment. The simulated data center comprised 800 heterogeneous physical nodes. The proposed method is studied in terms of energy efficiency and the violation of SLA. Results show decreasing 31.25 percent in energy consumption in comparison to PSO and genetic algorithms.
</t>
  </si>
  <si>
    <t>sometimes incomprehensible English</t>
  </si>
  <si>
    <r>
      <rPr>
        <color rgb="FF1155CC"/>
        <u/>
      </rPr>
      <t>http://jips-k.org/full-text/398</t>
    </r>
    <r>
      <rPr/>
      <t xml:space="preserve"> </t>
    </r>
  </si>
  <si>
    <t>Proposing two energy-aware virtual data center (VDC) embedding algorithms.</t>
  </si>
  <si>
    <t>In this paper, we focus on studying the energy-aware virtual data center embedding problem. Specifically, we first propose an energy consumption model. It includes the energy consumption models of the virtual machine node and the virtual switch node, aiming to quantitatively measure the energy consumption in virtual data center embedding. Based on such a model, we propose two algorithms regarding virtual data center embedding. The first one is a heuristic algorithm. It computes the label variables of each node, comprehensively uses the best matching strategy, the worst matching strategy and the shortest path algorithm, and then completes the virtual node and virtual link embedding in turn. The second one is the PSO-based technique. It provides a better solution to virtual data center embedding by leveraging the evolution process of particle swarm optimization.</t>
  </si>
  <si>
    <t xml:space="preserve">software-based algorithms, with one heuristic and the other based on particle swarm optimization (PSO) </t>
  </si>
  <si>
    <t>energy consumption, energy cost</t>
  </si>
  <si>
    <t>embedding success rate</t>
  </si>
  <si>
    <t>This paper evaluates the energy-aware VDC embedding algorithms through lots of simulation experiments. This paper uses a three-layer fat-tree structure to define the network topology of the physical data center. To evaluate our proposed solution, we compare our algorithms to the latest algorithm, NSS-JointSL algorithm. The results show that the two proposed algorithms can greatly reduce the energy consumption in the VDC embedding process while guaranteeing the embedding success rate.</t>
  </si>
  <si>
    <t>virtual links and nodes</t>
  </si>
  <si>
    <t>virtual data centers</t>
  </si>
  <si>
    <r>
      <rPr>
        <color rgb="FF1155CC"/>
        <u/>
      </rPr>
      <t>https://ieeexplore.ieee.org/abstract/document/8732201/</t>
    </r>
    <r>
      <rPr/>
      <t xml:space="preserve"> </t>
    </r>
  </si>
  <si>
    <t>Proposing a double auction scheme and winning bid algorithm for VM allocation.</t>
  </si>
  <si>
    <t>In this paper, first, we have formulated a joint optimization problem and prove it NP-hard by reducing it to a multi-dimensional bin-packing problem. Then we design TDAM, a truthful double auction scheme and propose an efficient winning bid algorithm for VM allocation and a VCG based mechanism for calculating payment of each bid. Being a double auction, TDAM allows both the buyers (VMs) and the sellers (PMs) to submit their bids and asks respectively, and performs allocation based on the energy consumption, while upholding truthfulness, in order to avoid falsification of the submitted bid or ask values.</t>
  </si>
  <si>
    <t>software-based winning bid algorithm for VM allocation</t>
  </si>
  <si>
    <t>number of successful trades, revenue, runtime</t>
  </si>
  <si>
    <t>Experimental results validate our theoretical analysis and show that in comparison with existing auction approaches TDAM can significantly improve the performance in terms of revenue, number of active servers, energy consumption and execution time. The energy consumption of the data center, which is equal to the total energy consumption of all servers is minimum for maximum successful trades when TDAM is used for allocation.</t>
  </si>
  <si>
    <t>VM (and PM)</t>
  </si>
  <si>
    <r>
      <rPr>
        <color rgb="FF1155CC"/>
        <u/>
      </rPr>
      <t>https://www.sciencedirect.com/science/article/pii/S0957417418303531</t>
    </r>
    <r>
      <rPr/>
      <t xml:space="preserve"> </t>
    </r>
  </si>
  <si>
    <t>Defining a system that applies different energy policies for monolithic schedulers with regard to energy efficiecy and performance.</t>
  </si>
  <si>
    <t>We define an expert and intelligent system that applies various energy policies. These policies are employed to maximize the energy-efficiency of data-center resources by simulating a realistic environment and heterogeneous workload in a trustworthy tool. It poses: a clear description of data-center utilization and workload distribution, which follow the industry trends; a detailed explanation on the workload parameters, classification, generation and heterogeneity; a complete description of the scheduling model and algorithms employed; and a detailed explanation on the impact on both the main goals of our system (energy efficiency and performance).</t>
  </si>
  <si>
    <t>approach makes it possible to apply the proposed power-off policies to any framework that can run as a VM/Linux container on the data center (simulation software is used as well)</t>
  </si>
  <si>
    <t>energy savings (%), kWh saved per shut-down</t>
  </si>
  <si>
    <t>job queue time, job think time, timed-out jobs, scheduler occupation fraction</t>
  </si>
  <si>
    <t>In order to test and measure the achieved power savings and the consequent impact on data-center performance, a set of experiments have been run for different policies by extending the Google lightweight simulator. These policies are simulated on a realistic environment that has been contrasted with real-life production systems, such as those of Google data centers. An environmental and economic impact of around 20% of energy consumption can be saved in high-utilization scenarios without exerting any noticeable impact on data-center performance if an adequate policy is applied.</t>
  </si>
  <si>
    <t>monolithic schedulers (for VM allocation)</t>
  </si>
  <si>
    <r>
      <rPr>
        <color rgb="FF1155CC"/>
        <u/>
      </rPr>
      <t>https://www.sciencedirect.com/science/article/pii/S0167739X16308330</t>
    </r>
    <r>
      <rPr/>
      <t xml:space="preserve"> </t>
    </r>
  </si>
  <si>
    <t>minimize energy cost</t>
  </si>
  <si>
    <t>Proposing a green scheduling architecture to allocate requests to servers and considering energy trading with the power grid.</t>
  </si>
  <si>
    <t xml:space="preserve">We study the issues of green scheduling for cloud data centers in an economical way by energy trading with the power grid. We first propose a green scheduling architecture, based on which we focus on two optimization problem:(1) Minimizing total energy cost through scheduling of users’ requests, servers, and the usage of different energy sources. (2) Minimizing total carbon emissions. within the budget of energy cost. The data centers can use the self-generate renewable energy, or the purchased energy from the renewable power plant, and that from the power grid. We consider taking the advantages of both ESDs and energy trading with the power grid. </t>
  </si>
  <si>
    <t>software-based scheduling algorithm</t>
  </si>
  <si>
    <t>total energy emission (MWh), total energy cost ($), available wind energy (MWh), available solar energy (MWh)</t>
  </si>
  <si>
    <t xml:space="preserve">carbon emission rate (CER), </t>
  </si>
  <si>
    <t>In our simulation, we use traces from real world including requests of different types, electricity prices in different locations, and the power supply with respect to the weather conditions. For the requests traces, we use four different datasets that are logged from the Intel Netbatch grid clusters. Experiments show that our scheduler using both ESDs and energy trading can greatly lower down total energy cost and carbon emissions. The reduction is more than 25% in cost for MinCost and 60% in carbon emissions for MinEm. By leveraging larger ESDs, the energy cost and carbon emissions can further be reduced.</t>
  </si>
  <si>
    <t>Proposing a resource management strategy (VM) to reduce energy consumption and SLA violations.</t>
  </si>
  <si>
    <t>We propose a resource management strategy to reduce both energy consumption and Service Level Agreement (SLA) violations in cloud data centers. It contains three improved methods for subproblems in dynamic virtual machine (VM) consolidation. For making hosts detection more effective and improving the VM selection results, first, the overloaded hosts detecting method sets a dynamic independent saturation threshold for each host, respectively, which takes the CPU utilization trend into consideration; second, the underutilized hosts detecting method uses multiple factors besides CPU utilization and the Naive Bayesian classifier to calculate the combined weights of hosts in prioritization step; and third, the VM selection method considers both current CPU usage and future growth space of CPU demand of VMs</t>
  </si>
  <si>
    <t>software-based strategy simulated CloudSim and using PlanetLab</t>
  </si>
  <si>
    <t>energy consumption (kWh), energy effciency</t>
  </si>
  <si>
    <t>number of VM migrations, Service Level Agreement violatios (SLAV, number of host shutdowns</t>
  </si>
  <si>
    <t>To evaluate the performance of the proposed strategy, it is simulated in CloudSim and compared with five existing energy–saving strategies using real-world workload traces. The experimental results show that our strategy outperforms others with minimum energy consumption and SLA violation. While the numbers of VM migrations and host shutdowns are well controlled and the chance that hosts are being overloaded is reduced and underutilized hosts are turned off as much as possible.</t>
  </si>
  <si>
    <t>Proposing a framework for job batching and scheduling for multi-core data center servers.</t>
  </si>
  <si>
    <t>We present TS-BatPro, an energy optimization framework that judiciously integrates temporal batching and spatial batching to improve data center energy efficiency for multi-core data center servers, while meeting the QoS constraints for application workloads. TS-BatPro performs effective global job batching and scheduling by modeling job performance and power characteristics of multi-core servers without any hardware modifications. TS-BatPro works on commodity server platforms and comprises two components: a temporal batching engine that batches incoming jobs such that the servers can continue to reside in low-power states; and a spatial batching engine that prioritizes scheduling job batches to a small subset of servers</t>
  </si>
  <si>
    <t>framework works on commodity server platforms</t>
  </si>
  <si>
    <t>power (W), processor power efficiency, normalized energy, relative energy saving</t>
  </si>
  <si>
    <t>system utilization (%)</t>
  </si>
  <si>
    <t>We deployed a testbed with a cluster of 18 servers and run a number of benchmarks. We evaluate TS-BatPro in two steps. Specifically, we first demonstrate the energy savings and job performance using just temporal batching on the Intel Xeon E5-2680 server. Then we enable both temporal and spatial batching engines on the bladesystem and illustrate the potential energy savings. Results show that TS-BatPro is able to achieve significant amount of energy savings under various job response time constraints and traffic patterns.</t>
  </si>
  <si>
    <t>multi-core servers</t>
  </si>
  <si>
    <r>
      <rPr>
        <color rgb="FF1155CC"/>
        <u/>
      </rPr>
      <t>https://www.mdpi.com/2079-9268/10/4/32</t>
    </r>
    <r>
      <rPr/>
      <t xml:space="preserve"> </t>
    </r>
  </si>
  <si>
    <t>Proposing a reinforcement learning based approach for task scheduling to optimize profit and energy consumption.</t>
  </si>
  <si>
    <t>We propose a reinforcement learning based approach, which jointly optimizes profit and energy in the allocation of jobs to available resources, without the need for prior information. We also present a network-aware server consolidation algorithm called Bandwidth-Constrained Consolidation (BCC), for HPC data centers which can address the under-utilization problem of the servers. Furthermore, we propose a method to find the optimal inter-consolidation time for a data center and derive a mathematical formulation to estimate the optimal inter-consolidation time. This will enable optimally scheduling consolidation in a data center without the need for extensive simulations and measurements to achieve the optimality.</t>
  </si>
  <si>
    <t>software-based approach implemented in a software task scheduler</t>
  </si>
  <si>
    <t>energy consumption (J), power (W)</t>
  </si>
  <si>
    <t>value (currency), cost C(t), value per joule, utilization (%), normalized throughput, arrival rate, average injection rate (kbps)</t>
  </si>
  <si>
    <t>The approach is implemented in a software scheduler used to allocate real applications from the Princeton Application Repository for Shared-Memory Computers (PARSEC) benchmark suite to a number of hardware nodes realized with Odroid-XU3 boards. Experiments show that the proposed approach increases the profit earned by 40% while simultaneously reducing energy consumption by 20% when compared to a heuristic-based approach. Our experiments show that the BCC consolidation technique can reduce the power consumption of a data center by up-to 37%.</t>
  </si>
  <si>
    <t>high performance computing (HPC) data centers</t>
  </si>
  <si>
    <t>optimizing profit and energy efficiency jointly</t>
  </si>
  <si>
    <t>monitor and measure energy efficiency</t>
  </si>
  <si>
    <t>Develop a holistic view of the DC, where both facility and IT measurement data can easily be accessed from a single system, and to achieve this holistic analysis by employing appropriate opensource tools as much as possible.</t>
  </si>
  <si>
    <t xml:space="preserve">Open source tools used: Hive, MatLab, Spark, Kafka, Zabbix, KairosDB, hadoop HDFS. </t>
  </si>
  <si>
    <t>The whole process of storing and analyze the DC data is realized in software.</t>
  </si>
  <si>
    <t>PUE, partial PUE (pPUE)</t>
  </si>
  <si>
    <t>Changing temprerature in the DC while keeping other factors constant. This illustrates the working of the system; as the temperature changes, so does the PUE.</t>
  </si>
  <si>
    <t>IT, environment, and facility equipment</t>
  </si>
  <si>
    <t>big data/cloud, distributed DC</t>
  </si>
  <si>
    <t xml:space="preserve">A joint energy optimization scheme to coordinately optimize the energy consumption of servers and the cooling system. A strategy is designed to use different proportion of the outside air cooling and liquid cooling according to real-time workload characteristics. An energy-efficient task scheduling strategy based on marginal cost and task grouping is developed for solving the problem. </t>
  </si>
  <si>
    <t xml:space="preserve">Energy-Efficient task scheduling strategy based on Marginal Cost and task grouping (i.e., EEMarC). The optimization problem takes as input the dynamic task information (arriving time, some other related information), without knowing all future arrival tasks information. When a task arrives dynamically, the task grouping strategy aims to calculate a label for the task using the running time and ending time. The goal of the online task scheduling strategy is to schedule the task to the most energy-efficient servers and cooling units with the idea of marginal cost </t>
  </si>
  <si>
    <t>EEMarC is an algorithm to schedule tasks which is realized in software</t>
  </si>
  <si>
    <t>total energy consumption (KWh), server static power consumption (kW), startup power (kW)</t>
  </si>
  <si>
    <t>Simulations have been conducted based on real-world workload traces, and simulation results demonstrate that EEMarC is effective to reduce the total energy consumption crompared to PowerTRade-d and rTCS.</t>
  </si>
  <si>
    <t>server and cooling unit</t>
  </si>
  <si>
    <t>measure energy efficiency</t>
  </si>
  <si>
    <t xml:space="preserve">Introduce a set of metrics to evaluate the holistic energy efficiency of data centers by considering (1) stages outside the operation phase and (2) energy transformation losses outside of the boundaries of the data center. </t>
  </si>
  <si>
    <t>the caluclation of the metrics are realized through software</t>
  </si>
  <si>
    <t xml:space="preserve">The Cumulative Energy Efficiency (CEE) and Cumulated Performance Efficiency (CPE) are metrics developed considering criteria for indicators for the evaluation of resource efficiency, while also taking into account aspects of sustainability and primary resource depletion. The metrics are calculated using Cumulative Energy Demand as resource indicator, which is analyzed through a Life Cycle Assessment of products. </t>
  </si>
  <si>
    <t xml:space="preserve">The metrics are then tested with a case study of a server used in a data center. The results indicate a CEE=0,260 and a CPE=789 ops/J. When comparing these values to other well established metrics, the developed metrics account for embodied energy and energy transformation losses for the whole energy supply chain. </t>
  </si>
  <si>
    <t>IT devices</t>
  </si>
  <si>
    <t xml:space="preserve">Communication-aware allocation algorithm, called ESBCA, which optimizes the data center traffic from the two stages of virtual machine migration and placement. </t>
  </si>
  <si>
    <t>In the migration phase, virtual machines with high traffic volumes are preferred to be migrated. In the placement stage, different targets are set and the destination physical machine is systematically determined.</t>
  </si>
  <si>
    <t>The maximum cost selection algorithm and VM placement algorithm are realiized in software</t>
  </si>
  <si>
    <t>number of migration, communication cost, SLA violation (%)</t>
  </si>
  <si>
    <t>Experimental results show that the proposed algorithm evidently reduces the data traffic, improves the efficiency of the data center migration, and decreases the energy consumption of data centers compared to PABFD-MMT and PABFD-TSP.</t>
  </si>
  <si>
    <t>PM and network</t>
  </si>
  <si>
    <t xml:space="preserve">Energy-aware scheduling was incorporated and optimized using the proposed Tabu JM </t>
  </si>
  <si>
    <t>Energy-aware resources allotment technique is employedand optimized in clouds via a new approach called Tabu Job Master (JM).</t>
  </si>
  <si>
    <t>scheduling is realized by software</t>
  </si>
  <si>
    <t>makespan (sec), number of VM migration</t>
  </si>
  <si>
    <t>Simulations were performed using CloudSim. Tabu JM is benchmarked by using genetic algorithm (GA), artificial bee colony (ABC), ABC with crossover and technique of mutation, and the basic tabu search techniques.</t>
  </si>
  <si>
    <t>reduce energy consumption while guaranteeing QoS</t>
  </si>
  <si>
    <t xml:space="preserve">Select the appropriate destination hosts for migrating VMs (during the dynamic consolidation procedure). Then, the proposed approach has been improved to also predict the hosts utilization and select the underutilized hosts accordingly. This leads to packing as many VMs as possible on fewer hosts while keeping QoS. </t>
  </si>
  <si>
    <t>Linear regression method to predict future resource utilization of all hosts using their historical data. Firstly checks the capacity of candidate destinations and then migrates VMs to the hosts with higher resource utilization, which leads to a better placement in the view of consolidation.</t>
  </si>
  <si>
    <t>the dynamic consolidation procedure, destination host selection procdure, and underutilized host selection procedure are algorithms that are realized in software</t>
  </si>
  <si>
    <t>average SLA violation (%), runtime (sec)</t>
  </si>
  <si>
    <t>CloudSim simulator. Results show that our proposed approach reduces the energy consumption of the modeled data center by up to 38% compared to MinUtil-MinPower, MinUtil-MaxUtil, MPABFD, LIRCUP guaranteeing the same QoS even for larger workload traces while imposing less than 5% computation time overhead.</t>
  </si>
  <si>
    <t>cloud, large DC (tested with 7600 physical hosts)</t>
  </si>
  <si>
    <t>A real-time framework to optimize the process of VM consolidation base energy consumption. It introduces a novel index named Machine Condition Index (MCI) of a server to measure the extent by which physical machine (PM) is suitable to handle the new (consolidated) VM. It is an easily used tool for comparing server energy consumption and can lead to increased efficiency and manageability of data center resources.</t>
  </si>
  <si>
    <t>MCI is a dynamic assessment rating of various PM elements, which constitute the digital footprint of servers in data centers. MCI for any
host has many independent quantifiable and non-quantifiable parameters, MCI converts these parameters into a useful single and unique index value to measure how good does the PM fit the migrated VMs to reduce energy.</t>
  </si>
  <si>
    <t>pre-processing algorithm, filtering process based user behavior clustering, multivariate time series ELM predictor, and Power Aware Best Fit Decreasing (PABFD) algorithm are realized in software</t>
  </si>
  <si>
    <t>number of task (VM), mem request, VMs to be clustered</t>
  </si>
  <si>
    <t>The experimentation result demonstrate that MCI can represent a general host condition index, and most of power estimation used previously in VM provisioning based energy consumption can be treated as a special case of the MCI.</t>
  </si>
  <si>
    <t>servers but utilizes data from data center network, physical machines, storage, power system and facilities.</t>
  </si>
  <si>
    <t>cloud, large scale heterogeneous data centers</t>
  </si>
  <si>
    <t xml:space="preserve">optimize the virtual machines in physical hosts, so that the least possible number of these hosts is used. </t>
  </si>
  <si>
    <t>gray wolf optimizer</t>
  </si>
  <si>
    <t>the grey wolf selection algorithm to select the PM for the VMs is realized in software.</t>
  </si>
  <si>
    <t>number of VM migrations, SLA (percentage), overall SLA violation (percentage), average SLA violation (percentage), number of host shutdowns, mean time before a host shutdown (Sec), STDEV time before a host shutdown (sec)</t>
  </si>
  <si>
    <t xml:space="preserve">Simulated with the Claudios software. Compare the grey wolf optimizer method with FF, genetics, and Round-Robin scheduling (RR). The results of the simulation indicate a decrease in the number of virtual machines migrating, increasing the efficiency of migration and reducing energy consumption. </t>
  </si>
  <si>
    <t xml:space="preserve">cloud, virtual machines and hosts (physical machines) are considered homogeneous, simulate 800 hosts and 1052 virtual machines </t>
  </si>
  <si>
    <t>minimize total energy consumption</t>
  </si>
  <si>
    <t>dynamic placement of Virtual Machines (VMs) to Physical Machines (PMs) in virtualized environments formulated as a constrained combinatorial optimization problem.</t>
  </si>
  <si>
    <t>Ant Colony System (ACS) embedded with new heuristics as a solution to the optimization problem.</t>
  </si>
  <si>
    <t>the VM placement strategy is realized in software</t>
  </si>
  <si>
    <t>number of VMs, run time (ms)</t>
  </si>
  <si>
    <t>The results from our ACS are compared with two existing ACS methods as well as the widely used First-Fit-Decreasing (FFD) algorithm. Our ACS is shown to outperform the two existing ACS methods and FFD in energy performance for all small-, medium- and large-scale test problems. Our ACS also exhibits good scalability with the increase in the problem size.</t>
  </si>
  <si>
    <t>PM (CPU and memory)</t>
  </si>
  <si>
    <t>small-, medium- and large-scale data centers.</t>
  </si>
  <si>
    <t>reduce energy usage</t>
  </si>
  <si>
    <t xml:space="preserve">Two failure-aware energy-efficient scheduling algorithms that exploit the holistic operational characteristics of the Cloud datacenter comprising the cooling unit, computing infrastructure and server failures. A novel and overall metric is proposed that combines energy efficiency and reliability to specify the performance of various algorithms. </t>
  </si>
  <si>
    <t>By comprehensively modeling the power and failure profiles of a Cloud datacenter, we propose workload scheduling algorithms Ella-W and Ella-B, capable of reducing cooling and compute energy while minimizing the impact of system failures.</t>
  </si>
  <si>
    <t>scheduling algorithms Ella-W and Ella-B are realized in software</t>
  </si>
  <si>
    <t>enery metric (Ecomputing + Ecooling kWh/task), energy / reliability metric, energy waste, overall metric H (energy metric + reliability metric)</t>
  </si>
  <si>
    <t>task submitted, CPU utilization, number of failures, time between failures, time to repair, recirculation influence (K), reliability metric, completion rate (%), rack utilization, CRAC temperature setting (Celsius), number of failed taks</t>
  </si>
  <si>
    <t>We evaluate our algorithms against Random, MaxUtil, TASA, MTTE and OBFIT under various system conditions of failure prediction accuracy and workload intensity. Evaluation results demonstrate that Ella-W can reduce energy usage by 29.5% and improve task completion rate by 3.6%, while Ella-B reduces energy usage by 32.7% with no degradation to task completion rate.</t>
  </si>
  <si>
    <t>energy-efficient, time-aware, scheduling heuristic strategy called Energy Aware Task Duplication Clustering Dynamic voltage/frequency scaling (EATSDCD) for energy-aware task duplication-based scheduling algorithm of parallel tasks.</t>
  </si>
  <si>
    <t>a novel task scheduling algorithm based on clustering and duplication design pattern and dynamic voltage frequency scaling (DVFS) technique. The proposed algorithm aims to reduce the communication energy through task duplication and clustering. In the first phase, a schedule serves to reduce communication energy and increase throughput. It is obtained through the energy-aware task duplication-clustering algorithm (EATDCA). The second phase focuses on implementation of DVFS technique for each processor that can scale down clock frequency and supply voltage whenever tasks have slack time and during idle and communication time slots to decrease energy consumption of DAG, using the Energy-Aware Dynamic voltage/frequency scalingAlgorithm (EADVFSA).</t>
  </si>
  <si>
    <t>energy-aware task scheduling with duplication−clustering algorithm (EATSDC) is realized in software</t>
  </si>
  <si>
    <t>energy saving (%)</t>
  </si>
  <si>
    <t>makespan (second)</t>
  </si>
  <si>
    <t xml:space="preserve">CloudSim. Compared to: power aware task clustering (PATC), power aware list-based scheduling( PALS), Energy Aware Duplication Scheduling (EADUS) &amp; TEBUS, RASD, Heterogeneous Earliest FinishTime (HEFT), and PaPilo. </t>
  </si>
  <si>
    <t>processor</t>
  </si>
  <si>
    <t>cloud, homegenous and heterogenous</t>
  </si>
  <si>
    <t>EPACT, a novel dynamic VM allocation method exploiting the given holistic knowledge of VMs characteristics and our new power model to increase the energy proportionality of next-generation NTC-based data centers while guaranteeing their QoS requirements.</t>
  </si>
  <si>
    <t>Energy Proportionality-Aware dynamiC allocaTion (EPACT) method, a novel data center workload allocation policy for NTC servers, which also selects the best dynamic voltage and frequency scaling (DVFS) setup.</t>
  </si>
  <si>
    <t>the proposed VM allocation algorithms are realized in software</t>
  </si>
  <si>
    <t>power consumption (kW), energy efficiency (i.e., the total number of UIPS at the chip level, divided by the total power consumption of the server) (BUIPS/Watt), total energy consumption (MJ), total power consumption (MW), power saving (%)</t>
  </si>
  <si>
    <t>QoS (normalized execution time), SLA violation (number of overutilized servers over time), number of active servers</t>
  </si>
  <si>
    <t xml:space="preserve">EPACT realizes 45% energy savings when compared to COAT. We assess the performance and efficiency of virtualized workloads on three architectures: (i) x86, (ii) ARM-based Cavium ThunderX, and (iii) our proposed NTC server, which modifies and improves the efficiency of the ThunderX architecture. </t>
  </si>
  <si>
    <t>servers (We consider four main contributors to the overall power consumption of the server: 1) the core region composed of the A57 cores logic and the L1/L2 caches, 2) the LLC, 3) the memory controller, peripherals, IO subsystem and motherboard, and 4) the DRAM banks.)</t>
  </si>
  <si>
    <t>near-threshold computing (NTC)-based data centers. Data center with 600 NTC servers, each NTC server with its dedicated power supply, fans and disks.</t>
  </si>
  <si>
    <t>Sharing with Live Migration (SLM): novel scheduling algorithm that allocate resources by combining sharing and live migration policies.</t>
  </si>
  <si>
    <t>Predicts the similarity between the tasks, and then allocates each of them to a suitable VM. On the other hand, SLM satisfies the Quality of Services(QoS) constraints of the hosted applications by adopting a migration process. The task migration is performed in order to reduce the bandwidth utilization and transmission time required for file transactions between different resources.</t>
  </si>
  <si>
    <t>SLM schduler algorithm is realzied in software</t>
  </si>
  <si>
    <t>energy consumption (kwh)</t>
  </si>
  <si>
    <t>makespan (s)</t>
  </si>
  <si>
    <t>Cloud-Sim toolkit. Six hosts and 60 VMs. The experimental results show that the algorithm exhibits better performance, while saving power and minimizing the processing time. Therefore, the SLM algorithm demonstrates improved virtual machine efficiency and resource utilization compared to a basic model.</t>
  </si>
  <si>
    <t>host</t>
  </si>
  <si>
    <t>optimization of the virtual machines placement</t>
  </si>
  <si>
    <t>Ant Colony Algorithm is proposed with multiple objectives. In addition to minimizing the energy consumption by reducing the number of active physical machines, the generated network traffic is minimized and the utilization of the resources is maximized.</t>
  </si>
  <si>
    <t>the ant colony algorithm to schedule the VMs is realized in software</t>
  </si>
  <si>
    <t>improvement in energy (%)</t>
  </si>
  <si>
    <t>number of VMs, number of PMs, computing time (seconds), improvement in traffic (%)</t>
  </si>
  <si>
    <t>CloudSim tool is then used to simulate the results of the proposed algorithm</t>
  </si>
  <si>
    <t>CPU, memory, and bandwidth</t>
  </si>
  <si>
    <t>virtual machine placement scheme</t>
  </si>
  <si>
    <t>The paper combines genetic algorithm and immune algorithm to generate an optimized immune genetic algorithm, which generates a virtual machine placement scheme.</t>
  </si>
  <si>
    <t>virtual machine placement scheme is realized in software</t>
  </si>
  <si>
    <t>number of VMs, time</t>
  </si>
  <si>
    <t>Simulated cloud data centers. This paper compares the virtual machine placement scheme generated by heuristic algorithm, genetic algorithm, immune algorithm and optimized immune genetic algorithm. Through experiment comparison and analysis, the proposed placement scheme has higher solution quality and reduces the energy consumption of data center.</t>
  </si>
  <si>
    <t>The virtual machine resources, data center server resources, and communication link energy consumption.</t>
  </si>
  <si>
    <t>cloud, Infrastructure as a Service (IaaS) environment</t>
  </si>
  <si>
    <t>overloaded host detection and VM selection from overloaded hosts</t>
  </si>
  <si>
    <t xml:space="preserve">adaptive heuristic algorithms, namely least medial square regression for overloaded host detection and minimum utilization prediction for VM selection from overloaded hosts. </t>
  </si>
  <si>
    <t>the resource management algorithms are realized in software</t>
  </si>
  <si>
    <t>energy consumptiom (kWh), energy consumptiion metric, performance ration metric (PRM) (efficiency in energy consumption and SLA violation. )</t>
  </si>
  <si>
    <t>SLA violation metric ((VM requested utiliziation - VM allocated utiliziation). VM requested utiliziation) (%)</t>
  </si>
  <si>
    <t>The proposed algorithms are implemented using the CloudSim simulator. The experimental results show that these approaches substantially minimize the electric energy consumption of CDC compared with previous approachesfor overloaded host detection and VM selection.</t>
  </si>
  <si>
    <t>workload scheduler</t>
  </si>
  <si>
    <t>We aim to minimize the long-term operation cost including electricity cost, water consumption and carbon emission by leveraging the spatio temporal diversity of these system states. To this end, we first formulate the cost minimization problem as a stochastic optimization problem, then we adopt the Lyapunov optimization technique to design a close-to-optimal online algorithm which only needs the current system information and achieves a delicate tradeoff between system cost and performance of delay tolerant workloads. To reduce the computational complexity and unnecessary
communication, we further propose a distributed algorithm based on the distributed computing framework alternating direction method
of multipliers (ADMM), which enables each data center to make their own control decisions.</t>
  </si>
  <si>
    <t>ADMM-based Distributed online Algo-rithm for Cost Minimization (ADMM-DACM) is realized in software</t>
  </si>
  <si>
    <t>battery level (kWh), required battery capacity (kWh), renewable utilization (%), battery cost ($), battery cost ratio (%)</t>
  </si>
  <si>
    <t>workloads (requests), workload queues, workload distribution (requests), average cost ($), average delay (hour)</t>
  </si>
  <si>
    <t>We evaluate our proposed algorithm based on the real-world traces. Evaluations validates the results of performance analysis and show the effectiveness of proposed algorithms.</t>
  </si>
  <si>
    <t>server (CPU)</t>
  </si>
  <si>
    <t>geo-distributed data centers with renewable resources and energy storages</t>
  </si>
  <si>
    <t xml:space="preserve">independent task scheduler </t>
  </si>
  <si>
    <t>Proposed artificial neural network-based scheduler takes incoming task and current cloud environment state as input and predict the best computing resource for given task as output which compiles our aim. We used genetic algorithm to generate a huge dataset (∼18 million training instances) and trained our neural network on this dataset using back propagation algorithm with 99.9% accuracy.</t>
  </si>
  <si>
    <t>the task schedular is constructed through and realized in software</t>
  </si>
  <si>
    <t>mean squared error (mse), makespan, number of active racks, execution overhead (seconds)</t>
  </si>
  <si>
    <t>We simulated experiments on heavily loaded and lightly loaded cloud environment and compared with well-known approaches: Genetic algorithm, MinMIN-MINMin heuristic and Linear regression based energy efficient task schedulers. Results clearly indicate that proposed work outperforms considered algorithms. In heavily (lightly) loaded environment, it improves makespan by 59% (64%), energy consumption by 45% (71%), execution overhead by 88% (43%) respectively and number of active racks by 70%.</t>
  </si>
  <si>
    <t xml:space="preserve">optimize energy efficiency </t>
  </si>
  <si>
    <t>a Customer Level Satisfaction (CSL)-driven and energy-efficient resource scheduling (CDEERS) framework</t>
  </si>
  <si>
    <t xml:space="preserve">To achieve different goals in different CSL states, three scheduling strategies (aiming to minimize energy saving, maximize CSL and maximize CSL per energy, respectively) are auto-adaptively applied to consolidate resources according to CSL states. To identify CSL states, a metric based on Service Level Agreement (SLA) violation rate (MSVR) is designed and applied in the proposed method. Additionally, the Weighted Moving Average (WMA) model is applied to predict the future state of CSL and optimize the resource allocation. </t>
  </si>
  <si>
    <t>resource scheduling framework is realized in software</t>
  </si>
  <si>
    <t>power consumption (Watthours), normalized CSL per energy</t>
  </si>
  <si>
    <t>number of migrations, number of host overloads, load balance degree, metric based on workload (MW), metric based on response time (MRT), SLA violation rate for response time (MSVR)</t>
  </si>
  <si>
    <t>Simulation result shows that the MSVR improves energy efficiency (CSL per energy) by 51.1% and 30.4% compared with traditional metric based on workload (MW) and metric based on response time (MRT), respectively, during the whole test period. It reduces the SLA violation rate by 7.9% and the number of host overloads by 9.6%, respectively, while prediction mechanism is applied. It shows that CDEERS has better energy efficiency than these static scheduling methods with single objection in the condition of dynamic state of CSL.</t>
  </si>
  <si>
    <t xml:space="preserve">Proactive DC management. Periodically configuring the DC by turning some servers on or off to provide an amount of energy equal to the sum of i) the predicted energy to serve the user requests that will arrive in the next period, and ii) the energy needed to correct the error on the prediction made for the previous period. We first compute the energy consumed by the resources used. Then consider that the impact of overestimation and underestimation can be different. </t>
  </si>
  <si>
    <t>Two predictors are proposed: a linear one based on the ARMA model and a nonlinear one using the conditional probability density function. These predictors maximize the relative energy cost saving.</t>
  </si>
  <si>
    <t>The prediction is realized through software.</t>
  </si>
  <si>
    <t>energy (joules)</t>
  </si>
  <si>
    <t>relative error cost saving (RES)</t>
  </si>
  <si>
    <t>By applying this methodology on the Google data, an improvement up to 85% can be obtained, leaving room for multiple optimizations.</t>
  </si>
  <si>
    <t>CPU, memory</t>
  </si>
  <si>
    <t>generic DC</t>
  </si>
  <si>
    <t>calculate, evaluate, and present energy efficiency</t>
  </si>
  <si>
    <t>prototype of an interactive system for holistic efficiency assessment that supports calculation, evaluation and presentation of energy efficiency</t>
  </si>
  <si>
    <t>The widely adapted process knownas “Human-Centered Design Process” was used to implement the demonstrated within the work prototype.</t>
  </si>
  <si>
    <t>the prototype is realized in software</t>
  </si>
  <si>
    <t>PUE (Power Usage Effectiveness), REF (Renewable Energy Factor), CUE (Carbon Usage Effectiveness), ERE (Energy Reuse Effectiveness)</t>
  </si>
  <si>
    <t xml:space="preserve">WUE (Water Usage Effectiveness) </t>
  </si>
  <si>
    <t>The evaluation was carried out through an expert interview with a partner of the research project“TEMPRO”. The aim was to determine, which exact requirements could be met and whether theprototype would be of beneficial for a company. As a result, it was possible to determine that allfunctional requirements were met. In addition, it was found that companies are very interested in suchtype of software artifact.</t>
  </si>
  <si>
    <t>A resource consign algorithm based on the policy of fair scheduling considering the fact that job priority and performance requirement in terms of scheduling delay.</t>
  </si>
  <si>
    <t>algorithm to allocate resources is realized in software</t>
  </si>
  <si>
    <t>time, number of tasks</t>
  </si>
  <si>
    <t>scheduled t numbers of task to the available resources in a data center. Then we allocated the resources available in the servers to tasks in accordance with the scheduling weight of each task and policy weight of each tasks as discussed in SLA for every task which is requesting the resources.</t>
  </si>
  <si>
    <t>heterogenous DC</t>
  </si>
  <si>
    <t>use renewable energy to reduce the energy cost</t>
  </si>
  <si>
    <t>We propose an efficient energy dynamic control algorithm (EDCA) based on reinforcement learning theory, which does not need any future information when controlling. It continuously monitors the energy level of ESD, the generation information of RES and the dynamic price of grid to dynamically select the system's energy operation to minimize the energy costs.</t>
  </si>
  <si>
    <t>Machine learning. Dynamic control algorithm based on the theory of reinforcement learning, which approximates the optimal solution by learning the feedback of historical control decisions. The algorithm continuously monitors the energy level of ESD, the generation information of RES and the dynamic price of grid to dynamically select the system's energy operation to minimize the energy costs. We use the double Q-method to further optimize the algorithm, by sharing the state space between two Q-estimators to achieve an unbiased estimate of the optimal value, which reduces the overestimation in optimization process.</t>
  </si>
  <si>
    <t>EDCA is realized in software</t>
  </si>
  <si>
    <t>wind power (Mw), total energy cost (Mw/dollars), rate of grid intervention (%)</t>
  </si>
  <si>
    <t>total workload, workload execution efficiency (%)</t>
  </si>
  <si>
    <t>The extensive experimental results show that our algorithm can on average save the
energy cost by 18.3% and reduce the rate of grid intervention by 26.2% compared the standard Q-learning algorithm and Lyapunov optimization algorithm.</t>
  </si>
  <si>
    <t>internet data center (IDC) with own energy storage devices (ESDs) and RES facilities to supply power.</t>
  </si>
  <si>
    <t>efficient data center network routing algorithm that calcluates minimum energy use to transfer data</t>
  </si>
  <si>
    <t>Articulate the energy optimization problem as a mixed integer linear programming (MILP) problem. Algorithm for Fat-Tree network topology which calculates the minimum energy used to transfer the data provided by the user. Optimization solver (CPLEX) to evaluate and validate the effectiveness of the given proposed algorithm</t>
  </si>
  <si>
    <t>Active Path First Finding Routing: APFFR Algorithm is realized in software</t>
  </si>
  <si>
    <t>number of switches activated</t>
  </si>
  <si>
    <t>Extensive simulation-based evalua-tions are conducted using NS2 to evaluate and validate theusefulness of the suggested algorithm. The experimentalresult shows that the minimum amount of energy is con-sumed to transfer the data in typical data center; it mini-mizes the operational costs as well as reduces theenvironmental effect with better dependability and fault-tolerance.</t>
  </si>
  <si>
    <t>data center networks (DCN)</t>
  </si>
  <si>
    <t>cloud, hierarchical FAT-tree</t>
  </si>
  <si>
    <t>energy cost saving, optimize use renewable energy, measure energy efficiency over time</t>
  </si>
  <si>
    <t xml:space="preserve">(1) Green PUE as a power efficiency measurement in DCs, which is a function of time as well as IT load. Taking advantages of Green PUE, (2) we propose a cost-effective Geographically Load Balancing (GLB) approach and use the real-life traces of workload, electricity price, cooling efficiency and on-site solar power output to evaluate the effectiveness and feasibility of our proposal. The  optimization  problem  distributes  the  incoming requests among DCs and accordingly sets the number of required  active  servers in  each  DC.  </t>
  </si>
  <si>
    <t xml:space="preserve">(1) The cooling power (as a big portion of  total  power)  varies  with  the  changes  in  environmental conditions as well as with the dynamically changes in IT power. While green energy is increasingly used in DCs, the conventional PUE is incapable of describing the green power efficiency. (2) Mixed Integer Non Linear Programming (MINLP). Special  case  of  our  problem  with  relaxed  delay constraint can be formulated as Fixed Charge Min-Cost Flow (FCMCF), which is an NP-Hard problem. Branch-and-bound  technique  as  a  Heuristic  approach  </t>
  </si>
  <si>
    <t>the Green PUE is calculated through software and the GLB policiy is realized in software</t>
  </si>
  <si>
    <t>Green PUE (function of the IT power consumption, time, IT load-dependent cooling power, available solar power), solar power (kW), energy cost saving (%), average energy cost ($/day)</t>
  </si>
  <si>
    <t>cooling power consumption, load distribution (%), incoming request variation</t>
  </si>
  <si>
    <t>Three DCs, We modeled a distributed cloud based on Google's DCs and used real traces for workload modeling as well as server type. Compared against: Heuristic Approach, Exhaustive  Approach, CoP-Based  Approach, Baseline (basic model).</t>
  </si>
  <si>
    <t>cooling and IT equipment</t>
  </si>
  <si>
    <t>Distributed DC, cloud</t>
  </si>
  <si>
    <t>address the challenges
arising from adopting solar powered datacenters</t>
  </si>
  <si>
    <t>ENEDI, an integrated system that collects, integrates and analyzes data from Internet-of-Things (IoT) sensors, operating system, as well as, cloud middleware monitors, and open-data sources regarding: i) photovoltaic PV energy production in solar-powered datacenter facilities; ii) weather conditions; iii) power consumption by datacenter subsystems (clusters, cluster nodes, and cooling equipment), and iv) the time-evolving profiles of containerized cloud applications running on the datacenter.</t>
  </si>
  <si>
    <t>ENEDI is a multi-layered platform that adheres to the architectural principles of the microservices paradigm. The main layers of
the platform consist of: i) an IoT sensor layer for measuring performance, efficiency, energy production and environmental
metrics of PV panels; ii) an IoT sensor layer for measuring op erational parameters of computational and peripheral datacenter equipment; iii) a federated monitoring system for collecting the aforementioned infrastructure measurements and mashing
them with application-level performance indicators; and iv) a decision support system that enables real-time deployments of green applications based on user-defined policies and metrics.</t>
  </si>
  <si>
    <t>ENEDI is (partly) realized in software. It requires IoT sensors to obtain all the required data.</t>
  </si>
  <si>
    <t>datacenter energy needs are satisfied via a hybrid model of renewable and conventional Grid power. Renewable energy is provided via modern photovoltaic (PV) arrays deployed on the rooftop of the datacenter building or in nearby facilities.</t>
  </si>
  <si>
    <t>maximize the utilization of renewable energy sources</t>
  </si>
  <si>
    <t xml:space="preserve">Leveraged the time flexibility of workloads, thermal-aware workload management method/scheduling technique to maximize the utilization of renewable energy sources, considering the power consumption of both computing devices and cooling devices at the same time. </t>
  </si>
  <si>
    <t>The critical knob of our approach was workload shifting, which scheduled more delay-tolerant workloads and allocated resources in the datacenter according to the availability of renewable energy supply andt he variation of cooling temperature. Due to fluctuant energy input and dynamically changing workload over time, we adjusted the number of workloads in each time slot and the temperature supplied by the cooling device to maximize the use of renewable energy. In this way, the brown power consumption of both IT devices and cooling devices could be decreased. Moreover, we adopted the neural network model to predict the amount of solar power generated to facilitate more accurate workload allocation decisions.</t>
  </si>
  <si>
    <t>the workload scheduling and predict of solar energy are realized in software</t>
  </si>
  <si>
    <t>solar utilization, power consumption (W)</t>
  </si>
  <si>
    <t>number of jobs, time (H)</t>
  </si>
  <si>
    <t>In order to evaluate the performance of the proposed method,we conducted simulation experiments using the Cloudsim-plus tool. The results demonstrated that the proposed method could effectively reduce the consumption of brown energy while maximizing theutilization of green energy. Compared to: static method (ST), load balancing distribution over time (LB), best effort strategy (BS).</t>
  </si>
  <si>
    <t>computing devices and cooling devices</t>
  </si>
  <si>
    <t>hybrid energy supply</t>
  </si>
  <si>
    <t>We first present and study the energy efficiency issue of vCDN provisioning in cloud data centers We propose an optimal offline algorithm that provides the optimal solution of the studied problem for comparison purposes. We design a time-efficient approximate algorithm using time series forecasting theory to assist in predicting future traffic to improve energy efficiency</t>
  </si>
  <si>
    <t>an approximate algorithm termed max flow forecast (MFF) to determine the number of software components in the vCDN. We first use the current and historic data to predict the future traffic flow. Then, the cloud-based vCDN controlor configuration system adjusts the number of active functions to ensure that the network flow can be served efficiently.</t>
  </si>
  <si>
    <t>max flow forecast (MFF) algorithm is realized in software</t>
  </si>
  <si>
    <t>energy gain (%) (gained energy consumption reduction compared to baseline algorithm), energy consumption (J/day)</t>
  </si>
  <si>
    <t>total traffic (Mbyte), time (days), maximal traffic at each hour (Mbytes), availability, number of redundant functions</t>
  </si>
  <si>
    <t xml:space="preserve">The experimental results show that MFF can produce a larger energy reduction than the Hibernate approach for an identical SLA. </t>
  </si>
  <si>
    <t xml:space="preserve">cloud-based vCDN in the software defined network environment </t>
  </si>
  <si>
    <t>Switching operating mode of physical servers and reserving virtual machines (VMs). The main idea is that when the amount of idle VMs reaches twice of a specified threshold, half of these idle VMs are reserved to process the 
new task that is about to arrive, and the physical server which hosts the other half of the idle VMs is switched to the sleep mode.</t>
  </si>
  <si>
    <t>From the perspective of task arrival rate and sleep parameters, we use two‐dimensional Markov processes to analyze the proposed energy‐saving 
mechanisms. By using matrix geometry solutions, we theoretically estimate energy consumption and response performance. Finally, the specified threshold for the amount of VMs is optimized by building a cost function</t>
  </si>
  <si>
    <t> the mechanism is realized in software</t>
  </si>
  <si>
    <t>total energy cost (w)</t>
  </si>
  <si>
    <t>mean sojourn time (s)</t>
  </si>
  <si>
    <t>According to the numerical experiments, the proposed energy‐saving 
mechanism obviously cut down electric energy consumption and ensures 
response performance</t>
  </si>
  <si>
    <t>virtualized data centers</t>
  </si>
  <si>
    <t> </t>
  </si>
  <si>
    <t>A Marahatta, C Chi, F Zhang, Z Liu</t>
  </si>
  <si>
    <t>Novel energy-aware proactive fault-tolerant scheduling scheme: Prediction based Energy-aware Fault-tolerant Scheduling scheme (PEFS). Two stages: (1) failure prediction and (2) task scheduling,</t>
  </si>
  <si>
    <t>A prediction model based on machine learning (deep neural network) approach is trained to classify the arriving tasks into “failure-prone tasks” and “non-failure-prone tasks” according to the predicted failure rate. Then, two efficient scheduling mechanisms are proposed to allocate two types of tasks to the most appropriate hosts. Vector reconstruction method is developed to construct super tasks from failure-prone tasks and schedule these super tasks and non-failure-prone tasks to most suitable physical host, separately. All the tasks are scheduled in an earliest-deadline-first manner</t>
  </si>
  <si>
    <t>the task scheduling scheme and prediction model are realized in software</t>
  </si>
  <si>
    <t>total energy consumption (KWh)</t>
  </si>
  <si>
    <t>failure task count, failure ratio, resource utilization (%)</t>
  </si>
  <si>
    <t>Cloud sim. Our evaluation results show that the proposed scheme can intelligentlypredict  task  failure  and  achieves  better  fault  tolerance  and reduces total energy consumption than existing schemes compared to: real-time fault-tolerant  scheduling  algorithm  with  rearrangement  (RFTR), dynamic fault tolerant scheduling mechanism (DFTS), and modified breadth first search (MBFS).</t>
  </si>
  <si>
    <t>host (CPU, RAM, Disk)</t>
  </si>
  <si>
    <t xml:space="preserve">(1) multilevel  resource allocation approach towards dynamic network bandwidth at the physical  substrate,  managing  different  power-saving  states  and workload   allocation   at   the   cloud   infrastructure (2)  at   the   same time  employ  virtual  machine  allocation  and  selection  policies  at the  cloud  platform. </t>
  </si>
  <si>
    <t>At  the  infrastructure  layer,  we  tune  the  hosts  over  different sleep  states,  managing  them  between  states  in  a  way  that does not lose performance. At the platform layer, we allocate virtual machines according to different types of policies. Below these levels, we still propose dynamic communication channels where virtual machines can travel faster from a host to another</t>
  </si>
  <si>
    <t>resource and VM allocation is realized in software</t>
  </si>
  <si>
    <t>energy consumption (J), Energy-Delay Product (EDP)</t>
  </si>
  <si>
    <t>SLA violation (%), execution time (s)</t>
  </si>
  <si>
    <t>In  order  to  evaluate  our  approach,  tests were  carried  out  in  a  simulated  environment  using  scale-out application  on  a  dynamic  cloud  infrastructure.  Results  showed that  our  proposal  presents  a  better  balance  regarding  a  more energy-efficient data center with a smaller impact on application performance  when  compared  power-agnostic approaches.</t>
  </si>
  <si>
    <t>promote energy efficiency</t>
  </si>
  <si>
    <t>Dynamic TS Sampling (DTSS) method to sample workload factors with dynamic Time Scales (TSs). DTSS usesfine-grained TSs for workloads with high variability, and coarse-grained  TSs  for  workloads  with  moderate  variability.  Thereby, DTSS  can  obtain  the  representative  values  of  factors  to  reflectworkloads’  status.  Accordingly,  based  on  these  values,  a  good estimation  can  be  made  on  the  resource  demand  of  workloads .Finally,  by  providing  suitable  service  resources  for  workloads, DTSS  significantly  promotes  the  energy  efficiency  of  DCs.</t>
  </si>
  <si>
    <t xml:space="preserve">DTSS method to sample request arrival rate of workloads with dynamic TSs, that is, using fine-grained TSs for workloads with high variability, and using coarse-grained TSs for workloads with moderate variability. By this way, the workload status can be well captured. Then, DTSS dynamically readjusts the number of working nodes to provide suitable service resources for workloads. </t>
  </si>
  <si>
    <t>workload balancing is realized in software</t>
  </si>
  <si>
    <t>energy consumption (kw-s)</t>
  </si>
  <si>
    <t>Response Time of requests (MRT), QoS satifaction rate</t>
  </si>
  <si>
    <t>o evaluate DTSS, we conduct simulation experimentsby simulating a typical DC. For comparison, other twostate of the art methods and one baseline method arealso implemented. Finally, we show the effectivenessour method, by comparing the results to BaselineThe Baseline method uses an accessible wayto readjust the quantity of working nodes., Constant Time Scale Sampling (CTSS), Utilization Reactive Balancing (URWB)</t>
  </si>
  <si>
    <t>maximize energy efficiency</t>
  </si>
  <si>
    <t>Communication-aware container-based advance  reservation  model  for  efficient  microservices  orchestration.</t>
  </si>
  <si>
    <t>We applied the interval graph model to map the container reservation scenario of microservices and derived various performance bounds.  Then,  we  propose  greedy  graph  multi-coloring-based  centralized  and  distributed  algorithms  to  find  an  efficient  allocation  of  containers.</t>
  </si>
  <si>
    <t>the container orchestrator is realized in software</t>
  </si>
  <si>
    <t>performance per watt</t>
  </si>
  <si>
    <t>Through  theoretical  analysis  and  extensive  experimental  results,  we  demonstrate  that  the  proposed  approaches can decrease the total cost by up to 31% compared to Haizea AR, Anchor, EEGP Alogrithm, and Eigen-Centrality.</t>
  </si>
  <si>
    <t xml:space="preserve"> containerized cloud data centers</t>
  </si>
  <si>
    <t>model power consumption</t>
  </si>
  <si>
    <t xml:space="preserve">data center's power models depend on many individual factors, (For eg. numberof nodes, cooling, VM consolidation, etc.), we decide to come up with a model that is the function of heterogeneous energy resources. This novel power model incorporates more green energy by eliminating brown energy usage while assuring the same constant power supply. </t>
  </si>
  <si>
    <t>collecting the several data and calculating the power consumption is realed by software</t>
  </si>
  <si>
    <t>Etotal= 7663.03588+5.06426×Eriver+0.43515×Esolar+239.72882×Ewind+0.84369×Enuclear+1.19413×Ewaterreservoir+−0.88216×Ehydropower+1.36976×Ehardcoal</t>
  </si>
  <si>
    <t>use as much as possible the locally produced renewable energy</t>
  </si>
  <si>
    <t xml:space="preserve">This paper addresses the problem of proactive planning and optimizing the operation of a Systems of Systems (SoS) over a time horizon while considering the characteristics of each constituent system and complex interactions among them. The model is applied and used to represent the energy systems and flows within a modern DC, which is a case of large complex system. Furthermore, the presented proactive optimization methodology is adapted to facilitate the integration of DCs with the Smart Grid by allowing them to use as much as possible of the locally produced renewable energy and transact energy to decrease operational costs. </t>
  </si>
  <si>
    <t>We define a mathematical formalism for modeling complex systems composed of a mesh of sub-systems with linear and non-linear behaviors and abstractions like discrete time, atomic systems and interconnection of atomic system. Mixed-Integer Optimal Control Problems.diagrammatic block-based mathematical formalism for representing and optimizing the SoS operation. Aproactive multi-layer optimization technique that aim at streamlining the operation of SoS using hierarchical optimization processes at different time granularities which mitigates the impact of prediction errors on SoS emergent behavior.</t>
  </si>
  <si>
    <t>The optimizer and hearistics are realized through software.</t>
  </si>
  <si>
    <t xml:space="preserve">renewable energy (kWh), electrical cooling (kWh), battery charge (kWh), energy price (EUR/kWh), ESO charge (kWh), TES charge (kWh), day-ahead renewable energy forecast (kWh), intra-day renewable energy, </t>
  </si>
  <si>
    <t xml:space="preserve">real time workload (kWh), delay tolerant workload (kWh), </t>
  </si>
  <si>
    <t>Simulation based results show a reduction of 5% of the carbon footprint and at the same time an increase in profit of more than 14% due to flexible energy shifting. The optimization problems are addressed using modern mathematical solvers and genetic based heuristic obtaining a reduction of DC carbon footprint with 5% and of the energy costs of 14%.</t>
  </si>
  <si>
    <t>energy generator, UPS, cooling system, IT server system</t>
  </si>
  <si>
    <t>Enhanced traffic control mechanism, traffic prediction accuracy increase via its modeling on the basis of appropriate samples. Describe appropriate approaches intended for traffic control problem solution. Reallocating the Big Data center resource and increase its efficiency that results in decrease of system energy consumption.</t>
  </si>
  <si>
    <t>complex of traffic models</t>
  </si>
  <si>
    <t>resources reallocation on the basis of the short-term prediction is realized in software</t>
  </si>
  <si>
    <t>decrease in energy consumption (%)</t>
  </si>
  <si>
    <t>the traffic containing big number of spikes is better predicted using models from the complex, proposed in this chapter. Application of such models, in contrast to existing ones (used in Traffic Engineering), do not result in degradation of aggregated flows rate inside virtual connections of Big Data centers. Respectively, such traffic resulted in increased energy efficiency of a Big Data center.</t>
  </si>
  <si>
    <t>IT equipment</t>
  </si>
  <si>
    <t>big data center</t>
  </si>
  <si>
    <t>optimization algorithm to assign virtual machines to physical servers</t>
  </si>
  <si>
    <t>This action isachieved taking into account the different degrees of freedom of the used resources. The considered problem is formulatedas a mixed integer linear programming problem where all transfer functions, constraint functions and objective functionare expressed under a linear form.</t>
  </si>
  <si>
    <t>optimization algorithm is realized in software</t>
  </si>
  <si>
    <t>energy consumption (kWh/hour)</t>
  </si>
  <si>
    <t>The   problem   can   be   divided   into   independent   sub-problems. Each sub-problem related to a specific time horizon can be solved using mixed integer linear programming.</t>
  </si>
  <si>
    <t>informational systems</t>
  </si>
  <si>
    <t xml:space="preserve">VM placement method </t>
  </si>
  <si>
    <t>cultural algorithm: balance-based cultural algorithm for virtual machine placement (BCAVMP), a new fitness function is introduced to evaluate VM allocation solutions. In this function, by using the sum of balance vector lengths for each VM placement, balanced utilization of resources is considered. Also, by applying the amount of energy usage in the fitness function, solutions with lower energy consumption are intended.</t>
  </si>
  <si>
    <t>VM placement method is realized in software</t>
  </si>
  <si>
    <t>total  number  of  active  servers, total  number  of  virtual  machine  migrations, service level agreement violation (SLAV) (%)</t>
  </si>
  <si>
    <t>The performance of the proposed method is evaluated using CloudSim simulator. The simulation results indicate that by appropriate VM assignment and resource wastage reduction, energy consumption in cloud 
data centers can be decreased.  Compared with PABFD in the five  superior  combinations  of  consolidation  algorithms  containing  THR-MMT,  IQR-MMT, MAD-MMT, LR-MMT, and LRR-MMT</t>
  </si>
  <si>
    <t>DATAZERO, a project aiming to provide consistent solutions for ensuring high availability of IT services and avoiding unnecessary redundancies, under the constraints of the intermittent nature of green power and services flows. Negotiation protocol to match the power consumption of the IT resources with the power production of the green sources, instead of doing a global optimization of the problem. Allocate IT resources and schedule tasks in order to satisfy power and resource constraints while respecting quality of service</t>
  </si>
  <si>
    <t xml:space="preserve">IT Decision Module (ITDM), Power Decision Module (PDM) and Negotiation Module (NM), </t>
  </si>
  <si>
    <t xml:space="preserve">the negotioation module and IT scheduling algorithm (that are part of DATAZERO) are realized in software </t>
  </si>
  <si>
    <t>energy (kWh), power (W)</t>
  </si>
  <si>
    <t>SLA violation (%)</t>
  </si>
  <si>
    <t>SimGrid. We compare the results of our negotiation algorithm with the IT-leaded Best-Fit and the well-known algorithm GreenSlot.</t>
  </si>
  <si>
    <t>IT resources, power system</t>
  </si>
  <si>
    <t>DC only uses renewable energy produced locally within the datacenter</t>
  </si>
  <si>
    <t>Energy-aware  routing  (EAR)  protocol: steer flows along the most energy-efficient paths and put into sleep  mode  unused  switches  and  links.</t>
  </si>
  <si>
    <t>Greener, an extension of ElasticTree to leverage the energy proportionality characteristics of Energy   Efficient   Ethernet   (EEE). We integrate  the  EEE  energy  model  with  the  ElasticTree  solution.</t>
  </si>
  <si>
    <t>routing algorithm are realized in software</t>
  </si>
  <si>
    <t>energy consumption (%)</t>
  </si>
  <si>
    <t>average latency (msec)</t>
  </si>
  <si>
    <t>Simulation experiments of Greener in DCNs of different sizes and  under  varying  traffic  loads  show  that  it  brings  significant improvements in energy savings. Moreover, Greener outperforms the benchmark ElasticTree executed on EEE-based DCNs by up to  10  percentage  points  of  energy  savings.</t>
  </si>
  <si>
    <t>K-ary Fat-Tree  multi-rooted  topologies</t>
  </si>
  <si>
    <t>Scheduling algorithm to efficiently assign proper resources to jobs according to their requirements</t>
  </si>
  <si>
    <t>EcoVMBroker, a scheduling algorithm for allocating jobs in the cloud with resource-awareness and user satisfaction, using different resource allocation profiles chosen by the clients. We enrich our model with the notions of partial utility and by incorporating Dynamic Voltage Frequency Scaling (DVFS) for improved energy efficiency.</t>
  </si>
  <si>
    <t>scheduling algorithm is realized in software</t>
  </si>
  <si>
    <t>energy efficiency (MIPS/Watt)</t>
  </si>
  <si>
    <t>failed VMs (%), profit, execution time (s)</t>
  </si>
  <si>
    <t xml:space="preserve">CloudSim. compared to Watt Per Mip and Min Used. The obtained results show that our solution efficiently assigns resources to jobs, according to their requirements and helps to maintain an energy-efficient infrastructure. </t>
  </si>
  <si>
    <t xml:space="preserve">Container-based virtualization is used to design an energy-efficient workflow scheduling and resource allocation.
</t>
  </si>
  <si>
    <t>A runtime scheduler is responsible to handle all the scheduling decisions in the proposed workflow scheduling scheme. Even more, a doubly linked list-based access mechanism is used to provide access to the servers and virtual machines by traversing both ways. Finally, a hashing scheme is used to select an ideal location for the allocation of the containers.</t>
  </si>
  <si>
    <t>the schedular is realized in software</t>
  </si>
  <si>
    <t>mean makespan (seconds), number of containers created, VM Migration, workflow completion (%), active host time (seconds), deley penatly (i.e., tardiness of a schedule such that the current time exceeds the scheduled time) (seconds), machine usage (%), fault tolerance (%), throughput (request/seconds), execution time (ms)</t>
  </si>
  <si>
    <t>CloudSIm. The results obtained depict the superiority of the proposed scheme in comparison to (1) first come first serve scheduling (FCFS), (2) preemptive round-robin scheduling (RR), (3) priority-based scheduling (Priority).</t>
  </si>
  <si>
    <t>cloud, software-defined, distributed DC</t>
  </si>
  <si>
    <t xml:space="preserve">Integrated resource allocation framework for data centers that minimizes the number of active PMs through dynamic VM placement while ensuring that SLAs of admitted VMs are not violated by reducing the number of PM overload occurrences through VM resource prediction, resource scaling, and VM migration. </t>
  </si>
  <si>
    <t>(1) Proposing a resource allocation technique that consolidates VMs on fewer PMs while reducing PM overload incidents. (2) Introducing a VM resource scaling algorithm that leverages the elasticity of some VMs by scaling down their used resources to avoid PM overloads. (3) Proposing a SLA-aware VM migration approach that decides which VMs to migrate and which PMs to be the destination hosts for the migrated VMs in a way that minimizes SLA violations.</t>
  </si>
  <si>
    <t>the proposed resource management framework (cominination of algorithms) is realized in software</t>
  </si>
  <si>
    <t>total consumped power (kW)</t>
  </si>
  <si>
    <t>number of overloads, number of SLA-violated VMs in migration</t>
  </si>
  <si>
    <t xml:space="preserve">Experimental evaluations based on real Google traces show that our proposed framework outperforms Utilization Prediction-aware Best Fit Decreasing (UP-BFD) by incurring lesser overload events with no to very few SLA violations of admitted VMs while yielding energy consumptions similar to those achieved under existing approaches. </t>
  </si>
  <si>
    <t>Segment routing based energy aware routing approach aims to achieve throughput maximization through  preserving link residual capacity and proper utilization of links. As well, our approach shows a decrease in length of segment label stack with respect to maximum segment label depth.</t>
  </si>
  <si>
    <t>Energy-efficient routing methodology using MPTCP-SR approach in a physically distributed and logically centralized ODL controller
environment.</t>
  </si>
  <si>
    <t>routing algorithm is realized in software</t>
  </si>
  <si>
    <t>energy - network lifetime (bandwidth consumption in link)</t>
  </si>
  <si>
    <t>network throughput (Mbps), round trip time (RTT) (ms), link utilization (%), packet header overhead, % of links congested, % of paths &lt; Maximum Segment Depth (MSD), % of links possess &gt; 60% of residual capacity</t>
  </si>
  <si>
    <t>Analysis is done by comparing the executions of other existing approaches in a single-controller environment with our energy-aware routing approach in a distributed environment. Distributed controller setup prevents network from single point of failure. It helps to prevent controller overhead and provides improved network performance through throughput.</t>
  </si>
  <si>
    <t>software defined DC</t>
  </si>
  <si>
    <t>new server consolidation heuristic that can perform near optimal resource allocation</t>
  </si>
  <si>
    <t xml:space="preserve">New FFD-based server consolidation technique using a Monte Carlo method and Shannon entropy, which considers resource bottlenecks and dynamically adjusts to variance in the utilization of different resources. </t>
  </si>
  <si>
    <t>server consolidation algorithm is realized in software</t>
  </si>
  <si>
    <t>resource utilization ratio</t>
  </si>
  <si>
    <t>We theoretically formulate and solve the optimal server consolidation problem using a linear programming model and provide extensive performance evaluation by analyzing low, medium, and high resource utilization variances, as well provide comparisons with optimal values. The proposed MonteCarlo heuristic outperforms Lex, MaxComp, MaxSum, Prod, DotProd, DP (Gabay), AR.</t>
  </si>
  <si>
    <t>CPU, memory, network</t>
  </si>
  <si>
    <t>Proposing the notion of the joint container and VM consolidation solution. Proposing the multi-criteria migration decision (JVCMMD) policy to decide whether the VMs or the containers should be migrated that simultaneously optimizes energy consumption, number of VM and container migrations and SLA violations.</t>
  </si>
  <si>
    <t>container and VM consolidation policy is realized in software</t>
  </si>
  <si>
    <t>energy consumption (KWH), ESV (energy * SLA violation), ESM (energy * SLAV * number of VM migrations)</t>
  </si>
  <si>
    <t>SLA violation, number of migrations</t>
  </si>
  <si>
    <t>CloudSim. Our proposed solution outperforms existing solutions. Our proposed LR/SM/MMT/JVCMMD/MU/TPSA/CORHS, LFHS scenario demonstrated notable 99.28% and 99.99% reductions in ESM and ESCM metrics.</t>
  </si>
  <si>
    <t>PM (disk, network, CPU, and memory)</t>
  </si>
  <si>
    <t>DH Harryvan, R Chamberlane, A SCionti, G Urlini, O Terzo</t>
  </si>
  <si>
    <t>OPERA is working to create an energy aware workload manager for heterogeneous systems that will allow microservices to migrate between systems with differing instruction set architectures.</t>
  </si>
  <si>
    <t>OPERA is realized in software</t>
  </si>
  <si>
    <t>energy efficiency (7 user weeks / kWh)</t>
  </si>
  <si>
    <t>CPU load, concurrent end users</t>
  </si>
  <si>
    <t>The current status of the OPERA project resulted in measurements on a single node of the solution. Factor of 20 improvement of energy efficiency, under the assumption that the peak workload does not increase, this translates in a potential 95% energy reduction.</t>
  </si>
  <si>
    <t>heterogenous server systems</t>
  </si>
  <si>
    <t>energy efficient VM scheduling strategies in virtualized environments to  minimize the queue time and makespan under the fulfillment of SLA requirements.</t>
  </si>
  <si>
    <t>Specifically, six energy efficient VM scheduling strategies are investigated incorporated with the dynamic voltage and frequency scaling
 (DVFS) power management technique. They consist of user-oriented and  system-oriented policies. The strategies are extensively simulated and compared with three power management governing methods provided at hypervisor level (i.e., userspec, ondemand, and performance). The size-based energy efficient VM scheduling strategies are: (a) Large Job First (LJF-EE), (b) Small Job First (SJF-EE), (c) Minimum Millions of Instruction (MinMI-EE), and (d) Maximum Millions of Instructions (MaxMI-EE). The first-served-based energy efficient policy is the well-known First Come First Serve (FCFS-EE) strategy. The size-based and first-serve-based energy efficient VM scheduling strategies are incorporated with the First Fit (FF) technique. Lastly, we consider the energy efficient Aggressive Backfilling First (ABF-EE) technique as a backfilling-based policy, which basically works in conjunction with the FCFS policy.</t>
  </si>
  <si>
    <t>VM scheduling strategy is realized in software</t>
  </si>
  <si>
    <t>energy consumption (MJ), energy efficiency (MJ) %</t>
  </si>
  <si>
    <t>runtime, queue time (min), makespan, slowdown ration, busy CPUs (%)</t>
  </si>
  <si>
    <t>(a) all of the strategies under the on demand power management scheme are more energy efficient compared to the strategies under the user spec power management scheme. (b) The LJF-FF-EE and MaxMI-FF-EE consumed less energy but show a degradation regarding the results of the mean slowdown and the slowdown ratio. (c) The energy efficient SJF-FF-EE and MinMI-FF-EE VM scheduling strategies exhibit better performance in terms of the mean queue time against to the rest heuristics. (d) The energy efficient backfilling VM scheduling policy (i.e., ABF-EE) produced the smallest makespan under the studied power management schemes compared to other policies.</t>
  </si>
  <si>
    <t>cloud, HPC, heterogeneous PMs</t>
  </si>
  <si>
    <t xml:space="preserve">(a) propose a consolidation algorithm which favours the most effective migration among VMs, containers and applications; and (b) investigate how migration decisions should be made to save energy without any negative impact on the service performance. </t>
  </si>
  <si>
    <t>consolidation algorithm are realized in software</t>
  </si>
  <si>
    <t>energy (KWh) / performance (seconds), energy * performance, energy consumption (KWh)</t>
  </si>
  <si>
    <t>data copied (MB), migration time (seconds), downtime (seconds), number of containers, utilization (%), performance (seconds)</t>
  </si>
  <si>
    <t>Cloudsim. We demonstrate through a number of experiments, using the real workload traces for 800 hosts, approximately 1516 VMs, and more than million containers, how different approaches to migration, will impact on datacenter’s energy consumption and performance. Our evaluation suggests that migrating applications could be ~5.5% more energy efficient and ~11.9% more performance efficient than VMs migration. Further, energy and performance efficient consolidation is ~14.6% energy and ~7.9% performance efficient than application migration.</t>
  </si>
  <si>
    <t>heterogenous cloud datacenter</t>
  </si>
  <si>
    <t>background VMs en containers</t>
  </si>
  <si>
    <t>genetic algorithm: novel hybrid metaheuristic scheme harmony-inspired genetic algorithm (HIGA). HIGA combines the exploration capability of genetic algorithm and exploitation capabilityof harmony search by which it intelligently senses local as well as global optimal region without wastingtime (iterations) in local or global optimal region and provides quick convergence.</t>
  </si>
  <si>
    <t>HIGA is realized in software</t>
  </si>
  <si>
    <t>energy consumption (physical host as a function oftime) (Watt over time), rack energy consumption  (amount of energy consumed by rack compo-nents excluding energy consumed by hosts) (Watt over time)</t>
  </si>
  <si>
    <t>makespan (maximum finish tume of all virtual machines), number of free racks</t>
  </si>
  <si>
    <t>We have compared our proposed algorithm with GA, HS, PSO,HEFT, MinMin as well as MaxMin and results exhibits that the proposed work gives better energy savings and improves the cloudapplication performance (makespan).</t>
  </si>
  <si>
    <t xml:space="preserve">Resource provisioning technique which classifies data center entities through their attributes as characterized by their resource requirements. The classification process enables the multi-level  matching  approach  which  assigns  client  requests  to  the  most appropriate VM, while the VM is assigned to a Host of similar characteristics. By considering the multi-dimensionality of compute resources, data center entities which include applications, VMs, and Hosts, are consolidated and assigned according to the  most  proportionate  available  resource. </t>
  </si>
  <si>
    <t>VM consolidation, VM placement, load monitoring and optimization, host selection and migration algorithms are realized in software</t>
  </si>
  <si>
    <t>energy consumption (KWh), average host consumption (Wseconds)</t>
  </si>
  <si>
    <t>VM migrations, SLA violation (%), host shutdowns, matched VM/App/Host, host overutilization, host underutilization, requests cimplered, utilization excess (%), Average MIPS Allocated to VM (%), Average RAM Allocated to VM (%),  Average BW Allocated to VM (%)</t>
  </si>
  <si>
    <t xml:space="preserve">Cloudsim. Test three scenaios: a) Without  Matching - requests are assigned to VMs and VMs are assigned to hosts using the First Fit Decreasing  approach  of  bin  packing,  b) App/VM Matching  –  requests  are  assigned  to  VMs  which match their attributes, c) App/VM/Host  Matching–initiates  another  level  of  matching  in  which  VMs are  assigned  to  hosts  that  are  similar  to  their characteristics.  </t>
  </si>
  <si>
    <t xml:space="preserve">scheduler to assign tasks of customers’ applications to virtual machines </t>
  </si>
  <si>
    <t>The scheduler depends on three algorithms: (1) the scheduling algorithm which initially assigns customers’ applications to the virtual machines of the cloud depending on a significance factor which denotes the degree of importance of customer’s need of time and provider’s need of energy saving, (2) the rescheduling algorithm which reschedules the time non-critical applications with the aim to more saving of energy consumption, and (3) the time critical algorithm which aims to lower energy consumed through reducing the number of replicas executed in the data center.</t>
  </si>
  <si>
    <t>schedular and its algorithms are realized in software</t>
  </si>
  <si>
    <t>rate of energy consumption (Mw/h), PUE (total facility power/IT equipment power),  Data Center Energy Productivity (DCEP) (Wd / Tpower = total power consumed to perform the work Wd in data center d)</t>
  </si>
  <si>
    <t>number of VMs, capacitiy (%)</t>
  </si>
  <si>
    <t>CloudSim.  1000 virtual machines. The results of simulation reveal that the proposed scheduler can 
considerably improve the performance in terms of energy consumption, 
efficiency, monetary cost, productivity and capacity. Compared to E-aware scheduler.</t>
  </si>
  <si>
    <t>server + network + storage</t>
  </si>
  <si>
    <t>reduce total power consumption</t>
  </si>
  <si>
    <t>Each  VM  will  be  replicated R times  on  different physical  machines  (PMs).  As  such,  in  case  of  a  server  failure, there  will  be  at  least  another  PM  that  has  the  requested  VM. Solving  the  Virtual Machine Replication problem (VMR)  problem  is  equivalent  to  minimum  cost  flow problem,   that   can   be   solved   optimally.   After   replication   of VMs,  we  turn  off  the  inactive  PMs  in  order  to  reduce  the power consumption even more.</t>
  </si>
  <si>
    <t>minimum cost flow algorithm is realized in software</t>
  </si>
  <si>
    <t>number of inactive PMs</t>
  </si>
  <si>
    <t>We  saw  thatour  approach  replicates  VMs  as  close  as  possible  to  source PM. As a consequence, VMs are replicated into less PMs aspossible with the minimum power consumption. The more we replicate,  we  need  to  find  a  further  PM  in  order  to  store  the replica, which implies bigger costs.</t>
  </si>
  <si>
    <t>PM  + network</t>
  </si>
  <si>
    <t>trade off between performance and energy efficiency</t>
  </si>
  <si>
    <t>power-aware framework for the efficient placement of application workloads in a virtualized data center.</t>
  </si>
  <si>
    <t>The framework utilizes the application profiles (APs) to compute the cost of executing a workflow in the data center, based on the power consumption requirements. A heuristic based scheduling algorithm for AP matching is developed based on criteria including CPU, memory, IO, and power consumption requirements.The runtime complexity of the proposed approach is similar to RTC and HEFT schedulers.</t>
  </si>
  <si>
    <t>the task scheduler is realized in software</t>
  </si>
  <si>
    <t>power (watt), energy (KWh)</t>
  </si>
  <si>
    <t>number of VMs, CPU utilization, number of idle VMs, VM placement time (seconds)</t>
  </si>
  <si>
    <t>CloudSim. We choose to compare the proposed algorithm with two scheduling algorithms, namely stochasticHEFT and RTC. Our results show that the proposed scheduler is better in terms of VM placement and load balancing compared to RTC and HEFT</t>
  </si>
  <si>
    <t>PMs</t>
  </si>
  <si>
    <t>small- to medium-scale data centers</t>
  </si>
  <si>
    <t>energy saving while persrving network performance</t>
  </si>
  <si>
    <t>Switches traffic to a subset of links, turns off unused switches and links, and uses valiant load balancing mechanism on active routes.</t>
  </si>
  <si>
    <t>The problem was formulated as mixed integer linear problem (MILP) solvable by CPLEX. To overcome CPLEX high computational time, a heuristic algorithm to provide practical and efficient solution for the MILP is introduced. The  heuristic algorithm uses switches grouping and links consolidation to switch the traffic to a small number of network devices and turn off unused switches and links. Valiant load balancing is used to distribute the loads over active links.</t>
  </si>
  <si>
    <t>the heuristic alforithm is realized in software</t>
  </si>
  <si>
    <t>network energy (W.h)</t>
  </si>
  <si>
    <t>cumulative distribution function (CDF), throughput (Kbps), average delay (seconds), dropped packets ratio (%)</t>
  </si>
  <si>
    <t>Simulation experiments using synthetic and real packet traces were conducted to validate the heuristic in terms of energy consumption and  network performance. The results show that the heuristic can save up to 
45% of the network energy and improve the average imbalance scores for links and switches by more than 50% with minimal effect on network performance. The proposed algorithm was evaluated against data centers without any energy saving mechanism, data centers with greedy bin-packingenergy saving mechanism, and Global First Fit energy saving mechanism. The results showed that the proposed algorithm can save up to 35% with three-tier topologyand up to 45% with the folded clos fat tree topology with minor effect on network performance.</t>
  </si>
  <si>
    <t xml:space="preserve">new framewotk of Energy-aware dynamic Virtual Machine consolidation (DVMC) </t>
  </si>
  <si>
    <t>New VM placement policy, namely Space Aware Best Fit Decreasing (SABFD) and a new migration VM selection policy, namely high CPU utilization based migration VM selection (called HS).</t>
  </si>
  <si>
    <t>the VM placement and migration selection policies are realized in software</t>
  </si>
  <si>
    <t>ESV (energy * SLAV), energy (kWh)</t>
  </si>
  <si>
    <t>SLAV (SLATAH * PDM), SLATAH (SLA violation Time per Active Host  which is defined as the percentage of time that active hosts have  experienced the CPU utilization of 100% during the simulations.), PDM (performance degradation due to migrations), VM migrations, host shutdowns</t>
  </si>
  <si>
    <t>The simulation results show that DVMC plans with SABFD policy or with HS policy outperform alternative DVMC plans. What's more, a DVMC plan with both SABFD and HS policies makes the best performance. DVMC outperform those with PABFD policy both on saving energy and assuring SLA.</t>
  </si>
  <si>
    <t>physical host</t>
  </si>
  <si>
    <t>Virtual Machine (VM) allocation strategy with an asynchronous multi-sleep mode and an adaptive task-migration scheme.</t>
  </si>
  <si>
    <t>The VMs hosted in a virtual cluster are divided into two modules, namely, Module I and Module II. The VMs in Module I are always awake, whereas the VMs in Module II will go to sleep independently, if possible.  Finally, a system cost function is constructed to trade off different performance measures, and an intelligent searching algorithm is employed to optimize the number of VMs in Module II and the sleeping parameter in the same time.</t>
  </si>
  <si>
    <t>the VM allocation strategy is realized in software</t>
  </si>
  <si>
    <t>energy saving rate of the system (mJ)</t>
  </si>
  <si>
    <t>average response time E[T] of requests (ms)</t>
  </si>
  <si>
    <t>In order to evaluate the average response time of tasks and the energy saving rate of the system with the proposed VM allocation strategy, we provide numerical experiments with analysis and simulation</t>
  </si>
  <si>
    <t>An energy-efficient control policy determines the switch between work and sleep states of servers in Group 2 in a dynamic way. Since servers in Group 1 are always working with high priority to jobs, a transfer rule is proposed to migrate the jobs in Group 2 to idle servers in Group 1.</t>
  </si>
  <si>
    <t xml:space="preserve">To find the optimal energy-efficient policy, we setup a policy-based Poisson equation, and provide explicit expressions for its unique solution of performance potentials by means of the RG-factorization. Based on this, we characterize monotonicity and optimality of the long-run average profit with respect to the policies under different service prices. We prove that the bang-bang control is always optimal for this optimization problem, i.e., we should either keep all servers sleep or turn on the servers such that the number of working servers equals that of waiting jobs in Group 2. </t>
  </si>
  <si>
    <t>the described migration policy can be realized in software</t>
  </si>
  <si>
    <t xml:space="preserve">We prove the optimality of the bang-bang control, which significantly reduces theaction  search  space. </t>
  </si>
  <si>
    <t xml:space="preserve">data center with heterogenous servers:  Servers in Group 1 always work at high energy con-sumption, while servers in Group 2 may either work at high energy consumption or sleep atlow energy consumption. </t>
  </si>
  <si>
    <t>reduce_energy</t>
  </si>
  <si>
    <t>VM_consolidation</t>
  </si>
  <si>
    <t>completely_consists_of</t>
  </si>
  <si>
    <t>power_cons</t>
  </si>
  <si>
    <t>resource</t>
  </si>
  <si>
    <t>empirical</t>
  </si>
  <si>
    <t>nature</t>
  </si>
  <si>
    <t>energy_cons</t>
  </si>
  <si>
    <t>VM,time</t>
  </si>
  <si>
    <t>simulated</t>
  </si>
  <si>
    <t>CPU,server,storage,memory,VM</t>
  </si>
  <si>
    <t>optimize_renewable</t>
  </si>
  <si>
    <t>resource_management</t>
  </si>
  <si>
    <t>ML</t>
  </si>
  <si>
    <t>renewable,energy_cons</t>
  </si>
  <si>
    <t>VM,cost</t>
  </si>
  <si>
    <t>geo-distributed,renewable</t>
  </si>
  <si>
    <t>energy_cons,power_cons</t>
  </si>
  <si>
    <t>server,VM</t>
  </si>
  <si>
    <t>geo-distributed,cloud</t>
  </si>
  <si>
    <t>monitor</t>
  </si>
  <si>
    <t>predict,model</t>
  </si>
  <si>
    <t>network,memory,storage,server,CPU</t>
  </si>
  <si>
    <t>EE,energy_cons,power_cons</t>
  </si>
  <si>
    <t>heterogeneous</t>
  </si>
  <si>
    <t>VM_placement,VM_consolidation</t>
  </si>
  <si>
    <t>ML,fit</t>
  </si>
  <si>
    <r>
      <rPr>
        <color rgb="FF1155CC"/>
        <u/>
      </rPr>
      <t>https://link.springer.com/article/10.1007/s10586-018-2869-5</t>
    </r>
    <r>
      <rPr/>
      <t xml:space="preserve"> </t>
    </r>
  </si>
  <si>
    <t>LP</t>
  </si>
  <si>
    <t>network,time</t>
  </si>
  <si>
    <t>theoretical</t>
  </si>
  <si>
    <t>network,server</t>
  </si>
  <si>
    <t>large</t>
  </si>
  <si>
    <r>
      <rPr>
        <color rgb="FF1155CC"/>
        <u/>
      </rPr>
      <t>https://search.ieice.org/bin/summary.php?id=e101-d_7_1816</t>
    </r>
    <r>
      <rPr/>
      <t xml:space="preserve"> </t>
    </r>
  </si>
  <si>
    <t>VM_selection,VM_consolidation</t>
  </si>
  <si>
    <t>other</t>
  </si>
  <si>
    <t>energy_SLA,energy_cons</t>
  </si>
  <si>
    <t>SLA,VM</t>
  </si>
  <si>
    <t>memory,network,server,CPU</t>
  </si>
  <si>
    <t>heterogeneous,cloud</t>
  </si>
  <si>
    <r>
      <rPr>
        <color rgb="FF1155CC"/>
        <u/>
      </rPr>
      <t>https://ieeexplore.ieee.org/abstract/document/8726577/</t>
    </r>
    <r>
      <rPr/>
      <t xml:space="preserve"> </t>
    </r>
  </si>
  <si>
    <t>cost</t>
  </si>
  <si>
    <t>geo-distributed,homogeneous,renewable</t>
  </si>
  <si>
    <t>geo-distributed,cloud,large</t>
  </si>
  <si>
    <t>energy_cons,renewable</t>
  </si>
  <si>
    <t>algorithm,other</t>
  </si>
  <si>
    <t>renewable</t>
  </si>
  <si>
    <t>increase_EE</t>
  </si>
  <si>
    <t>network_optimization</t>
  </si>
  <si>
    <t>energy_cons,EE</t>
  </si>
  <si>
    <t>VM_placement,VM_migration,VM_consolidation</t>
  </si>
  <si>
    <t>time,VM</t>
  </si>
  <si>
    <t>homogeneous</t>
  </si>
  <si>
    <t>model,predict</t>
  </si>
  <si>
    <t>depends_on</t>
  </si>
  <si>
    <t>supp_ICT,energy_cons</t>
  </si>
  <si>
    <t>power_cons,EE</t>
  </si>
  <si>
    <t>PM,resource</t>
  </si>
  <si>
    <t>partly_consists_of</t>
  </si>
  <si>
    <t>supp_ICT</t>
  </si>
  <si>
    <t>algorithm</t>
  </si>
  <si>
    <t>other,resource</t>
  </si>
  <si>
    <t>other,LP</t>
  </si>
  <si>
    <t>EE</t>
  </si>
  <si>
    <t>resource,VM</t>
  </si>
  <si>
    <t>network,memory,CPU</t>
  </si>
  <si>
    <t>renewable,power_cons</t>
  </si>
  <si>
    <t>workload,support</t>
  </si>
  <si>
    <t>server,network</t>
  </si>
  <si>
    <t>algorithm,resource,workload</t>
  </si>
  <si>
    <t>CPU,memory,server</t>
  </si>
  <si>
    <t>VM_migration,VM_consolidation</t>
  </si>
  <si>
    <t>GP</t>
  </si>
  <si>
    <t>PM,VM,algorithm</t>
  </si>
  <si>
    <t>server,memory,CPU</t>
  </si>
  <si>
    <t>large,cloud</t>
  </si>
  <si>
    <t>VM_consolidation,VM_migration</t>
  </si>
  <si>
    <t>workload,PM,VM,time</t>
  </si>
  <si>
    <t>server,CPU</t>
  </si>
  <si>
    <t>small,large,medium</t>
  </si>
  <si>
    <t>workload</t>
  </si>
  <si>
    <t>VM_consolidation,VM_placement</t>
  </si>
  <si>
    <t>reduce_cost,optimize_renewable</t>
  </si>
  <si>
    <t>renewable,energy_cons,supp_ICT</t>
  </si>
  <si>
    <t>cost,VM</t>
  </si>
  <si>
    <t>geo-distributed</t>
  </si>
  <si>
    <t>fuzzy</t>
  </si>
  <si>
    <t>workload,time</t>
  </si>
  <si>
    <t>resource,workload</t>
  </si>
  <si>
    <t>vDC</t>
  </si>
  <si>
    <t>monitor,reduce_energy</t>
  </si>
  <si>
    <t>supp_ICT,energy_cons,power_cons</t>
  </si>
  <si>
    <t>workload,footprint</t>
  </si>
  <si>
    <t>PM,time,algorithm,footprint,cost,SLA</t>
  </si>
  <si>
    <t>energy_SLA</t>
  </si>
  <si>
    <t>SLA</t>
  </si>
  <si>
    <t>resource,SLA</t>
  </si>
  <si>
    <t>server,CPU,memory</t>
  </si>
  <si>
    <r>
      <rPr>
        <color rgb="FF1155CC"/>
        <u/>
      </rPr>
      <t>https://www.emerald.com/insight/content/doi/10.1108/IJPPM-08-2016-0160/full/html</t>
    </r>
    <r>
      <rPr/>
      <t xml:space="preserve"> </t>
    </r>
  </si>
  <si>
    <t>model,measure</t>
  </si>
  <si>
    <t>network,support,cost</t>
  </si>
  <si>
    <r>
      <rPr>
        <color rgb="FF1155CC"/>
        <u/>
      </rPr>
      <t>https://link.springer.com/article/10.1007/s11390-018-1811-x</t>
    </r>
    <r>
      <rPr/>
      <t xml:space="preserve"> </t>
    </r>
  </si>
  <si>
    <t>GP,DVFS</t>
  </si>
  <si>
    <t>resource,other</t>
  </si>
  <si>
    <r>
      <rPr>
        <color rgb="FF1155CC"/>
        <u/>
      </rPr>
      <t>https://ieeexplore.ieee.org/abstract/document/8731726/</t>
    </r>
    <r>
      <rPr/>
      <t xml:space="preserve"> </t>
    </r>
  </si>
  <si>
    <t>containerization</t>
  </si>
  <si>
    <t>fit,round_rofit</t>
  </si>
  <si>
    <t>time,other</t>
  </si>
  <si>
    <t>container</t>
  </si>
  <si>
    <r>
      <rPr>
        <color rgb="FF1155CC"/>
        <u/>
      </rPr>
      <t>https://ieeexplore.ieee.org/abstract/document/8631005/</t>
    </r>
    <r>
      <rPr/>
      <t xml:space="preserve"> </t>
    </r>
  </si>
  <si>
    <t>network,time,other</t>
  </si>
  <si>
    <r>
      <rPr>
        <color rgb="FF1155CC"/>
        <u/>
      </rPr>
      <t>https://www.sciencedirect.com/science/article/pii/S0957417420305431</t>
    </r>
    <r>
      <rPr/>
      <t xml:space="preserve"> </t>
    </r>
  </si>
  <si>
    <r>
      <rPr>
        <color rgb="FF1155CC"/>
        <u/>
      </rPr>
      <t>https://link.springer.com/content/pdf/10.1007/s42235-019-0030-7.pdf</t>
    </r>
    <r>
      <rPr/>
      <t xml:space="preserve"> </t>
    </r>
  </si>
  <si>
    <t>PM,time,resource</t>
  </si>
  <si>
    <t>server,VM,CPU,memory,storage</t>
  </si>
  <si>
    <r>
      <rPr>
        <color rgb="FF1155CC"/>
        <u/>
      </rPr>
      <t>https://www.sciencedirect.com/science/article/pii/S1568494618301327</t>
    </r>
    <r>
      <rPr/>
      <t xml:space="preserve"> </t>
    </r>
  </si>
  <si>
    <t>time,resource</t>
  </si>
  <si>
    <t>server,VM,CPU</t>
  </si>
  <si>
    <r>
      <rPr>
        <color rgb="FF1155CC"/>
        <u/>
      </rPr>
      <t>https://ieeexplore.ieee.org/abstract/document/8267099/</t>
    </r>
    <r>
      <rPr/>
      <t xml:space="preserve"> </t>
    </r>
  </si>
  <si>
    <t>monitor,reduce_cost</t>
  </si>
  <si>
    <t>model,VM_consolidation,VM_migration</t>
  </si>
  <si>
    <t>resource,time</t>
  </si>
  <si>
    <t>server, VM</t>
  </si>
  <si>
    <t>dynamic programming approach</t>
  </si>
  <si>
    <r>
      <rPr>
        <color rgb="FF1155CC"/>
        <u/>
      </rPr>
      <t>https://ieeexplore.ieee.org/abstract/document/8626500/</t>
    </r>
    <r>
      <rPr/>
      <t xml:space="preserve"> </t>
    </r>
  </si>
  <si>
    <t>VM_consolidation,VM_placement,VM_migration</t>
  </si>
  <si>
    <t>resource,VM,PM</t>
  </si>
  <si>
    <t>Markov Decision Process (MDP) based algorithm</t>
  </si>
  <si>
    <r>
      <rPr>
        <color rgb="FF1155CC"/>
        <u/>
      </rPr>
      <t>https://ieeexplore.ieee.org/abstract/document/8982573/</t>
    </r>
    <r>
      <rPr/>
      <t xml:space="preserve"> </t>
    </r>
  </si>
  <si>
    <t>apriori based algorithm (SApriori) using OpenFlow protocol</t>
  </si>
  <si>
    <r>
      <rPr>
        <rFont val="arial,sans,sans-serif"/>
        <color rgb="FF1155CC"/>
        <u/>
      </rPr>
      <t>https://jit.ndhu.edu.tw/article/view/2085</t>
    </r>
    <r>
      <rPr>
        <rFont val="arial,sans,sans-serif"/>
      </rPr>
      <t xml:space="preserve"> </t>
    </r>
  </si>
  <si>
    <t>fit</t>
  </si>
  <si>
    <r>
      <rPr>
        <rFont val="arial,sans,sans-serif"/>
        <color rgb="FF1155CC"/>
        <u/>
      </rPr>
      <t>https://jespublication.com/upload/2019-V10-I12-10.pdf</t>
    </r>
    <r>
      <rPr>
        <rFont val="arial,sans,sans-serif"/>
      </rPr>
      <t xml:space="preserve"> </t>
    </r>
  </si>
  <si>
    <r>
      <rPr>
        <color rgb="FF1155CC"/>
        <u/>
      </rPr>
      <t>https://link.springer.com/chapter/10.1007/978-3-319-62238-5_8</t>
    </r>
    <r>
      <rPr/>
      <t xml:space="preserve"> </t>
    </r>
  </si>
  <si>
    <t>monitor,opimize_renewable</t>
  </si>
  <si>
    <t>predict</t>
  </si>
  <si>
    <t>energy_cons, renewable</t>
  </si>
  <si>
    <t>Gaussian Mixture Model (GMM)</t>
  </si>
  <si>
    <r>
      <rPr>
        <color rgb="FF1155CC"/>
        <u/>
      </rPr>
      <t>http://search.proquest.com/openview/21c57e9527878ff9b6c8a99d58d1bdb0/1?pq-origsite=gscholar&amp;cbl=4477230</t>
    </r>
    <r>
      <rPr/>
      <t xml:space="preserve"> </t>
    </r>
  </si>
  <si>
    <r>
      <rPr>
        <rFont val="arial,sans,sans-serif"/>
        <color rgb="FF1155CC"/>
        <u/>
      </rPr>
      <t>https://www.mdpi.com/1424-8220/19/18/3980</t>
    </r>
    <r>
      <rPr>
        <rFont val="arial,sans,sans-serif"/>
      </rPr>
      <t xml:space="preserve"> </t>
    </r>
  </si>
  <si>
    <r>
      <rPr>
        <color rgb="FF1155CC"/>
        <u/>
      </rPr>
      <t>https://ieeexplore.ieee.org/abstract/document/8364052/</t>
    </r>
    <r>
      <rPr/>
      <t xml:space="preserve"> </t>
    </r>
  </si>
  <si>
    <r>
      <rPr>
        <color rgb="FF1155CC"/>
        <u/>
      </rPr>
      <t>https://link.springer.com/chapter/10.1007/978-3-030-21507-1_41</t>
    </r>
    <r>
      <rPr/>
      <t xml:space="preserve"> </t>
    </r>
  </si>
  <si>
    <t>measure</t>
  </si>
  <si>
    <t>footprint,support</t>
  </si>
  <si>
    <r>
      <rPr>
        <color rgb="FF1155CC"/>
        <u/>
      </rPr>
      <t>https://onlinelibrary.wiley.com/doi/abs/10.1002/net.21752</t>
    </r>
    <r>
      <rPr/>
      <t xml:space="preserve"> </t>
    </r>
  </si>
  <si>
    <t>workload,network</t>
  </si>
  <si>
    <r>
      <rPr>
        <color rgb="FF1155CC"/>
        <u/>
      </rPr>
      <t>https://www.researchgate.net/profile/Abdulrahman_Nahhas/publication/333335432_Toward_an_Autonomic_and_Adaptive_Load_Management_Strategy_for_Reducing_Energy_Consumption_under_Performance_Constraints_in_Data_Centers/links/5d1b96fa92851cf440600900/Toward-an-Autonomic-and-Adaptive-Load-Management-Strategy-for-Reducing-Energy-Consumption-under-Performance-Constraints-in-Data-Centers.pdf</t>
    </r>
    <r>
      <rPr/>
      <t xml:space="preserve"> </t>
    </r>
  </si>
  <si>
    <t xml:space="preserve">resource_management,VM_consolidation,VM_migration,VM_placement </t>
  </si>
  <si>
    <r>
      <rPr>
        <color rgb="FF1155CC"/>
        <u/>
      </rPr>
      <t>https://www.sciencedirect.com/science/article/pii/S074373151930190X</t>
    </r>
    <r>
      <rPr/>
      <t xml:space="preserve"> </t>
    </r>
  </si>
  <si>
    <t>increase_EE,monitor</t>
  </si>
  <si>
    <t>VM_consolidation,predict</t>
  </si>
  <si>
    <t>energy_cons,energy_SLA</t>
  </si>
  <si>
    <t>workload,resource,VM,SLA</t>
  </si>
  <si>
    <t>Gray-Markov prediction model</t>
  </si>
  <si>
    <r>
      <rPr>
        <color rgb="FF1155CC"/>
        <u/>
      </rPr>
      <t>https://dl.acm.org/doi/abs/10.1145/3297280.3297420</t>
    </r>
    <r>
      <rPr/>
      <t xml:space="preserve"> </t>
    </r>
  </si>
  <si>
    <r>
      <rPr>
        <color rgb="FF1155CC"/>
        <u/>
      </rPr>
      <t>https://link.springer.com/article/10.1007/s11227-018-2513-4</t>
    </r>
    <r>
      <rPr/>
      <t xml:space="preserve"> </t>
    </r>
  </si>
  <si>
    <t>time,PM</t>
  </si>
  <si>
    <t>Markov chain model</t>
  </si>
  <si>
    <r>
      <rPr>
        <color rgb="FF1155CC"/>
        <u/>
      </rPr>
      <t>https://link.springer.com/chapter/10.1007/978-981-15-5341-7_111</t>
    </r>
    <r>
      <rPr/>
      <t xml:space="preserve"> </t>
    </r>
  </si>
  <si>
    <r>
      <rPr>
        <color rgb="FF1155CC"/>
        <u/>
      </rPr>
      <t>https://ieeexplore.ieee.org/abstract/document/9148838/</t>
    </r>
    <r>
      <rPr/>
      <t xml:space="preserve"> </t>
    </r>
  </si>
  <si>
    <t>cost,SLA</t>
  </si>
  <si>
    <t>vDC,geo-distributed</t>
  </si>
  <si>
    <r>
      <rPr>
        <color rgb="FF1155CC"/>
        <u/>
      </rPr>
      <t>https://link.springer.com/chapter/10.1007/978-3-030-47560-4_22</t>
    </r>
    <r>
      <rPr/>
      <t xml:space="preserve"> </t>
    </r>
  </si>
  <si>
    <t>fit,nature</t>
  </si>
  <si>
    <r>
      <rPr>
        <color rgb="FF1155CC"/>
        <u/>
      </rPr>
      <t>https://ieeexplore.ieee.org/abstract/document/8401602/</t>
    </r>
    <r>
      <rPr/>
      <t xml:space="preserve"> </t>
    </r>
  </si>
  <si>
    <t>time,workload</t>
  </si>
  <si>
    <t>cloud,other</t>
  </si>
  <si>
    <t>specific network requirements; the strategy is designed for DC with a fat-tree network topology</t>
  </si>
  <si>
    <r>
      <rPr>
        <color rgb="FF1155CC"/>
        <u/>
      </rPr>
      <t>https://www.sciencedirect.com/science/article/pii/S2210537918302907</t>
    </r>
    <r>
      <rPr/>
      <t xml:space="preserve"> </t>
    </r>
  </si>
  <si>
    <t>LP,nature</t>
  </si>
  <si>
    <t>network,time,workload</t>
  </si>
  <si>
    <t>renewable,other</t>
  </si>
  <si>
    <t>specific network requirements (the strategy is designed for DC with a fat-tree network topology)</t>
  </si>
  <si>
    <r>
      <rPr>
        <color rgb="FF1155CC"/>
        <u/>
      </rPr>
      <t>https://www.sciencedirect.com/science/article/pii/S1569190X18301825</t>
    </r>
    <r>
      <rPr/>
      <t xml:space="preserve"> </t>
    </r>
  </si>
  <si>
    <t>VM_consolidation,VM_placement,VM_migration,VM_selection</t>
  </si>
  <si>
    <t>SLA,VM,PM</t>
  </si>
  <si>
    <r>
      <rPr>
        <color rgb="FF1155CC"/>
        <u/>
      </rPr>
      <t>https://link.springer.com/content/pdf/10.1007/s10586-020-03066-6.pdf</t>
    </r>
    <r>
      <rPr/>
      <t xml:space="preserve"> </t>
    </r>
  </si>
  <si>
    <t>SLA,VM,workload</t>
  </si>
  <si>
    <t>network,server,VM,CPU</t>
  </si>
  <si>
    <t>cloud,heterogeneous</t>
  </si>
  <si>
    <r>
      <rPr>
        <color rgb="FF1155CC"/>
        <u/>
      </rPr>
      <t>https://ieeexplore.ieee.org/abstract/document/9209724/</t>
    </r>
    <r>
      <rPr/>
      <t xml:space="preserve"> </t>
    </r>
  </si>
  <si>
    <t>incentive mechanism; colocation DC</t>
  </si>
  <si>
    <r>
      <rPr>
        <color rgb="FF1155CC"/>
        <u/>
      </rPr>
      <t>https://ieeexplore.ieee.org/abstract/document/9029070/</t>
    </r>
    <r>
      <rPr/>
      <t xml:space="preserve"> </t>
    </r>
  </si>
  <si>
    <t>VM_consolidation,VM_selection</t>
  </si>
  <si>
    <t xml:space="preserve">statistical selection policy </t>
  </si>
  <si>
    <r>
      <rPr>
        <color rgb="FF1155CC"/>
        <u/>
      </rPr>
      <t>http://www.cai.sk/ojs/index.php/cai/article/viewArticle/4918</t>
    </r>
    <r>
      <rPr/>
      <t xml:space="preserve"> </t>
    </r>
  </si>
  <si>
    <t>resource_management,VM_consolidation,VM_migration</t>
  </si>
  <si>
    <t>resource,network,time,workload</t>
  </si>
  <si>
    <t>stochastic optimization (SO) algorithm</t>
  </si>
  <si>
    <r>
      <rPr>
        <color rgb="FF1155CC"/>
        <u/>
      </rPr>
      <t>http://www.jmess.org/wp-content/uploads/2019/05/JMESSP13420537.pdf</t>
    </r>
    <r>
      <rPr/>
      <t xml:space="preserve"> </t>
    </r>
  </si>
  <si>
    <r>
      <rPr>
        <color rgb="FF1155CC"/>
        <u/>
      </rPr>
      <t>https://www.osapublishing.org/abstract.cfm?uri=jocn-10-7-B58</t>
    </r>
    <r>
      <rPr/>
      <t xml:space="preserve"> </t>
    </r>
  </si>
  <si>
    <t>ML,LP,nature</t>
  </si>
  <si>
    <r>
      <rPr>
        <color rgb="FF1155CC"/>
        <u/>
      </rPr>
      <t>https://www.atlantis-press.com/proceedings/amcce-18/25895654</t>
    </r>
    <r>
      <rPr/>
      <t xml:space="preserve"> </t>
    </r>
  </si>
  <si>
    <t>fit,ML</t>
  </si>
  <si>
    <t>VM,PM,time</t>
  </si>
  <si>
    <t>server,VM,CPU,memory</t>
  </si>
  <si>
    <t>k-means algorithm (for bin packing problem)</t>
  </si>
  <si>
    <r>
      <rPr>
        <color rgb="FF1155CC"/>
        <u/>
      </rPr>
      <t>http://www.inass.org/2019/2019083112.pdf</t>
    </r>
    <r>
      <rPr/>
      <t xml:space="preserve"> </t>
    </r>
  </si>
  <si>
    <t>VM,time,workload</t>
  </si>
  <si>
    <r>
      <rPr>
        <color rgb="FF1155CC"/>
        <u/>
      </rPr>
      <t>https://www.sciencedirect.com/science/article/pii/S0167739X17316059</t>
    </r>
    <r>
      <rPr/>
      <t xml:space="preserve"> </t>
    </r>
  </si>
  <si>
    <t>SLA,VM,resource</t>
  </si>
  <si>
    <r>
      <rPr>
        <rFont val="arial"/>
        <color rgb="FF1155CC"/>
        <u/>
      </rPr>
      <t>https://www.mdpi.com/2079-9292/8/9/1014</t>
    </r>
    <r>
      <rPr>
        <rFont val="arial"/>
        <color rgb="FF000000"/>
        <u/>
      </rPr>
      <t xml:space="preserve"> </t>
    </r>
  </si>
  <si>
    <t>fit,LP</t>
  </si>
  <si>
    <t>workload,SLA</t>
  </si>
  <si>
    <t>VM,SLA</t>
  </si>
  <si>
    <t>Markov Chain model = ML?</t>
  </si>
  <si>
    <t>CPU,memory</t>
  </si>
  <si>
    <t>Energy &amp; Thermal Aware Scheduling (ETAS)</t>
  </si>
  <si>
    <t>local seach</t>
  </si>
  <si>
    <t>network,VM</t>
  </si>
  <si>
    <t>simulated,theoretical</t>
  </si>
  <si>
    <t>Energy and Service Level Agreement (SLA) Aware Resource Allocation Heuristic Algorithms</t>
  </si>
  <si>
    <t>Energy and Resource wastage aware</t>
  </si>
  <si>
    <t>reduce_cost</t>
  </si>
  <si>
    <t>footprint</t>
  </si>
  <si>
    <t>Erlang based approach</t>
  </si>
  <si>
    <t>energy- and locality-efficient MapReduce multi-job scheduling algorithm</t>
  </si>
  <si>
    <t>VM_consolidation,VM_migration,VM_selection</t>
  </si>
  <si>
    <t>GP,fit</t>
  </si>
  <si>
    <t>round_rofit,fit</t>
  </si>
  <si>
    <t>SLA,workload</t>
  </si>
  <si>
    <t>big data-enabled consolidated framework</t>
  </si>
  <si>
    <t>VM_consolidation,VM_selection,VM_migration,VM_placement</t>
  </si>
  <si>
    <t>Multiple Choice Knapsack Problem</t>
  </si>
  <si>
    <t>workload,VM</t>
  </si>
  <si>
    <t>merge-and-split-based coalitional game-theoretic approach</t>
  </si>
  <si>
    <t>incentive mechanism</t>
  </si>
  <si>
    <t>SLA,cost</t>
  </si>
  <si>
    <t>VM_placement</t>
  </si>
  <si>
    <t>Adaptive Harmony Search Algorithm</t>
  </si>
  <si>
    <t>Robust Simple Linear Regression</t>
  </si>
  <si>
    <t>Incrementally exploration of the solution space</t>
  </si>
  <si>
    <t>time</t>
  </si>
  <si>
    <t>EASE, the Energy efficiency and proportionality Aware VM SchEduling framework</t>
  </si>
  <si>
    <t>availability, energy consumption, average resource utilization, and resource load balance aware optimization model for virtual clustering</t>
  </si>
  <si>
    <t>scheduling algorithm agnostic of the electrical infrastructure</t>
  </si>
  <si>
    <t>Host State &amp; SLA aware prediction model</t>
  </si>
  <si>
    <t>server,CPU,memory,storage</t>
  </si>
  <si>
    <t>Energy-Efficient Flower Pollination Algorithm (EE-FPA)</t>
  </si>
  <si>
    <t>energy-efficient dynamic scheduling scheme (EDS)</t>
  </si>
  <si>
    <t>SLA,VM,footprint</t>
  </si>
  <si>
    <t>mathematical model</t>
  </si>
  <si>
    <t>round_rofit,DVFS</t>
  </si>
  <si>
    <t>time,SLA</t>
  </si>
  <si>
    <t>Peak Efficiency Aware Scheduling (PEAS)</t>
  </si>
  <si>
    <t>cooling-aware VM consolidation (CAVC)</t>
  </si>
  <si>
    <t>ML,fuzzy</t>
  </si>
  <si>
    <t>SLA,VM,footprint,resource</t>
  </si>
  <si>
    <t>LP,GP</t>
  </si>
  <si>
    <t>model</t>
  </si>
  <si>
    <t>support</t>
  </si>
  <si>
    <t>SLA,PM,VM</t>
  </si>
  <si>
    <r>
      <rPr>
        <color rgb="FF1155CC"/>
        <u/>
      </rPr>
      <t>https://link.springer.com/content/pdf/10.1007/s10586-017-1166-z.pdf</t>
    </r>
    <r>
      <rPr/>
      <t xml:space="preserve"> </t>
    </r>
  </si>
  <si>
    <t>resource_management,network_optimization,VM_consolidation,VM_migration</t>
  </si>
  <si>
    <t>resource,workload,VM,PM,algorithm</t>
  </si>
  <si>
    <t>network,server,VM,CPU,memory</t>
  </si>
  <si>
    <t>ELB model that incorporates several algorithms that together practically do it all!</t>
  </si>
  <si>
    <r>
      <rPr>
        <color rgb="FF1155CC"/>
        <u/>
      </rPr>
      <t>https://link.springer.com/article/10.1007/s00500-017-2905-z</t>
    </r>
    <r>
      <rPr/>
      <t xml:space="preserve"> </t>
    </r>
  </si>
  <si>
    <t>VM_consolidation,VM_placement,VM_selection,VM_migration</t>
  </si>
  <si>
    <r>
      <rPr>
        <color rgb="FF1155CC"/>
        <u/>
      </rPr>
      <t>https://ieeexplore.ieee.org/abstract/document/8603157/</t>
    </r>
    <r>
      <rPr/>
      <t xml:space="preserve"> </t>
    </r>
  </si>
  <si>
    <t>resource_management,VM_consolidation,VM_selection</t>
  </si>
  <si>
    <r>
      <rPr>
        <color rgb="FF1155CC"/>
        <u/>
      </rPr>
      <t>https://ieeexplore.ieee.org/abstract/document/8422225/</t>
    </r>
    <r>
      <rPr/>
      <t xml:space="preserve"> </t>
    </r>
  </si>
  <si>
    <t>SLA,time,other</t>
  </si>
  <si>
    <r>
      <rPr>
        <color rgb="FF1155CC"/>
        <u/>
      </rPr>
      <t>https://papers.ssrn.com/sol3/papers.cfm?abstract_id=3394044</t>
    </r>
    <r>
      <rPr/>
      <t xml:space="preserve"> </t>
    </r>
  </si>
  <si>
    <t>SLA,VM,other</t>
  </si>
  <si>
    <r>
      <rPr>
        <color rgb="FF1155CC"/>
        <u/>
      </rPr>
      <t>https://link.springer.com/article/10.1007/s11036-018-1062-7</t>
    </r>
    <r>
      <rPr/>
      <t xml:space="preserve"> </t>
    </r>
  </si>
  <si>
    <t>resource,time,other</t>
  </si>
  <si>
    <t>Task scheduling...</t>
  </si>
  <si>
    <r>
      <rPr>
        <color rgb="FF1155CC"/>
        <u/>
      </rPr>
      <t>http://search.ebscohost.com/login.aspx?direct=true&amp;profile=ehost&amp;scope=site&amp;authtype=crawler&amp;jrnl=09731318&amp;AN=141016261&amp;h=qwZ%2BpYdlfk%2BzvtM7AVtTzVM%2Frs4veDzSUV5je6ybbkKWBm%2BeTA2vKShbEJm7FRybBjeDPxz80LJa8UdNAVljOA%3D%3D&amp;crl=c</t>
    </r>
    <r>
      <rPr/>
      <t xml:space="preserve"> </t>
    </r>
  </si>
  <si>
    <r>
      <rPr>
        <color rgb="FF1155CC"/>
        <u/>
      </rPr>
      <t>https://www.sciencedirect.com/science/article/pii/S074373151730285X</t>
    </r>
    <r>
      <rPr/>
      <t xml:space="preserve"> </t>
    </r>
  </si>
  <si>
    <t>power_cons,energy_cons</t>
  </si>
  <si>
    <t>VM,PM,SLA,other</t>
  </si>
  <si>
    <r>
      <rPr>
        <color rgb="FF1155CC"/>
        <u/>
      </rPr>
      <t>https://www.sid.ir/FileServer/JE/5055520192805</t>
    </r>
    <r>
      <rPr/>
      <t xml:space="preserve"> </t>
    </r>
  </si>
  <si>
    <t>resource_management,VM_consolidation</t>
  </si>
  <si>
    <t>SLA,other</t>
  </si>
  <si>
    <t>ML,other</t>
  </si>
  <si>
    <r>
      <rPr>
        <color rgb="FF1155CC"/>
        <u/>
      </rPr>
      <t>https://ieeexplore.ieee.org/abstract/document/8878805/</t>
    </r>
    <r>
      <rPr/>
      <t xml:space="preserve"> </t>
    </r>
  </si>
  <si>
    <t>VM_consolidation,VM_migration,VM_placement,VM_selection</t>
  </si>
  <si>
    <t>energy_cons,energy_SLA,other</t>
  </si>
  <si>
    <r>
      <rPr>
        <color rgb="FF1155CC"/>
        <u/>
      </rPr>
      <t>https://ieeexplore.ieee.org/abstract/document/9165232/</t>
    </r>
    <r>
      <rPr/>
      <t xml:space="preserve"> </t>
    </r>
  </si>
  <si>
    <r>
      <rPr>
        <color rgb="FF1155CC"/>
        <u/>
      </rPr>
      <t>https://link.springer.com/article/10.1007/s10489-020-02003-9</t>
    </r>
    <r>
      <rPr/>
      <t xml:space="preserve"> </t>
    </r>
  </si>
  <si>
    <r>
      <rPr>
        <color rgb="FF1155CC"/>
        <u/>
      </rPr>
      <t>https://dl.acm.org/doi/abs/10.1145/3344341.3368822</t>
    </r>
    <r>
      <rPr/>
      <t xml:space="preserve"> </t>
    </r>
  </si>
  <si>
    <t>resource_management,network_optimization</t>
  </si>
  <si>
    <t>time,network,algorithm</t>
  </si>
  <si>
    <r>
      <rPr>
        <color rgb="FF1155CC"/>
        <u/>
      </rPr>
      <t>https://link.springer.com/article/10.1007/s11227-018-2244-6</t>
    </r>
    <r>
      <rPr/>
      <t xml:space="preserve"> </t>
    </r>
  </si>
  <si>
    <t>model,resource_management,VM_consolidation,VM_placement</t>
  </si>
  <si>
    <t>nature,other</t>
  </si>
  <si>
    <t>simulated,empirical</t>
  </si>
  <si>
    <t>monitor,reduce_energy,reduce_cost</t>
  </si>
  <si>
    <t>model,other</t>
  </si>
  <si>
    <t>cloud,geo-distributed</t>
  </si>
  <si>
    <r>
      <rPr>
        <color rgb="FF1155CC"/>
        <u/>
      </rPr>
      <t>http://search.proquest.com/openview/fbc5529f7cfcd78fae1b9de175c55a90/1?pq-origsite=gscholar&amp;cbl=1686344</t>
    </r>
    <r>
      <rPr/>
      <t xml:space="preserve"> </t>
    </r>
  </si>
  <si>
    <r>
      <rPr>
        <color rgb="FF1155CC"/>
        <u/>
      </rPr>
      <t>http://jips-k.org/full-text/398</t>
    </r>
    <r>
      <rPr/>
      <t xml:space="preserve"> </t>
    </r>
  </si>
  <si>
    <t>model,resource_management,other</t>
  </si>
  <si>
    <t>algorithm,cost</t>
  </si>
  <si>
    <r>
      <rPr>
        <color rgb="FF1155CC"/>
        <u/>
      </rPr>
      <t>https://ieeexplore.ieee.org/abstract/document/8732201/</t>
    </r>
    <r>
      <rPr/>
      <t xml:space="preserve"> </t>
    </r>
  </si>
  <si>
    <t>resource_management,other</t>
  </si>
  <si>
    <t>fit,other</t>
  </si>
  <si>
    <t>theoretical,simulated</t>
  </si>
  <si>
    <r>
      <rPr>
        <color rgb="FF1155CC"/>
        <u/>
      </rPr>
      <t>https://www.sciencedirect.com/science/article/pii/S0957417418303531</t>
    </r>
    <r>
      <rPr/>
      <t xml:space="preserve"> </t>
    </r>
  </si>
  <si>
    <t>monitor,increase_EE</t>
  </si>
  <si>
    <t>model,resource_management</t>
  </si>
  <si>
    <r>
      <rPr>
        <color rgb="FF1155CC"/>
        <u/>
      </rPr>
      <t>https://www.sciencedirect.com/science/article/pii/S0167739X16308330</t>
    </r>
    <r>
      <rPr/>
      <t xml:space="preserve"> </t>
    </r>
  </si>
  <si>
    <t>optimize_renewable,reduce_cost</t>
  </si>
  <si>
    <t>footprint,cost,workload</t>
  </si>
  <si>
    <t>resource_management,VM_consolidation,VM_selection,VM_placement</t>
  </si>
  <si>
    <r>
      <rPr>
        <color rgb="FF1155CC"/>
        <u/>
      </rPr>
      <t>https://www.mdpi.com/2079-9268/10/4/32</t>
    </r>
    <r>
      <rPr/>
      <t xml:space="preserve"> </t>
    </r>
  </si>
  <si>
    <t>reduce_energy,reduce_cost</t>
  </si>
  <si>
    <t>energy_cons,power_cons,other</t>
  </si>
  <si>
    <t>time,cost,network</t>
  </si>
  <si>
    <t>measure,model</t>
  </si>
  <si>
    <t>VM_consolidation,VM_migration,VM_placement</t>
  </si>
  <si>
    <t>workload,VM,SLA</t>
  </si>
  <si>
    <t>VM_placement,VM_migration</t>
  </si>
  <si>
    <t>SLA,time</t>
  </si>
  <si>
    <t>resource,workload,VM</t>
  </si>
  <si>
    <t>cloud,large,heterogeneous</t>
  </si>
  <si>
    <t>cloud,homogeneous</t>
  </si>
  <si>
    <t>other,supp_ICT</t>
  </si>
  <si>
    <t>workload,resource,algorithm</t>
  </si>
  <si>
    <t>DVFS</t>
  </si>
  <si>
    <t>SLA,PM</t>
  </si>
  <si>
    <t>VM,PM,time,workload</t>
  </si>
  <si>
    <t>server,memory,CPU,network</t>
  </si>
  <si>
    <t>cost,workload</t>
  </si>
  <si>
    <t>CPU,server</t>
  </si>
  <si>
    <t>PM,time,algorithm</t>
  </si>
  <si>
    <t>EE,power_cons</t>
  </si>
  <si>
    <t>workload,SLA,VM,PM</t>
  </si>
  <si>
    <t>memory,CPU,server</t>
  </si>
  <si>
    <t>supp_ICT,renewable</t>
  </si>
  <si>
    <t>reduce_cost,monitor,optimize_renewable</t>
  </si>
  <si>
    <t>support,workload</t>
  </si>
  <si>
    <t>power_cons,renewable</t>
  </si>
  <si>
    <t>EE,energy_cons</t>
  </si>
  <si>
    <t>workload,time,algorithm</t>
  </si>
  <si>
    <t>cloud,vDC</t>
  </si>
  <si>
    <t>cost,time</t>
  </si>
  <si>
    <t>resource_management,predict</t>
  </si>
  <si>
    <t>energy_cons,other</t>
  </si>
  <si>
    <t>other,SLA</t>
  </si>
  <si>
    <t>predict,resource_management</t>
  </si>
  <si>
    <t>PM,SLA,VM</t>
  </si>
  <si>
    <t>time,cost,VM</t>
  </si>
  <si>
    <t>workload,network,other,VM,resource,time</t>
  </si>
  <si>
    <t>server,network,memory,CPU</t>
  </si>
  <si>
    <t>containerization,VM_consolidation</t>
  </si>
  <si>
    <t>workload,resource</t>
  </si>
  <si>
    <t>workload,time,resource</t>
  </si>
  <si>
    <t>resource,time,VM,PM,workload</t>
  </si>
  <si>
    <t>PM,time</t>
  </si>
  <si>
    <t>VM,SLA,resource,PM</t>
  </si>
  <si>
    <t>VM,resource</t>
  </si>
  <si>
    <t>network,server,storage</t>
  </si>
  <si>
    <t>small,medium</t>
  </si>
  <si>
    <t>bin, ML</t>
  </si>
  <si>
    <t>Minimum Interference First Fit (MFF), K-Means</t>
  </si>
  <si>
    <t>Multi-objective Integer Linear Program (ILP)</t>
  </si>
  <si>
    <t>Minimized Square Root available Resource (MISR), RAC model, Balanced Selection (BS)</t>
  </si>
  <si>
    <t>number of microservices</t>
  </si>
  <si>
    <t>Monte Carlo simulation</t>
  </si>
  <si>
    <t>risk value</t>
  </si>
  <si>
    <t xml:space="preserve">novel weight-relaxing rounding algorithm </t>
  </si>
  <si>
    <t>instant multivariate time-series prediction and placement algorithms.</t>
  </si>
  <si>
    <t xml:space="preserve">Empirical forecast algorithm (EFA), weight priority algorithm (WPA) </t>
  </si>
  <si>
    <t>IQR/s</t>
  </si>
  <si>
    <t>number of container migrations</t>
  </si>
  <si>
    <t>hop counts, coflow completion time</t>
  </si>
  <si>
    <t>Stochastic Optimization (SO) algorithm</t>
  </si>
  <si>
    <t>bin,ML</t>
  </si>
  <si>
    <t>K-Means algorithm (for bin packing problem)</t>
  </si>
  <si>
    <t>Host States Naive Bayesian Prediction (HSNBP) model</t>
  </si>
  <si>
    <t>ERU (based on artificial bee colony optimization algorithm) and FFO-EVMM (based on firefly optimization algorithm</t>
  </si>
  <si>
    <t>MDPSO algorithm (based on particle swarm) and MBS-VM selection algorithm</t>
  </si>
  <si>
    <t>VM selection algorithm on VM correlations</t>
  </si>
  <si>
    <t>EnLoc scheme using multi-objective evolutionary algorithm</t>
  </si>
  <si>
    <t xml:space="preserve">data locality, number of map and reduce tasks, job deadline </t>
  </si>
  <si>
    <t>VM selection policy</t>
  </si>
  <si>
    <t>PDM (performance due to migration)</t>
  </si>
  <si>
    <t>rejection ratio</t>
  </si>
  <si>
    <t>error</t>
  </si>
  <si>
    <t>PDM (performance due to migration), OTF</t>
  </si>
  <si>
    <t>SMT - NMT and FMT methods (resource allocation)</t>
  </si>
  <si>
    <t>contract breach</t>
  </si>
  <si>
    <t>RBF neural network, framework for collecting energy consumption</t>
  </si>
  <si>
    <t>TCP congestion control algorithm (MPTCP-D )</t>
  </si>
  <si>
    <t>Locust-inspired algorithm (LACE)</t>
  </si>
  <si>
    <t>Energy-SLAV-Migration (ESM)</t>
  </si>
  <si>
    <t>time fraction of links blocking, average idle time fraction, over-utilized time fraction, flow completion ratio</t>
  </si>
  <si>
    <t>topology-aware heuristic-based algorithm (J-OPT)</t>
  </si>
  <si>
    <t>Tabu Search (TS), Simulated Annealing (SA) and Evolutionary Strategy (ES) meta-heuristic algorithms</t>
  </si>
  <si>
    <t>rating mechanism for assigning DC to users</t>
  </si>
  <si>
    <t>Cloud Broker algorithm</t>
  </si>
  <si>
    <t>Lottery algorithm</t>
  </si>
  <si>
    <t>vDC embedding optimization</t>
  </si>
  <si>
    <t>bin,nature</t>
  </si>
  <si>
    <t>Particle Swarm Optimization (PSO) algorithm</t>
  </si>
  <si>
    <t>auctioning mechanism</t>
  </si>
  <si>
    <t>winning bid algorithm, a truthful double auction scheme (OTDAM) and Vickrey–Clarke–Groves (VCG) mechanism</t>
  </si>
  <si>
    <t>energy policies</t>
  </si>
  <si>
    <t>energy trading</t>
  </si>
  <si>
    <t>green scheduling algorithm</t>
  </si>
  <si>
    <t>resource management strategy containing Naive Bayesian classifier algorithm</t>
  </si>
  <si>
    <t>first-fit energy optimization framework (TS-BatPro)</t>
  </si>
  <si>
    <t>Upper Confidence Bound (UCB) algorithm</t>
  </si>
  <si>
    <t>cost per joule</t>
  </si>
  <si>
    <t>High Performance Computing DC (HPC)</t>
  </si>
  <si>
    <t>energy / reliability metric</t>
  </si>
  <si>
    <t>number of succesful trades, revenue</t>
  </si>
  <si>
    <t>near-threshold computing (NTC)-based data centers</t>
  </si>
  <si>
    <t>qualitative (interview)</t>
  </si>
  <si>
    <t>hierarchical FAT-tree</t>
  </si>
  <si>
    <t xml:space="preserve">max flow forecast (MFF) </t>
  </si>
  <si>
    <t>two‐dimensional Markov processes</t>
  </si>
  <si>
    <t>Energy-Delay Product (EDP)</t>
  </si>
  <si>
    <t>Response Time of requests (MRT)</t>
  </si>
  <si>
    <t>cultural algorithm</t>
  </si>
  <si>
    <t>fault-tolerance</t>
  </si>
  <si>
    <t>Definition</t>
  </si>
  <si>
    <t>Software-driven (relation between strategy and software)</t>
  </si>
  <si>
    <t>Applying the strategy results in a reduction of the absolute amount of energy/power. This includes: reducing the power consumption and energy saving.</t>
  </si>
  <si>
    <t xml:space="preserve">RM is a process that deals with the procurement and release of resources https://www-sciencedirect-com.vu-nl.idm.oclc.org/science/article/pii/S004579061500275X. In our case: not strictly VMs, but load balancing by allocating physical resources (CPU, memory,
hard disk, network bandwidth) for intstance. </t>
  </si>
  <si>
    <t>Integer Linear Programming (ILP), mixed linear programming</t>
  </si>
  <si>
    <t>The strategy is completely implemented in software, i.e., the strategy fully consists of algorithms, programs, applications. The whole strategy consists of computer code.</t>
  </si>
  <si>
    <t>power consumption (watt)</t>
  </si>
  <si>
    <t>resource utilization; e.g. memory, CPU, storage utilization (%)</t>
  </si>
  <si>
    <t>the evaluation is performed in simulated DC (e.g., using CloudSim)</t>
  </si>
  <si>
    <t>The complete data center; including ICT, supporting, and electrical equipment.</t>
  </si>
  <si>
    <r>
      <rPr/>
      <t xml:space="preserve">A computing Cloud is a set of network enabled services, providing scalable, QoS guaranteed, normally personalized, inexpensive computing infrastructures on demand, which could be accessed in a simple and pervasive way. (Wang, L., von Laszewski, G., Younge, A. et al. Cloud Computing: a Perspective Study. New Gener. Comput. 28, 137–146 (2010). </t>
    </r>
    <r>
      <rPr>
        <color rgb="FF1155CC"/>
        <u/>
      </rPr>
      <t>https://doi-org.vu-nl.idm.oclc.org/10.1007/s00354-008-0081-5)</t>
    </r>
  </si>
  <si>
    <t>Increase energy efficiency. Applying the strategy results in a more efficient use of the energy (this does not imply an absolute reduction in energy). For instance, more work can be done with the same amount of energy or the energy consumed by core activities is increased relative to the energy consumed by supporting activities. Examples: minimize energy consumption while ..., trade-off energy and ... .</t>
  </si>
  <si>
    <t>In containerization, several containers share a single host operating system. Containers directly share the OS kernel and hardware with their host servers. Therefore, containers occupy fewer resources and have lower virtualisation overhead than VMs, but are unfortunately less adaptable. (https://doi.org/10.1016/j.jnca.2019.102497)</t>
  </si>
  <si>
    <t>Machine Learning (ML) (neural network, deep learning, RNN, SVM, Q-learning, RL): e.g., markov chain, evolutionary algorithm, learning automata.</t>
  </si>
  <si>
    <t>The strategy is partly consists of software, however, specific hardware or other non-software requirements are part of the strategy.</t>
  </si>
  <si>
    <t>absolute energy consumption (joules, watt over time, kwh)</t>
  </si>
  <si>
    <t>supporting equipment; metrics related to cooling and other supporting resources</t>
  </si>
  <si>
    <t xml:space="preserve">the evaluation is performed in an actual DC </t>
  </si>
  <si>
    <t>"A server is a computer designed to process requests and deliver data to another computer over the internet or a local network." (https://www.lifewire.com/servers-in-computer-networking-817380)</t>
  </si>
  <si>
    <t>the data center contains only homegenous servers</t>
  </si>
  <si>
    <t>optimize green/brown ratio &gt; The amount of green energy is increased with respect to the amount of brown energy. This includes: minimize brown energy, increase green energy.</t>
  </si>
  <si>
    <t>Virtual  Machine  (VM)  consolidation  which  involves  gathering  of  several  virtual  machines  into  a  single physical server (Abdelsamea et al, ttps://www.researchgate.net/profile/Hanan-Elazhary/publication/285692949_Virtual_Machine_Consolidation_Challenges_A_Review/links/56629f6408ae15e7463090c1/Virtual-Machine-Consolidation-Challenges-A-Review.pdf).</t>
  </si>
  <si>
    <t>nature inspired algorithms: e.g., bee colony, ant colony, grey wolf optimizer, flower pollination, particle swarm optimization</t>
  </si>
  <si>
    <t>The strategy depends on calculations and predictions realized by software. For example, an introduced metric that is not software itself but needs software to be calculated.</t>
  </si>
  <si>
    <t>energy efficiency: workload/energy ratio, relative energy, normalized energy.</t>
  </si>
  <si>
    <t>network-related; e.g. bandwidth, latency, throughput, path length, delay</t>
  </si>
  <si>
    <t>mathematical proof</t>
  </si>
  <si>
    <t>cables and switches</t>
  </si>
  <si>
    <t>the data center contains different types of servers</t>
  </si>
  <si>
    <t xml:space="preserve">Monitor/measure/model/predict the energy consumption/usage/efficiency of the data center or specific data center components. </t>
  </si>
  <si>
    <t>VM_selection</t>
  </si>
  <si>
    <t>Selecting VMs to migrate from overloaded host (Abdelsamea et al).</t>
  </si>
  <si>
    <t>algorithm focusing on the bin optimization: problem e.g., first fit, best fit, next fit</t>
  </si>
  <si>
    <t>renewable energy related: e.g., solar utilization rate, renewable energy generation, available wind energy</t>
  </si>
  <si>
    <t>VM-related: e.g. number of migrations, number of VMs</t>
  </si>
  <si>
    <t>storage</t>
  </si>
  <si>
    <t>long-term storage e.g., disks</t>
  </si>
  <si>
    <t>the data center consist of multiple geographically distributed data centers</t>
  </si>
  <si>
    <t>Minimize energy related costs. (Note that we excluded articles that ONLY focus on minimizing energy related costs without reducing the energy footprint.)</t>
  </si>
  <si>
    <t>VM_migration</t>
  </si>
  <si>
    <t xml:space="preserve">Performing VM migration process with minimal service downtime and resource consumption during migration process (Abdelsamea et al). </t>
  </si>
  <si>
    <t>dynamic frequency scaling and/or dynamic voltage scaling https://en.wikipedia.org/wiki/Dynamic_frequency_scaling, https://en.wikipedia.org/wiki/Dynamic_voltage_scaling</t>
  </si>
  <si>
    <t>ratio energy supporting equipment and energy ICT equipment: e.g., Power Usage Effectiveness (PUE) = Total Facility Energy / IT Equipment Energy, partial PUE,  Ecomputing + Ecooling</t>
  </si>
  <si>
    <t>cost-related: e.g. energy price, energy costs, cost saving</t>
  </si>
  <si>
    <t>"Central Processing Unit (CPU): The active part of the computer, which contains the datapath and control and which adds numbers, tests numbers, signals I/O devices to activate, and so on." (Patterson &amp; Hennessy)</t>
  </si>
  <si>
    <t>large-scale</t>
  </si>
  <si>
    <t>Virtual machine placement by placing VMs selected for migration on other active or reactivated hosts (Abdelsamea et al).</t>
  </si>
  <si>
    <r>
      <rPr>
        <color rgb="FF000000"/>
        <u/>
      </rPr>
      <t>fuzzy logic https://en.wikipedia.org/wiki/Fuzzy_logic</t>
    </r>
    <r>
      <rPr>
        <color rgb="FF1155CC"/>
        <u/>
      </rPr>
      <t xml:space="preserve"> </t>
    </r>
  </si>
  <si>
    <t>formula combining SLA/QoS-related metrics with energy related metrics: e.g. ESV (energy times sla violations)</t>
  </si>
  <si>
    <t>Service Level Agreement-related: e.g. QoS, SLA violations</t>
  </si>
  <si>
    <t>memory</t>
  </si>
  <si>
    <t>"The  storage  area in which programs are kept when they are running and that contains the data needed by the running programs.  The  memory  is  built  from  DRAM  chips.  DRAM  stands  for  dynamic random access memory." (Patterson &amp; Hennessy)</t>
  </si>
  <si>
    <t>medium</t>
  </si>
  <si>
    <t>medium-scale</t>
  </si>
  <si>
    <t>network infrastructure optimization: e.g., routing, flow optimization, shut part of network down</t>
  </si>
  <si>
    <t>round_robin</t>
  </si>
  <si>
    <t>time-related: e.g. time overhead, makespan</t>
  </si>
  <si>
    <r>
      <rPr/>
      <t xml:space="preserve">"Virtual Machine (VM) is a compute resource that uses software instead of a physical computer to run programs and deploy apps. One or more virtual “guest” machines run on a physical “host” machine." (VMWare </t>
    </r>
    <r>
      <rPr>
        <color rgb="FF000000"/>
      </rPr>
      <t>https://www.vmware.com/topics/glossary/content/virtual-machine)</t>
    </r>
  </si>
  <si>
    <t>small</t>
  </si>
  <si>
    <t>small-scale</t>
  </si>
  <si>
    <t>measure the curent energy usage</t>
  </si>
  <si>
    <t>Genetic Programming (GP), Genetic  algorithm</t>
  </si>
  <si>
    <t>specific algorithm/model performance related: e.g. RMSE, prediction accuracy, failure rate</t>
  </si>
  <si>
    <t>"Standardized Units for Development, Shipment and Deployment." (Docker https://www.docker.com/resources/what-container)</t>
  </si>
  <si>
    <t>virtual data center (vDC):  virtual data center is a pool or collection of cloud infrastructure resources (https://www.techopedia.com/definition/30463/virtual-data-center).</t>
  </si>
  <si>
    <t>capture energy flows</t>
  </si>
  <si>
    <t>workload-related: e.g. number of tasks, queue length, average waiting time queue, load distribution</t>
  </si>
  <si>
    <t>powered by renewable energy</t>
  </si>
  <si>
    <t>predict the future energy usage</t>
  </si>
  <si>
    <t>PM-related: e.g. number of active PMs.</t>
  </si>
  <si>
    <t>specific network requirements e.g. the strategy is designed for DC with a fat-tree network topology,  specific energy requirements</t>
  </si>
  <si>
    <t>environmental footprint-related: pollution, GHGs, carbon emissions</t>
  </si>
  <si>
    <t>Selected based on abstract &amp; title</t>
  </si>
  <si>
    <t>Tag</t>
  </si>
  <si>
    <t>Name</t>
  </si>
  <si>
    <t>Publication Venue</t>
  </si>
  <si>
    <t>Workshop</t>
  </si>
  <si>
    <t>Conference</t>
  </si>
  <si>
    <t>Journal</t>
  </si>
  <si>
    <t>Row Color Selection Sheet</t>
  </si>
  <si>
    <t>Primary study</t>
  </si>
  <si>
    <t>Rejected</t>
  </si>
  <si>
    <t>Unavailable</t>
  </si>
  <si>
    <t>Christiaan Beels</t>
  </si>
  <si>
    <t>Floris Boeve</t>
  </si>
  <si>
    <t>Sophie Vos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</si>
</sst>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809]#,##0.00"/>
  </numFmts>
  <fonts count="34">
    <font>
      <sz val="10.0"/>
      <color rgb="FF000000"/>
      <name val="Arial"/>
    </font>
    <font>
      <b/>
      <name val="Arial"/>
    </font>
    <font>
      <b/>
      <sz val="10.0"/>
      <name val="Arial"/>
    </font>
    <font>
      <b/>
      <sz val="10.0"/>
      <name val="Calibri"/>
    </font>
    <font/>
    <font>
      <name val="Arial"/>
    </font>
    <font>
      <u/>
      <color rgb="FF1155CC"/>
      <name val="Arial"/>
    </font>
    <font>
      <color rgb="FF000000"/>
      <name val="Arial"/>
    </font>
    <font>
      <u/>
      <color rgb="FF1155CC"/>
      <name val="Arial"/>
    </font>
    <font>
      <b/>
    </font>
    <font>
      <u/>
      <color rgb="FF1155CC"/>
      <name val="Arial"/>
    </font>
    <font>
      <u/>
      <color rgb="FF1155CC"/>
      <name val="Arial"/>
    </font>
    <font>
      <u/>
      <color rgb="FF1155CC"/>
      <name val="Arial"/>
    </font>
    <font>
      <u/>
      <color rgb="FF1155CC"/>
      <name val="Arial"/>
    </font>
    <font>
      <u/>
      <color rgb="FF1155CC"/>
      <name val="Arial"/>
    </font>
    <font>
      <u/>
      <color rgb="FF1155CC"/>
    </font>
    <font>
      <u/>
      <color rgb="FF0000FF"/>
    </font>
    <font>
      <color rgb="FF000000"/>
      <name val="&quot;Arial&quot;"/>
    </font>
    <font>
      <u/>
      <color rgb="FF0000FF"/>
    </font>
    <font>
      <color rgb="FF000000"/>
      <name val="Roboto"/>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font>
    <font>
      <color rgb="FF000000"/>
    </font>
    <font>
      <u/>
      <color rgb="FF0000FF"/>
    </font>
    <font>
      <u/>
      <color rgb="FF1155CC"/>
    </font>
    <font>
      <color rgb="FFFFF2CC"/>
    </font>
    <font>
      <u/>
      <color rgb="FF0000FF"/>
    </font>
    <font>
      <u/>
      <color rgb="FF0000FF"/>
    </font>
  </fonts>
  <fills count="13">
    <fill>
      <patternFill patternType="none"/>
    </fill>
    <fill>
      <patternFill patternType="lightGray"/>
    </fill>
    <fill>
      <patternFill patternType="solid">
        <fgColor rgb="FFB7E1CD"/>
        <bgColor rgb="FFB7E1CD"/>
      </patternFill>
    </fill>
    <fill>
      <patternFill patternType="solid">
        <fgColor rgb="FF8EE26A"/>
        <bgColor rgb="FF8EE26A"/>
      </patternFill>
    </fill>
    <fill>
      <patternFill patternType="solid">
        <fgColor rgb="FFE06666"/>
        <bgColor rgb="FFE06666"/>
      </patternFill>
    </fill>
    <fill>
      <patternFill patternType="solid">
        <fgColor rgb="FF00A3F1"/>
        <bgColor rgb="FF00A3F1"/>
      </patternFill>
    </fill>
    <fill>
      <patternFill patternType="solid">
        <fgColor rgb="FF9FC5E8"/>
        <bgColor rgb="FF9FC5E8"/>
      </patternFill>
    </fill>
    <fill>
      <patternFill patternType="solid">
        <fgColor rgb="FFFFF2CC"/>
        <bgColor rgb="FFFFF2CC"/>
      </patternFill>
    </fill>
    <fill>
      <patternFill patternType="solid">
        <fgColor rgb="FF63D297"/>
        <bgColor rgb="FF63D297"/>
      </patternFill>
    </fill>
    <fill>
      <patternFill patternType="solid">
        <fgColor rgb="FFE7F9EF"/>
        <bgColor rgb="FFE7F9EF"/>
      </patternFill>
    </fill>
    <fill>
      <patternFill patternType="solid">
        <fgColor rgb="FFB6D7A8"/>
        <bgColor rgb="FFB6D7A8"/>
      </patternFill>
    </fill>
    <fill>
      <patternFill patternType="solid">
        <fgColor rgb="FFF4CCCC"/>
        <bgColor rgb="FFF4CCCC"/>
      </patternFill>
    </fill>
    <fill>
      <patternFill patternType="solid">
        <fgColor rgb="FFFFFFFF"/>
        <bgColor rgb="FFFFFFFF"/>
      </patternFill>
    </fill>
  </fills>
  <borders count="2">
    <border/>
    <border>
      <left style="thin">
        <color rgb="FF000000"/>
      </left>
      <top style="thin">
        <color rgb="FF000000"/>
      </top>
      <bottom style="thin">
        <color rgb="FF000000"/>
      </bottom>
    </border>
  </borders>
  <cellStyleXfs count="1">
    <xf borderId="0" fillId="0" fontId="0" numFmtId="0" applyAlignment="1" applyFont="1"/>
  </cellStyleXfs>
  <cellXfs count="147">
    <xf borderId="0" fillId="0" fontId="0" numFmtId="0" xfId="0" applyAlignment="1" applyFont="1">
      <alignment readingOrder="0" shrinkToFit="0" vertical="bottom" wrapText="0"/>
    </xf>
    <xf borderId="0" fillId="2" fontId="1" numFmtId="0" xfId="0" applyAlignment="1" applyFill="1" applyFont="1">
      <alignment horizontal="center" shrinkToFit="0" vertical="top" wrapText="1"/>
    </xf>
    <xf borderId="0" fillId="2" fontId="1" numFmtId="0" xfId="0" applyAlignment="1" applyFont="1">
      <alignment horizontal="center" readingOrder="0" shrinkToFit="0" vertical="top" wrapText="1"/>
    </xf>
    <xf borderId="0" fillId="2" fontId="1" numFmtId="0" xfId="0" applyAlignment="1" applyFont="1">
      <alignment horizontal="center" shrinkToFit="0" vertical="top" wrapText="1"/>
    </xf>
    <xf borderId="0" fillId="3" fontId="2" numFmtId="0" xfId="0" applyAlignment="1" applyFill="1" applyFont="1">
      <alignment horizontal="center" readingOrder="0" shrinkToFit="0" vertical="bottom" wrapText="1"/>
    </xf>
    <xf borderId="0" fillId="4" fontId="2" numFmtId="0" xfId="0" applyAlignment="1" applyFill="1" applyFont="1">
      <alignment horizontal="center" readingOrder="0" shrinkToFit="0" vertical="bottom" wrapText="1"/>
    </xf>
    <xf borderId="0" fillId="5" fontId="2" numFmtId="0" xfId="0" applyAlignment="1" applyFill="1" applyFont="1">
      <alignment horizontal="center" readingOrder="0" shrinkToFit="0" vertical="bottom" wrapText="1"/>
    </xf>
    <xf borderId="0" fillId="6" fontId="2" numFmtId="0" xfId="0" applyAlignment="1" applyFill="1" applyFont="1">
      <alignment readingOrder="0" shrinkToFit="0" vertical="bottom" wrapText="1"/>
    </xf>
    <xf borderId="0" fillId="7" fontId="3" numFmtId="0" xfId="0" applyAlignment="1" applyFill="1" applyFont="1">
      <alignment shrinkToFit="0" vertical="bottom" wrapText="1"/>
    </xf>
    <xf borderId="0" fillId="7" fontId="4" numFmtId="0" xfId="0" applyAlignment="1" applyFont="1">
      <alignment readingOrder="0" shrinkToFit="0" wrapText="1"/>
    </xf>
    <xf borderId="0" fillId="7" fontId="5" numFmtId="0" xfId="0" applyAlignment="1" applyFont="1">
      <alignment vertical="bottom"/>
    </xf>
    <xf borderId="0" fillId="7" fontId="6" numFmtId="0" xfId="0" applyAlignment="1" applyFont="1">
      <alignment vertical="bottom"/>
    </xf>
    <xf borderId="0" fillId="7" fontId="7" numFmtId="0" xfId="0" applyAlignment="1" applyFont="1">
      <alignment readingOrder="0" vertical="bottom"/>
    </xf>
    <xf borderId="0" fillId="7" fontId="5" numFmtId="0" xfId="0" applyAlignment="1" applyFont="1">
      <alignment horizontal="right" vertical="bottom"/>
    </xf>
    <xf borderId="0" fillId="7" fontId="4" numFmtId="0" xfId="0" applyAlignment="1" applyFont="1">
      <alignment horizontal="center" readingOrder="0" shrinkToFit="0" wrapText="1"/>
    </xf>
    <xf borderId="0" fillId="7" fontId="5" numFmtId="0" xfId="0" applyAlignment="1" applyFont="1">
      <alignment readingOrder="0" vertical="bottom"/>
    </xf>
    <xf borderId="0" fillId="7" fontId="8" numFmtId="0" xfId="0" applyAlignment="1" applyFont="1">
      <alignment shrinkToFit="0" vertical="bottom" wrapText="0"/>
    </xf>
    <xf borderId="0" fillId="7" fontId="7" numFmtId="0" xfId="0" applyAlignment="1" applyFont="1">
      <alignment vertical="bottom"/>
    </xf>
    <xf borderId="0" fillId="7" fontId="5" numFmtId="0" xfId="0" applyAlignment="1" applyFont="1">
      <alignment horizontal="right" vertical="bottom"/>
    </xf>
    <xf borderId="0" fillId="7" fontId="4" numFmtId="0" xfId="0" applyAlignment="1" applyFont="1">
      <alignment horizontal="center" shrinkToFit="0" wrapText="1"/>
    </xf>
    <xf borderId="0" fillId="7" fontId="4" numFmtId="0" xfId="0" applyAlignment="1" applyFont="1">
      <alignment horizontal="center" readingOrder="0"/>
    </xf>
    <xf borderId="0" fillId="7" fontId="4" numFmtId="0" xfId="0" applyAlignment="1" applyFont="1">
      <alignment shrinkToFit="0" wrapText="1"/>
    </xf>
    <xf borderId="0" fillId="7" fontId="5" numFmtId="0" xfId="0" applyAlignment="1" applyFont="1">
      <alignment vertical="bottom"/>
    </xf>
    <xf borderId="0" fillId="7" fontId="7" numFmtId="0" xfId="0" applyAlignment="1" applyFont="1">
      <alignment vertical="bottom"/>
    </xf>
    <xf borderId="0" fillId="7" fontId="9" numFmtId="0" xfId="0" applyAlignment="1" applyFont="1">
      <alignment readingOrder="0" shrinkToFit="0" wrapText="1"/>
    </xf>
    <xf borderId="0" fillId="7" fontId="5" numFmtId="0" xfId="0" applyAlignment="1" applyFont="1">
      <alignment vertical="bottom"/>
    </xf>
    <xf borderId="0" fillId="7" fontId="10" numFmtId="0" xfId="0" applyAlignment="1" applyFont="1">
      <alignment readingOrder="0" vertical="bottom"/>
    </xf>
    <xf borderId="0" fillId="7" fontId="4" numFmtId="0" xfId="0" applyAlignment="1" applyFont="1">
      <alignment readingOrder="0"/>
    </xf>
    <xf borderId="0" fillId="7" fontId="5" numFmtId="0" xfId="0" applyAlignment="1" applyFont="1">
      <alignment readingOrder="0" vertical="bottom"/>
    </xf>
    <xf borderId="0" fillId="7" fontId="5" numFmtId="0" xfId="0" applyAlignment="1" applyFont="1">
      <alignment vertical="bottom"/>
    </xf>
    <xf borderId="1" fillId="7" fontId="5" numFmtId="0" xfId="0" applyAlignment="1" applyBorder="1" applyFont="1">
      <alignment shrinkToFit="0" vertical="bottom" wrapText="0"/>
    </xf>
    <xf borderId="0" fillId="7" fontId="7" numFmtId="0" xfId="0" applyAlignment="1" applyFont="1">
      <alignment readingOrder="0" vertical="bottom"/>
    </xf>
    <xf borderId="0" fillId="7" fontId="11" numFmtId="0" xfId="0" applyAlignment="1" applyFont="1">
      <alignment readingOrder="0" shrinkToFit="0" vertical="bottom" wrapText="0"/>
    </xf>
    <xf borderId="0" fillId="7" fontId="12" numFmtId="0" xfId="0" applyAlignment="1" applyFont="1">
      <alignment readingOrder="0" vertical="bottom"/>
    </xf>
    <xf borderId="0" fillId="7" fontId="13" numFmtId="0" xfId="0" applyAlignment="1" applyFont="1">
      <alignment vertical="bottom"/>
    </xf>
    <xf borderId="0" fillId="7" fontId="5" numFmtId="0" xfId="0" applyAlignment="1" applyFont="1">
      <alignment readingOrder="0" vertical="top"/>
    </xf>
    <xf borderId="0" fillId="0" fontId="4" numFmtId="0" xfId="0" applyAlignment="1" applyFont="1">
      <alignment readingOrder="0"/>
    </xf>
    <xf borderId="0" fillId="7" fontId="7" numFmtId="0" xfId="0" applyAlignment="1" applyFont="1">
      <alignment horizontal="left" readingOrder="0"/>
    </xf>
    <xf quotePrefix="1" borderId="0" fillId="7" fontId="4" numFmtId="0" xfId="0" applyAlignment="1" applyFont="1">
      <alignment readingOrder="0" shrinkToFit="0" wrapText="1"/>
    </xf>
    <xf borderId="0" fillId="7" fontId="14" numFmtId="0" xfId="0" applyAlignment="1" applyFont="1">
      <alignment shrinkToFit="0" vertical="bottom" wrapText="0"/>
    </xf>
    <xf borderId="0" fillId="2" fontId="1" numFmtId="0" xfId="0" applyAlignment="1" applyFont="1">
      <alignment horizontal="center" shrinkToFit="0" vertical="top" wrapText="1"/>
    </xf>
    <xf borderId="0" fillId="2" fontId="1" numFmtId="0" xfId="0" applyAlignment="1" applyFont="1">
      <alignment horizontal="center" readingOrder="0" shrinkToFit="0" vertical="top" wrapText="1"/>
    </xf>
    <xf borderId="0" fillId="2" fontId="1" numFmtId="0" xfId="0" applyAlignment="1" applyFont="1">
      <alignment horizontal="center" shrinkToFit="0" vertical="center" wrapText="1"/>
    </xf>
    <xf borderId="0" fillId="0" fontId="1" numFmtId="0" xfId="0" applyAlignment="1" applyFont="1">
      <alignment horizontal="center" readingOrder="0" shrinkToFit="0" vertical="center" wrapText="1"/>
    </xf>
    <xf borderId="0" fillId="7" fontId="1" numFmtId="0" xfId="0" applyAlignment="1" applyFont="1">
      <alignment horizontal="center" readingOrder="0" shrinkToFit="0" vertical="center" wrapText="1"/>
    </xf>
    <xf borderId="0" fillId="6" fontId="1" numFmtId="0" xfId="0" applyAlignment="1" applyFont="1">
      <alignment horizontal="center" readingOrder="0" shrinkToFit="0" vertical="center" wrapText="1"/>
    </xf>
    <xf borderId="0" fillId="0" fontId="4" numFmtId="0" xfId="0" applyAlignment="1" applyFont="1">
      <alignment horizontal="center" readingOrder="0" shrinkToFit="0" vertical="top" wrapText="1"/>
    </xf>
    <xf borderId="0" fillId="0" fontId="4" numFmtId="0" xfId="0" applyAlignment="1" applyFont="1">
      <alignment horizontal="left" shrinkToFit="0" vertical="top" wrapText="1"/>
    </xf>
    <xf borderId="0" fillId="0" fontId="15"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7" fontId="4" numFmtId="0" xfId="0" applyAlignment="1" applyFont="1">
      <alignment horizontal="left" readingOrder="0" shrinkToFit="0" vertical="top" wrapText="1"/>
    </xf>
    <xf borderId="0" fillId="0" fontId="4" numFmtId="0" xfId="0" applyAlignment="1" applyFont="1">
      <alignment horizontal="center" readingOrder="0" shrinkToFit="0" vertical="center" wrapText="1"/>
    </xf>
    <xf borderId="0" fillId="0" fontId="16" numFmtId="0" xfId="0" applyAlignment="1" applyFont="1">
      <alignment horizontal="left" readingOrder="0" shrinkToFit="0" vertical="top" wrapText="1"/>
    </xf>
    <xf borderId="0" fillId="0" fontId="17" numFmtId="0" xfId="0" applyAlignment="1" applyFont="1">
      <alignment horizontal="left" readingOrder="0" shrinkToFit="0" vertical="top" wrapText="1"/>
    </xf>
    <xf borderId="0" fillId="0" fontId="18"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0" fontId="4" numFmtId="0" xfId="0" applyAlignment="1" applyFont="1">
      <alignment horizontal="center" shrinkToFit="0" vertical="top" wrapText="1"/>
    </xf>
    <xf borderId="0" fillId="0" fontId="4" numFmtId="0" xfId="0" applyAlignment="1" applyFont="1">
      <alignment horizontal="center" readingOrder="0" shrinkToFit="0" vertical="top" wrapText="1"/>
    </xf>
    <xf borderId="0" fillId="0" fontId="4" numFmtId="0" xfId="0" applyAlignment="1" applyFont="1">
      <alignment horizontal="left" shrinkToFit="0" vertical="top" wrapText="1"/>
    </xf>
    <xf borderId="0" fillId="0" fontId="4" numFmtId="0" xfId="0" applyAlignment="1" applyFont="1">
      <alignment horizontal="left" readingOrder="0" shrinkToFit="0" vertical="top" wrapText="1"/>
    </xf>
    <xf borderId="0" fillId="0" fontId="4" numFmtId="164" xfId="0" applyAlignment="1" applyFont="1" applyNumberFormat="1">
      <alignment horizontal="left" readingOrder="0" shrinkToFit="0" vertical="top" wrapText="1"/>
    </xf>
    <xf borderId="0" fillId="7" fontId="9" numFmtId="0" xfId="0" applyAlignment="1" applyFont="1">
      <alignment horizontal="left" readingOrder="0" shrinkToFit="0" vertical="top" wrapText="1"/>
    </xf>
    <xf borderId="0" fillId="0" fontId="19" numFmtId="0" xfId="0" applyAlignment="1" applyFont="1">
      <alignment horizontal="left" readingOrder="0" shrinkToFit="0" vertical="top" wrapText="1"/>
    </xf>
    <xf borderId="0" fillId="0" fontId="7" numFmtId="0" xfId="0" applyAlignment="1" applyFont="1">
      <alignment horizontal="left" readingOrder="0" shrinkToFit="0" vertical="top" wrapText="1"/>
    </xf>
    <xf borderId="0" fillId="0" fontId="5" numFmtId="0" xfId="0" applyAlignment="1" applyFont="1">
      <alignment horizontal="left" shrinkToFit="0" vertical="top" wrapText="1"/>
    </xf>
    <xf borderId="0" fillId="0" fontId="20" numFmtId="0" xfId="0" applyAlignment="1" applyFont="1">
      <alignment horizontal="left" readingOrder="0" shrinkToFit="0" vertical="top" wrapText="1"/>
    </xf>
    <xf borderId="0" fillId="0" fontId="5" numFmtId="0" xfId="0" applyAlignment="1" applyFont="1">
      <alignment horizontal="center" shrinkToFit="0" vertical="top" wrapText="1"/>
    </xf>
    <xf borderId="0" fillId="0" fontId="5" numFmtId="0" xfId="0" applyAlignment="1" applyFont="1">
      <alignment horizontal="left" shrinkToFit="0" vertical="top" wrapText="1"/>
    </xf>
    <xf borderId="0" fillId="0" fontId="21" numFmtId="0" xfId="0" applyAlignment="1" applyFont="1">
      <alignment horizontal="left" readingOrder="0" shrinkToFit="0" vertical="top" wrapText="1"/>
    </xf>
    <xf borderId="0" fillId="0" fontId="7" numFmtId="0" xfId="0" applyAlignment="1" applyFont="1">
      <alignment horizontal="left" shrinkToFit="0" vertical="top" wrapText="1"/>
    </xf>
    <xf borderId="0" fillId="0" fontId="5" numFmtId="0" xfId="0" applyAlignment="1" applyFont="1">
      <alignment horizontal="left" shrinkToFit="0" vertical="top" wrapText="1"/>
    </xf>
    <xf borderId="0" fillId="0" fontId="22" numFmtId="0" xfId="0" applyAlignment="1" applyFont="1">
      <alignment horizontal="left" shrinkToFit="0" vertical="top" wrapText="1"/>
    </xf>
    <xf borderId="0" fillId="0" fontId="7" numFmtId="0" xfId="0" applyAlignment="1" applyFont="1">
      <alignment horizontal="left" readingOrder="0" shrinkToFit="0" vertical="top" wrapText="1"/>
    </xf>
    <xf borderId="0" fillId="0" fontId="4" numFmtId="0" xfId="0" applyAlignment="1" applyFont="1">
      <alignment horizontal="center" readingOrder="0" shrinkToFit="0" vertical="top" wrapText="1"/>
    </xf>
    <xf borderId="0" fillId="0" fontId="5" numFmtId="0" xfId="0" applyAlignment="1" applyFont="1">
      <alignment vertical="bottom"/>
    </xf>
    <xf borderId="0" fillId="0" fontId="23" numFmtId="0" xfId="0" applyAlignment="1" applyFont="1">
      <alignment vertical="bottom"/>
    </xf>
    <xf borderId="0" fillId="0" fontId="5" numFmtId="0" xfId="0" applyAlignment="1" applyFont="1">
      <alignment vertical="bottom"/>
    </xf>
    <xf borderId="0" fillId="0" fontId="4" numFmtId="0" xfId="0" applyAlignment="1" applyFont="1">
      <alignment readingOrder="0" shrinkToFit="0" wrapText="1"/>
    </xf>
    <xf borderId="0" fillId="0" fontId="5" numFmtId="0" xfId="0" applyAlignment="1" applyFont="1">
      <alignment horizontal="right" vertical="bottom"/>
    </xf>
    <xf borderId="0" fillId="0" fontId="24" numFmtId="0" xfId="0" applyAlignment="1" applyFont="1">
      <alignment vertical="bottom"/>
    </xf>
    <xf borderId="0" fillId="0" fontId="7" numFmtId="0" xfId="0" applyAlignment="1" applyFont="1">
      <alignment vertical="bottom"/>
    </xf>
    <xf borderId="0" fillId="0" fontId="7" numFmtId="0" xfId="0" applyAlignment="1" applyFont="1">
      <alignment readingOrder="0" vertical="bottom"/>
    </xf>
    <xf borderId="0" fillId="0" fontId="5" numFmtId="0" xfId="0" applyAlignment="1" applyFont="1">
      <alignment horizontal="right" vertical="bottom"/>
    </xf>
    <xf borderId="0" fillId="0" fontId="5" numFmtId="0" xfId="0" applyAlignment="1" applyFont="1">
      <alignment horizontal="left" shrinkToFit="0" vertical="top" wrapText="1"/>
    </xf>
    <xf borderId="0" fillId="7" fontId="4" numFmtId="0" xfId="0" applyAlignment="1" applyFont="1">
      <alignment horizontal="left" shrinkToFit="0" vertical="top" wrapText="1"/>
    </xf>
    <xf borderId="0" fillId="0" fontId="4" numFmtId="0" xfId="0" applyAlignment="1" applyFont="1">
      <alignment horizontal="center" readingOrder="0" vertical="center"/>
    </xf>
    <xf borderId="0" fillId="0" fontId="5" numFmtId="0" xfId="0" applyAlignment="1" applyFont="1">
      <alignment horizontal="left" shrinkToFit="0" vertical="top" wrapText="1"/>
    </xf>
    <xf borderId="0" fillId="0" fontId="5" numFmtId="0" xfId="0" applyAlignment="1" applyFont="1">
      <alignment horizontal="left" readingOrder="0" shrinkToFit="0" vertical="top" wrapText="1"/>
    </xf>
    <xf borderId="0" fillId="0" fontId="5" numFmtId="0" xfId="0" applyAlignment="1" applyFont="1">
      <alignment horizontal="left" shrinkToFit="0" vertical="top" wrapText="1"/>
    </xf>
    <xf borderId="0" fillId="0" fontId="7" numFmtId="0" xfId="0" applyAlignment="1" applyFont="1">
      <alignment horizontal="left" shrinkToFit="0" vertical="top" wrapText="1"/>
    </xf>
    <xf borderId="0" fillId="0" fontId="25" numFmtId="0" xfId="0" applyAlignment="1" applyFont="1">
      <alignment horizontal="left" shrinkToFit="0" vertical="top" wrapText="1"/>
    </xf>
    <xf borderId="0" fillId="0" fontId="26" numFmtId="0" xfId="0" applyAlignment="1" applyFont="1">
      <alignment horizontal="left" shrinkToFit="0" vertical="top" wrapText="1"/>
    </xf>
    <xf borderId="0" fillId="0" fontId="4" numFmtId="10" xfId="0" applyAlignment="1" applyFont="1" applyNumberFormat="1">
      <alignment horizontal="left" readingOrder="0" shrinkToFit="0" vertical="top" wrapText="1"/>
    </xf>
    <xf borderId="0" fillId="0" fontId="4" numFmtId="0" xfId="0" applyAlignment="1" applyFont="1">
      <alignment horizontal="center" readingOrder="0" vertical="top"/>
    </xf>
    <xf borderId="0" fillId="0" fontId="4" numFmtId="0" xfId="0" applyAlignment="1" applyFont="1">
      <alignment horizontal="center" readingOrder="0" vertical="top"/>
    </xf>
    <xf borderId="0" fillId="0" fontId="4" numFmtId="0" xfId="0" applyAlignment="1" applyFont="1">
      <alignment horizontal="center" vertical="top"/>
    </xf>
    <xf borderId="0" fillId="0" fontId="27" numFmtId="0" xfId="0" applyAlignment="1" applyFont="1">
      <alignment horizontal="left" shrinkToFit="0" vertical="top" wrapText="1"/>
    </xf>
    <xf borderId="0" fillId="0" fontId="28" numFmtId="0" xfId="0" applyAlignment="1" applyFont="1">
      <alignment horizontal="center" readingOrder="0" vertical="top"/>
    </xf>
    <xf borderId="0" fillId="2" fontId="1" numFmtId="0" xfId="0" applyAlignment="1" applyFont="1">
      <alignment horizontal="center" shrinkToFit="0" vertical="center" wrapText="1"/>
    </xf>
    <xf borderId="0" fillId="8" fontId="1" numFmtId="0" xfId="0" applyAlignment="1" applyFill="1" applyFont="1">
      <alignment horizontal="center" shrinkToFit="0" vertical="center" wrapText="1"/>
    </xf>
    <xf borderId="0" fillId="7" fontId="1" numFmtId="0" xfId="0" applyAlignment="1" applyFont="1">
      <alignment horizontal="center" shrinkToFit="0" vertical="center" wrapText="1"/>
    </xf>
    <xf borderId="0" fillId="0" fontId="4" numFmtId="0" xfId="0" applyAlignment="1" applyFont="1">
      <alignment horizontal="center" readingOrder="0"/>
    </xf>
    <xf borderId="0" fillId="0" fontId="4" numFmtId="0" xfId="0" applyFont="1"/>
    <xf borderId="0" fillId="7" fontId="4" numFmtId="0" xfId="0" applyFont="1"/>
    <xf borderId="0" fillId="0" fontId="4" numFmtId="0" xfId="0" applyAlignment="1" applyFont="1">
      <alignment readingOrder="0"/>
    </xf>
    <xf borderId="0" fillId="7" fontId="4" numFmtId="0" xfId="0" applyAlignment="1" applyFont="1">
      <alignment readingOrder="0"/>
    </xf>
    <xf borderId="0" fillId="0" fontId="4" numFmtId="0" xfId="0" applyFont="1"/>
    <xf borderId="0" fillId="0" fontId="4" numFmtId="0" xfId="0" applyAlignment="1" applyFont="1">
      <alignment horizontal="center"/>
    </xf>
    <xf borderId="0" fillId="0" fontId="28" numFmtId="0" xfId="0" applyAlignment="1" applyFont="1">
      <alignment horizontal="left" readingOrder="0" shrinkToFit="0" vertical="top" wrapText="1"/>
    </xf>
    <xf borderId="0" fillId="7" fontId="28" numFmtId="0" xfId="0" applyAlignment="1" applyFont="1">
      <alignment horizontal="left" readingOrder="0" shrinkToFit="0" vertical="top" wrapText="1"/>
    </xf>
    <xf borderId="0" fillId="7" fontId="29" numFmtId="0" xfId="0" applyAlignment="1" applyFont="1">
      <alignment horizontal="left" readingOrder="0" shrinkToFit="0" vertical="top" wrapText="1"/>
    </xf>
    <xf borderId="0" fillId="0" fontId="4" numFmtId="0" xfId="0" applyAlignment="1" applyFont="1">
      <alignment readingOrder="0" vertical="top"/>
    </xf>
    <xf borderId="0" fillId="0" fontId="4" numFmtId="0" xfId="0" applyAlignment="1" applyFont="1">
      <alignment horizontal="left" readingOrder="0" shrinkToFit="0" vertical="top" wrapText="1"/>
    </xf>
    <xf borderId="0" fillId="7" fontId="4" numFmtId="0" xfId="0" applyAlignment="1" applyFont="1">
      <alignment readingOrder="0" shrinkToFit="0" vertical="top" wrapText="1"/>
    </xf>
    <xf borderId="0" fillId="7" fontId="28" numFmtId="0" xfId="0" applyAlignment="1" applyFont="1">
      <alignment horizontal="left" readingOrder="0" shrinkToFit="0" vertical="top" wrapText="1"/>
    </xf>
    <xf borderId="0" fillId="7" fontId="4" numFmtId="0" xfId="0" applyAlignment="1" applyFont="1">
      <alignment horizontal="left" readingOrder="0" shrinkToFit="0" vertical="top" wrapText="1"/>
    </xf>
    <xf borderId="0" fillId="7" fontId="30" numFmtId="0" xfId="0" applyAlignment="1" applyFont="1">
      <alignment horizontal="left" readingOrder="0" shrinkToFit="0" vertical="top" wrapText="1"/>
    </xf>
    <xf borderId="0" fillId="7" fontId="4" numFmtId="0" xfId="0" applyAlignment="1" applyFont="1">
      <alignment horizontal="left" readingOrder="0" shrinkToFit="0" vertical="top" wrapText="1"/>
    </xf>
    <xf borderId="0" fillId="7" fontId="4" numFmtId="0" xfId="0" applyAlignment="1" applyFont="1">
      <alignment horizontal="left" readingOrder="0" shrinkToFit="0" vertical="top" wrapText="1"/>
    </xf>
    <xf borderId="0" fillId="0" fontId="28" numFmtId="0" xfId="0" applyAlignment="1" applyFont="1">
      <alignment horizontal="left" readingOrder="0" shrinkToFit="0" vertical="top" wrapText="1"/>
    </xf>
    <xf borderId="0" fillId="0" fontId="9" numFmtId="0" xfId="0" applyAlignment="1" applyFont="1">
      <alignment horizontal="left" shrinkToFit="0" vertical="top" wrapText="1"/>
    </xf>
    <xf borderId="0" fillId="0" fontId="4" numFmtId="0" xfId="0" applyAlignment="1" applyFont="1">
      <alignment vertical="top"/>
    </xf>
    <xf borderId="0" fillId="9" fontId="5" numFmtId="0" xfId="0" applyAlignment="1" applyFill="1" applyFont="1">
      <alignment shrinkToFit="0" vertical="top" wrapText="1"/>
    </xf>
    <xf borderId="0" fillId="7" fontId="5" numFmtId="0" xfId="0" applyAlignment="1" applyFont="1">
      <alignment shrinkToFit="0" vertical="top" wrapText="1"/>
    </xf>
    <xf borderId="0" fillId="0" fontId="9" numFmtId="0" xfId="0" applyAlignment="1" applyFont="1">
      <alignment horizontal="left" readingOrder="0" shrinkToFit="0" vertical="top" wrapText="1"/>
    </xf>
    <xf borderId="0" fillId="7" fontId="31" numFmtId="0" xfId="0" applyFont="1"/>
    <xf borderId="0" fillId="9" fontId="4" numFmtId="0" xfId="0" applyAlignment="1" applyFont="1">
      <alignment readingOrder="0" shrinkToFit="0" wrapText="1"/>
    </xf>
    <xf borderId="0" fillId="9" fontId="32" numFmtId="0" xfId="0" applyAlignment="1" applyFont="1">
      <alignment readingOrder="0" shrinkToFit="0" wrapText="1"/>
    </xf>
    <xf borderId="0" fillId="9" fontId="4" numFmtId="0" xfId="0" applyAlignment="1" applyFont="1">
      <alignment readingOrder="0"/>
    </xf>
    <xf borderId="0" fillId="9" fontId="4" numFmtId="0" xfId="0" applyAlignment="1" applyFont="1">
      <alignment horizontal="center" readingOrder="0" shrinkToFit="0" wrapText="1"/>
    </xf>
    <xf borderId="0" fillId="9" fontId="4" numFmtId="0" xfId="0" applyAlignment="1" applyFont="1">
      <alignment horizontal="center" shrinkToFit="0" wrapText="1"/>
    </xf>
    <xf borderId="0" fillId="9" fontId="4" numFmtId="0" xfId="0" applyAlignment="1" applyFont="1">
      <alignment shrinkToFit="0" wrapText="1"/>
    </xf>
    <xf borderId="0" fillId="9" fontId="4" numFmtId="0" xfId="0" applyFont="1"/>
    <xf borderId="0" fillId="9" fontId="33" numFmtId="0" xfId="0" applyAlignment="1" applyFont="1">
      <alignment shrinkToFit="0" wrapText="1"/>
    </xf>
    <xf borderId="0" fillId="6" fontId="3" numFmtId="0" xfId="0" applyAlignment="1" applyFont="1">
      <alignment shrinkToFit="0" vertical="bottom" wrapText="1"/>
    </xf>
    <xf borderId="0" fillId="0" fontId="9" numFmtId="0" xfId="0" applyAlignment="1" applyFont="1">
      <alignment readingOrder="0"/>
    </xf>
    <xf borderId="0" fillId="10" fontId="4" numFmtId="0" xfId="0" applyFill="1" applyFont="1"/>
    <xf borderId="0" fillId="11" fontId="5" numFmtId="0" xfId="0" applyAlignment="1" applyFill="1" applyFont="1">
      <alignment shrinkToFit="0" vertical="bottom" wrapText="1"/>
    </xf>
    <xf borderId="0" fillId="0" fontId="5" numFmtId="0" xfId="0" applyAlignment="1" applyFont="1">
      <alignment readingOrder="0" vertical="bottom"/>
    </xf>
    <xf borderId="0" fillId="9" fontId="5" numFmtId="0" xfId="0" applyAlignment="1" applyFont="1">
      <alignment shrinkToFit="0" vertical="bottom" wrapText="1"/>
    </xf>
    <xf borderId="0" fillId="0" fontId="5" numFmtId="0" xfId="0" applyAlignment="1" applyFont="1">
      <alignment shrinkToFit="0" vertical="bottom" wrapText="1"/>
    </xf>
    <xf borderId="0" fillId="0" fontId="1" numFmtId="0" xfId="0" applyAlignment="1" applyFont="1">
      <alignment readingOrder="0" shrinkToFit="0" vertical="bottom" wrapText="1"/>
    </xf>
    <xf borderId="0" fillId="0" fontId="5" numFmtId="0" xfId="0" applyAlignment="1" applyFont="1">
      <alignment readingOrder="0" shrinkToFit="0" vertical="bottom" wrapText="1"/>
    </xf>
    <xf borderId="0" fillId="0" fontId="5" numFmtId="0" xfId="0" applyAlignment="1" applyFont="1">
      <alignment vertical="bottom"/>
    </xf>
    <xf borderId="0" fillId="0" fontId="5" numFmtId="0" xfId="0" applyAlignment="1" applyFont="1">
      <alignment shrinkToFit="0" vertical="bottom" wrapText="1"/>
    </xf>
    <xf borderId="0" fillId="12" fontId="7" numFmtId="0" xfId="0" applyAlignment="1" applyFill="1" applyFont="1">
      <alignment horizontal="left" readingOrder="0"/>
    </xf>
    <xf borderId="0" fillId="0" fontId="4" numFmtId="0" xfId="0" applyAlignment="1" applyFont="1">
      <alignment shrinkToFit="0" wrapText="1"/>
    </xf>
  </cellXfs>
  <cellStyles count="1">
    <cellStyle xfId="0" name="Normal" builtinId="0"/>
  </cellStyles>
  <dxfs count="8">
    <dxf>
      <font/>
      <fill>
        <patternFill patternType="solid">
          <fgColor rgb="FFB6D7A8"/>
          <bgColor rgb="FFB6D7A8"/>
        </patternFill>
      </fill>
      <border/>
    </dxf>
    <dxf>
      <font/>
      <fill>
        <patternFill patternType="solid">
          <fgColor rgb="FFF4CCCC"/>
          <bgColor rgb="FFF4CCCC"/>
        </patternFill>
      </fill>
      <border/>
    </dxf>
    <dxf>
      <font/>
      <fill>
        <patternFill patternType="solid">
          <fgColor rgb="FFE7F9EF"/>
          <bgColor rgb="FFE7F9EF"/>
        </patternFill>
      </fill>
      <border/>
    </dxf>
    <dxf>
      <font/>
      <fill>
        <patternFill patternType="none"/>
      </fill>
      <border/>
    </dxf>
    <dxf>
      <font/>
      <fill>
        <patternFill patternType="solid">
          <fgColor rgb="FFFFFFFF"/>
          <bgColor rgb="FFFFFFFF"/>
        </patternFill>
      </fill>
      <border/>
    </dxf>
    <dxf>
      <font/>
      <fill>
        <patternFill patternType="solid">
          <fgColor rgb="FFE7F9EF"/>
          <bgColor rgb="FFE7F9EF"/>
        </patternFill>
      </fill>
      <border/>
    </dxf>
    <dxf>
      <font/>
      <fill>
        <patternFill patternType="solid">
          <fgColor rgb="FF63D297"/>
          <bgColor rgb="FF63D297"/>
        </patternFill>
      </fill>
      <border/>
    </dxf>
    <dxf>
      <font/>
      <fill>
        <patternFill patternType="solid">
          <fgColor rgb="FFB7E1CD"/>
          <bgColor rgb="FFB7E1CD"/>
        </patternFill>
      </fill>
      <border/>
    </dxf>
  </dxfs>
  <tableStyles count="7">
    <tableStyle count="2" pivot="0" name="Selection-style">
      <tableStyleElement dxfId="4" type="firstRowStripe"/>
      <tableStyleElement dxfId="5" type="secondRowStripe"/>
    </tableStyle>
    <tableStyle count="3" pivot="0" name="Extraction-style">
      <tableStyleElement dxfId="6" type="headerRow"/>
      <tableStyleElement dxfId="4" type="firstRowStripe"/>
      <tableStyleElement dxfId="5" type="secondRowStripe"/>
    </tableStyle>
    <tableStyle count="3" pivot="0" name="Synthesis-style">
      <tableStyleElement dxfId="6" type="headerRow"/>
      <tableStyleElement dxfId="4" type="firstRowStripe"/>
      <tableStyleElement dxfId="5" type="secondRowStripe"/>
    </tableStyle>
    <tableStyle count="3" pivot="0" name="Other Labels-style">
      <tableStyleElement dxfId="6" type="headerRow"/>
      <tableStyleElement dxfId="4" type="firstRowStripe"/>
      <tableStyleElement dxfId="5" type="secondRowStripe"/>
    </tableStyle>
    <tableStyle count="3" pivot="0" name="Synthesis Categories-style">
      <tableStyleElement dxfId="6" type="headerRow"/>
      <tableStyleElement dxfId="4" type="firstRowStripe"/>
      <tableStyleElement dxfId="5" type="secondRowStripe"/>
    </tableStyle>
    <tableStyle count="2" pivot="0" name="Selected (Automated Query)-style">
      <tableStyleElement dxfId="4" type="firstRowStripe"/>
      <tableStyleElement dxfId="5" type="secondRowStripe"/>
    </tableStyle>
    <tableStyle count="2" pivot="0" name="Primary Studies (Automated Quer-style">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0"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Z651" displayName="Table_1" id="1">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Selection-style" showColumnStripes="0" showFirstColumn="1" showLastColumn="1" showRowStripes="1"/>
</table>
</file>

<file path=xl/tables/table2.xml><?xml version="1.0" encoding="utf-8"?>
<table xmlns="http://schemas.openxmlformats.org/spreadsheetml/2006/main" ref="A1:S225" displayName="Table_2" id="2">
  <tableColumns count="19">
    <tableColumn name="ID" id="1"/>
    <tableColumn name="Title" id="2"/>
    <tableColumn name="URL" id="3"/>
    <tableColumn name="Authors" id="4"/>
    <tableColumn name="Venue" id="5"/>
    <tableColumn name="Venue Acronym" id="6"/>
    <tableColumn name="Venue Type" id="7"/>
    <tableColumn name="Year" id="8"/>
    <tableColumn name="Energy related goal" id="9"/>
    <tableColumn name="Strategy type" id="10"/>
    <tableColumn name="Techniques/Algorithms" id="11"/>
    <tableColumn name="Software-driven" id="12"/>
    <tableColumn name="Energy related metrics" id="13"/>
    <tableColumn name="Other metrics" id="14"/>
    <tableColumn name="Evaluation" id="15"/>
    <tableColumn name="DC component" id="16"/>
    <tableColumn name="DC type" id="17"/>
    <tableColumn name="Notes" id="18"/>
    <tableColumn name="Reviewer" id="19"/>
  </tableColumns>
  <tableStyleInfo name="Extraction-style" showColumnStripes="0" showFirstColumn="1" showLastColumn="1" showRowStripes="1"/>
</table>
</file>

<file path=xl/tables/table3.xml><?xml version="1.0" encoding="utf-8"?>
<table xmlns="http://schemas.openxmlformats.org/spreadsheetml/2006/main" ref="A1:S225" displayName="Table_3" id="3">
  <tableColumns count="19">
    <tableColumn name="ID" id="1"/>
    <tableColumn name="Title" id="2"/>
    <tableColumn name="URL" id="3"/>
    <tableColumn name="Authors" id="4"/>
    <tableColumn name="Venue" id="5"/>
    <tableColumn name="Venue Acronym" id="6"/>
    <tableColumn name="Venue Type" id="7"/>
    <tableColumn name="Year" id="8"/>
    <tableColumn name="Energy related goal" id="9"/>
    <tableColumn name="Strategy type" id="10"/>
    <tableColumn name="Techniques/Algorithms" id="11"/>
    <tableColumn name="Software-driven" id="12"/>
    <tableColumn name="Energy related metrics" id="13"/>
    <tableColumn name="Other metrics" id="14"/>
    <tableColumn name="Evaluation" id="15"/>
    <tableColumn name="DC component" id="16"/>
    <tableColumn name="DC type" id="17"/>
    <tableColumn name="Notes" id="18"/>
    <tableColumn name="Reviewer" id="19"/>
  </tableColumns>
  <tableStyleInfo name="Synthesis-style" showColumnStripes="0" showFirstColumn="1" showLastColumn="1" showRowStripes="1"/>
</table>
</file>

<file path=xl/tables/table4.xml><?xml version="1.0" encoding="utf-8"?>
<table xmlns="http://schemas.openxmlformats.org/spreadsheetml/2006/main" headerRowCount="0" ref="A1:S1050" displayName="Table_4" id="4">
  <tableColumns count="1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s>
  <tableStyleInfo name="Other Labels-style"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1:R1001" displayName="Table_5" id="5">
  <tableColumns count="1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s>
  <tableStyleInfo name="Synthesis Categories-style" showColumnStripes="0" showFirstColumn="1" showLastColumn="1" showRowStripes="1"/>
  <extLst>
    <ext uri="GoogleSheetsCustomDataVersion1">
      <go:sheetsCustomData xmlns:go="http://customooxmlschemas.google.com/" headerRowCount="1"/>
    </ext>
  </extLst>
</table>
</file>

<file path=xl/tables/table6.xml><?xml version="1.0" encoding="utf-8"?>
<table xmlns="http://schemas.openxmlformats.org/spreadsheetml/2006/main" headerRowCount="0" ref="A2:AJ783" displayName="Table_6" id="6">
  <tableColumns count="3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s>
  <tableStyleInfo name="Selected (Automated Query)-style" showColumnStripes="0" showFirstColumn="1" showLastColumn="1" showRowStripes="1"/>
</table>
</file>

<file path=xl/tables/table7.xml><?xml version="1.0" encoding="utf-8"?>
<table xmlns="http://schemas.openxmlformats.org/spreadsheetml/2006/main" headerRowCount="0" ref="A2:AJ283" displayName="Table_7" id="7">
  <tableColumns count="3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s>
  <tableStyleInfo name="Primary Studies (Automated Quer-style" showColumnStripes="0" showFirstColumn="1" showLastColumn="1" showRowStripes="1"/>
</table>
</file>

<file path=xl/worksheets/_rels/sheet1.xml.rels><?xml version="1.0" encoding="UTF-8" standalone="yes"?><Relationships xmlns="http://schemas.openxmlformats.org/package/2006/relationships"><Relationship Id="rId190" Type="http://schemas.openxmlformats.org/officeDocument/2006/relationships/hyperlink" Target="https://link.springer.com/chapter/10.1007/978-3-030-47560-4_22" TargetMode="External"/><Relationship Id="rId194" Type="http://schemas.openxmlformats.org/officeDocument/2006/relationships/hyperlink" Target="https://www.sciencedirect.com/science/article/pii/S1569190X18301825" TargetMode="External"/><Relationship Id="rId193" Type="http://schemas.openxmlformats.org/officeDocument/2006/relationships/hyperlink" Target="https://www.sciencedirect.com/science/article/pii/S2210537918302907" TargetMode="External"/><Relationship Id="rId192" Type="http://schemas.openxmlformats.org/officeDocument/2006/relationships/hyperlink" Target="https://ieeexplore.ieee.org/abstract/document/9037900/" TargetMode="External"/><Relationship Id="rId191" Type="http://schemas.openxmlformats.org/officeDocument/2006/relationships/hyperlink" Target="https://ieeexplore.ieee.org/abstract/document/8401602/" TargetMode="External"/><Relationship Id="rId187" Type="http://schemas.openxmlformats.org/officeDocument/2006/relationships/hyperlink" Target="https://link.springer.com/chapter/10.1007/978-981-15-5341-7_111" TargetMode="External"/><Relationship Id="rId186" Type="http://schemas.openxmlformats.org/officeDocument/2006/relationships/hyperlink" Target="https://ieeexplore.ieee.org/abstract/document/8416301/" TargetMode="External"/><Relationship Id="rId185" Type="http://schemas.openxmlformats.org/officeDocument/2006/relationships/hyperlink" Target="https://link.springer.com/article/10.1007/s11227-018-2513-4" TargetMode="External"/><Relationship Id="rId184" Type="http://schemas.openxmlformats.org/officeDocument/2006/relationships/hyperlink" Target="https://dl.acm.org/doi/abs/10.1145/3297280.3297420" TargetMode="External"/><Relationship Id="rId189" Type="http://schemas.openxmlformats.org/officeDocument/2006/relationships/hyperlink" Target="https://ieeexplore.ieee.org/abstract/document/9148838/" TargetMode="External"/><Relationship Id="rId188" Type="http://schemas.openxmlformats.org/officeDocument/2006/relationships/hyperlink" Target="https://link.springer.com/chapter/10.1007/978-981-13-9528-4_119" TargetMode="External"/><Relationship Id="rId183" Type="http://schemas.openxmlformats.org/officeDocument/2006/relationships/hyperlink" Target="https://www.igi-global.com/article/towards-green-cloud-computing-an-algorithmic-approach-for-energy-minimization-in-cloud-data-centers/218154" TargetMode="External"/><Relationship Id="rId182" Type="http://schemas.openxmlformats.org/officeDocument/2006/relationships/hyperlink" Target="https://www.sciencedirect.com/science/article/pii/S074373151930190X" TargetMode="External"/><Relationship Id="rId181" Type="http://schemas.openxmlformats.org/officeDocument/2006/relationships/hyperlink" Target="https://onlinelibrary.wiley.com/doi/abs/10.1002/cpe.4471" TargetMode="External"/><Relationship Id="rId180" Type="http://schemas.openxmlformats.org/officeDocument/2006/relationships/hyperlink" Target="https://www.researchgate.net/profile/Abdulrahman_Nahhas/publication/333335432_Toward_an_Autonomic_and_Adaptive_Load_Management_Strategy_for_Reducing_Energy_Consumption_under_Performance_Constraints_in_Data_Centers/links/5d1b96fa92851cf440600900/Toward-an-Autonomic-and-Adaptive-Load-Management-Strategy-for-Reducing-Energy-Consumption-under-Performance-Constraints-in-Data-Centers.pdf" TargetMode="External"/><Relationship Id="rId176" Type="http://schemas.openxmlformats.org/officeDocument/2006/relationships/hyperlink" Target="https://ieeexplore.ieee.org/abstract/document/9213653/" TargetMode="External"/><Relationship Id="rId297" Type="http://schemas.openxmlformats.org/officeDocument/2006/relationships/hyperlink" Target="https://www.mdpi.com/2071-1050/12/23/9893" TargetMode="External"/><Relationship Id="rId175" Type="http://schemas.openxmlformats.org/officeDocument/2006/relationships/hyperlink" Target="https://link.springer.com/chapter/10.1007/978-3-030-21507-1_41" TargetMode="External"/><Relationship Id="rId296" Type="http://schemas.openxmlformats.org/officeDocument/2006/relationships/hyperlink" Target="https://www.diva-portal.org/smash/record.jsf?pid=diva2:1267779" TargetMode="External"/><Relationship Id="rId174" Type="http://schemas.openxmlformats.org/officeDocument/2006/relationships/hyperlink" Target="https://ieeexplore.ieee.org/abstract/document/8745764/" TargetMode="External"/><Relationship Id="rId295" Type="http://schemas.openxmlformats.org/officeDocument/2006/relationships/hyperlink" Target="https://ieeexplore.ieee.org/abstract/document/8606094/" TargetMode="External"/><Relationship Id="rId173" Type="http://schemas.openxmlformats.org/officeDocument/2006/relationships/hyperlink" Target="https://www.sciencedirect.com/science/article/pii/S0378778817339841" TargetMode="External"/><Relationship Id="rId294" Type="http://schemas.openxmlformats.org/officeDocument/2006/relationships/hyperlink" Target="https://www.mdpi.com/2076-3417/10/7/2323" TargetMode="External"/><Relationship Id="rId179" Type="http://schemas.openxmlformats.org/officeDocument/2006/relationships/hyperlink" Target="https://minerva-access.unimelb.edu.au/handle/11343/221608" TargetMode="External"/><Relationship Id="rId178" Type="http://schemas.openxmlformats.org/officeDocument/2006/relationships/hyperlink" Target="https://onlinelibrary.wiley.com/doi/abs/10.1002/net.21752" TargetMode="External"/><Relationship Id="rId299" Type="http://schemas.openxmlformats.org/officeDocument/2006/relationships/hyperlink" Target="https://ieeexplore.ieee.org/abstract/document/8931339/" TargetMode="External"/><Relationship Id="rId177" Type="http://schemas.openxmlformats.org/officeDocument/2006/relationships/hyperlink" Target="https://www.mdpi.com/1996-1073/11/2/444" TargetMode="External"/><Relationship Id="rId298" Type="http://schemas.openxmlformats.org/officeDocument/2006/relationships/hyperlink" Target="https://ieeexplore.ieee.org/abstract/document/8585154/" TargetMode="External"/><Relationship Id="rId198" Type="http://schemas.openxmlformats.org/officeDocument/2006/relationships/hyperlink" Target="https://www.researchgate.net/profile/Joshua_Samual/publication/330577923_Analysis_of_DVFS_Technique_for_Efficient-Energy_Management_in_Cloud_Data_Center/links/5c4955a6a6fdccd6b5c442a7/Analysis-of-DVFS-Technique-for-Efficient-Energy-Management-in-Cloud-Data-Center.pdf" TargetMode="External"/><Relationship Id="rId197" Type="http://schemas.openxmlformats.org/officeDocument/2006/relationships/hyperlink" Target="https://science.sciencemag.org/content/367/6481/984.summary" TargetMode="External"/><Relationship Id="rId196" Type="http://schemas.openxmlformats.org/officeDocument/2006/relationships/hyperlink" Target="https://ieeexplore.ieee.org/abstract/document/9209724/" TargetMode="External"/><Relationship Id="rId195" Type="http://schemas.openxmlformats.org/officeDocument/2006/relationships/hyperlink" Target="https://link.springer.com/content/pdf/10.1007/s10586-020-03066-6.pdf" TargetMode="External"/><Relationship Id="rId199" Type="http://schemas.openxmlformats.org/officeDocument/2006/relationships/hyperlink" Target="http://www.infocomm-journal.com/dxkx/EN/Y2019/V35/I2/95" TargetMode="External"/><Relationship Id="rId150" Type="http://schemas.openxmlformats.org/officeDocument/2006/relationships/hyperlink" Target="https://ieeexplore.ieee.org/abstract/document/9047378/" TargetMode="External"/><Relationship Id="rId271" Type="http://schemas.openxmlformats.org/officeDocument/2006/relationships/hyperlink" Target="https://ieeexplore.ieee.org/abstract/document/8970172/" TargetMode="External"/><Relationship Id="rId392" Type="http://schemas.openxmlformats.org/officeDocument/2006/relationships/hyperlink" Target="https://ieeexplore.ieee.org/abstract/document/8905618/" TargetMode="External"/><Relationship Id="rId270" Type="http://schemas.openxmlformats.org/officeDocument/2006/relationships/hyperlink" Target="https://ieeexplore.ieee.org/abstract/document/8591122/" TargetMode="External"/><Relationship Id="rId391" Type="http://schemas.openxmlformats.org/officeDocument/2006/relationships/hyperlink" Target="https://ieeexplore.ieee.org/abstract/document/8974083/" TargetMode="External"/><Relationship Id="rId390" Type="http://schemas.openxmlformats.org/officeDocument/2006/relationships/hyperlink" Target="https://arxiv.org/abs/1812.06255" TargetMode="External"/><Relationship Id="rId1" Type="http://schemas.openxmlformats.org/officeDocument/2006/relationships/comments" Target="../comments1.xml"/><Relationship Id="rId2" Type="http://schemas.openxmlformats.org/officeDocument/2006/relationships/hyperlink" Target="https://www.mdpi.com/1996-1073/11/3/669" TargetMode="External"/><Relationship Id="rId3" Type="http://schemas.openxmlformats.org/officeDocument/2006/relationships/hyperlink" Target="https://ieeexplore.ieee.org/abstract/document/8573845/" TargetMode="External"/><Relationship Id="rId149" Type="http://schemas.openxmlformats.org/officeDocument/2006/relationships/hyperlink" Target="http://www-ext.lnec.pt/APAET/pdf/Rev_30_A1.pdf" TargetMode="External"/><Relationship Id="rId4" Type="http://schemas.openxmlformats.org/officeDocument/2006/relationships/hyperlink" Target="https://books.google.com/books?hl=en&amp;lr=&amp;id=AVyGDwAAQBAJ&amp;oi=fnd&amp;pg=PA1&amp;dq=energy+%22data+center%22%7C%22data+centers%22%7Cdatacenter%7Cdatacenters&amp;ots=JYfkFEMe3L&amp;sig=RVPT-kercyYpm3U0eJHgrVUoxNQ" TargetMode="External"/><Relationship Id="rId148" Type="http://schemas.openxmlformats.org/officeDocument/2006/relationships/hyperlink" Target="https://ieeexplore.ieee.org/abstract/document/8626500/" TargetMode="External"/><Relationship Id="rId269" Type="http://schemas.openxmlformats.org/officeDocument/2006/relationships/hyperlink" Target="https://www.igi-global.com/article/a-systems-overview-of-commercial-data-centers/217694" TargetMode="External"/><Relationship Id="rId9" Type="http://schemas.openxmlformats.org/officeDocument/2006/relationships/hyperlink" Target="https://link.springer.com/chapter/10.1007/978-3-319-94268-1_53" TargetMode="External"/><Relationship Id="rId143" Type="http://schemas.openxmlformats.org/officeDocument/2006/relationships/hyperlink" Target="https://dl.acm.org/doi/abs/10.1145/3396851.3402656" TargetMode="External"/><Relationship Id="rId264" Type="http://schemas.openxmlformats.org/officeDocument/2006/relationships/hyperlink" Target="https://ieeexplore.ieee.org/abstract/document/8991428/" TargetMode="External"/><Relationship Id="rId385" Type="http://schemas.openxmlformats.org/officeDocument/2006/relationships/hyperlink" Target="https://www.sciencedirect.com/science/article/pii/S014036641830121X" TargetMode="External"/><Relationship Id="rId142" Type="http://schemas.openxmlformats.org/officeDocument/2006/relationships/hyperlink" Target="https://ieeexplore.ieee.org/abstract/document/8267099/" TargetMode="External"/><Relationship Id="rId263" Type="http://schemas.openxmlformats.org/officeDocument/2006/relationships/hyperlink" Target="https://asmedigitalcollection.asme.org/electronicpackaging/article-abstract/141/4/041004/955783" TargetMode="External"/><Relationship Id="rId384" Type="http://schemas.openxmlformats.org/officeDocument/2006/relationships/hyperlink" Target="https://www.mdpi.com/1996-1073/11/9/2478" TargetMode="External"/><Relationship Id="rId141" Type="http://schemas.openxmlformats.org/officeDocument/2006/relationships/hyperlink" Target="https://onlinelibrary.wiley.com/doi/abs/10.1002/spe.2592" TargetMode="External"/><Relationship Id="rId262" Type="http://schemas.openxmlformats.org/officeDocument/2006/relationships/hyperlink" Target="https://ieeexplore.ieee.org/abstract/document/8727486/" TargetMode="External"/><Relationship Id="rId383" Type="http://schemas.openxmlformats.org/officeDocument/2006/relationships/hyperlink" Target="https://ieeexplore.ieee.org/abstract/document/8488203/" TargetMode="External"/><Relationship Id="rId140" Type="http://schemas.openxmlformats.org/officeDocument/2006/relationships/hyperlink" Target="https://link.springer.com/chapter/10.1007/978-981-13-0586-3_43" TargetMode="External"/><Relationship Id="rId261" Type="http://schemas.openxmlformats.org/officeDocument/2006/relationships/hyperlink" Target="https://link.springer.com/article/10.1007/s11761-019-00273-x" TargetMode="External"/><Relationship Id="rId382" Type="http://schemas.openxmlformats.org/officeDocument/2006/relationships/hyperlink" Target="https://ieeexplore.ieee.org/abstract/document/8752108/" TargetMode="External"/><Relationship Id="rId5" Type="http://schemas.openxmlformats.org/officeDocument/2006/relationships/hyperlink" Target="https://www.igi-global.com/chapter/green-energy-in-data-centers/189905" TargetMode="External"/><Relationship Id="rId147" Type="http://schemas.openxmlformats.org/officeDocument/2006/relationships/hyperlink" Target="https://aaltodoc.aalto.fi/handle/123456789/44299" TargetMode="External"/><Relationship Id="rId268" Type="http://schemas.openxmlformats.org/officeDocument/2006/relationships/hyperlink" Target="https://www.academia.edu/download/63660144/A150302011220200617-99944-com3ke.pdf" TargetMode="External"/><Relationship Id="rId389" Type="http://schemas.openxmlformats.org/officeDocument/2006/relationships/hyperlink" Target="https://hal-univ-pau.archives-ouvertes.fr/hal-02437210/" TargetMode="External"/><Relationship Id="rId6" Type="http://schemas.openxmlformats.org/officeDocument/2006/relationships/hyperlink" Target="https://www.mdpi.com/2076-3417/9/3/518" TargetMode="External"/><Relationship Id="rId146" Type="http://schemas.openxmlformats.org/officeDocument/2006/relationships/hyperlink" Target="https://dl.acm.org/doi/abs/10.1145/3339186.3339210" TargetMode="External"/><Relationship Id="rId267" Type="http://schemas.openxmlformats.org/officeDocument/2006/relationships/hyperlink" Target="https://www.emerald.com/insight/content/doi/10.1108/JSIT-10-2017-0089/full/html" TargetMode="External"/><Relationship Id="rId388" Type="http://schemas.openxmlformats.org/officeDocument/2006/relationships/hyperlink" Target="https://link.springer.com/article/10.1007/s00450-017-0369-0" TargetMode="External"/><Relationship Id="rId7" Type="http://schemas.openxmlformats.org/officeDocument/2006/relationships/hyperlink" Target="https://ieeexplore.ieee.org/abstract/document/8874886/" TargetMode="External"/><Relationship Id="rId145" Type="http://schemas.openxmlformats.org/officeDocument/2006/relationships/hyperlink" Target="https://ieeexplore.ieee.org/abstract/document/8603158/" TargetMode="External"/><Relationship Id="rId266" Type="http://schemas.openxmlformats.org/officeDocument/2006/relationships/hyperlink" Target="http://www.academia.edu/download/62232693/network-aware-dynamic-vm-placement-for-achieving-energy-efficient-greeny-data-centers-IJERTCONV8IS0201020200229-80968-1kl6osa.pdf" TargetMode="External"/><Relationship Id="rId387" Type="http://schemas.openxmlformats.org/officeDocument/2006/relationships/hyperlink" Target="https://www.sciencedirect.com/science/article/pii/S0306261920310096" TargetMode="External"/><Relationship Id="rId8" Type="http://schemas.openxmlformats.org/officeDocument/2006/relationships/hyperlink" Target="https://link.springer.com/article/10.1007/s10586-018-2235-7" TargetMode="External"/><Relationship Id="rId144" Type="http://schemas.openxmlformats.org/officeDocument/2006/relationships/hyperlink" Target="https://eprints.qut.edu.au/129871" TargetMode="External"/><Relationship Id="rId265" Type="http://schemas.openxmlformats.org/officeDocument/2006/relationships/hyperlink" Target="https://ieeexplore.ieee.org/abstract/document/8473877/" TargetMode="External"/><Relationship Id="rId386" Type="http://schemas.openxmlformats.org/officeDocument/2006/relationships/hyperlink" Target="https://ieeexplore.ieee.org/abstract/document/8759087/" TargetMode="External"/><Relationship Id="rId260" Type="http://schemas.openxmlformats.org/officeDocument/2006/relationships/hyperlink" Target="http://cdmd.cnki.com.cn/Article/CDMD-10248-1019634716.htm" TargetMode="External"/><Relationship Id="rId381" Type="http://schemas.openxmlformats.org/officeDocument/2006/relationships/hyperlink" Target="https://www.mdpi.com/1996-1073/13/2/448" TargetMode="External"/><Relationship Id="rId380" Type="http://schemas.openxmlformats.org/officeDocument/2006/relationships/hyperlink" Target="https://ieeexplore.ieee.org/abstract/document/8840286/" TargetMode="External"/><Relationship Id="rId139" Type="http://schemas.openxmlformats.org/officeDocument/2006/relationships/hyperlink" Target="https://www.osapublishing.org/abstract.cfm?uri=Networks-2019-NeM4D.1" TargetMode="External"/><Relationship Id="rId138" Type="http://schemas.openxmlformats.org/officeDocument/2006/relationships/hyperlink" Target="https://www.mdpi.com/1996-1073/12/8/1474" TargetMode="External"/><Relationship Id="rId259" Type="http://schemas.openxmlformats.org/officeDocument/2006/relationships/hyperlink" Target="https://link.springer.com/chapter/10.1007/978-981-13-9524-6_97" TargetMode="External"/><Relationship Id="rId137" Type="http://schemas.openxmlformats.org/officeDocument/2006/relationships/hyperlink" Target="https://www.sciencedirect.com/science/article/pii/S1568494618301327" TargetMode="External"/><Relationship Id="rId258" Type="http://schemas.openxmlformats.org/officeDocument/2006/relationships/hyperlink" Target="https://ieeexplore.ieee.org/abstract/document/9079962/" TargetMode="External"/><Relationship Id="rId379" Type="http://schemas.openxmlformats.org/officeDocument/2006/relationships/hyperlink" Target="https://www.sciencedirect.com/science/article/pii/S2405844019357263" TargetMode="External"/><Relationship Id="rId132" Type="http://schemas.openxmlformats.org/officeDocument/2006/relationships/hyperlink" Target="https://link.springer.com/article/10.1007/s10115-018-1288-5" TargetMode="External"/><Relationship Id="rId253" Type="http://schemas.openxmlformats.org/officeDocument/2006/relationships/hyperlink" Target="http://117.203.246.91:8080/jspui/handle/10266/6051" TargetMode="External"/><Relationship Id="rId374" Type="http://schemas.openxmlformats.org/officeDocument/2006/relationships/hyperlink" Target="https://ieeexplore.ieee.org/abstract/document/8875333/" TargetMode="External"/><Relationship Id="rId495" Type="http://schemas.openxmlformats.org/officeDocument/2006/relationships/hyperlink" Target="https://books.google.com/books?hl=en&amp;lr=&amp;id=fDy5DwAAQBAJ&amp;oi=fnd&amp;pg=PA314&amp;dq=energy+%22data+center%22%7C%22data+centers%22%7Cdatacenter%7Cdatacenters&amp;ots=tpvfF-nBD6&amp;sig=bXgLtoXh7u9dxM2bkYDZZYP4T7I" TargetMode="External"/><Relationship Id="rId131" Type="http://schemas.openxmlformats.org/officeDocument/2006/relationships/hyperlink" Target="https://rspsciencehub.com/article_1630_1.html" TargetMode="External"/><Relationship Id="rId252" Type="http://schemas.openxmlformats.org/officeDocument/2006/relationships/hyperlink" Target="https://ieeexplore.ieee.org/abstract/document/9117280/" TargetMode="External"/><Relationship Id="rId373" Type="http://schemas.openxmlformats.org/officeDocument/2006/relationships/hyperlink" Target="http://www.dpi-proceedings.com/index.php/dtcse/article/view/26589" TargetMode="External"/><Relationship Id="rId494" Type="http://schemas.openxmlformats.org/officeDocument/2006/relationships/hyperlink" Target="https://ieeexplore.ieee.org/abstract/document/8468062/" TargetMode="External"/><Relationship Id="rId130" Type="http://schemas.openxmlformats.org/officeDocument/2006/relationships/hyperlink" Target="https://www.sciencedirect.com/science/article/pii/S0048969719337428" TargetMode="External"/><Relationship Id="rId251" Type="http://schemas.openxmlformats.org/officeDocument/2006/relationships/hyperlink" Target="http://eprints.leedsbeckett.ac.uk/id/eprint/7316/" TargetMode="External"/><Relationship Id="rId372" Type="http://schemas.openxmlformats.org/officeDocument/2006/relationships/hyperlink" Target="https://ieeexplore.ieee.org/abstract/document/8721126/" TargetMode="External"/><Relationship Id="rId493" Type="http://schemas.openxmlformats.org/officeDocument/2006/relationships/hyperlink" Target="https://www.scielo.br/scielo.php?pid=S1516-89132019000200220&amp;script=sci_arttext" TargetMode="External"/><Relationship Id="rId250" Type="http://schemas.openxmlformats.org/officeDocument/2006/relationships/hyperlink" Target="http://conferenc.its.kpi.ua/proc/article/viewFile/129563/125044" TargetMode="External"/><Relationship Id="rId371" Type="http://schemas.openxmlformats.org/officeDocument/2006/relationships/hyperlink" Target="https://ieeexplore.ieee.org/abstract/document/8493368/" TargetMode="External"/><Relationship Id="rId492" Type="http://schemas.openxmlformats.org/officeDocument/2006/relationships/hyperlink" Target="https://link.springer.com/article/10.1007/s10586-018-2154-7" TargetMode="External"/><Relationship Id="rId136" Type="http://schemas.openxmlformats.org/officeDocument/2006/relationships/hyperlink" Target="https://ieeexplore.ieee.org/abstract/document/8986732/" TargetMode="External"/><Relationship Id="rId257" Type="http://schemas.openxmlformats.org/officeDocument/2006/relationships/hyperlink" Target="https://www.sciencedirect.com/science/article/pii/S1359431120339806" TargetMode="External"/><Relationship Id="rId378" Type="http://schemas.openxmlformats.org/officeDocument/2006/relationships/hyperlink" Target="https://www.sciencedirect.com/science/article/pii/S0167739X17321581" TargetMode="External"/><Relationship Id="rId499" Type="http://schemas.openxmlformats.org/officeDocument/2006/relationships/hyperlink" Target="https://www.mdpi.com/2079-9268/10/4/32" TargetMode="External"/><Relationship Id="rId135" Type="http://schemas.openxmlformats.org/officeDocument/2006/relationships/hyperlink" Target="https://arxiv.org/abs/1901.04372" TargetMode="External"/><Relationship Id="rId256" Type="http://schemas.openxmlformats.org/officeDocument/2006/relationships/hyperlink" Target="https://ieeexplore.ieee.org/abstract/document/9284233/" TargetMode="External"/><Relationship Id="rId377" Type="http://schemas.openxmlformats.org/officeDocument/2006/relationships/hyperlink" Target="https://link.springer.com/chapter/10.1007/978-3-030-15127-0_22" TargetMode="External"/><Relationship Id="rId498" Type="http://schemas.openxmlformats.org/officeDocument/2006/relationships/hyperlink" Target="http://103.82.172.44:8080/xmlui/handle/123456789/607" TargetMode="External"/><Relationship Id="rId134" Type="http://schemas.openxmlformats.org/officeDocument/2006/relationships/hyperlink" Target="https://ieeexplore.ieee.org/abstract/document/8430975/" TargetMode="External"/><Relationship Id="rId255" Type="http://schemas.openxmlformats.org/officeDocument/2006/relationships/hyperlink" Target="http://www.cnki.com.cn/Article/CJFDTotal-ZYGB201905004.htm" TargetMode="External"/><Relationship Id="rId376" Type="http://schemas.openxmlformats.org/officeDocument/2006/relationships/hyperlink" Target="https://dl.acm.org/doi/abs/10.1145/3297156.3297197" TargetMode="External"/><Relationship Id="rId497" Type="http://schemas.openxmlformats.org/officeDocument/2006/relationships/hyperlink" Target="https://www.politesi.polimi.it/handle/10589/137637" TargetMode="External"/><Relationship Id="rId133" Type="http://schemas.openxmlformats.org/officeDocument/2006/relationships/hyperlink" Target="https://www.colibri.udelar.edu.uy/jspui/handle/20.500.12008/26248" TargetMode="External"/><Relationship Id="rId254" Type="http://schemas.openxmlformats.org/officeDocument/2006/relationships/hyperlink" Target="https://ieeexplore.ieee.org/abstract/document/9200088/" TargetMode="External"/><Relationship Id="rId375" Type="http://schemas.openxmlformats.org/officeDocument/2006/relationships/hyperlink" Target="https://www.researchgate.net/profile/Nirav_Shah6/publication/342945834_Energy_Efficient_Approach_for_Sustainable_Cloud_Data_Center_with_Temperature_Aware_Scheduling/links/5f0eaf28a6fdcc3ed7082b6c/Energy-Efficient-Approach-for-Sustainable-Cloud-Data-Center-with-Temperature-Aware-Scheduling.pdf" TargetMode="External"/><Relationship Id="rId496" Type="http://schemas.openxmlformats.org/officeDocument/2006/relationships/hyperlink" Target="http://en.cnki.com.cn/Article_en/CJFDTotal-JSSG201801010.htm" TargetMode="External"/><Relationship Id="rId172" Type="http://schemas.openxmlformats.org/officeDocument/2006/relationships/hyperlink" Target="https://dl.acm.org/doi/abs/10.1145/3307772.3328291" TargetMode="External"/><Relationship Id="rId293" Type="http://schemas.openxmlformats.org/officeDocument/2006/relationships/hyperlink" Target="http://search.proquest.com/openview/8832b8e532096fa88f3d8b42b7c35f69/1?pq-origsite=gscholar&amp;cbl=18750&amp;diss=y" TargetMode="External"/><Relationship Id="rId171" Type="http://schemas.openxmlformats.org/officeDocument/2006/relationships/hyperlink" Target="https://ieeexplore.ieee.org/abstract/document/8364052/" TargetMode="External"/><Relationship Id="rId292" Type="http://schemas.openxmlformats.org/officeDocument/2006/relationships/hyperlink" Target="https://www.sciencedirect.com/science/article/pii/S1359431120332828" TargetMode="External"/><Relationship Id="rId170" Type="http://schemas.openxmlformats.org/officeDocument/2006/relationships/hyperlink" Target="https://www.mdpi.com/1424-8220/19/18/3980" TargetMode="External"/><Relationship Id="rId291" Type="http://schemas.openxmlformats.org/officeDocument/2006/relationships/hyperlink" Target="https://ieeexplore.ieee.org/abstract/document/8622869/" TargetMode="External"/><Relationship Id="rId290" Type="http://schemas.openxmlformats.org/officeDocument/2006/relationships/hyperlink" Target="https://ieeexplore.ieee.org/abstract/document/9219590/" TargetMode="External"/><Relationship Id="rId165" Type="http://schemas.openxmlformats.org/officeDocument/2006/relationships/hyperlink" Target="https://asmedigitalcollection.asme.org/InterPACK/proceedings-abstract/InterPACK2018/51920/V001T02A005/273909" TargetMode="External"/><Relationship Id="rId286" Type="http://schemas.openxmlformats.org/officeDocument/2006/relationships/hyperlink" Target="https://wwww.easychair.org/publications/preprint_download/ZxfV" TargetMode="External"/><Relationship Id="rId164" Type="http://schemas.openxmlformats.org/officeDocument/2006/relationships/hyperlink" Target="http://search.ebscohost.com/login.aspx?direct=true&amp;profile=ehost&amp;scope=site&amp;authtype=crawler&amp;jrnl=20888708&amp;AN=146452970&amp;h=lxQrDIHhUKQ7OgU15FCpeAuxISO%2FDupfUecB7jVeLvPws78xcAnWq%2BpN8G%2Buu2fg9hJYFPgZqPvSBABxPusyLw%3D%3D&amp;crl=c" TargetMode="External"/><Relationship Id="rId285" Type="http://schemas.openxmlformats.org/officeDocument/2006/relationships/hyperlink" Target="https://www.sciencedirect.com/science/article/pii/S2210537917304249" TargetMode="External"/><Relationship Id="rId163" Type="http://schemas.openxmlformats.org/officeDocument/2006/relationships/hyperlink" Target="https://link.springer.com/chapter/10.1007/978-981-15-3284-9_39" TargetMode="External"/><Relationship Id="rId284" Type="http://schemas.openxmlformats.org/officeDocument/2006/relationships/hyperlink" Target="http://dspace.daffodilvarsity.edu.bd:8080/handle/123456789/4583" TargetMode="External"/><Relationship Id="rId162" Type="http://schemas.openxmlformats.org/officeDocument/2006/relationships/hyperlink" Target="https://link.springer.com/chapter/10.1007/978-981-10-4394-9_60" TargetMode="External"/><Relationship Id="rId283" Type="http://schemas.openxmlformats.org/officeDocument/2006/relationships/hyperlink" Target="https://dl.acm.org/doi/abs/10.1145/3339186.3339213" TargetMode="External"/><Relationship Id="rId169" Type="http://schemas.openxmlformats.org/officeDocument/2006/relationships/hyperlink" Target="http://search.proquest.com/openview/21c57e9527878ff9b6c8a99d58d1bdb0/1?pq-origsite=gscholar&amp;cbl=4477230" TargetMode="External"/><Relationship Id="rId168" Type="http://schemas.openxmlformats.org/officeDocument/2006/relationships/hyperlink" Target="https://link.springer.com/article/10.1007/s12053-018-9753-2" TargetMode="External"/><Relationship Id="rId289" Type="http://schemas.openxmlformats.org/officeDocument/2006/relationships/hyperlink" Target="https://www.seer.ufrgs.br/rita/article/view/RITA_VOL27_NR4_63" TargetMode="External"/><Relationship Id="rId167" Type="http://schemas.openxmlformats.org/officeDocument/2006/relationships/hyperlink" Target="https://ieeexplore.ieee.org/abstract/document/8757266/" TargetMode="External"/><Relationship Id="rId288" Type="http://schemas.openxmlformats.org/officeDocument/2006/relationships/hyperlink" Target="https://link.springer.com/chapter/10.1007/978-3-030-23499-7_7" TargetMode="External"/><Relationship Id="rId166" Type="http://schemas.openxmlformats.org/officeDocument/2006/relationships/hyperlink" Target="https://asmedigitalcollection.asme.org/electronicpackaging/article-abstract/142/3/031116/1085478" TargetMode="External"/><Relationship Id="rId287" Type="http://schemas.openxmlformats.org/officeDocument/2006/relationships/hyperlink" Target="https://repo.pw.edu.pl/info/master/WUTd3ff4ce1d85849f790b02b2cc39caafb/" TargetMode="External"/><Relationship Id="rId161" Type="http://schemas.openxmlformats.org/officeDocument/2006/relationships/hyperlink" Target="https://ieeexplore.ieee.org/abstract/document/8924180/" TargetMode="External"/><Relationship Id="rId282" Type="http://schemas.openxmlformats.org/officeDocument/2006/relationships/hyperlink" Target="https://ieeexplore.ieee.org/abstract/document/8648631/" TargetMode="External"/><Relationship Id="rId160" Type="http://schemas.openxmlformats.org/officeDocument/2006/relationships/hyperlink" Target="https://www.mdpi.com/1996-1073/13/2/393" TargetMode="External"/><Relationship Id="rId281" Type="http://schemas.openxmlformats.org/officeDocument/2006/relationships/hyperlink" Target="https://www.jstage.jst.go.jp/article/gre/1/0/1_319/_article/-char/ja/" TargetMode="External"/><Relationship Id="rId280" Type="http://schemas.openxmlformats.org/officeDocument/2006/relationships/hyperlink" Target="https://www.diva-portal.org/smash/record.jsf?pid=diva2:1192294" TargetMode="External"/><Relationship Id="rId159" Type="http://schemas.openxmlformats.org/officeDocument/2006/relationships/hyperlink" Target="https://www.atlantis-press.com/proceedings/iccia-19/125913111" TargetMode="External"/><Relationship Id="rId154" Type="http://schemas.openxmlformats.org/officeDocument/2006/relationships/hyperlink" Target="https://go.gale.com/ps/i.do?id=GALE%7CA584980305&amp;sid=googleScholar&amp;v=2.1&amp;it=r&amp;linkaccess=abs&amp;issn=00012505&amp;p=AONE&amp;sw=w" TargetMode="External"/><Relationship Id="rId275" Type="http://schemas.openxmlformats.org/officeDocument/2006/relationships/hyperlink" Target="https://www.mdpi.com/2071-1050/11/18/4937" TargetMode="External"/><Relationship Id="rId396" Type="http://schemas.openxmlformats.org/officeDocument/2006/relationships/hyperlink" Target="https://link.springer.com/article/10.1007/s12652-020-02283-6" TargetMode="External"/><Relationship Id="rId153" Type="http://schemas.openxmlformats.org/officeDocument/2006/relationships/hyperlink" Target="https://jit.ndhu.edu.tw/article/view/2085" TargetMode="External"/><Relationship Id="rId274" Type="http://schemas.openxmlformats.org/officeDocument/2006/relationships/hyperlink" Target="https://iopscience.iop.org/article/10.1088/1757-899X/322/5/052037/meta" TargetMode="External"/><Relationship Id="rId395" Type="http://schemas.openxmlformats.org/officeDocument/2006/relationships/hyperlink" Target="https://ieeexplore.ieee.org/abstract/document/8359318/" TargetMode="External"/><Relationship Id="rId152" Type="http://schemas.openxmlformats.org/officeDocument/2006/relationships/hyperlink" Target="http://www.ihtcdigitallibrary.com/conferences/ihtc16,43c1002541586ecd,67018b763fa3e332.html" TargetMode="External"/><Relationship Id="rId273" Type="http://schemas.openxmlformats.org/officeDocument/2006/relationships/hyperlink" Target="https://escholarship.org/uc/item/1kg024gh" TargetMode="External"/><Relationship Id="rId394" Type="http://schemas.openxmlformats.org/officeDocument/2006/relationships/hyperlink" Target="https://www.igi-global.com/article/energy-efficient-load-balancing-in-cloud-data-center-using-clustering-technique/221354" TargetMode="External"/><Relationship Id="rId151" Type="http://schemas.openxmlformats.org/officeDocument/2006/relationships/hyperlink" Target="https://ieeexplore.ieee.org/abstract/document/8982573/" TargetMode="External"/><Relationship Id="rId272" Type="http://schemas.openxmlformats.org/officeDocument/2006/relationships/hyperlink" Target="https://dl.acm.org/doi/abs/10.1145/3199524.3199558" TargetMode="External"/><Relationship Id="rId393" Type="http://schemas.openxmlformats.org/officeDocument/2006/relationships/hyperlink" Target="https://tel.archives-ouvertes.fr/tel-02948725/" TargetMode="External"/><Relationship Id="rId158" Type="http://schemas.openxmlformats.org/officeDocument/2006/relationships/hyperlink" Target="https://www.researchgate.net/profile/Ralph_Hintemann/publication/330359801_Technology_radars_for_energy-efficient_data_centers_A_transdisciplinary_approach_to_technology_identification_analysis_and_evaluation/links/5c3c620492851c22a3736e4e/Technology-radars-for-energy-efficient-data-centers-A-transdisciplinary-approach-to-technology-identification-analysis-and-evaluation.pdf" TargetMode="External"/><Relationship Id="rId279" Type="http://schemas.openxmlformats.org/officeDocument/2006/relationships/hyperlink" Target="https://ieeexplore.ieee.org/abstract/document/8825507/" TargetMode="External"/><Relationship Id="rId157" Type="http://schemas.openxmlformats.org/officeDocument/2006/relationships/hyperlink" Target="https://link.springer.com/chapter/10.1007/978-3-319-62238-5_8" TargetMode="External"/><Relationship Id="rId278" Type="http://schemas.openxmlformats.org/officeDocument/2006/relationships/hyperlink" Target="https://arxiv.org/abs/1809.05853" TargetMode="External"/><Relationship Id="rId399" Type="http://schemas.openxmlformats.org/officeDocument/2006/relationships/hyperlink" Target="https://ieeexplore.ieee.org/abstract/document/9235727/" TargetMode="External"/><Relationship Id="rId156" Type="http://schemas.openxmlformats.org/officeDocument/2006/relationships/hyperlink" Target="http://engine.scichina.com/doi/10.1360/N112018-00293" TargetMode="External"/><Relationship Id="rId277" Type="http://schemas.openxmlformats.org/officeDocument/2006/relationships/hyperlink" Target="https://www.sciencedirect.com/science/article/pii/S0167739X17326249" TargetMode="External"/><Relationship Id="rId398" Type="http://schemas.openxmlformats.org/officeDocument/2006/relationships/hyperlink" Target="http://search.ebscohost.com/login.aspx?direct=true&amp;profile=ehost&amp;scope=site&amp;authtype=crawler&amp;jrnl=20888708&amp;AN=138302013&amp;h=GbgvDcZMIvldyslYrTGalV9KptTHDBQJ%2BvkrXtkaTtZRG4CuZH5zZI%2BTH4SgDSsLVZICYrK7r4yf8mGx55e0xQ%3D%3D&amp;crl=c" TargetMode="External"/><Relationship Id="rId155" Type="http://schemas.openxmlformats.org/officeDocument/2006/relationships/hyperlink" Target="https://jespublication.com/upload/2019-V10-I12-10.pdf" TargetMode="External"/><Relationship Id="rId276" Type="http://schemas.openxmlformats.org/officeDocument/2006/relationships/hyperlink" Target="https://onlinelibrary.wiley.com/doi/abs/10.1002/cpe.6134" TargetMode="External"/><Relationship Id="rId397" Type="http://schemas.openxmlformats.org/officeDocument/2006/relationships/hyperlink" Target="https://ieeexplore.ieee.org/abstract/document/8581654/" TargetMode="External"/><Relationship Id="rId40" Type="http://schemas.openxmlformats.org/officeDocument/2006/relationships/hyperlink" Target="https://arxiv.org/abs/1912.09870" TargetMode="External"/><Relationship Id="rId42" Type="http://schemas.openxmlformats.org/officeDocument/2006/relationships/hyperlink" Target="https://www.sciencedirect.com/science/article/pii/S0306261919317969" TargetMode="External"/><Relationship Id="rId41" Type="http://schemas.openxmlformats.org/officeDocument/2006/relationships/hyperlink" Target="https://ieeexplore.ieee.org/abstract/document/8836768/" TargetMode="External"/><Relationship Id="rId44" Type="http://schemas.openxmlformats.org/officeDocument/2006/relationships/hyperlink" Target="http://search.proquest.com/openview/bcf81e0b54af76dc5f89886bd193f220/1?pq-origsite=gscholar&amp;cbl=18750&amp;diss=y" TargetMode="External"/><Relationship Id="rId43" Type="http://schemas.openxmlformats.org/officeDocument/2006/relationships/hyperlink" Target="http://www.sustainability.man.dtu.dk/english/-/media/Centre/SYS_Systems_Analysis/Master-Theses/AColangelo_Master_Thesis_DTU.ashx?la=da&amp;hash=E53B861AB130C97AA20D2AE20BC7B35CD877DE1B" TargetMode="External"/><Relationship Id="rId46" Type="http://schemas.openxmlformats.org/officeDocument/2006/relationships/hyperlink" Target="https://www.researchgate.net/profile/Khaled_Salah7/publication/329706398_Modeling_of_the_Energy_Consumption_in_Cloud_Datacenters/links/5c174e0f92851c39ebf2ea44/Modeling-of-the-Energy-Consumption-in-Cloud-Datacenters.pdf" TargetMode="External"/><Relationship Id="rId45" Type="http://schemas.openxmlformats.org/officeDocument/2006/relationships/hyperlink" Target="https://ieeexplore.ieee.org/abstract/document/9133776/" TargetMode="External"/><Relationship Id="rId509" Type="http://schemas.openxmlformats.org/officeDocument/2006/relationships/hyperlink" Target="https://www.tandfonline.com/doi/abs/10.1080/01998595.2018.11969275" TargetMode="External"/><Relationship Id="rId508" Type="http://schemas.openxmlformats.org/officeDocument/2006/relationships/hyperlink" Target="https://dl.acm.org/doi/abs/10.1145/3208903.3213522" TargetMode="External"/><Relationship Id="rId629" Type="http://schemas.openxmlformats.org/officeDocument/2006/relationships/hyperlink" Target="https://www.sciencedirect.com/science/article/pii/S2215098618312023" TargetMode="External"/><Relationship Id="rId503" Type="http://schemas.openxmlformats.org/officeDocument/2006/relationships/hyperlink" Target="http://search.proquest.com/openview/ce6696a884d693164672c307d63d48ca/1?pq-origsite=gscholar&amp;cbl=18750&amp;diss=y" TargetMode="External"/><Relationship Id="rId624" Type="http://schemas.openxmlformats.org/officeDocument/2006/relationships/hyperlink" Target="https://www.osapublishing.org/abstract.cfm?uri=ACPC-2020-S4I.6" TargetMode="External"/><Relationship Id="rId502" Type="http://schemas.openxmlformats.org/officeDocument/2006/relationships/hyperlink" Target="https://eej.aut.ac.ir/article_2689_0.html" TargetMode="External"/><Relationship Id="rId623" Type="http://schemas.openxmlformats.org/officeDocument/2006/relationships/hyperlink" Target="https://dl.acm.org/doi/abs/10.1145/3208903.3213777" TargetMode="External"/><Relationship Id="rId501" Type="http://schemas.openxmlformats.org/officeDocument/2006/relationships/hyperlink" Target="https://ieeexplore.ieee.org/abstract/document/8644224/" TargetMode="External"/><Relationship Id="rId622" Type="http://schemas.openxmlformats.org/officeDocument/2006/relationships/hyperlink" Target="https://www.sciencedirect.com/science/article/pii/S0140700720301626" TargetMode="External"/><Relationship Id="rId500" Type="http://schemas.openxmlformats.org/officeDocument/2006/relationships/hyperlink" Target="https://link.springer.com/chapter/10.1007/978-3-319-65687-8_24" TargetMode="External"/><Relationship Id="rId621" Type="http://schemas.openxmlformats.org/officeDocument/2006/relationships/hyperlink" Target="https://ieeexplore.ieee.org/abstract/document/8947192/" TargetMode="External"/><Relationship Id="rId507" Type="http://schemas.openxmlformats.org/officeDocument/2006/relationships/hyperlink" Target="https://www.diva-portal.org/smash/record.jsf?pid=diva2:1182242" TargetMode="External"/><Relationship Id="rId628" Type="http://schemas.openxmlformats.org/officeDocument/2006/relationships/hyperlink" Target="https://link.springer.com/chapter/10.1007/978-981-15-8530-2_60" TargetMode="External"/><Relationship Id="rId506" Type="http://schemas.openxmlformats.org/officeDocument/2006/relationships/hyperlink" Target="https://www.researchgate.net/profile/Yuhui_Deng/publication/329458793_Air_Flow_Based_Failure_Model_for_Data_Centers_18th_International_Conference_ICA3PP_2018_Guangzhou_China_November_15-17_2018_Proceedings_Part_I/links/5ee96f90458515814a652552/Air-Flow-Based-Failure-Model-for-Data-Centers-18th-International-Conference-ICA3PP-2018-Guangzhou-China-November-15-17-2018-Proceedings-Part-I.pdf" TargetMode="External"/><Relationship Id="rId627" Type="http://schemas.openxmlformats.org/officeDocument/2006/relationships/hyperlink" Target="https://www.sciencedirect.com/science/article/pii/S1084804519303571" TargetMode="External"/><Relationship Id="rId505" Type="http://schemas.openxmlformats.org/officeDocument/2006/relationships/hyperlink" Target="https://onlinelibrary.wiley.com/doi/abs/10.1002/spe.2603" TargetMode="External"/><Relationship Id="rId626" Type="http://schemas.openxmlformats.org/officeDocument/2006/relationships/hyperlink" Target="https://www.sciencedirect.com/science/article/pii/S0017931019367195" TargetMode="External"/><Relationship Id="rId504" Type="http://schemas.openxmlformats.org/officeDocument/2006/relationships/hyperlink" Target="https://link.springer.com/chapter/10.1007/978-3-319-75928-9_49" TargetMode="External"/><Relationship Id="rId625" Type="http://schemas.openxmlformats.org/officeDocument/2006/relationships/hyperlink" Target="https://www.sciencedirect.com/science/article/pii/S2210537916301718" TargetMode="External"/><Relationship Id="rId48" Type="http://schemas.openxmlformats.org/officeDocument/2006/relationships/hyperlink" Target="https://aip.scitation.org/doi/abs/10.1063/5.0024789" TargetMode="External"/><Relationship Id="rId47" Type="http://schemas.openxmlformats.org/officeDocument/2006/relationships/hyperlink" Target="https://books.google.com/books?hl=en&amp;lr=&amp;id=8cynDwAAQBAJ&amp;oi=fnd&amp;pg=PP2&amp;dq=energy+%22data+center%22%7C%22data+centers%22%7Cdatacenter%7Cdatacenters&amp;ots=IcNfd3iFR7&amp;sig=F3pd4gobxeDUtao-hMOBDKLP85g" TargetMode="External"/><Relationship Id="rId49" Type="http://schemas.openxmlformats.org/officeDocument/2006/relationships/hyperlink" Target="https://ieeexplore.ieee.org/abstract/document/8791437/" TargetMode="External"/><Relationship Id="rId620" Type="http://schemas.openxmlformats.org/officeDocument/2006/relationships/hyperlink" Target="https://www.e3s-conferences.org/articles/e3sconf/abs/2018/39/e3sconf_icpre2018_01003/e3sconf_icpre2018_01003.html" TargetMode="External"/><Relationship Id="rId31" Type="http://schemas.openxmlformats.org/officeDocument/2006/relationships/hyperlink" Target="https://ieeexplore.ieee.org/abstract/document/8573865/" TargetMode="External"/><Relationship Id="rId30" Type="http://schemas.openxmlformats.org/officeDocument/2006/relationships/hyperlink" Target="https://ieeexplore.ieee.org/abstract/document/9011590/" TargetMode="External"/><Relationship Id="rId33" Type="http://schemas.openxmlformats.org/officeDocument/2006/relationships/hyperlink" Target="https://search.ieice.org/bin/summary.php?id=e101-d_7_1816" TargetMode="External"/><Relationship Id="rId32" Type="http://schemas.openxmlformats.org/officeDocument/2006/relationships/hyperlink" Target="http://search.proquest.com/openview/7a63628bec7fbbb6457d322402461ce7/1?pq-origsite=gscholar&amp;cbl=18750&amp;diss=y" TargetMode="External"/><Relationship Id="rId35" Type="http://schemas.openxmlformats.org/officeDocument/2006/relationships/hyperlink" Target="https://link.springer.com/chapter/10.1007/978-3-319-69889-2_5" TargetMode="External"/><Relationship Id="rId34" Type="http://schemas.openxmlformats.org/officeDocument/2006/relationships/hyperlink" Target="https://ieeexplore.ieee.org/abstract/document/8726577/" TargetMode="External"/><Relationship Id="rId619" Type="http://schemas.openxmlformats.org/officeDocument/2006/relationships/hyperlink" Target="https://ieeexplore.ieee.org/abstract/document/8612307/" TargetMode="External"/><Relationship Id="rId618" Type="http://schemas.openxmlformats.org/officeDocument/2006/relationships/hyperlink" Target="https://www.sciencedirect.com/science/article/pii/S1569190X20300666" TargetMode="External"/><Relationship Id="rId613" Type="http://schemas.openxmlformats.org/officeDocument/2006/relationships/hyperlink" Target="https://ieeexplore.ieee.org/abstract/document/8647884/" TargetMode="External"/><Relationship Id="rId612" Type="http://schemas.openxmlformats.org/officeDocument/2006/relationships/hyperlink" Target="https://link.springer.com/content/pdf/10.1007/s10973-020-09499-w.pdf" TargetMode="External"/><Relationship Id="rId611" Type="http://schemas.openxmlformats.org/officeDocument/2006/relationships/hyperlink" Target="https://tel.archives-ouvertes.fr/tel-02628518/" TargetMode="External"/><Relationship Id="rId610" Type="http://schemas.openxmlformats.org/officeDocument/2006/relationships/hyperlink" Target="https://ieeexplore.ieee.org/abstract/document/8714461/" TargetMode="External"/><Relationship Id="rId617" Type="http://schemas.openxmlformats.org/officeDocument/2006/relationships/hyperlink" Target="https://par.nsf.gov/biblio/10157200" TargetMode="External"/><Relationship Id="rId616" Type="http://schemas.openxmlformats.org/officeDocument/2006/relationships/hyperlink" Target="https://ieeexplore.ieee.org/abstract/document/8278252/" TargetMode="External"/><Relationship Id="rId615" Type="http://schemas.openxmlformats.org/officeDocument/2006/relationships/hyperlink" Target="https://books.google.com/books?hl=en&amp;lr=&amp;id=DZBQDwAAQBAJ&amp;oi=fnd&amp;pg=PA92&amp;dq=energy+%22data+center%22%7C%22data+centers%22%7Cdatacenter%7Cdatacenters&amp;ots=eS_suGR3kd&amp;sig=9D2OGbyEgZ6nawsg5dg1uBkm2_s" TargetMode="External"/><Relationship Id="rId614" Type="http://schemas.openxmlformats.org/officeDocument/2006/relationships/hyperlink" Target="https://www.sciencedirect.com/science/article/pii/S1389041720300553" TargetMode="External"/><Relationship Id="rId37" Type="http://schemas.openxmlformats.org/officeDocument/2006/relationships/hyperlink" Target="https://ieeexplore.ieee.org/abstract/document/8751279/" TargetMode="External"/><Relationship Id="rId36" Type="http://schemas.openxmlformats.org/officeDocument/2006/relationships/hyperlink" Target="https://deepblue.lib.umich.edu/handle/2027.42/144043" TargetMode="External"/><Relationship Id="rId39" Type="http://schemas.openxmlformats.org/officeDocument/2006/relationships/hyperlink" Target="https://link.springer.com/chapter/10.1007/978-3-030-33702-5_24" TargetMode="External"/><Relationship Id="rId38" Type="http://schemas.openxmlformats.org/officeDocument/2006/relationships/hyperlink" Target="https://www.academia.edu/download/63263096/Vol-10-issue-4-M-0120200510-129948-v2vkwo.pdf" TargetMode="External"/><Relationship Id="rId20" Type="http://schemas.openxmlformats.org/officeDocument/2006/relationships/hyperlink" Target="http://large.stanford.edu/courses/2018/ph240/mangu2/" TargetMode="External"/><Relationship Id="rId22" Type="http://schemas.openxmlformats.org/officeDocument/2006/relationships/hyperlink" Target="https://link.springer.com/article/10.1007/s10586-018-2869-5" TargetMode="External"/><Relationship Id="rId21" Type="http://schemas.openxmlformats.org/officeDocument/2006/relationships/hyperlink" Target="http://yadda.icm.edu.pl/yadda/element/bwmeta1.element.baztech-23b0c1e8-5925-43c0-9a13-3d9add2560eb" TargetMode="External"/><Relationship Id="rId24" Type="http://schemas.openxmlformats.org/officeDocument/2006/relationships/hyperlink" Target="https://ieeexplore.ieee.org/abstract/document/8844871/" TargetMode="External"/><Relationship Id="rId23" Type="http://schemas.openxmlformats.org/officeDocument/2006/relationships/hyperlink" Target="https://ieeexplore.ieee.org/abstract/document/8559920/" TargetMode="External"/><Relationship Id="rId409" Type="http://schemas.openxmlformats.org/officeDocument/2006/relationships/hyperlink" Target="https://www.sciencedirect.com/science/article/pii/S1319157818306554" TargetMode="External"/><Relationship Id="rId404" Type="http://schemas.openxmlformats.org/officeDocument/2006/relationships/hyperlink" Target="https://www.researchgate.net/profile/Tahereh_Haghroosta/project/Research-in-Marine-Sciences/attachment/5e8086213843b0047b3809fd/AS:874385888002049@1585481249235/download/Research+in+Marine+Sciences-14+-3.pdf?context=ProjectUpdatesLog" TargetMode="External"/><Relationship Id="rId525" Type="http://schemas.openxmlformats.org/officeDocument/2006/relationships/hyperlink" Target="https://www.diva-portal.org/smash/record.jsf?pid=diva2:1267777" TargetMode="External"/><Relationship Id="rId646" Type="http://schemas.openxmlformats.org/officeDocument/2006/relationships/hyperlink" Target="http://search.proquest.com/openview/e662afdead5bbe60b28364c35154ce1f/1?pq-origsite=gscholar&amp;cbl=18750&amp;diss=y" TargetMode="External"/><Relationship Id="rId403" Type="http://schemas.openxmlformats.org/officeDocument/2006/relationships/hyperlink" Target="https://www.sciencedirect.com/science/article/pii/S0306261920309363" TargetMode="External"/><Relationship Id="rId524" Type="http://schemas.openxmlformats.org/officeDocument/2006/relationships/hyperlink" Target="https://ieeexplore.ieee.org/abstract/document/8880271/" TargetMode="External"/><Relationship Id="rId645" Type="http://schemas.openxmlformats.org/officeDocument/2006/relationships/hyperlink" Target="https://www.igi-global.com/chapter/a-decadal-walkthrough-on-energy-modelling-for-cloud-datacenters/269819" TargetMode="External"/><Relationship Id="rId402" Type="http://schemas.openxmlformats.org/officeDocument/2006/relationships/hyperlink" Target="https://ieeexplore.ieee.org/abstract/document/8937836/" TargetMode="External"/><Relationship Id="rId523" Type="http://schemas.openxmlformats.org/officeDocument/2006/relationships/hyperlink" Target="https://link.springer.com/chapter/10.1007/978-981-10-8533-8_2" TargetMode="External"/><Relationship Id="rId644" Type="http://schemas.openxmlformats.org/officeDocument/2006/relationships/hyperlink" Target="https://ieeexplore.ieee.org/abstract/document/8761333/" TargetMode="External"/><Relationship Id="rId401" Type="http://schemas.openxmlformats.org/officeDocument/2006/relationships/hyperlink" Target="https://www.sciencedirect.com/science/article/pii/S1364032118304404" TargetMode="External"/><Relationship Id="rId522" Type="http://schemas.openxmlformats.org/officeDocument/2006/relationships/hyperlink" Target="https://ieeexplore.ieee.org/abstract/document/9224637/" TargetMode="External"/><Relationship Id="rId643" Type="http://schemas.openxmlformats.org/officeDocument/2006/relationships/hyperlink" Target="http://idr.nitk.ac.in/jspui/handle/123456789/14122" TargetMode="External"/><Relationship Id="rId408" Type="http://schemas.openxmlformats.org/officeDocument/2006/relationships/hyperlink" Target="https://ieeexplore.ieee.org/abstract/document/9190394/" TargetMode="External"/><Relationship Id="rId529" Type="http://schemas.openxmlformats.org/officeDocument/2006/relationships/hyperlink" Target="https://scholarship.law.umn.edu/cgi/viewcontent.cgi?article=1467&amp;context=mjlst" TargetMode="External"/><Relationship Id="rId407" Type="http://schemas.openxmlformats.org/officeDocument/2006/relationships/hyperlink" Target="https://ieeexplore.ieee.org/abstract/document/9209712/" TargetMode="External"/><Relationship Id="rId528" Type="http://schemas.openxmlformats.org/officeDocument/2006/relationships/hyperlink" Target="https://www.sciencedirect.com/science/article/pii/S0167739X17315650" TargetMode="External"/><Relationship Id="rId649" Type="http://schemas.openxmlformats.org/officeDocument/2006/relationships/hyperlink" Target="https://link.springer.com/article/10.1007/s10922-019-09489-w" TargetMode="External"/><Relationship Id="rId406" Type="http://schemas.openxmlformats.org/officeDocument/2006/relationships/hyperlink" Target="https://www.sciencedirect.com/science/article/pii/S0167739X19304145" TargetMode="External"/><Relationship Id="rId527" Type="http://schemas.openxmlformats.org/officeDocument/2006/relationships/hyperlink" Target="https://www.sciencedirect.com/science/article/pii/S0957417418307498" TargetMode="External"/><Relationship Id="rId648" Type="http://schemas.openxmlformats.org/officeDocument/2006/relationships/hyperlink" Target="https://ieeexplore.ieee.org/abstract/document/8308710/" TargetMode="External"/><Relationship Id="rId405" Type="http://schemas.openxmlformats.org/officeDocument/2006/relationships/hyperlink" Target="https://ieeexplore.ieee.org/abstract/document/8493571/" TargetMode="External"/><Relationship Id="rId526" Type="http://schemas.openxmlformats.org/officeDocument/2006/relationships/hyperlink" Target="https://link.springer.com/chapter/10.1007/978-3-319-99972-2_13" TargetMode="External"/><Relationship Id="rId647" Type="http://schemas.openxmlformats.org/officeDocument/2006/relationships/hyperlink" Target="https://www.qscience.com/content/papers/10.5339/qfarc.2018.ICTPD814" TargetMode="External"/><Relationship Id="rId26" Type="http://schemas.openxmlformats.org/officeDocument/2006/relationships/hyperlink" Target="https://ieeexplore.ieee.org/abstract/document/8602665/" TargetMode="External"/><Relationship Id="rId25" Type="http://schemas.openxmlformats.org/officeDocument/2006/relationships/hyperlink" Target="https://www.sciencedirect.com/science/article/pii/S2405896318326697" TargetMode="External"/><Relationship Id="rId28" Type="http://schemas.openxmlformats.org/officeDocument/2006/relationships/hyperlink" Target="https://books.google.com/books?hl=en&amp;lr=&amp;id=ugGfDwAAQBAJ&amp;oi=fnd&amp;pg=PA254&amp;dq=energy+%22data+center%22%7C%22data+centers%22%7Cdatacenter%7Cdatacenters&amp;ots=BSgV44jf6H&amp;sig=vDovkv3Wmr4qK-cMfULtdD2QClw" TargetMode="External"/><Relationship Id="rId27" Type="http://schemas.openxmlformats.org/officeDocument/2006/relationships/hyperlink" Target="https://www.osti.gov/biblio/1471661" TargetMode="External"/><Relationship Id="rId400" Type="http://schemas.openxmlformats.org/officeDocument/2006/relationships/hyperlink" Target="https://ieeexplore.ieee.org/abstract/document/8559745/" TargetMode="External"/><Relationship Id="rId521" Type="http://schemas.openxmlformats.org/officeDocument/2006/relationships/hyperlink" Target="https://www.mdpi.com/1996-1073/12/14/2757" TargetMode="External"/><Relationship Id="rId642" Type="http://schemas.openxmlformats.org/officeDocument/2006/relationships/hyperlink" Target="https://www.researchgate.net/profile/Sara_Diouani/publication/326832527_Green_Cloud_Computing_Efficient_Energy-Aware_and_Dynamic_Resources_Management_in_Data_Centers/links/5b92ad6892851c78c4f6d0a7/Green-Cloud-Computing-Efficient-Energy-Aware-and-Dynamic-Resources-Management-in-Data-Centers.pdf" TargetMode="External"/><Relationship Id="rId29" Type="http://schemas.openxmlformats.org/officeDocument/2006/relationships/hyperlink" Target="https://ieeexplore.ieee.org/abstract/document/9017981/" TargetMode="External"/><Relationship Id="rId520" Type="http://schemas.openxmlformats.org/officeDocument/2006/relationships/hyperlink" Target="https://www.sciencedirect.com/science/article/pii/S0378778819336771" TargetMode="External"/><Relationship Id="rId641" Type="http://schemas.openxmlformats.org/officeDocument/2006/relationships/hyperlink" Target="https://ieeexplore.ieee.org/abstract/document/9291205/" TargetMode="External"/><Relationship Id="rId640" Type="http://schemas.openxmlformats.org/officeDocument/2006/relationships/hyperlink" Target="https://onlinelibrary.wiley.com/doi/abs/10.1002/cpe.5044" TargetMode="External"/><Relationship Id="rId11" Type="http://schemas.openxmlformats.org/officeDocument/2006/relationships/hyperlink" Target="https://ieeexplore.ieee.org/abstract/document/9053186/" TargetMode="External"/><Relationship Id="rId10" Type="http://schemas.openxmlformats.org/officeDocument/2006/relationships/hyperlink" Target="http://search.proquest.com/openview/9935a1c2beb4fb91521f0ebe69ddda50/1?pq-origsite=gscholar&amp;cbl=18750&amp;diss=y" TargetMode="External"/><Relationship Id="rId13" Type="http://schemas.openxmlformats.org/officeDocument/2006/relationships/hyperlink" Target="https://dl.acm.org/doi/abs/10.1145/3320326.3320332" TargetMode="External"/><Relationship Id="rId12" Type="http://schemas.openxmlformats.org/officeDocument/2006/relationships/hyperlink" Target="https://www.mdpi.com/1996-1073/12/17/3301" TargetMode="External"/><Relationship Id="rId519" Type="http://schemas.openxmlformats.org/officeDocument/2006/relationships/hyperlink" Target="https://link.springer.com/content/pdf/10.1007/s11227-020-03248-4.pdf" TargetMode="External"/><Relationship Id="rId514" Type="http://schemas.openxmlformats.org/officeDocument/2006/relationships/hyperlink" Target="https://link.springer.com/chapter/10.1007/978-3-662-57886-5_17" TargetMode="External"/><Relationship Id="rId635" Type="http://schemas.openxmlformats.org/officeDocument/2006/relationships/hyperlink" Target="https://ieeexplore.ieee.org/abstract/document/8606104/" TargetMode="External"/><Relationship Id="rId513" Type="http://schemas.openxmlformats.org/officeDocument/2006/relationships/hyperlink" Target="https://scholarsmine.mst.edu/doctoral_dissertations/2690/" TargetMode="External"/><Relationship Id="rId634" Type="http://schemas.openxmlformats.org/officeDocument/2006/relationships/hyperlink" Target="https://www.sciencedirect.com/science/article/pii/S0167739X18318491" TargetMode="External"/><Relationship Id="rId512" Type="http://schemas.openxmlformats.org/officeDocument/2006/relationships/hyperlink" Target="https://ieeexplore.ieee.org/abstract/document/8905595/" TargetMode="External"/><Relationship Id="rId633" Type="http://schemas.openxmlformats.org/officeDocument/2006/relationships/hyperlink" Target="https://ieeexplore.ieee.org/abstract/document/8452029/" TargetMode="External"/><Relationship Id="rId511" Type="http://schemas.openxmlformats.org/officeDocument/2006/relationships/hyperlink" Target="https://link.springer.com/article/10.1007/s11227-020-03353-4" TargetMode="External"/><Relationship Id="rId632" Type="http://schemas.openxmlformats.org/officeDocument/2006/relationships/hyperlink" Target="https://link.springer.com/article/10.1007/s11704-014-4019-4" TargetMode="External"/><Relationship Id="rId518" Type="http://schemas.openxmlformats.org/officeDocument/2006/relationships/hyperlink" Target="https://digital-library.theiet.org/content/journals/10.1049/cje.2020.10.008" TargetMode="External"/><Relationship Id="rId639" Type="http://schemas.openxmlformats.org/officeDocument/2006/relationships/hyperlink" Target="https://www.digiplex.com/resources/nyheter/Energy-Hogs.pdf" TargetMode="External"/><Relationship Id="rId517" Type="http://schemas.openxmlformats.org/officeDocument/2006/relationships/hyperlink" Target="https://www.sciencedirect.com/science/article/pii/S030626192031518X" TargetMode="External"/><Relationship Id="rId638" Type="http://schemas.openxmlformats.org/officeDocument/2006/relationships/hyperlink" Target="https://ieeexplore.ieee.org/abstract/document/8822159/" TargetMode="External"/><Relationship Id="rId516" Type="http://schemas.openxmlformats.org/officeDocument/2006/relationships/hyperlink" Target="https://link.springer.com/article/10.1007/s00500-020-05240-9" TargetMode="External"/><Relationship Id="rId637" Type="http://schemas.openxmlformats.org/officeDocument/2006/relationships/hyperlink" Target="https://deepblue.lib.umich.edu/handle/2027.42/147726" TargetMode="External"/><Relationship Id="rId515" Type="http://schemas.openxmlformats.org/officeDocument/2006/relationships/hyperlink" Target="https://ieeexplore.ieee.org/abstract/document/8855662/" TargetMode="External"/><Relationship Id="rId636" Type="http://schemas.openxmlformats.org/officeDocument/2006/relationships/hyperlink" Target="https://www.igi-global.com/chapter/energy-and-carbonfootprint-aware-management-of-geo-distributed-clouddata-centers/189954" TargetMode="External"/><Relationship Id="rId15" Type="http://schemas.openxmlformats.org/officeDocument/2006/relationships/hyperlink" Target="http://journal2.um.ac.id/index.php/keds/article/view/4797" TargetMode="External"/><Relationship Id="rId14" Type="http://schemas.openxmlformats.org/officeDocument/2006/relationships/hyperlink" Target="https://link.springer.com/chapter/10.1007/978-3-030-12065-8_1" TargetMode="External"/><Relationship Id="rId17" Type="http://schemas.openxmlformats.org/officeDocument/2006/relationships/hyperlink" Target="https://link.springer.com/content/pdf/10.1007/s00607-020-00805-w.pdf" TargetMode="External"/><Relationship Id="rId16" Type="http://schemas.openxmlformats.org/officeDocument/2006/relationships/hyperlink" Target="https://ieeexplore.ieee.org/abstract/document/8742558/" TargetMode="External"/><Relationship Id="rId19" Type="http://schemas.openxmlformats.org/officeDocument/2006/relationships/hyperlink" Target="https://ijnaa.semnan.ac.ir/article_4666.html" TargetMode="External"/><Relationship Id="rId510" Type="http://schemas.openxmlformats.org/officeDocument/2006/relationships/hyperlink" Target="https://dl.acm.org/doi/abs/10.1145/3396851.3402657" TargetMode="External"/><Relationship Id="rId631" Type="http://schemas.openxmlformats.org/officeDocument/2006/relationships/hyperlink" Target="https://link.springer.com/article/10.1007/s10586-018-2028-z" TargetMode="External"/><Relationship Id="rId18" Type="http://schemas.openxmlformats.org/officeDocument/2006/relationships/hyperlink" Target="https://centerprode.com/ojit/ojit0301/coas.ojit.0301.01001m.html" TargetMode="External"/><Relationship Id="rId630" Type="http://schemas.openxmlformats.org/officeDocument/2006/relationships/hyperlink" Target="http://www.jatit.org/volumes/Vol96No2/22Vol96No2.pdf" TargetMode="External"/><Relationship Id="rId84" Type="http://schemas.openxmlformats.org/officeDocument/2006/relationships/hyperlink" Target="https://tigerprints.clemson.edu/all_theses/3297/" TargetMode="External"/><Relationship Id="rId83" Type="http://schemas.openxmlformats.org/officeDocument/2006/relationships/hyperlink" Target="https://ieeexplore.ieee.org/abstract/document/8693725/" TargetMode="External"/><Relationship Id="rId86" Type="http://schemas.openxmlformats.org/officeDocument/2006/relationships/hyperlink" Target="https://content.iospress.com/articles/journal-of-intelligent-and-fuzzy-systems/ifs181016" TargetMode="External"/><Relationship Id="rId85" Type="http://schemas.openxmlformats.org/officeDocument/2006/relationships/hyperlink" Target="https://www.mdpi.com/1999-4893/11/10/145" TargetMode="External"/><Relationship Id="rId88" Type="http://schemas.openxmlformats.org/officeDocument/2006/relationships/hyperlink" Target="https://link.springer.com/chapter/10.1007/978-3-030-22871-2_19" TargetMode="External"/><Relationship Id="rId87" Type="http://schemas.openxmlformats.org/officeDocument/2006/relationships/hyperlink" Target="https://dl.acm.org/doi/abs/10.1145/3307772.3328308" TargetMode="External"/><Relationship Id="rId89" Type="http://schemas.openxmlformats.org/officeDocument/2006/relationships/hyperlink" Target="https://www.sciencedirect.com/science/article/pii/S1569190X18301850" TargetMode="External"/><Relationship Id="rId80" Type="http://schemas.openxmlformats.org/officeDocument/2006/relationships/hyperlink" Target="https://ieeexplore.ieee.org/abstract/document/8663624/" TargetMode="External"/><Relationship Id="rId82" Type="http://schemas.openxmlformats.org/officeDocument/2006/relationships/hyperlink" Target="https://link.springer.com/chapter/10.1007/978-981-15-5951-8_25" TargetMode="External"/><Relationship Id="rId81" Type="http://schemas.openxmlformats.org/officeDocument/2006/relationships/hyperlink" Target="https://ieeexplore.ieee.org/abstract/document/8807458/" TargetMode="External"/><Relationship Id="rId73" Type="http://schemas.openxmlformats.org/officeDocument/2006/relationships/hyperlink" Target="https://ieeexplore.ieee.org/abstract/document/8972035/" TargetMode="External"/><Relationship Id="rId72" Type="http://schemas.openxmlformats.org/officeDocument/2006/relationships/hyperlink" Target="https://ieeexplore.ieee.org/abstract/document/8471785/" TargetMode="External"/><Relationship Id="rId75" Type="http://schemas.openxmlformats.org/officeDocument/2006/relationships/hyperlink" Target="https://ieeexplore.ieee.org/abstract/document/8666614/" TargetMode="External"/><Relationship Id="rId74" Type="http://schemas.openxmlformats.org/officeDocument/2006/relationships/hyperlink" Target="https://dl.acm.org/doi/abs/10.1145/3318265.3318287" TargetMode="External"/><Relationship Id="rId77" Type="http://schemas.openxmlformats.org/officeDocument/2006/relationships/hyperlink" Target="https://iopscience.iop.org/article/10.1088/1755-1315/467/1/012214/meta" TargetMode="External"/><Relationship Id="rId76" Type="http://schemas.openxmlformats.org/officeDocument/2006/relationships/hyperlink" Target="https://ieeexplore.ieee.org/abstract/document/9012694/" TargetMode="External"/><Relationship Id="rId79" Type="http://schemas.openxmlformats.org/officeDocument/2006/relationships/hyperlink" Target="https://www.jstage.jst.go.jp/article/jaciii/23/2/23_209/_article/-char/ja/" TargetMode="External"/><Relationship Id="rId78" Type="http://schemas.openxmlformats.org/officeDocument/2006/relationships/hyperlink" Target="https://www.sciencedirect.com/science/article/pii/S1877050918307075" TargetMode="External"/><Relationship Id="rId71" Type="http://schemas.openxmlformats.org/officeDocument/2006/relationships/hyperlink" Target="https://www.mdpi.com/2071-1050/12/8/3140" TargetMode="External"/><Relationship Id="rId70" Type="http://schemas.openxmlformats.org/officeDocument/2006/relationships/hyperlink" Target="https://www.mdpi.com/1996-1073/12/21/4182" TargetMode="External"/><Relationship Id="rId62" Type="http://schemas.openxmlformats.org/officeDocument/2006/relationships/hyperlink" Target="https://idus.us.es/handle/11441/81104" TargetMode="External"/><Relationship Id="rId61" Type="http://schemas.openxmlformats.org/officeDocument/2006/relationships/hyperlink" Target="http://repository.bilkent.edu.tr/handle/11693/35741" TargetMode="External"/><Relationship Id="rId64" Type="http://schemas.openxmlformats.org/officeDocument/2006/relationships/hyperlink" Target="https://www.osapublishing.org/abstract.cfm?uri=jocn-12-11-344" TargetMode="External"/><Relationship Id="rId63" Type="http://schemas.openxmlformats.org/officeDocument/2006/relationships/hyperlink" Target="http://psasir.upm.edu.my/id/eprint/82967/1/FSKTM%202019%2035%20IR.pdf" TargetMode="External"/><Relationship Id="rId66" Type="http://schemas.openxmlformats.org/officeDocument/2006/relationships/hyperlink" Target="http://thesesups.ups-tlse.fr/4496/" TargetMode="External"/><Relationship Id="rId65" Type="http://schemas.openxmlformats.org/officeDocument/2006/relationships/hyperlink" Target="https://iopscience.iop.org/article/10.1088/1757-899X/466/1/012005/meta" TargetMode="External"/><Relationship Id="rId68" Type="http://schemas.openxmlformats.org/officeDocument/2006/relationships/hyperlink" Target="https://ieeexplore.ieee.org/abstract/document/9226361/" TargetMode="External"/><Relationship Id="rId67" Type="http://schemas.openxmlformats.org/officeDocument/2006/relationships/hyperlink" Target="https://ieeexplore.ieee.org/abstract/document/9077022/" TargetMode="External"/><Relationship Id="rId609" Type="http://schemas.openxmlformats.org/officeDocument/2006/relationships/hyperlink" Target="https://ieeexplore.ieee.org/abstract/document/9057431/" TargetMode="External"/><Relationship Id="rId608" Type="http://schemas.openxmlformats.org/officeDocument/2006/relationships/hyperlink" Target="https://dl.acm.org/doi/abs/10.1145/3167132.3167178" TargetMode="External"/><Relationship Id="rId607" Type="http://schemas.openxmlformats.org/officeDocument/2006/relationships/hyperlink" Target="https://www.duo.uio.no/handle/10852/64457" TargetMode="External"/><Relationship Id="rId60" Type="http://schemas.openxmlformats.org/officeDocument/2006/relationships/hyperlink" Target="https://ieeexplore.ieee.org/abstract/document/9014023/" TargetMode="External"/><Relationship Id="rId602" Type="http://schemas.openxmlformats.org/officeDocument/2006/relationships/hyperlink" Target="https://pdfs.semanticscholar.org/7108/6c527083818c4c696a386fd16e3e569116b2.pdf" TargetMode="External"/><Relationship Id="rId601" Type="http://schemas.openxmlformats.org/officeDocument/2006/relationships/hyperlink" Target="https://ieeexplore.ieee.org/abstract/document/8548323/" TargetMode="External"/><Relationship Id="rId600" Type="http://schemas.openxmlformats.org/officeDocument/2006/relationships/hyperlink" Target="https://ieeexplore.ieee.org/abstract/document/8493735/" TargetMode="External"/><Relationship Id="rId606" Type="http://schemas.openxmlformats.org/officeDocument/2006/relationships/hyperlink" Target="https://www.research-collection.ethz.ch/handle/20.500.11850/431536" TargetMode="External"/><Relationship Id="rId605" Type="http://schemas.openxmlformats.org/officeDocument/2006/relationships/hyperlink" Target="https://dl.acm.org/doi/abs/10.1145/3277868.3277877" TargetMode="External"/><Relationship Id="rId604" Type="http://schemas.openxmlformats.org/officeDocument/2006/relationships/hyperlink" Target="https://ieeexplore.ieee.org/abstract/document/8477708/" TargetMode="External"/><Relationship Id="rId603" Type="http://schemas.openxmlformats.org/officeDocument/2006/relationships/hyperlink" Target="https://ieeexplore.ieee.org/abstract/document/9281980/" TargetMode="External"/><Relationship Id="rId69" Type="http://schemas.openxmlformats.org/officeDocument/2006/relationships/hyperlink" Target="https://link.springer.com/article/10.1007/s13369-019-04048-6" TargetMode="External"/><Relationship Id="rId51" Type="http://schemas.openxmlformats.org/officeDocument/2006/relationships/hyperlink" Target="https://www.sciencedirect.com/science/article/pii/S0360544218314695" TargetMode="External"/><Relationship Id="rId50" Type="http://schemas.openxmlformats.org/officeDocument/2006/relationships/hyperlink" Target="https://dl.acm.org/doi/abs/10.1145/3396851.3402658" TargetMode="External"/><Relationship Id="rId53" Type="http://schemas.openxmlformats.org/officeDocument/2006/relationships/hyperlink" Target="https://d-nb.info/1173783652/34" TargetMode="External"/><Relationship Id="rId52" Type="http://schemas.openxmlformats.org/officeDocument/2006/relationships/hyperlink" Target="https://dl.acm.org/doi/abs/10.1145/3401335.3401648" TargetMode="External"/><Relationship Id="rId55" Type="http://schemas.openxmlformats.org/officeDocument/2006/relationships/hyperlink" Target="https://link.springer.com/content/pdf/10.1007/s11227-020-03203-3.pdf" TargetMode="External"/><Relationship Id="rId54" Type="http://schemas.openxmlformats.org/officeDocument/2006/relationships/hyperlink" Target="https://ieeexplore.ieee.org/abstract/document/8580952/" TargetMode="External"/><Relationship Id="rId57" Type="http://schemas.openxmlformats.org/officeDocument/2006/relationships/hyperlink" Target="https://www.sciencedirect.com/science/article/pii/S0925231220315873" TargetMode="External"/><Relationship Id="rId56" Type="http://schemas.openxmlformats.org/officeDocument/2006/relationships/hyperlink" Target="https://oatao.univ-toulouse.fr/23799/" TargetMode="External"/><Relationship Id="rId59" Type="http://schemas.openxmlformats.org/officeDocument/2006/relationships/hyperlink" Target="https://ieeexplore.ieee.org/abstract/document/8855456/" TargetMode="External"/><Relationship Id="rId58" Type="http://schemas.openxmlformats.org/officeDocument/2006/relationships/hyperlink" Target="https://ieeexplore.ieee.org/abstract/document/8972019/" TargetMode="External"/><Relationship Id="rId590" Type="http://schemas.openxmlformats.org/officeDocument/2006/relationships/hyperlink" Target="https://ieeexplore.ieee.org/abstract/document/9291049/" TargetMode="External"/><Relationship Id="rId107" Type="http://schemas.openxmlformats.org/officeDocument/2006/relationships/hyperlink" Target="https://www.mdpi.com/2079-9292/7/1/5" TargetMode="External"/><Relationship Id="rId228" Type="http://schemas.openxmlformats.org/officeDocument/2006/relationships/hyperlink" Target="https://www.igi-global.com/article/energy-efficient-task-consolidation-for-cloud-data-center/196194" TargetMode="External"/><Relationship Id="rId349" Type="http://schemas.openxmlformats.org/officeDocument/2006/relationships/hyperlink" Target="https://ieeexplore.ieee.org/abstract/document/9309376/" TargetMode="External"/><Relationship Id="rId106" Type="http://schemas.openxmlformats.org/officeDocument/2006/relationships/hyperlink" Target="https://www.emerald.com/insight/content/doi/10.1108/IJPPM-08-2016-0160/full/html" TargetMode="External"/><Relationship Id="rId227" Type="http://schemas.openxmlformats.org/officeDocument/2006/relationships/hyperlink" Target="https://www.diva-portal.org/smash/record.jsf?pid=diva2:1474550" TargetMode="External"/><Relationship Id="rId348" Type="http://schemas.openxmlformats.org/officeDocument/2006/relationships/hyperlink" Target="https://link.springer.com/article/10.1007/s12053-019-09782-2" TargetMode="External"/><Relationship Id="rId469" Type="http://schemas.openxmlformats.org/officeDocument/2006/relationships/hyperlink" Target="https://arxiv.org/abs/1812.08375" TargetMode="External"/><Relationship Id="rId105" Type="http://schemas.openxmlformats.org/officeDocument/2006/relationships/hyperlink" Target="https://ieeexplore.ieee.org/abstract/document/9107482/" TargetMode="External"/><Relationship Id="rId226" Type="http://schemas.openxmlformats.org/officeDocument/2006/relationships/hyperlink" Target="https://link.springer.com/chapter/10.1007/978-3-030-02849-7_16" TargetMode="External"/><Relationship Id="rId347" Type="http://schemas.openxmlformats.org/officeDocument/2006/relationships/hyperlink" Target="https://dr.ntu.edu.sg/handle/10356/75052" TargetMode="External"/><Relationship Id="rId468" Type="http://schemas.openxmlformats.org/officeDocument/2006/relationships/hyperlink" Target="https://ieeexplore.ieee.org/abstract/document/8794793/" TargetMode="External"/><Relationship Id="rId589" Type="http://schemas.openxmlformats.org/officeDocument/2006/relationships/hyperlink" Target="https://link.springer.com/article/10.1007/s11227-020-03439-z?error=cookies_not_supported&amp;error=cookies_not_supported&amp;code=54c48cd0-8f25-4364-8710-c07ad1dcce69&amp;code=526b045d-e4e9-4c95-9c3e-e8d6c55ffef4" TargetMode="External"/><Relationship Id="rId104" Type="http://schemas.openxmlformats.org/officeDocument/2006/relationships/hyperlink" Target="https://link.springer.com/article/10.1007/s11227-017-2132-5" TargetMode="External"/><Relationship Id="rId225" Type="http://schemas.openxmlformats.org/officeDocument/2006/relationships/hyperlink" Target="https://ieeexplore.ieee.org/abstract/document/8957199/" TargetMode="External"/><Relationship Id="rId346" Type="http://schemas.openxmlformats.org/officeDocument/2006/relationships/hyperlink" Target="https://link.springer.com/content/pdf/10.1007/s12053-019-09809-8.pdf" TargetMode="External"/><Relationship Id="rId467" Type="http://schemas.openxmlformats.org/officeDocument/2006/relationships/hyperlink" Target="https://link.springer.com/article/10.1007/s11227-018-2244-6" TargetMode="External"/><Relationship Id="rId588" Type="http://schemas.openxmlformats.org/officeDocument/2006/relationships/hyperlink" Target="https://lib.dr.iastate.edu/etd/16960/" TargetMode="External"/><Relationship Id="rId109" Type="http://schemas.openxmlformats.org/officeDocument/2006/relationships/hyperlink" Target="https://www.sciencedirect.com/science/article/pii/S0022000020301112" TargetMode="External"/><Relationship Id="rId108" Type="http://schemas.openxmlformats.org/officeDocument/2006/relationships/hyperlink" Target="https://www.sciencedirect.com/science/article/pii/S0065271718300029" TargetMode="External"/><Relationship Id="rId229" Type="http://schemas.openxmlformats.org/officeDocument/2006/relationships/hyperlink" Target="https://ieeexplore.ieee.org/abstract/document/8957214/" TargetMode="External"/><Relationship Id="rId220" Type="http://schemas.openxmlformats.org/officeDocument/2006/relationships/hyperlink" Target="https://www.sciencedirect.com/science/article/pii/S0167739X20305835" TargetMode="External"/><Relationship Id="rId341" Type="http://schemas.openxmlformats.org/officeDocument/2006/relationships/hyperlink" Target="https://link.springer.com/chapter/10.1007/978-3-319-99007-1_2" TargetMode="External"/><Relationship Id="rId462" Type="http://schemas.openxmlformats.org/officeDocument/2006/relationships/hyperlink" Target="https://dl.acm.org/doi/abs/10.1145/3344341.3368822" TargetMode="External"/><Relationship Id="rId583" Type="http://schemas.openxmlformats.org/officeDocument/2006/relationships/hyperlink" Target="https://www.sciencedirect.com/science/article/pii/S0142061519322768" TargetMode="External"/><Relationship Id="rId340" Type="http://schemas.openxmlformats.org/officeDocument/2006/relationships/hyperlink" Target="https://www.koreascience.or.kr/article/JAKO201909258119994.page" TargetMode="External"/><Relationship Id="rId461" Type="http://schemas.openxmlformats.org/officeDocument/2006/relationships/hyperlink" Target="https://link.springer.com/article/10.1007/s10489-020-02003-9" TargetMode="External"/><Relationship Id="rId582" Type="http://schemas.openxmlformats.org/officeDocument/2006/relationships/hyperlink" Target="https://ieeexplore.ieee.org/abstract/document/8969751/" TargetMode="External"/><Relationship Id="rId460" Type="http://schemas.openxmlformats.org/officeDocument/2006/relationships/hyperlink" Target="https://ieeexplore.ieee.org/abstract/document/9165232/" TargetMode="External"/><Relationship Id="rId581" Type="http://schemas.openxmlformats.org/officeDocument/2006/relationships/hyperlink" Target="https://ieeexplore.ieee.org/abstract/document/8752123/" TargetMode="External"/><Relationship Id="rId580" Type="http://schemas.openxmlformats.org/officeDocument/2006/relationships/hyperlink" Target="http://paginas.fe.up.pt/" TargetMode="External"/><Relationship Id="rId103" Type="http://schemas.openxmlformats.org/officeDocument/2006/relationships/hyperlink" Target="https://krex.k-state.edu/dspace/bitstream/handle/2097/40764/MdabubakarSiddik2020.pdf?sequence=5" TargetMode="External"/><Relationship Id="rId224" Type="http://schemas.openxmlformats.org/officeDocument/2006/relationships/hyperlink" Target="https://content.sciendo.com/view/journals/techtrans/11/4/article-p127.xml" TargetMode="External"/><Relationship Id="rId345" Type="http://schemas.openxmlformats.org/officeDocument/2006/relationships/hyperlink" Target="http://www.academia.edu/download/62348129/CloudDataCenters20200312-80582-3k75cs.pdf" TargetMode="External"/><Relationship Id="rId466" Type="http://schemas.openxmlformats.org/officeDocument/2006/relationships/hyperlink" Target="https://go.gale.com/ps/i.do?id=GALE%7CA616448758&amp;sid=googleScholar&amp;v=2.1&amp;it=r&amp;linkaccess=abs&amp;issn=00012505&amp;p=AONE&amp;sw=w" TargetMode="External"/><Relationship Id="rId587" Type="http://schemas.openxmlformats.org/officeDocument/2006/relationships/hyperlink" Target="http://en.cnki.com.cn/Article_en/CJFDTotal-JSXR201901042.htm" TargetMode="External"/><Relationship Id="rId102" Type="http://schemas.openxmlformats.org/officeDocument/2006/relationships/hyperlink" Target="https://onlinelibrary.wiley.com/doi/abs/10.1002/ett.3641" TargetMode="External"/><Relationship Id="rId223" Type="http://schemas.openxmlformats.org/officeDocument/2006/relationships/hyperlink" Target="https://onlinelibrary.wiley.com/doi/abs/10.1002/cpe.5221" TargetMode="External"/><Relationship Id="rId344" Type="http://schemas.openxmlformats.org/officeDocument/2006/relationships/hyperlink" Target="https://ieeexplore.ieee.org/abstract/document/8859919/" TargetMode="External"/><Relationship Id="rId465" Type="http://schemas.openxmlformats.org/officeDocument/2006/relationships/hyperlink" Target="https://aaltodoc.aalto.fi/handle/123456789/32476" TargetMode="External"/><Relationship Id="rId586" Type="http://schemas.openxmlformats.org/officeDocument/2006/relationships/hyperlink" Target="https://ieeexplore.ieee.org/abstract/document/9291589/" TargetMode="External"/><Relationship Id="rId101" Type="http://schemas.openxmlformats.org/officeDocument/2006/relationships/hyperlink" Target="https://www.sciencedirect.com/science/article/pii/S2210537917304043" TargetMode="External"/><Relationship Id="rId222" Type="http://schemas.openxmlformats.org/officeDocument/2006/relationships/hyperlink" Target="https://onlinelibrary.wiley.com/doi/pdf/10.1002/9781119357056" TargetMode="External"/><Relationship Id="rId343" Type="http://schemas.openxmlformats.org/officeDocument/2006/relationships/hyperlink" Target="https://pdfs.semanticscholar.org/3ae4/4c7ede7fbb743b91b0ab100019dc41237ea4.pdf" TargetMode="External"/><Relationship Id="rId464" Type="http://schemas.openxmlformats.org/officeDocument/2006/relationships/hyperlink" Target="http://journals.tubitak.gov.tr/elektrik/abstract.htm?id=24846" TargetMode="External"/><Relationship Id="rId585" Type="http://schemas.openxmlformats.org/officeDocument/2006/relationships/hyperlink" Target="https://ieeexplore.ieee.org/abstract/document/9249479/" TargetMode="External"/><Relationship Id="rId100" Type="http://schemas.openxmlformats.org/officeDocument/2006/relationships/hyperlink" Target="https://ieeexplore.ieee.org/abstract/document/8641327/" TargetMode="External"/><Relationship Id="rId221" Type="http://schemas.openxmlformats.org/officeDocument/2006/relationships/hyperlink" Target="https://link.springer.com/article/10.1007/s11227-018-2301-1" TargetMode="External"/><Relationship Id="rId342" Type="http://schemas.openxmlformats.org/officeDocument/2006/relationships/hyperlink" Target="https://ieeexplore.ieee.org/abstract/document/9046987/" TargetMode="External"/><Relationship Id="rId463" Type="http://schemas.openxmlformats.org/officeDocument/2006/relationships/hyperlink" Target="https://ieeexplore.ieee.org/abstract/document/8878624/" TargetMode="External"/><Relationship Id="rId584" Type="http://schemas.openxmlformats.org/officeDocument/2006/relationships/hyperlink" Target="https://www.sciencedirect.com/science/article/pii/S0960148119308006" TargetMode="External"/><Relationship Id="rId217" Type="http://schemas.openxmlformats.org/officeDocument/2006/relationships/hyperlink" Target="http://www.iieta.org/sites/default/files/pdf/2020-07/10.03_12.pdf" TargetMode="External"/><Relationship Id="rId338" Type="http://schemas.openxmlformats.org/officeDocument/2006/relationships/hyperlink" Target="https://link.springer.com/article/10.1007/s00607-020-00889-4" TargetMode="External"/><Relationship Id="rId459" Type="http://schemas.openxmlformats.org/officeDocument/2006/relationships/hyperlink" Target="https://www.storageconference.us/2020/Papers/19.PreMatch.pdf" TargetMode="External"/><Relationship Id="rId216" Type="http://schemas.openxmlformats.org/officeDocument/2006/relationships/hyperlink" Target="https://ieeexplore.ieee.org/abstract/document/8408017/" TargetMode="External"/><Relationship Id="rId337" Type="http://schemas.openxmlformats.org/officeDocument/2006/relationships/hyperlink" Target="https://www.osti.gov/biblio/1436572" TargetMode="External"/><Relationship Id="rId458" Type="http://schemas.openxmlformats.org/officeDocument/2006/relationships/hyperlink" Target="http://crad.ict.ac.cn/EN/abstract/abstract3946.shtml" TargetMode="External"/><Relationship Id="rId579" Type="http://schemas.openxmlformats.org/officeDocument/2006/relationships/hyperlink" Target="https://paginas.fe.up.pt/~irf/Proceedings_IRF2018/data/papers/7056.pdf" TargetMode="External"/><Relationship Id="rId215" Type="http://schemas.openxmlformats.org/officeDocument/2006/relationships/hyperlink" Target="https://link.springer.com/article/10.1007/s11227-018-2709-7" TargetMode="External"/><Relationship Id="rId336" Type="http://schemas.openxmlformats.org/officeDocument/2006/relationships/hyperlink" Target="https://ieeexplore.ieee.org/abstract/document/9022819/" TargetMode="External"/><Relationship Id="rId457" Type="http://schemas.openxmlformats.org/officeDocument/2006/relationships/hyperlink" Target="https://ieeexplore.ieee.org/abstract/document/8878805/" TargetMode="External"/><Relationship Id="rId578" Type="http://schemas.openxmlformats.org/officeDocument/2006/relationships/hyperlink" Target="https://www.diva-portal.org/smash/record.jsf?pid=diva2:1192586" TargetMode="External"/><Relationship Id="rId214" Type="http://schemas.openxmlformats.org/officeDocument/2006/relationships/hyperlink" Target="https://strathprints.strath.ac.uk/id/eprint/65612" TargetMode="External"/><Relationship Id="rId335" Type="http://schemas.openxmlformats.org/officeDocument/2006/relationships/hyperlink" Target="https://ieeexplore.ieee.org/abstract/document/9047328/" TargetMode="External"/><Relationship Id="rId456" Type="http://schemas.openxmlformats.org/officeDocument/2006/relationships/hyperlink" Target="https://ieeexplore.ieee.org/abstract/document/8401956/" TargetMode="External"/><Relationship Id="rId577" Type="http://schemas.openxmlformats.org/officeDocument/2006/relationships/hyperlink" Target="http://en.cnki.com.cn/Article_en/CJFDTotal-CSDL201802006.htm" TargetMode="External"/><Relationship Id="rId219" Type="http://schemas.openxmlformats.org/officeDocument/2006/relationships/hyperlink" Target="https://link.springer.com/chapter/10.1007/978-3-319-92792-3_12" TargetMode="External"/><Relationship Id="rId218" Type="http://schemas.openxmlformats.org/officeDocument/2006/relationships/hyperlink" Target="http://tjee.tabrizu.ac.ir/article_7782.html?_action=article&amp;au=24511&amp;_au=%D8%B3%DB%8C%D9%85%DB%8C%D9%86++%D9%82%D8%A7%D8%B3%D9%85%DB%8C+%D9%81%D9%84%D8%A7%D9%88%D8%B1%D8%AC%D8%A7%D9%86%DB%8C" TargetMode="External"/><Relationship Id="rId339" Type="http://schemas.openxmlformats.org/officeDocument/2006/relationships/hyperlink" Target="https://link.springer.com/chapter/10.1007/978-3-030-53829-3_26" TargetMode="External"/><Relationship Id="rId330" Type="http://schemas.openxmlformats.org/officeDocument/2006/relationships/hyperlink" Target="https://www.sciencedirect.com/science/article/pii/S0378778820333892" TargetMode="External"/><Relationship Id="rId451" Type="http://schemas.openxmlformats.org/officeDocument/2006/relationships/hyperlink" Target="https://ieeexplore.ieee.org/abstract/document/8932384/" TargetMode="External"/><Relationship Id="rId572" Type="http://schemas.openxmlformats.org/officeDocument/2006/relationships/hyperlink" Target="https://ieeexplore.ieee.org/abstract/document/8620159/" TargetMode="External"/><Relationship Id="rId450" Type="http://schemas.openxmlformats.org/officeDocument/2006/relationships/hyperlink" Target="https://link.springer.com/chapter/10.1007/978-981-15-3125-5_19" TargetMode="External"/><Relationship Id="rId571" Type="http://schemas.openxmlformats.org/officeDocument/2006/relationships/hyperlink" Target="https://www.sid.ir/en/seminar/ViewPaper.aspx?id=46963" TargetMode="External"/><Relationship Id="rId570" Type="http://schemas.openxmlformats.org/officeDocument/2006/relationships/hyperlink" Target="https://ieeexplore.ieee.org/abstract/document/8745652/" TargetMode="External"/><Relationship Id="rId213" Type="http://schemas.openxmlformats.org/officeDocument/2006/relationships/hyperlink" Target="https://ieeexplore.ieee.org/abstract/document/8451865/" TargetMode="External"/><Relationship Id="rId334" Type="http://schemas.openxmlformats.org/officeDocument/2006/relationships/hyperlink" Target="https://link.springer.com/article/10.1007/s13369-018-3196-0" TargetMode="External"/><Relationship Id="rId455" Type="http://schemas.openxmlformats.org/officeDocument/2006/relationships/hyperlink" Target="http://search.ebscohost.com/login.aspx?direct=true&amp;profile=ehost&amp;scope=site&amp;authtype=crawler&amp;jrnl=00012505&amp;AN=136722418&amp;h=lVXboxqmVAB80%2BcozYlVHTrT9zdgNa9nWnKGELKhtdBXJtPA9RjXsHMcThJhitGUgSIT7x98kuf5zWFb019smg%3D%3D&amp;crl=c" TargetMode="External"/><Relationship Id="rId576" Type="http://schemas.openxmlformats.org/officeDocument/2006/relationships/hyperlink" Target="https://www.sciencedirect.com/science/article/pii/S2210537920301852" TargetMode="External"/><Relationship Id="rId212" Type="http://schemas.openxmlformats.org/officeDocument/2006/relationships/hyperlink" Target="https://www.mdpi.com/2079-9292/8/9/1014" TargetMode="External"/><Relationship Id="rId333" Type="http://schemas.openxmlformats.org/officeDocument/2006/relationships/hyperlink" Target="https://link.springer.com/article/10.1186/s13677-017-0103-2" TargetMode="External"/><Relationship Id="rId454" Type="http://schemas.openxmlformats.org/officeDocument/2006/relationships/hyperlink" Target="http://search.proquest.com/openview/17e1a4ca3f63bb14901b4c42c9bc9b49/1?pq-origsite=gscholar&amp;cbl=1536338" TargetMode="External"/><Relationship Id="rId575" Type="http://schemas.openxmlformats.org/officeDocument/2006/relationships/hyperlink" Target="https://onlinelibrary.wiley.com/doi/abs/10.1002/cpe.5785" TargetMode="External"/><Relationship Id="rId211" Type="http://schemas.openxmlformats.org/officeDocument/2006/relationships/hyperlink" Target="https://ieeexplore.ieee.org/abstract/document/9265961/" TargetMode="External"/><Relationship Id="rId332" Type="http://schemas.openxmlformats.org/officeDocument/2006/relationships/hyperlink" Target="https://tel.archives-ouvertes.fr/tel-02736497/" TargetMode="External"/><Relationship Id="rId453" Type="http://schemas.openxmlformats.org/officeDocument/2006/relationships/hyperlink" Target="https://ieeexplore.ieee.org/abstract/document/8519871/" TargetMode="External"/><Relationship Id="rId574" Type="http://schemas.openxmlformats.org/officeDocument/2006/relationships/hyperlink" Target="https://www.sciencedirect.com/science/article/pii/S0167739X1732099X" TargetMode="External"/><Relationship Id="rId210" Type="http://schemas.openxmlformats.org/officeDocument/2006/relationships/hyperlink" Target="https://www.sciencedirect.com/science/article/pii/S221053791830297X" TargetMode="External"/><Relationship Id="rId331" Type="http://schemas.openxmlformats.org/officeDocument/2006/relationships/hyperlink" Target="https://www.jstage.jst.go.jp/article/transinf/E102.D/10/E102.D_2018EDP7441/_article/-char/ja/" TargetMode="External"/><Relationship Id="rId452" Type="http://schemas.openxmlformats.org/officeDocument/2006/relationships/hyperlink" Target="https://www.researchgate.net/profile/Efe_Orumwense/publication/346714078_Energy_Consumption_in_a_Data_Control_Center_of_a_Cloud_based_Cyber_Physical_System/links/5fcf24b3a6fdcc697bebb697/Energy-Consumption-in-a-Data-Control-Center-of-a-Cloud-based-Cyber-Physical-System.pdf" TargetMode="External"/><Relationship Id="rId573" Type="http://schemas.openxmlformats.org/officeDocument/2006/relationships/hyperlink" Target="https://www.mdpi.com/1996-1073/12/8/1494" TargetMode="External"/><Relationship Id="rId370" Type="http://schemas.openxmlformats.org/officeDocument/2006/relationships/hyperlink" Target="https://ieeexplore.ieee.org/abstract/document/8957198/" TargetMode="External"/><Relationship Id="rId491" Type="http://schemas.openxmlformats.org/officeDocument/2006/relationships/hyperlink" Target="https://arxiv.org/abs/2007.09770" TargetMode="External"/><Relationship Id="rId490" Type="http://schemas.openxmlformats.org/officeDocument/2006/relationships/hyperlink" Target="https://www.hindawi.com/journals/sp/2019/3204346/abs/" TargetMode="External"/><Relationship Id="rId129" Type="http://schemas.openxmlformats.org/officeDocument/2006/relationships/hyperlink" Target="https://link.springer.com/content/pdf/10.1007/s42235-019-0030-7.pdf" TargetMode="External"/><Relationship Id="rId128" Type="http://schemas.openxmlformats.org/officeDocument/2006/relationships/hyperlink" Target="https://ieeexplore.ieee.org/abstract/document/8553891/" TargetMode="External"/><Relationship Id="rId249" Type="http://schemas.openxmlformats.org/officeDocument/2006/relationships/hyperlink" Target="https://ieeexplore.ieee.org/abstract/document/8991670/" TargetMode="External"/><Relationship Id="rId127" Type="http://schemas.openxmlformats.org/officeDocument/2006/relationships/hyperlink" Target="https://ieeexplore.ieee.org/abstract/document/9033927/" TargetMode="External"/><Relationship Id="rId248" Type="http://schemas.openxmlformats.org/officeDocument/2006/relationships/hyperlink" Target="https://ieeexplore.ieee.org/abstract/document/8330027/" TargetMode="External"/><Relationship Id="rId369" Type="http://schemas.openxmlformats.org/officeDocument/2006/relationships/hyperlink" Target="https://eprints.qut.edu.au/135550/" TargetMode="External"/><Relationship Id="rId126" Type="http://schemas.openxmlformats.org/officeDocument/2006/relationships/hyperlink" Target="https://books.google.com/books?hl=en&amp;lr=&amp;id=98yGDwAAQBAJ&amp;oi=fnd&amp;pg=PA343&amp;dq=energy+%22data+center%22%7C%22data+centers%22%7Cdatacenter%7Cdatacenters&amp;ots=iVj-4NFBHs&amp;sig=fzYwl_1MFGHJavHNYdwVkkkwPAM" TargetMode="External"/><Relationship Id="rId247" Type="http://schemas.openxmlformats.org/officeDocument/2006/relationships/hyperlink" Target="https://dl.acm.org/doi/abs/10.1145/3436829.3436867" TargetMode="External"/><Relationship Id="rId368" Type="http://schemas.openxmlformats.org/officeDocument/2006/relationships/hyperlink" Target="https://dl.acm.org/doi/abs/10.1145/3264746.3264792" TargetMode="External"/><Relationship Id="rId489" Type="http://schemas.openxmlformats.org/officeDocument/2006/relationships/hyperlink" Target="https://ieeexplore.ieee.org/abstract/document/8646078/" TargetMode="External"/><Relationship Id="rId121" Type="http://schemas.openxmlformats.org/officeDocument/2006/relationships/hyperlink" Target="https://www.sciencedirect.com/science/article/pii/S0306261918304768" TargetMode="External"/><Relationship Id="rId242" Type="http://schemas.openxmlformats.org/officeDocument/2006/relationships/hyperlink" Target="https://ieeexplore.ieee.org/abstract/document/8425223/" TargetMode="External"/><Relationship Id="rId363" Type="http://schemas.openxmlformats.org/officeDocument/2006/relationships/hyperlink" Target="https://ieeexplore.ieee.org/abstract/document/8309283/" TargetMode="External"/><Relationship Id="rId484" Type="http://schemas.openxmlformats.org/officeDocument/2006/relationships/hyperlink" Target="https://ui.adsabs.harvard.edu/abs/2019PhDT........44T/abstract" TargetMode="External"/><Relationship Id="rId120" Type="http://schemas.openxmlformats.org/officeDocument/2006/relationships/hyperlink" Target="https://link.springer.com/article/10.1007/s11390-018-1811-x" TargetMode="External"/><Relationship Id="rId241" Type="http://schemas.openxmlformats.org/officeDocument/2006/relationships/hyperlink" Target="http://www.academia.edu/download/55993183/11_Paper_31011840_IJCSIS_Camera_Ready_pp.99-104.pdf" TargetMode="External"/><Relationship Id="rId362" Type="http://schemas.openxmlformats.org/officeDocument/2006/relationships/hyperlink" Target="https://ieeexplore.ieee.org/abstract/document/8419480/" TargetMode="External"/><Relationship Id="rId483" Type="http://schemas.openxmlformats.org/officeDocument/2006/relationships/hyperlink" Target="https://ieeexplore.ieee.org/abstract/document/8600385/" TargetMode="External"/><Relationship Id="rId240" Type="http://schemas.openxmlformats.org/officeDocument/2006/relationships/hyperlink" Target="https://www.mdpi.com/2071-1050/12/16/6383" TargetMode="External"/><Relationship Id="rId361" Type="http://schemas.openxmlformats.org/officeDocument/2006/relationships/hyperlink" Target="http://thermalfluidscentral.org/journals/index.php/Heat_Mass_Transfer/article/view/1041" TargetMode="External"/><Relationship Id="rId482" Type="http://schemas.openxmlformats.org/officeDocument/2006/relationships/hyperlink" Target="https://ieeexplore.ieee.org/abstract/document/9078781/" TargetMode="External"/><Relationship Id="rId360" Type="http://schemas.openxmlformats.org/officeDocument/2006/relationships/hyperlink" Target="https://dl.acm.org/doi/abs/10.1145/3374135.3385279" TargetMode="External"/><Relationship Id="rId481" Type="http://schemas.openxmlformats.org/officeDocument/2006/relationships/hyperlink" Target="https://www.sciencedirect.com/science/article/pii/S0167739X16308330" TargetMode="External"/><Relationship Id="rId125" Type="http://schemas.openxmlformats.org/officeDocument/2006/relationships/hyperlink" Target="https://www.sciencedirect.com/science/article/pii/S2210537916300907" TargetMode="External"/><Relationship Id="rId246" Type="http://schemas.openxmlformats.org/officeDocument/2006/relationships/hyperlink" Target="https://link.springer.com/article/10.1007/s11235-019-00549-9" TargetMode="External"/><Relationship Id="rId367" Type="http://schemas.openxmlformats.org/officeDocument/2006/relationships/hyperlink" Target="https://link.springer.com/article/10.1007/s10723-018-9449-z" TargetMode="External"/><Relationship Id="rId488" Type="http://schemas.openxmlformats.org/officeDocument/2006/relationships/hyperlink" Target="https://www.researchgate.net/profile/Saad_Butt5/publication/338357732_ENERGY_EFFICIENCY_AND_SCHEDULING_TECHNIQUES_USING_CLOUD_COMPUTING_METHODS_WITHIN_DATA_CENTERS/links/5e0f12aca6fdcc283752c67f/ENERGY-EFFICIENCY-AND-SCHEDULING-TECHNIQUES-USING-CLOUD-COMPUTING-METHODS-WITHIN-DATA-CENTERS.pdf" TargetMode="External"/><Relationship Id="rId124" Type="http://schemas.openxmlformats.org/officeDocument/2006/relationships/hyperlink" Target="https://www.sciencedirect.com/science/article/pii/S0957417420305431" TargetMode="External"/><Relationship Id="rId245" Type="http://schemas.openxmlformats.org/officeDocument/2006/relationships/hyperlink" Target="https://www.igi-global.com/article/energy-efficient-resource-allocation-during-initial-mapping-of-virtual-machines-to-servers-in-cloud-datacenters/196266" TargetMode="External"/><Relationship Id="rId366" Type="http://schemas.openxmlformats.org/officeDocument/2006/relationships/hyperlink" Target="https://ieeexplore.ieee.org/abstract/document/9213467/" TargetMode="External"/><Relationship Id="rId487" Type="http://schemas.openxmlformats.org/officeDocument/2006/relationships/hyperlink" Target="https://arxiv.org/abs/1911.03730" TargetMode="External"/><Relationship Id="rId123" Type="http://schemas.openxmlformats.org/officeDocument/2006/relationships/hyperlink" Target="https://ieeexplore.ieee.org/abstract/document/8631005/" TargetMode="External"/><Relationship Id="rId244" Type="http://schemas.openxmlformats.org/officeDocument/2006/relationships/hyperlink" Target="https://lutpub.lut.fi/handle/10024/159909" TargetMode="External"/><Relationship Id="rId365" Type="http://schemas.openxmlformats.org/officeDocument/2006/relationships/hyperlink" Target="https://journals.plos.org/plosone/article?id=10.1371/journal.pone.0191450" TargetMode="External"/><Relationship Id="rId486" Type="http://schemas.openxmlformats.org/officeDocument/2006/relationships/hyperlink" Target="https://ieeexplore.ieee.org/abstract/document/8888103/" TargetMode="External"/><Relationship Id="rId122" Type="http://schemas.openxmlformats.org/officeDocument/2006/relationships/hyperlink" Target="https://ieeexplore.ieee.org/abstract/document/8731726/" TargetMode="External"/><Relationship Id="rId243" Type="http://schemas.openxmlformats.org/officeDocument/2006/relationships/hyperlink" Target="https://books.google.com/books?hl=en&amp;lr=&amp;id=8k5aDwAAQBAJ&amp;oi=fnd&amp;pg=PA188&amp;dq=energy+%22data+center%22%7C%22data+centers%22%7Cdatacenter%7Cdatacenters&amp;ots=3OO4Vzwc0o&amp;sig=1kS6blU95KcjGuU45mbSW8yyIRE" TargetMode="External"/><Relationship Id="rId364" Type="http://schemas.openxmlformats.org/officeDocument/2006/relationships/hyperlink" Target="http://www.jscit.nit.ac.ir/index.php/jscit/issue/view/JSCIT_Vol.2_No.1/article_120535_9c78932d86af76b6bb69835262ffd488.pdf" TargetMode="External"/><Relationship Id="rId485" Type="http://schemas.openxmlformats.org/officeDocument/2006/relationships/hyperlink" Target="http://crad.ict.ac.cn/EN/10.7544/issn1000-1239.2019.20180574" TargetMode="External"/><Relationship Id="rId95" Type="http://schemas.openxmlformats.org/officeDocument/2006/relationships/hyperlink" Target="https://www.sciencedirect.com/science/article/pii/S2210537918303160" TargetMode="External"/><Relationship Id="rId94" Type="http://schemas.openxmlformats.org/officeDocument/2006/relationships/hyperlink" Target="https://www.sciencedirect.com/science/article/pii/S1364032118303423" TargetMode="External"/><Relationship Id="rId97" Type="http://schemas.openxmlformats.org/officeDocument/2006/relationships/hyperlink" Target="https://www.researchgate.net/profile/Khalil_Jahani/publication/338069261_Energy-Save_in_data_centers_with_virtual_machine_migration_management/links/5dfcbb95299bf10bc36a8ebb/Energy-Save-in-data-centers-with-virtual-machine-migration-management.pdf" TargetMode="External"/><Relationship Id="rId96" Type="http://schemas.openxmlformats.org/officeDocument/2006/relationships/hyperlink" Target="https://ieeexplore.ieee.org/abstract/document/9065682/" TargetMode="External"/><Relationship Id="rId99" Type="http://schemas.openxmlformats.org/officeDocument/2006/relationships/hyperlink" Target="https://ieeexplore.ieee.org/abstract/document/8781752/" TargetMode="External"/><Relationship Id="rId480" Type="http://schemas.openxmlformats.org/officeDocument/2006/relationships/hyperlink" Target="https://www.sciencedirect.com/science/article/pii/S0957417418303531" TargetMode="External"/><Relationship Id="rId98" Type="http://schemas.openxmlformats.org/officeDocument/2006/relationships/hyperlink" Target="https://ieeexplore.ieee.org/abstract/document/9139872/" TargetMode="External"/><Relationship Id="rId91" Type="http://schemas.openxmlformats.org/officeDocument/2006/relationships/hyperlink" Target="https://ieeexplore.ieee.org/abstract/document/9091377/" TargetMode="External"/><Relationship Id="rId90" Type="http://schemas.openxmlformats.org/officeDocument/2006/relationships/hyperlink" Target="https://www.ijresonline.com/archives/volume-5-issue-2/IJRES-V5I2P105.pdf" TargetMode="External"/><Relationship Id="rId93" Type="http://schemas.openxmlformats.org/officeDocument/2006/relationships/hyperlink" Target="https://dialnet.unirioja.es/servlet/dctes?codigo=198995" TargetMode="External"/><Relationship Id="rId92" Type="http://schemas.openxmlformats.org/officeDocument/2006/relationships/hyperlink" Target="https://www.sciencedirect.com/science/article/pii/S2096511720300761" TargetMode="External"/><Relationship Id="rId118" Type="http://schemas.openxmlformats.org/officeDocument/2006/relationships/hyperlink" Target="https://ieeexplore.ieee.org/abstract/document/9202343/" TargetMode="External"/><Relationship Id="rId239" Type="http://schemas.openxmlformats.org/officeDocument/2006/relationships/hyperlink" Target="https://ieeexplore.ieee.org/abstract/document/9013172/" TargetMode="External"/><Relationship Id="rId117" Type="http://schemas.openxmlformats.org/officeDocument/2006/relationships/hyperlink" Target="http://www.ijrad.com/docs/v2n3/ncet18-3.pdf" TargetMode="External"/><Relationship Id="rId238" Type="http://schemas.openxmlformats.org/officeDocument/2006/relationships/hyperlink" Target="http://www.academia.edu/download/60782559/420191003-129556-iseegk.pdf" TargetMode="External"/><Relationship Id="rId359" Type="http://schemas.openxmlformats.org/officeDocument/2006/relationships/hyperlink" Target="https://www.mdpi.com/2071-1050/12/4/1417" TargetMode="External"/><Relationship Id="rId116" Type="http://schemas.openxmlformats.org/officeDocument/2006/relationships/hyperlink" Target="https://papers.ssrn.com/sol3/papers.cfm?abstract_id=3419260" TargetMode="External"/><Relationship Id="rId237" Type="http://schemas.openxmlformats.org/officeDocument/2006/relationships/hyperlink" Target="https://hrcak.srce.hr/index.php?show=clanak&amp;id_clanak_jezik=355662" TargetMode="External"/><Relationship Id="rId358" Type="http://schemas.openxmlformats.org/officeDocument/2006/relationships/hyperlink" Target="https://ieeexplore.ieee.org/abstract/document/8616794/" TargetMode="External"/><Relationship Id="rId479" Type="http://schemas.openxmlformats.org/officeDocument/2006/relationships/hyperlink" Target="https://dl.acm.org/doi/abs/10.1145/3364210" TargetMode="External"/><Relationship Id="rId115" Type="http://schemas.openxmlformats.org/officeDocument/2006/relationships/hyperlink" Target="https://papers.ssrn.com/sol3/papers.cfm?abstract_id=3431996" TargetMode="External"/><Relationship Id="rId236" Type="http://schemas.openxmlformats.org/officeDocument/2006/relationships/hyperlink" Target="https://journals.sagepub.com/doi/abs/10.1177/1550147720935775" TargetMode="External"/><Relationship Id="rId357" Type="http://schemas.openxmlformats.org/officeDocument/2006/relationships/hyperlink" Target="http://jesi.astr.ro/wp-content/uploads/2019/01/4.Florea-Chiriac.pdf" TargetMode="External"/><Relationship Id="rId478" Type="http://schemas.openxmlformats.org/officeDocument/2006/relationships/hyperlink" Target="https://ieeexplore.ieee.org/abstract/document/8732201/" TargetMode="External"/><Relationship Id="rId599" Type="http://schemas.openxmlformats.org/officeDocument/2006/relationships/hyperlink" Target="https://ieeexplore.ieee.org/abstract/document/9217881/" TargetMode="External"/><Relationship Id="rId119" Type="http://schemas.openxmlformats.org/officeDocument/2006/relationships/hyperlink" Target="https://www.researchgate.net/profile/Pedro_Gaspar5/publication/342600532_New_methodological_approach_for_assessing_the_energy_efficiency_of_Datacenters_-_the_EUED_index_Energy_Usage_Effectiveness_Design/links/5f653322299bf1b53ee0f2b4/New-methodological-approach-for-assessing-the-energy-efficiency-of-Datacenters-the-EUED-index-Energy-Usage-Effectiveness-Design.pdf" TargetMode="External"/><Relationship Id="rId110" Type="http://schemas.openxmlformats.org/officeDocument/2006/relationships/hyperlink" Target="https://link.springer.com/article/10.1007/s12652-018-1157-9" TargetMode="External"/><Relationship Id="rId231" Type="http://schemas.openxmlformats.org/officeDocument/2006/relationships/hyperlink" Target="https://www.koreascience.or.kr/article/JAKO201811459665241.page" TargetMode="External"/><Relationship Id="rId352" Type="http://schemas.openxmlformats.org/officeDocument/2006/relationships/hyperlink" Target="https://www.sciencedirect.com/science/article/pii/S2210537917302536" TargetMode="External"/><Relationship Id="rId473" Type="http://schemas.openxmlformats.org/officeDocument/2006/relationships/hyperlink" Target="https://ieeexplore.ieee.org/abstract/document/8514358/" TargetMode="External"/><Relationship Id="rId594" Type="http://schemas.openxmlformats.org/officeDocument/2006/relationships/hyperlink" Target="https://ieeexplore.ieee.org/abstract/document/8442890/" TargetMode="External"/><Relationship Id="rId230" Type="http://schemas.openxmlformats.org/officeDocument/2006/relationships/hyperlink" Target="https://ieeexplore.ieee.org/abstract/document/8581422/" TargetMode="External"/><Relationship Id="rId351" Type="http://schemas.openxmlformats.org/officeDocument/2006/relationships/hyperlink" Target="https://ieeexplore.ieee.org/abstract/document/8963569/" TargetMode="External"/><Relationship Id="rId472" Type="http://schemas.openxmlformats.org/officeDocument/2006/relationships/hyperlink" Target="http://en.cnki.com.cn/Article_en/CJFDTotal-JSYJ201808063.htm" TargetMode="External"/><Relationship Id="rId593" Type="http://schemas.openxmlformats.org/officeDocument/2006/relationships/hyperlink" Target="https://link.springer.com/chapter/10.1007/978-3-030-00253-4_8" TargetMode="External"/><Relationship Id="rId350" Type="http://schemas.openxmlformats.org/officeDocument/2006/relationships/hyperlink" Target="https://ieeexplore.ieee.org/abstract/document/8991325/" TargetMode="External"/><Relationship Id="rId471" Type="http://schemas.openxmlformats.org/officeDocument/2006/relationships/hyperlink" Target="http://iajit.org/PDF/May%202018,%20No.%203/10882.pdf" TargetMode="External"/><Relationship Id="rId592" Type="http://schemas.openxmlformats.org/officeDocument/2006/relationships/hyperlink" Target="https://www.sciencedirect.com/science/article/pii/S0167739X17310129" TargetMode="External"/><Relationship Id="rId470" Type="http://schemas.openxmlformats.org/officeDocument/2006/relationships/hyperlink" Target="http://www.ejournals.eu/pliki/art/11540/pl" TargetMode="External"/><Relationship Id="rId591" Type="http://schemas.openxmlformats.org/officeDocument/2006/relationships/hyperlink" Target="https://link.springer.com/chapter/10.1007/978-3-319-99966-1_9" TargetMode="External"/><Relationship Id="rId114" Type="http://schemas.openxmlformats.org/officeDocument/2006/relationships/hyperlink" Target="https://mediatum.ub.tum.de/1399734" TargetMode="External"/><Relationship Id="rId235" Type="http://schemas.openxmlformats.org/officeDocument/2006/relationships/hyperlink" Target="https://ieeexplore.ieee.org/abstract/document/9138973/" TargetMode="External"/><Relationship Id="rId356" Type="http://schemas.openxmlformats.org/officeDocument/2006/relationships/hyperlink" Target="https://www.sciencedirect.com/science/article/pii/S0360544220315930" TargetMode="External"/><Relationship Id="rId477" Type="http://schemas.openxmlformats.org/officeDocument/2006/relationships/hyperlink" Target="http://jips-k.org/full-text/398" TargetMode="External"/><Relationship Id="rId598" Type="http://schemas.openxmlformats.org/officeDocument/2006/relationships/hyperlink" Target="https://ieeexplore.ieee.org/abstract/document/8768369/" TargetMode="External"/><Relationship Id="rId113" Type="http://schemas.openxmlformats.org/officeDocument/2006/relationships/hyperlink" Target="https://smartech.gatech.edu/handle/1853/62620" TargetMode="External"/><Relationship Id="rId234" Type="http://schemas.openxmlformats.org/officeDocument/2006/relationships/hyperlink" Target="https://link.springer.com/content/pdf/10.1007/s10586-020-03096-0.pdf" TargetMode="External"/><Relationship Id="rId355" Type="http://schemas.openxmlformats.org/officeDocument/2006/relationships/hyperlink" Target="https://ieeexplore.ieee.org/abstract/document/9303615/" TargetMode="External"/><Relationship Id="rId476" Type="http://schemas.openxmlformats.org/officeDocument/2006/relationships/hyperlink" Target="https://ieeexplore.ieee.org/abstract/document/8422876/" TargetMode="External"/><Relationship Id="rId597" Type="http://schemas.openxmlformats.org/officeDocument/2006/relationships/hyperlink" Target="https://link.springer.com/article/10.1007/s11227-019-02909-3" TargetMode="External"/><Relationship Id="rId112" Type="http://schemas.openxmlformats.org/officeDocument/2006/relationships/hyperlink" Target="https://ieeexplore.ieee.org/abstract/document/8985207/" TargetMode="External"/><Relationship Id="rId233" Type="http://schemas.openxmlformats.org/officeDocument/2006/relationships/hyperlink" Target="https://www.sciencedirect.com/science/article/pii/S0167739X1931235X" TargetMode="External"/><Relationship Id="rId354" Type="http://schemas.openxmlformats.org/officeDocument/2006/relationships/hyperlink" Target="https://www.osapublishing.org/abstract.cfm?uri=PSC-2020-PsW1F.1" TargetMode="External"/><Relationship Id="rId475" Type="http://schemas.openxmlformats.org/officeDocument/2006/relationships/hyperlink" Target="https://ieeexplore.ieee.org/abstract/document/8555561/" TargetMode="External"/><Relationship Id="rId596" Type="http://schemas.openxmlformats.org/officeDocument/2006/relationships/hyperlink" Target="https://www.mdpi.com/1996-1073/11/10/2821" TargetMode="External"/><Relationship Id="rId111" Type="http://schemas.openxmlformats.org/officeDocument/2006/relationships/hyperlink" Target="https://ieeexplore.ieee.org/abstract/document/8329460/" TargetMode="External"/><Relationship Id="rId232" Type="http://schemas.openxmlformats.org/officeDocument/2006/relationships/hyperlink" Target="https://ieeexplore.ieee.org/abstract/document/8422036/" TargetMode="External"/><Relationship Id="rId353" Type="http://schemas.openxmlformats.org/officeDocument/2006/relationships/hyperlink" Target="https://ieeexplore.ieee.org/abstract/document/8513714/" TargetMode="External"/><Relationship Id="rId474" Type="http://schemas.openxmlformats.org/officeDocument/2006/relationships/hyperlink" Target="http://search.proquest.com/openview/fbc5529f7cfcd78fae1b9de175c55a90/1?pq-origsite=gscholar&amp;cbl=1686344" TargetMode="External"/><Relationship Id="rId595" Type="http://schemas.openxmlformats.org/officeDocument/2006/relationships/hyperlink" Target="http://journals.lepenseur.it/index.php/cse/article/view/113" TargetMode="External"/><Relationship Id="rId305" Type="http://schemas.openxmlformats.org/officeDocument/2006/relationships/hyperlink" Target="https://ieeexplore.ieee.org/abstract/document/9220973/" TargetMode="External"/><Relationship Id="rId426" Type="http://schemas.openxmlformats.org/officeDocument/2006/relationships/hyperlink" Target="https://www.mdpi.com/1996-1073/11/8/2053" TargetMode="External"/><Relationship Id="rId547" Type="http://schemas.openxmlformats.org/officeDocument/2006/relationships/hyperlink" Target="https://ieeexplore.ieee.org/abstract/document/9234691/" TargetMode="External"/><Relationship Id="rId304" Type="http://schemas.openxmlformats.org/officeDocument/2006/relationships/hyperlink" Target="https://www.mdpi.com/1996-1073/13/23/6166" TargetMode="External"/><Relationship Id="rId425" Type="http://schemas.openxmlformats.org/officeDocument/2006/relationships/hyperlink" Target="https://open.library.ubc.ca/collections/24/24/items/1.0384819" TargetMode="External"/><Relationship Id="rId546" Type="http://schemas.openxmlformats.org/officeDocument/2006/relationships/hyperlink" Target="https://ieeexplore.ieee.org/abstract/document/8555630/" TargetMode="External"/><Relationship Id="rId303" Type="http://schemas.openxmlformats.org/officeDocument/2006/relationships/hyperlink" Target="https://ieeexplore.ieee.org/abstract/document/9176752/" TargetMode="External"/><Relationship Id="rId424" Type="http://schemas.openxmlformats.org/officeDocument/2006/relationships/hyperlink" Target="https://link.springer.com/article/10.1007/s10922-018-9462-3" TargetMode="External"/><Relationship Id="rId545" Type="http://schemas.openxmlformats.org/officeDocument/2006/relationships/hyperlink" Target="http://en.cnki.com.cn/Article_en/CJFDTotal-ZWJC201807042.htm" TargetMode="External"/><Relationship Id="rId302" Type="http://schemas.openxmlformats.org/officeDocument/2006/relationships/hyperlink" Target="https://www.researchgate.net/profile/Annamalai_Murugan/publication/332683073_Cold_LOGIK_and_RDHX_Solution_for_Data_Center_Energy_Optimization/links/5e96b0f4299bf130799ad4c8/Cold-LOGIK-and-RDHX-Solution-for-Data-Center-Energy-Optimization.pdf" TargetMode="External"/><Relationship Id="rId423" Type="http://schemas.openxmlformats.org/officeDocument/2006/relationships/hyperlink" Target="https://ieeexplore.ieee.org/abstract/document/8672350/" TargetMode="External"/><Relationship Id="rId544" Type="http://schemas.openxmlformats.org/officeDocument/2006/relationships/hyperlink" Target="https://www.koreascience.or.kr/article/CFKO201835372170716.page" TargetMode="External"/><Relationship Id="rId309" Type="http://schemas.openxmlformats.org/officeDocument/2006/relationships/hyperlink" Target="https://www.mdpi.com/2071-1050/10/4/939" TargetMode="External"/><Relationship Id="rId308" Type="http://schemas.openxmlformats.org/officeDocument/2006/relationships/hyperlink" Target="http://www.academia.edu/download/57287382/9_PerformanceImprovement.pdf" TargetMode="External"/><Relationship Id="rId429" Type="http://schemas.openxmlformats.org/officeDocument/2006/relationships/hyperlink" Target="https://ieeexplore.ieee.org/abstract/document/8603157/" TargetMode="External"/><Relationship Id="rId307" Type="http://schemas.openxmlformats.org/officeDocument/2006/relationships/hyperlink" Target="https://link.springer.com/chapter/10.1007/978-3-030-02849-7_14" TargetMode="External"/><Relationship Id="rId428" Type="http://schemas.openxmlformats.org/officeDocument/2006/relationships/hyperlink" Target="https://link.springer.com/article/10.1007/s00500-017-2905-z" TargetMode="External"/><Relationship Id="rId549" Type="http://schemas.openxmlformats.org/officeDocument/2006/relationships/hyperlink" Target="https://www.sciencedirect.com/science/article/pii/S2210537918302798" TargetMode="External"/><Relationship Id="rId306" Type="http://schemas.openxmlformats.org/officeDocument/2006/relationships/hyperlink" Target="https://pdfs.semanticscholar.org/c99b/2673db1e4879ded860a78e5cea1b40af7cab.pdf" TargetMode="External"/><Relationship Id="rId427" Type="http://schemas.openxmlformats.org/officeDocument/2006/relationships/hyperlink" Target="https://link.springer.com/content/pdf/10.1007/s10586-017-1166-z.pdf" TargetMode="External"/><Relationship Id="rId548" Type="http://schemas.openxmlformats.org/officeDocument/2006/relationships/hyperlink" Target="https://www.hindawi.com/journals/jcnc/2019/4390917/abs/" TargetMode="External"/><Relationship Id="rId301" Type="http://schemas.openxmlformats.org/officeDocument/2006/relationships/hyperlink" Target="https://www.sciencedirect.com/science/article/pii/S0743731517302149" TargetMode="External"/><Relationship Id="rId422" Type="http://schemas.openxmlformats.org/officeDocument/2006/relationships/hyperlink" Target="https://link.springer.com/article/10.1007/s42979-019-0029-5" TargetMode="External"/><Relationship Id="rId543" Type="http://schemas.openxmlformats.org/officeDocument/2006/relationships/hyperlink" Target="https://link.springer.com/article/10.1007/s11276-018-1874-1" TargetMode="External"/><Relationship Id="rId300" Type="http://schemas.openxmlformats.org/officeDocument/2006/relationships/hyperlink" Target="https://link.springer.com/article/10.1007/s10586-018-2718-6" TargetMode="External"/><Relationship Id="rId421" Type="http://schemas.openxmlformats.org/officeDocument/2006/relationships/hyperlink" Target="https://www.sciencedirect.com/science/article/pii/S0167739X19319594" TargetMode="External"/><Relationship Id="rId542" Type="http://schemas.openxmlformats.org/officeDocument/2006/relationships/hyperlink" Target="https://ieeexplore.ieee.org/abstract/document/8752120/" TargetMode="External"/><Relationship Id="rId420" Type="http://schemas.openxmlformats.org/officeDocument/2006/relationships/hyperlink" Target="https://www.hindawi.com/journals/mpe/2020/4176308/" TargetMode="External"/><Relationship Id="rId541" Type="http://schemas.openxmlformats.org/officeDocument/2006/relationships/hyperlink" Target="https://ieeexplore.ieee.org/abstract/document/8644591/" TargetMode="External"/><Relationship Id="rId540" Type="http://schemas.openxmlformats.org/officeDocument/2006/relationships/hyperlink" Target="http://www.openscienceonline.com/journal/archive2?journalId=742&amp;paperId=4097" TargetMode="External"/><Relationship Id="rId415" Type="http://schemas.openxmlformats.org/officeDocument/2006/relationships/hyperlink" Target="https://www.sciencedirect.com/science/article/pii/S0167739X19308969" TargetMode="External"/><Relationship Id="rId536" Type="http://schemas.openxmlformats.org/officeDocument/2006/relationships/hyperlink" Target="https://link.springer.com/chapter/10.1007/978-3-319-92237-9_9" TargetMode="External"/><Relationship Id="rId414" Type="http://schemas.openxmlformats.org/officeDocument/2006/relationships/hyperlink" Target="https://www.researchgate.net/profile/Joshua_Samual/publication/342590540_AWARENESS_OF_ENERGY_CONSUMPTION_IN_CLOUD_DATA_CENTERS_A_SURVEY_ON_EMPLOYEE_ENGAGEMENT_IN_ENERGY_MANAGEMENT/links/5efc514fa6fdcc4ca4409952/AWARENESS-OF-ENERGY-CONSUMPTION-IN-CLOUD-DATA-CENTERS-A-SURVEY-ON-EMPLOYEE-ENGAGEMENT-IN-ENERGY-MANAGEMENT.pdf" TargetMode="External"/><Relationship Id="rId535" Type="http://schemas.openxmlformats.org/officeDocument/2006/relationships/hyperlink" Target="https://ubibliorum.ubi.pt/handle/10400.6/7528" TargetMode="External"/><Relationship Id="rId656" Type="http://schemas.openxmlformats.org/officeDocument/2006/relationships/table" Target="../tables/table1.xml"/><Relationship Id="rId413" Type="http://schemas.openxmlformats.org/officeDocument/2006/relationships/hyperlink" Target="http://crad.ict.ac.cn/EN/Y2019/V56/I9/1821" TargetMode="External"/><Relationship Id="rId534" Type="http://schemas.openxmlformats.org/officeDocument/2006/relationships/hyperlink" Target="https://www.koreascience.or.kr/article/JAKO201935236777775.page" TargetMode="External"/><Relationship Id="rId412" Type="http://schemas.openxmlformats.org/officeDocument/2006/relationships/hyperlink" Target="https://www.mdpi.com/2227-7390/8/12/2127" TargetMode="External"/><Relationship Id="rId533" Type="http://schemas.openxmlformats.org/officeDocument/2006/relationships/hyperlink" Target="https://ieeexplore.ieee.org/abstract/document/8341994/" TargetMode="External"/><Relationship Id="rId654" Type="http://schemas.openxmlformats.org/officeDocument/2006/relationships/vmlDrawing" Target="../drawings/vmlDrawing1.vml"/><Relationship Id="rId419" Type="http://schemas.openxmlformats.org/officeDocument/2006/relationships/hyperlink" Target="https://ieeexplore.ieee.org/abstract/document/8975843/" TargetMode="External"/><Relationship Id="rId418" Type="http://schemas.openxmlformats.org/officeDocument/2006/relationships/hyperlink" Target="https://ieeexplore.ieee.org/abstract/document/9194169/" TargetMode="External"/><Relationship Id="rId539" Type="http://schemas.openxmlformats.org/officeDocument/2006/relationships/hyperlink" Target="https://dl.acm.org/doi/abs/10.1145/3239264.3239275" TargetMode="External"/><Relationship Id="rId417" Type="http://schemas.openxmlformats.org/officeDocument/2006/relationships/hyperlink" Target="https://www.mdpi.com/2076-3417/10/7/2459" TargetMode="External"/><Relationship Id="rId538" Type="http://schemas.openxmlformats.org/officeDocument/2006/relationships/hyperlink" Target="https://www.mdpi.com/1999-5903/10/9/86" TargetMode="External"/><Relationship Id="rId416" Type="http://schemas.openxmlformats.org/officeDocument/2006/relationships/hyperlink" Target="https://link.springer.com/chapter/10.1007/978-3-030-20485-3_40" TargetMode="External"/><Relationship Id="rId537" Type="http://schemas.openxmlformats.org/officeDocument/2006/relationships/hyperlink" Target="https://ieeexplore.ieee.org/abstract/document/9190515/" TargetMode="External"/><Relationship Id="rId411" Type="http://schemas.openxmlformats.org/officeDocument/2006/relationships/hyperlink" Target="https://www.sciencedirect.com/science/article/pii/S0045790617319808" TargetMode="External"/><Relationship Id="rId532" Type="http://schemas.openxmlformats.org/officeDocument/2006/relationships/hyperlink" Target="https://ieeexplore.ieee.org/abstract/document/8999456/" TargetMode="External"/><Relationship Id="rId653" Type="http://schemas.openxmlformats.org/officeDocument/2006/relationships/drawing" Target="../drawings/drawing1.xml"/><Relationship Id="rId410" Type="http://schemas.openxmlformats.org/officeDocument/2006/relationships/hyperlink" Target="https://www.researchgate.net/profile/Mohan_Sharma12/publication/327271124_WGOA_Whale-Genetic_Optimization_Algorithm_for_Energy_Efficient_Task_Scheduling_in_Cloud_Computing/links/5e5186c8299bf1cdb94000ba/WGOA-Whale-Genetic-Optimization-Algorithm-for-Energy-Efficient-Task-Scheduling-in-Cloud-Computing.pdf" TargetMode="External"/><Relationship Id="rId531" Type="http://schemas.openxmlformats.org/officeDocument/2006/relationships/hyperlink" Target="https://content.iospress.com/articles/journal-of-intelligent-and-fuzzy-systems/ifs171927" TargetMode="External"/><Relationship Id="rId652" Type="http://schemas.openxmlformats.org/officeDocument/2006/relationships/hyperlink" Target="https://link.springer.com/article/10.1007/s10626-019-00293-x" TargetMode="External"/><Relationship Id="rId530" Type="http://schemas.openxmlformats.org/officeDocument/2006/relationships/hyperlink" Target="http://search.ebscohost.com/login.aspx?direct=true&amp;profile=ehost&amp;scope=site&amp;authtype=crawler&amp;jrnl=10297006&amp;AN=140479668&amp;h=90OHaLIeD5fuvb1G7LBafy%2BsFKHh8LrcmGB7ejZwDKCfX0DYAOHRdOX5uAd2DuvRTZ4WyGiXnLBfTrnfp5%2B5HA%3D%3D&amp;crl=c" TargetMode="External"/><Relationship Id="rId651" Type="http://schemas.openxmlformats.org/officeDocument/2006/relationships/hyperlink" Target="https://arxiv.org/abs/1901.03371" TargetMode="External"/><Relationship Id="rId650" Type="http://schemas.openxmlformats.org/officeDocument/2006/relationships/hyperlink" Target="https://www.sciencedirect.com/science/article/pii/S1359431119387824" TargetMode="External"/><Relationship Id="rId206" Type="http://schemas.openxmlformats.org/officeDocument/2006/relationships/hyperlink" Target="https://ieeexplore.ieee.org/abstract/document/8752117/" TargetMode="External"/><Relationship Id="rId327" Type="http://schemas.openxmlformats.org/officeDocument/2006/relationships/hyperlink" Target="https://link.springer.com/article/10.1007/s10586-020-03186-z" TargetMode="External"/><Relationship Id="rId448" Type="http://schemas.openxmlformats.org/officeDocument/2006/relationships/hyperlink" Target="https://www.osapublishing.org/abstract.cfm?uri=OFC-2019-W1F.1" TargetMode="External"/><Relationship Id="rId569" Type="http://schemas.openxmlformats.org/officeDocument/2006/relationships/hyperlink" Target="https://www.diva-portal.org/smash/get/diva2:1349556/FULLTEXT02" TargetMode="External"/><Relationship Id="rId205" Type="http://schemas.openxmlformats.org/officeDocument/2006/relationships/hyperlink" Target="https://www.atlantis-press.com/proceedings/amcce-18/25895654" TargetMode="External"/><Relationship Id="rId326" Type="http://schemas.openxmlformats.org/officeDocument/2006/relationships/hyperlink" Target="https://ieeexplore.ieee.org/abstract/document/9006914/" TargetMode="External"/><Relationship Id="rId447" Type="http://schemas.openxmlformats.org/officeDocument/2006/relationships/hyperlink" Target="https://www.sid.ir/FileServer/JE/5055520192805" TargetMode="External"/><Relationship Id="rId568" Type="http://schemas.openxmlformats.org/officeDocument/2006/relationships/hyperlink" Target="https://link.springer.com/article/10.1007/s41870-018-0258-1" TargetMode="External"/><Relationship Id="rId204" Type="http://schemas.openxmlformats.org/officeDocument/2006/relationships/hyperlink" Target="https://www.osapublishing.org/abstract.cfm?uri=jocn-10-7-B58" TargetMode="External"/><Relationship Id="rId325" Type="http://schemas.openxmlformats.org/officeDocument/2006/relationships/hyperlink" Target="http://psasir.upm.edu.my/id/eprint/70614/1/17%20JST-1027-2017.pdf" TargetMode="External"/><Relationship Id="rId446" Type="http://schemas.openxmlformats.org/officeDocument/2006/relationships/hyperlink" Target="https://link.springer.com/chapter/10.1007/978-3-030-63319-6_3" TargetMode="External"/><Relationship Id="rId567" Type="http://schemas.openxmlformats.org/officeDocument/2006/relationships/hyperlink" Target="https://ieeexplore.ieee.org/abstract/document/8526339/" TargetMode="External"/><Relationship Id="rId203" Type="http://schemas.openxmlformats.org/officeDocument/2006/relationships/hyperlink" Target="https://www.ijert.org/research/improve-energy-consumption-model-for-cloud-data-centers-using-pso-algorithm-IJERTCONV7IS01035.pdf" TargetMode="External"/><Relationship Id="rId324" Type="http://schemas.openxmlformats.org/officeDocument/2006/relationships/hyperlink" Target="https://ieeexplore.ieee.org/abstract/document/8356052/" TargetMode="External"/><Relationship Id="rId445" Type="http://schemas.openxmlformats.org/officeDocument/2006/relationships/hyperlink" Target="https://ieeexplore.ieee.org/abstract/document/8783781/" TargetMode="External"/><Relationship Id="rId566" Type="http://schemas.openxmlformats.org/officeDocument/2006/relationships/hyperlink" Target="https://lutpub.lut.fi/handle/10024/159900" TargetMode="External"/><Relationship Id="rId209" Type="http://schemas.openxmlformats.org/officeDocument/2006/relationships/hyperlink" Target="https://ieeexplore.ieee.org/abstract/document/8283825/" TargetMode="External"/><Relationship Id="rId208" Type="http://schemas.openxmlformats.org/officeDocument/2006/relationships/hyperlink" Target="https://www.sciencedirect.com/science/article/pii/S0167739X17316059" TargetMode="External"/><Relationship Id="rId329" Type="http://schemas.openxmlformats.org/officeDocument/2006/relationships/hyperlink" Target="https://books.google.com/books?hl=en&amp;lr=&amp;id=WQRrDwAAQBAJ&amp;oi=fnd&amp;pg=PA164&amp;dq=energy+%22data+center%22%7C%22data+centers%22%7Cdatacenter%7Cdatacenters&amp;ots=kGV2C3Rr-v&amp;sig=ztNP9LZiVz18gR652Y2FlrqpUrY" TargetMode="External"/><Relationship Id="rId207" Type="http://schemas.openxmlformats.org/officeDocument/2006/relationships/hyperlink" Target="http://www.inass.org/2019/2019083112.pdf" TargetMode="External"/><Relationship Id="rId328" Type="http://schemas.openxmlformats.org/officeDocument/2006/relationships/hyperlink" Target="https://www.sciencedirect.com/science/article/pii/S0167739X17300092" TargetMode="External"/><Relationship Id="rId449" Type="http://schemas.openxmlformats.org/officeDocument/2006/relationships/hyperlink" Target="https://link.springer.com/chapter/10.1007/978-3-030-30709-7_25" TargetMode="External"/><Relationship Id="rId440" Type="http://schemas.openxmlformats.org/officeDocument/2006/relationships/hyperlink" Target="https://ieeexplore.ieee.org/abstract/document/8842783/" TargetMode="External"/><Relationship Id="rId561" Type="http://schemas.openxmlformats.org/officeDocument/2006/relationships/hyperlink" Target="https://www.sciencedirect.com/science/article/pii/S030626191830031X" TargetMode="External"/><Relationship Id="rId560" Type="http://schemas.openxmlformats.org/officeDocument/2006/relationships/hyperlink" Target="https://ieeexplore.ieee.org/abstract/document/9138729/" TargetMode="External"/><Relationship Id="rId202" Type="http://schemas.openxmlformats.org/officeDocument/2006/relationships/hyperlink" Target="http://www.jmess.org/wp-content/uploads/2019/05/JMESSP13420537.pdf" TargetMode="External"/><Relationship Id="rId323" Type="http://schemas.openxmlformats.org/officeDocument/2006/relationships/hyperlink" Target="https://ieeexplore.ieee.org/abstract/document/9275290/" TargetMode="External"/><Relationship Id="rId444" Type="http://schemas.openxmlformats.org/officeDocument/2006/relationships/hyperlink" Target="https://www.sciencedirect.com/science/article/pii/S0167739X18321599" TargetMode="External"/><Relationship Id="rId565" Type="http://schemas.openxmlformats.org/officeDocument/2006/relationships/hyperlink" Target="https://ieeexplore.ieee.org/abstract/document/9200929/" TargetMode="External"/><Relationship Id="rId201" Type="http://schemas.openxmlformats.org/officeDocument/2006/relationships/hyperlink" Target="http://www.cai.sk/ojs/index.php/cai/article/viewArticle/4918" TargetMode="External"/><Relationship Id="rId322" Type="http://schemas.openxmlformats.org/officeDocument/2006/relationships/hyperlink" Target="https://www.academia.edu/download/60782019/320191003-30157-m01c7a.pdf" TargetMode="External"/><Relationship Id="rId443" Type="http://schemas.openxmlformats.org/officeDocument/2006/relationships/hyperlink" Target="https://ieeexplore.ieee.org/abstract/document/8885255/" TargetMode="External"/><Relationship Id="rId564" Type="http://schemas.openxmlformats.org/officeDocument/2006/relationships/hyperlink" Target="http://www.arpnjournals.org/jeas/research_papers/rp_2019/jeas_1019_7940.pdf" TargetMode="External"/><Relationship Id="rId200" Type="http://schemas.openxmlformats.org/officeDocument/2006/relationships/hyperlink" Target="https://ieeexplore.ieee.org/abstract/document/9029070/" TargetMode="External"/><Relationship Id="rId321" Type="http://schemas.openxmlformats.org/officeDocument/2006/relationships/hyperlink" Target="https://link.springer.com/chapter/10.1007/978-981-15-3689-2_4" TargetMode="External"/><Relationship Id="rId442" Type="http://schemas.openxmlformats.org/officeDocument/2006/relationships/hyperlink" Target="https://eprints.lancs.ac.uk/id/eprint/147406/" TargetMode="External"/><Relationship Id="rId563" Type="http://schemas.openxmlformats.org/officeDocument/2006/relationships/hyperlink" Target="https://www.mdpi.com/2079-9292/8/5/582" TargetMode="External"/><Relationship Id="rId320" Type="http://schemas.openxmlformats.org/officeDocument/2006/relationships/hyperlink" Target="https://link.springer.com/content/pdf/10.1007/978-3-319-94959-8.pdf" TargetMode="External"/><Relationship Id="rId441" Type="http://schemas.openxmlformats.org/officeDocument/2006/relationships/hyperlink" Target="https://link.springer.com/chapter/10.1007/978-3-030-44907-0_6" TargetMode="External"/><Relationship Id="rId562" Type="http://schemas.openxmlformats.org/officeDocument/2006/relationships/hyperlink" Target="https://www.worldscientific.com/doi/abs/10.1142/S0218001419510091" TargetMode="External"/><Relationship Id="rId316" Type="http://schemas.openxmlformats.org/officeDocument/2006/relationships/hyperlink" Target="https://link.springer.com/content/pdf/10.1007/s11277-020-07070-2.pdf" TargetMode="External"/><Relationship Id="rId437" Type="http://schemas.openxmlformats.org/officeDocument/2006/relationships/hyperlink" Target="http://search.ebscohost.com/login.aspx?direct=true&amp;profile=ehost&amp;scope=site&amp;authtype=crawler&amp;jrnl=09731318&amp;AN=141016261&amp;h=qwZ%2BpYdlfk%2BzvtM7AVtTzVM%2Frs4veDzSUV5je6ybbkKWBm%2BeTA2vKShbEJm7FRybBjeDPxz80LJa8UdNAVljOA%3D%3D&amp;crl=c" TargetMode="External"/><Relationship Id="rId558" Type="http://schemas.openxmlformats.org/officeDocument/2006/relationships/hyperlink" Target="https://ieeexplore.ieee.org/abstract/document/9079973/" TargetMode="External"/><Relationship Id="rId315" Type="http://schemas.openxmlformats.org/officeDocument/2006/relationships/hyperlink" Target="https://ieeexplore.ieee.org/abstract/document/9024592/" TargetMode="External"/><Relationship Id="rId436" Type="http://schemas.openxmlformats.org/officeDocument/2006/relationships/hyperlink" Target="https://link.springer.com/chapter/10.1007/978-3-319-94295-7_10" TargetMode="External"/><Relationship Id="rId557" Type="http://schemas.openxmlformats.org/officeDocument/2006/relationships/hyperlink" Target="https://dl.acm.org/doi/abs/10.1145/3190508.3190537" TargetMode="External"/><Relationship Id="rId314" Type="http://schemas.openxmlformats.org/officeDocument/2006/relationships/hyperlink" Target="https://ph01.tci-thaijo.org/index.php/IJSIT/article/download/146074/107751" TargetMode="External"/><Relationship Id="rId435" Type="http://schemas.openxmlformats.org/officeDocument/2006/relationships/hyperlink" Target="https://link.springer.com/content/pdf/10.1007/s12273-020-0629-y.pdf" TargetMode="External"/><Relationship Id="rId556" Type="http://schemas.openxmlformats.org/officeDocument/2006/relationships/hyperlink" Target="https://www.igi-global.com/article/a-dynamic-threshold-based-energy-efficient-method-for-cloud-datacenters/248530" TargetMode="External"/><Relationship Id="rId313" Type="http://schemas.openxmlformats.org/officeDocument/2006/relationships/hyperlink" Target="https://www.osti.gov/servlets/purl/1543261" TargetMode="External"/><Relationship Id="rId434" Type="http://schemas.openxmlformats.org/officeDocument/2006/relationships/hyperlink" Target="https://link.springer.com/article/10.1007/s11036-018-1062-7" TargetMode="External"/><Relationship Id="rId555" Type="http://schemas.openxmlformats.org/officeDocument/2006/relationships/hyperlink" Target="https://ieeexplore.ieee.org/abstract/document/8552101/" TargetMode="External"/><Relationship Id="rId319" Type="http://schemas.openxmlformats.org/officeDocument/2006/relationships/hyperlink" Target="https://ieeexplore.ieee.org/abstract/document/9238057/" TargetMode="External"/><Relationship Id="rId318" Type="http://schemas.openxmlformats.org/officeDocument/2006/relationships/hyperlink" Target="https://link.springer.com/chapter/10.1007/978-981-13-3648-5_118" TargetMode="External"/><Relationship Id="rId439" Type="http://schemas.openxmlformats.org/officeDocument/2006/relationships/hyperlink" Target="http://www.jestr.org/downloads/Volume13Issue3/fulltext251332020.pdf" TargetMode="External"/><Relationship Id="rId317" Type="http://schemas.openxmlformats.org/officeDocument/2006/relationships/hyperlink" Target="https://www.mdpi.com/1996-1073/12/4/646" TargetMode="External"/><Relationship Id="rId438" Type="http://schemas.openxmlformats.org/officeDocument/2006/relationships/hyperlink" Target="https://www.sciencedirect.com/science/article/pii/S074373151730285X" TargetMode="External"/><Relationship Id="rId559" Type="http://schemas.openxmlformats.org/officeDocument/2006/relationships/hyperlink" Target="https://ieeexplore.ieee.org/abstract/document/8782131/" TargetMode="External"/><Relationship Id="rId550" Type="http://schemas.openxmlformats.org/officeDocument/2006/relationships/hyperlink" Target="https://link.springer.com/article/10.1007/s11227-019-03036-9" TargetMode="External"/><Relationship Id="rId312" Type="http://schemas.openxmlformats.org/officeDocument/2006/relationships/hyperlink" Target="https://ui.adsabs.harvard.edu/abs/2018EGUGA..2017425S/abstract" TargetMode="External"/><Relationship Id="rId433" Type="http://schemas.openxmlformats.org/officeDocument/2006/relationships/hyperlink" Target="https://www.osapublishing.org/abstract.cfm?uri=OFC-2019-M4D.4" TargetMode="External"/><Relationship Id="rId554" Type="http://schemas.openxmlformats.org/officeDocument/2006/relationships/hyperlink" Target="https://www.mdpi.com/1996-1073/13/19/5222" TargetMode="External"/><Relationship Id="rId311" Type="http://schemas.openxmlformats.org/officeDocument/2006/relationships/hyperlink" Target="https://iopscience.iop.org/article/10.1088/1742-6596/1606/1/012021/meta" TargetMode="External"/><Relationship Id="rId432" Type="http://schemas.openxmlformats.org/officeDocument/2006/relationships/hyperlink" Target="https://papers.ssrn.com/sol3/papers.cfm?abstract_id=3394044" TargetMode="External"/><Relationship Id="rId553" Type="http://schemas.openxmlformats.org/officeDocument/2006/relationships/hyperlink" Target="https://www.sciencedirect.com/science/article/abs/pii/S2542660520300470" TargetMode="External"/><Relationship Id="rId310" Type="http://schemas.openxmlformats.org/officeDocument/2006/relationships/hyperlink" Target="https://onlinelibrary.wiley.com/doi/abs/10.1002/cpe.5437" TargetMode="External"/><Relationship Id="rId431" Type="http://schemas.openxmlformats.org/officeDocument/2006/relationships/hyperlink" Target="https://www.researchgate.net/profile/Anders_Andrae/publication/336284632_Comparison_of_Several_Simplistic_High-Level_Approaches_for_Estimating_the_Global_Energy_and_Electricity_Use_of_ICT_Networks_and_Data_Centers/links/5d99962592851c2f70eed9a2/Comparison-of-Several-Simplistic-High-Level-Approaches-for-Estimating-the-Global-Energy-and-Electricity-Use-of-ICT-Networks-and-Data-Centers.pdf" TargetMode="External"/><Relationship Id="rId552" Type="http://schemas.openxmlformats.org/officeDocument/2006/relationships/hyperlink" Target="https://www.mdpi.com/2227-7080/6/3/87" TargetMode="External"/><Relationship Id="rId430" Type="http://schemas.openxmlformats.org/officeDocument/2006/relationships/hyperlink" Target="https://ieeexplore.ieee.org/abstract/document/8422225/" TargetMode="External"/><Relationship Id="rId551" Type="http://schemas.openxmlformats.org/officeDocument/2006/relationships/hyperlink" Target="https://ieeexplore.ieee.org/abstract/document/906931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ieeexplore.ieee.org/abstract/document/8874886/" TargetMode="External"/><Relationship Id="rId2" Type="http://schemas.openxmlformats.org/officeDocument/2006/relationships/hyperlink" Target="https://link.springer.com/article/10.1007/s10586-018-2235-7" TargetMode="External"/><Relationship Id="rId3" Type="http://schemas.openxmlformats.org/officeDocument/2006/relationships/hyperlink" Target="https://ieeexplore.ieee.org/abstract/document/9053186/" TargetMode="External"/><Relationship Id="rId4" Type="http://schemas.openxmlformats.org/officeDocument/2006/relationships/hyperlink" Target="https://www.mdpi.com/1996-1073/12/17/3301" TargetMode="External"/><Relationship Id="rId9" Type="http://schemas.openxmlformats.org/officeDocument/2006/relationships/hyperlink" Target="https://search.ieice.org/bin/summary.php?id=e101-d_7_1816" TargetMode="External"/><Relationship Id="rId143" Type="http://schemas.openxmlformats.org/officeDocument/2006/relationships/table" Target="../tables/table2.xml"/><Relationship Id="rId141" Type="http://schemas.openxmlformats.org/officeDocument/2006/relationships/drawing" Target="../drawings/drawing2.xml"/><Relationship Id="rId140" Type="http://schemas.openxmlformats.org/officeDocument/2006/relationships/hyperlink" Target="https://www.mdpi.com/2079-9268/10/4/32" TargetMode="External"/><Relationship Id="rId5" Type="http://schemas.openxmlformats.org/officeDocument/2006/relationships/hyperlink" Target="https://link.springer.com/chapter/10.1007/978-3-030-12065-8_1" TargetMode="External"/><Relationship Id="rId6" Type="http://schemas.openxmlformats.org/officeDocument/2006/relationships/hyperlink" Target="https://link.springer.com/content/pdf/10.1007/s00607-020-00805-w.pdf" TargetMode="External"/><Relationship Id="rId7" Type="http://schemas.openxmlformats.org/officeDocument/2006/relationships/hyperlink" Target="https://centerprode.com/ojit/ojit0301/coas.ojit.0301.01001m.html" TargetMode="External"/><Relationship Id="rId8" Type="http://schemas.openxmlformats.org/officeDocument/2006/relationships/hyperlink" Target="https://link.springer.com/article/10.1007/s10586-018-2869-5" TargetMode="External"/><Relationship Id="rId139" Type="http://schemas.openxmlformats.org/officeDocument/2006/relationships/hyperlink" Target="https://ieeexplore.ieee.org/abstract/document/8468062/" TargetMode="External"/><Relationship Id="rId138" Type="http://schemas.openxmlformats.org/officeDocument/2006/relationships/hyperlink" Target="https://www.hindawi.com/journals/sp/2019/3204346/abs/" TargetMode="External"/><Relationship Id="rId137" Type="http://schemas.openxmlformats.org/officeDocument/2006/relationships/hyperlink" Target="https://www.sciencedirect.com/science/article/pii/S0167739X16308330" TargetMode="External"/><Relationship Id="rId132" Type="http://schemas.openxmlformats.org/officeDocument/2006/relationships/hyperlink" Target="http://iajit.org/PDF/May%202018,%20No.%203/10882.pdf" TargetMode="External"/><Relationship Id="rId131" Type="http://schemas.openxmlformats.org/officeDocument/2006/relationships/hyperlink" Target="https://link.springer.com/article/10.1007/s11227-018-2244-6" TargetMode="External"/><Relationship Id="rId130" Type="http://schemas.openxmlformats.org/officeDocument/2006/relationships/hyperlink" Target="https://dl.acm.org/doi/abs/10.1145/3344341.3368822" TargetMode="External"/><Relationship Id="rId136" Type="http://schemas.openxmlformats.org/officeDocument/2006/relationships/hyperlink" Target="https://www.sciencedirect.com/science/article/pii/S0957417418303531" TargetMode="External"/><Relationship Id="rId135" Type="http://schemas.openxmlformats.org/officeDocument/2006/relationships/hyperlink" Target="https://ieeexplore.ieee.org/abstract/document/8732201/" TargetMode="External"/><Relationship Id="rId134" Type="http://schemas.openxmlformats.org/officeDocument/2006/relationships/hyperlink" Target="http://jips-k.org/full-text/398" TargetMode="External"/><Relationship Id="rId133" Type="http://schemas.openxmlformats.org/officeDocument/2006/relationships/hyperlink" Target="http://search.proquest.com/openview/fbc5529f7cfcd78fae1b9de175c55a90/1?pq-origsite=gscholar&amp;cbl=1686344" TargetMode="External"/><Relationship Id="rId40" Type="http://schemas.openxmlformats.org/officeDocument/2006/relationships/hyperlink" Target="https://link.springer.com/chapter/10.1007/978-3-030-47560-4_22" TargetMode="External"/><Relationship Id="rId42" Type="http://schemas.openxmlformats.org/officeDocument/2006/relationships/hyperlink" Target="https://www.sciencedirect.com/science/article/pii/S2210537918302907" TargetMode="External"/><Relationship Id="rId41" Type="http://schemas.openxmlformats.org/officeDocument/2006/relationships/hyperlink" Target="https://ieeexplore.ieee.org/abstract/document/8401602/" TargetMode="External"/><Relationship Id="rId44" Type="http://schemas.openxmlformats.org/officeDocument/2006/relationships/hyperlink" Target="https://link.springer.com/content/pdf/10.1007/s10586-020-03066-6.pdf" TargetMode="External"/><Relationship Id="rId43" Type="http://schemas.openxmlformats.org/officeDocument/2006/relationships/hyperlink" Target="https://www.sciencedirect.com/science/article/pii/S1569190X18301825" TargetMode="External"/><Relationship Id="rId46" Type="http://schemas.openxmlformats.org/officeDocument/2006/relationships/hyperlink" Target="https://ieeexplore.ieee.org/abstract/document/9029070/" TargetMode="External"/><Relationship Id="rId45" Type="http://schemas.openxmlformats.org/officeDocument/2006/relationships/hyperlink" Target="https://ieeexplore.ieee.org/abstract/document/9209724/" TargetMode="External"/><Relationship Id="rId48" Type="http://schemas.openxmlformats.org/officeDocument/2006/relationships/hyperlink" Target="http://www.jmess.org/wp-content/uploads/2019/05/JMESSP13420537.pdf" TargetMode="External"/><Relationship Id="rId47" Type="http://schemas.openxmlformats.org/officeDocument/2006/relationships/hyperlink" Target="http://www.cai.sk/ojs/index.php/cai/article/viewArticle/4918" TargetMode="External"/><Relationship Id="rId49" Type="http://schemas.openxmlformats.org/officeDocument/2006/relationships/hyperlink" Target="https://www.osapublishing.org/abstract.cfm?uri=jocn-10-7-B58" TargetMode="External"/><Relationship Id="rId31" Type="http://schemas.openxmlformats.org/officeDocument/2006/relationships/hyperlink" Target="https://dl.acm.org/doi/abs/10.1145/3307772.3328291" TargetMode="External"/><Relationship Id="rId30" Type="http://schemas.openxmlformats.org/officeDocument/2006/relationships/hyperlink" Target="https://ieeexplore.ieee.org/abstract/document/8364052/" TargetMode="External"/><Relationship Id="rId33" Type="http://schemas.openxmlformats.org/officeDocument/2006/relationships/hyperlink" Target="https://onlinelibrary.wiley.com/doi/abs/10.1002/net.21752" TargetMode="External"/><Relationship Id="rId32" Type="http://schemas.openxmlformats.org/officeDocument/2006/relationships/hyperlink" Target="https://link.springer.com/chapter/10.1007/978-3-030-21507-1_41" TargetMode="External"/><Relationship Id="rId35" Type="http://schemas.openxmlformats.org/officeDocument/2006/relationships/hyperlink" Target="https://www.sciencedirect.com/science/article/pii/S074373151930190X" TargetMode="External"/><Relationship Id="rId34" Type="http://schemas.openxmlformats.org/officeDocument/2006/relationships/hyperlink" Target="https://www.researchgate.net/profile/Abdulrahman_Nahhas/publication/333335432_Toward_an_Autonomic_and_Adaptive_Load_Management_Strategy_for_Reducing_Energy_Consumption_under_Performance_Constraints_in_Data_Centers/links/5d1b96fa92851cf440600900/Toward-an-Autonomic-and-Adaptive-Load-Management-Strategy-for-Reducing-Energy-Consumption-under-Performance-Constraints-in-Data-Centers.pdf" TargetMode="External"/><Relationship Id="rId37" Type="http://schemas.openxmlformats.org/officeDocument/2006/relationships/hyperlink" Target="https://link.springer.com/article/10.1007/s11227-018-2513-4" TargetMode="External"/><Relationship Id="rId36" Type="http://schemas.openxmlformats.org/officeDocument/2006/relationships/hyperlink" Target="https://dl.acm.org/doi/abs/10.1145/3297280.3297420" TargetMode="External"/><Relationship Id="rId39" Type="http://schemas.openxmlformats.org/officeDocument/2006/relationships/hyperlink" Target="https://ieeexplore.ieee.org/abstract/document/9148838/" TargetMode="External"/><Relationship Id="rId38" Type="http://schemas.openxmlformats.org/officeDocument/2006/relationships/hyperlink" Target="https://link.springer.com/chapter/10.1007/978-981-15-5341-7_111" TargetMode="External"/><Relationship Id="rId20" Type="http://schemas.openxmlformats.org/officeDocument/2006/relationships/hyperlink" Target="https://link.springer.com/content/pdf/10.1007/s42235-019-0030-7.pdf" TargetMode="External"/><Relationship Id="rId22" Type="http://schemas.openxmlformats.org/officeDocument/2006/relationships/hyperlink" Target="https://ieeexplore.ieee.org/abstract/document/8267099/" TargetMode="External"/><Relationship Id="rId21" Type="http://schemas.openxmlformats.org/officeDocument/2006/relationships/hyperlink" Target="https://www.sciencedirect.com/science/article/pii/S1568494618301327" TargetMode="External"/><Relationship Id="rId24" Type="http://schemas.openxmlformats.org/officeDocument/2006/relationships/hyperlink" Target="https://ieeexplore.ieee.org/abstract/document/8982573/" TargetMode="External"/><Relationship Id="rId23" Type="http://schemas.openxmlformats.org/officeDocument/2006/relationships/hyperlink" Target="https://ieeexplore.ieee.org/abstract/document/8626500/" TargetMode="External"/><Relationship Id="rId26" Type="http://schemas.openxmlformats.org/officeDocument/2006/relationships/hyperlink" Target="https://jespublication.com/upload/2019-V10-I12-10.pdf" TargetMode="External"/><Relationship Id="rId25" Type="http://schemas.openxmlformats.org/officeDocument/2006/relationships/hyperlink" Target="https://jit.ndhu.edu.tw/article/view/2085" TargetMode="External"/><Relationship Id="rId28" Type="http://schemas.openxmlformats.org/officeDocument/2006/relationships/hyperlink" Target="http://search.proquest.com/openview/21c57e9527878ff9b6c8a99d58d1bdb0/1?pq-origsite=gscholar&amp;cbl=4477230" TargetMode="External"/><Relationship Id="rId27" Type="http://schemas.openxmlformats.org/officeDocument/2006/relationships/hyperlink" Target="https://link.springer.com/chapter/10.1007/978-3-319-62238-5_8" TargetMode="External"/><Relationship Id="rId29" Type="http://schemas.openxmlformats.org/officeDocument/2006/relationships/hyperlink" Target="https://www.mdpi.com/1424-8220/19/18/3980" TargetMode="External"/><Relationship Id="rId11" Type="http://schemas.openxmlformats.org/officeDocument/2006/relationships/hyperlink" Target="https://link.springer.com/chapter/10.1007/978-3-319-69889-2_5" TargetMode="External"/><Relationship Id="rId10" Type="http://schemas.openxmlformats.org/officeDocument/2006/relationships/hyperlink" Target="https://ieeexplore.ieee.org/abstract/document/8726577/" TargetMode="External"/><Relationship Id="rId13" Type="http://schemas.openxmlformats.org/officeDocument/2006/relationships/hyperlink" Target="https://ieeexplore.ieee.org/abstract/document/8836768/" TargetMode="External"/><Relationship Id="rId12" Type="http://schemas.openxmlformats.org/officeDocument/2006/relationships/hyperlink" Target="https://link.springer.com/chapter/10.1007/978-3-030-33702-5_24" TargetMode="External"/><Relationship Id="rId15" Type="http://schemas.openxmlformats.org/officeDocument/2006/relationships/hyperlink" Target="https://www.emerald.com/insight/content/doi/10.1108/IJPPM-08-2016-0160/full/html" TargetMode="External"/><Relationship Id="rId14" Type="http://schemas.openxmlformats.org/officeDocument/2006/relationships/hyperlink" Target="https://ieeexplore.ieee.org/abstract/document/9133776/" TargetMode="External"/><Relationship Id="rId17" Type="http://schemas.openxmlformats.org/officeDocument/2006/relationships/hyperlink" Target="https://ieeexplore.ieee.org/abstract/document/8731726/" TargetMode="External"/><Relationship Id="rId16" Type="http://schemas.openxmlformats.org/officeDocument/2006/relationships/hyperlink" Target="https://link.springer.com/article/10.1007/s11390-018-1811-x" TargetMode="External"/><Relationship Id="rId19" Type="http://schemas.openxmlformats.org/officeDocument/2006/relationships/hyperlink" Target="https://www.sciencedirect.com/science/article/pii/S0957417420305431" TargetMode="External"/><Relationship Id="rId18" Type="http://schemas.openxmlformats.org/officeDocument/2006/relationships/hyperlink" Target="https://ieeexplore.ieee.org/abstract/document/8631005/" TargetMode="External"/><Relationship Id="rId84" Type="http://schemas.openxmlformats.org/officeDocument/2006/relationships/hyperlink" Target="https://ieeexplore.ieee.org/abstract/document/8356052/" TargetMode="External"/><Relationship Id="rId83" Type="http://schemas.openxmlformats.org/officeDocument/2006/relationships/hyperlink" Target="https://link.springer.com/chapter/10.1007/978-981-15-3689-2_4" TargetMode="External"/><Relationship Id="rId86" Type="http://schemas.openxmlformats.org/officeDocument/2006/relationships/hyperlink" Target="https://link.springer.com/article/10.1007/s10586-020-03186-z" TargetMode="External"/><Relationship Id="rId85" Type="http://schemas.openxmlformats.org/officeDocument/2006/relationships/hyperlink" Target="https://ieeexplore.ieee.org/abstract/document/9006914/" TargetMode="External"/><Relationship Id="rId88" Type="http://schemas.openxmlformats.org/officeDocument/2006/relationships/hyperlink" Target="https://www.jstage.jst.go.jp/article/transinf/E102.D/10/E102.D_2018EDP7441/_article/-char/ja/" TargetMode="External"/><Relationship Id="rId87" Type="http://schemas.openxmlformats.org/officeDocument/2006/relationships/hyperlink" Target="https://www.sciencedirect.com/science/article/pii/S0167739X17300092" TargetMode="External"/><Relationship Id="rId89" Type="http://schemas.openxmlformats.org/officeDocument/2006/relationships/hyperlink" Target="https://ieeexplore.ieee.org/abstract/document/9047328/" TargetMode="External"/><Relationship Id="rId80" Type="http://schemas.openxmlformats.org/officeDocument/2006/relationships/hyperlink" Target="https://pdfs.semanticscholar.org/c99b/2673db1e4879ded860a78e5cea1b40af7cab.pdf" TargetMode="External"/><Relationship Id="rId82" Type="http://schemas.openxmlformats.org/officeDocument/2006/relationships/hyperlink" Target="https://www.mdpi.com/1996-1073/12/4/646" TargetMode="External"/><Relationship Id="rId81" Type="http://schemas.openxmlformats.org/officeDocument/2006/relationships/hyperlink" Target="https://ieeexplore.ieee.org/abstract/document/9024592/" TargetMode="External"/><Relationship Id="rId73" Type="http://schemas.openxmlformats.org/officeDocument/2006/relationships/hyperlink" Target="https://www.sciencedirect.com/science/article/pii/S2210537917304249" TargetMode="External"/><Relationship Id="rId72" Type="http://schemas.openxmlformats.org/officeDocument/2006/relationships/hyperlink" Target="https://ieeexplore.ieee.org/abstract/document/8825507/" TargetMode="External"/><Relationship Id="rId75" Type="http://schemas.openxmlformats.org/officeDocument/2006/relationships/hyperlink" Target="https://ieeexplore.ieee.org/abstract/document/9219590/" TargetMode="External"/><Relationship Id="rId74" Type="http://schemas.openxmlformats.org/officeDocument/2006/relationships/hyperlink" Target="https://link.springer.com/chapter/10.1007/978-3-030-23499-7_7" TargetMode="External"/><Relationship Id="rId77" Type="http://schemas.openxmlformats.org/officeDocument/2006/relationships/hyperlink" Target="https://www.mdpi.com/2076-3417/10/7/2323" TargetMode="External"/><Relationship Id="rId76" Type="http://schemas.openxmlformats.org/officeDocument/2006/relationships/hyperlink" Target="https://ieeexplore.ieee.org/abstract/document/8622869/" TargetMode="External"/><Relationship Id="rId79" Type="http://schemas.openxmlformats.org/officeDocument/2006/relationships/hyperlink" Target="https://ieeexplore.ieee.org/abstract/document/8931339/" TargetMode="External"/><Relationship Id="rId78" Type="http://schemas.openxmlformats.org/officeDocument/2006/relationships/hyperlink" Target="https://ieeexplore.ieee.org/abstract/document/8606094/" TargetMode="External"/><Relationship Id="rId71" Type="http://schemas.openxmlformats.org/officeDocument/2006/relationships/hyperlink" Target="https://www.sciencedirect.com/science/article/pii/S0167739X17326249" TargetMode="External"/><Relationship Id="rId70" Type="http://schemas.openxmlformats.org/officeDocument/2006/relationships/hyperlink" Target="https://onlinelibrary.wiley.com/doi/abs/10.1002/cpe.6134" TargetMode="External"/><Relationship Id="rId62" Type="http://schemas.openxmlformats.org/officeDocument/2006/relationships/hyperlink" Target="https://link.springer.com/content/pdf/10.1007/s10586-020-03096-0.pdf" TargetMode="External"/><Relationship Id="rId61" Type="http://schemas.openxmlformats.org/officeDocument/2006/relationships/hyperlink" Target="https://www.koreascience.or.kr/article/JAKO201811459665241.page" TargetMode="External"/><Relationship Id="rId64" Type="http://schemas.openxmlformats.org/officeDocument/2006/relationships/hyperlink" Target="https://www.mdpi.com/2071-1050/12/16/6383" TargetMode="External"/><Relationship Id="rId63" Type="http://schemas.openxmlformats.org/officeDocument/2006/relationships/hyperlink" Target="https://journals.sagepub.com/doi/abs/10.1177/1550147720935775" TargetMode="External"/><Relationship Id="rId66" Type="http://schemas.openxmlformats.org/officeDocument/2006/relationships/hyperlink" Target="https://ieeexplore.ieee.org/abstract/document/8991670/" TargetMode="External"/><Relationship Id="rId65" Type="http://schemas.openxmlformats.org/officeDocument/2006/relationships/hyperlink" Target="https://ieeexplore.ieee.org/abstract/document/8425223/" TargetMode="External"/><Relationship Id="rId68" Type="http://schemas.openxmlformats.org/officeDocument/2006/relationships/hyperlink" Target="https://ieeexplore.ieee.org/abstract/document/8727486/" TargetMode="External"/><Relationship Id="rId67" Type="http://schemas.openxmlformats.org/officeDocument/2006/relationships/hyperlink" Target="https://link.springer.com/article/10.1007/s11761-019-00273-x" TargetMode="External"/><Relationship Id="rId60" Type="http://schemas.openxmlformats.org/officeDocument/2006/relationships/hyperlink" Target="https://link.springer.com/chapter/10.1007/978-3-030-02849-7_16" TargetMode="External"/><Relationship Id="rId69" Type="http://schemas.openxmlformats.org/officeDocument/2006/relationships/hyperlink" Target="https://www.emerald.com/insight/content/doi/10.1108/JSIT-10-2017-0089/full/html" TargetMode="External"/><Relationship Id="rId51" Type="http://schemas.openxmlformats.org/officeDocument/2006/relationships/hyperlink" Target="http://www.inass.org/2019/2019083112.pdf" TargetMode="External"/><Relationship Id="rId50" Type="http://schemas.openxmlformats.org/officeDocument/2006/relationships/hyperlink" Target="https://www.atlantis-press.com/proceedings/amcce-18/25895654" TargetMode="External"/><Relationship Id="rId53" Type="http://schemas.openxmlformats.org/officeDocument/2006/relationships/hyperlink" Target="https://www.mdpi.com/2079-9292/8/9/1014" TargetMode="External"/><Relationship Id="rId52" Type="http://schemas.openxmlformats.org/officeDocument/2006/relationships/hyperlink" Target="https://www.sciencedirect.com/science/article/pii/S0167739X17316059" TargetMode="External"/><Relationship Id="rId55" Type="http://schemas.openxmlformats.org/officeDocument/2006/relationships/hyperlink" Target="https://link.springer.com/article/10.1007/s11227-018-2709-7" TargetMode="External"/><Relationship Id="rId54" Type="http://schemas.openxmlformats.org/officeDocument/2006/relationships/hyperlink" Target="https://strathprints.strath.ac.uk/id/eprint/65612" TargetMode="External"/><Relationship Id="rId57" Type="http://schemas.openxmlformats.org/officeDocument/2006/relationships/hyperlink" Target="https://link.springer.com/article/10.1007/s11227-018-2301-1" TargetMode="External"/><Relationship Id="rId56" Type="http://schemas.openxmlformats.org/officeDocument/2006/relationships/hyperlink" Target="https://www.sciencedirect.com/science/article/pii/S0167739X20305835" TargetMode="External"/><Relationship Id="rId59" Type="http://schemas.openxmlformats.org/officeDocument/2006/relationships/hyperlink" Target="https://content.sciendo.com/view/journals/techtrans/11/4/article-p127.xml" TargetMode="External"/><Relationship Id="rId58" Type="http://schemas.openxmlformats.org/officeDocument/2006/relationships/hyperlink" Target="https://onlinelibrary.wiley.com/doi/abs/10.1002/cpe.5221" TargetMode="External"/><Relationship Id="rId107" Type="http://schemas.openxmlformats.org/officeDocument/2006/relationships/hyperlink" Target="https://www.sciencedirect.com/science/article/pii/S1319157818306554" TargetMode="External"/><Relationship Id="rId106" Type="http://schemas.openxmlformats.org/officeDocument/2006/relationships/hyperlink" Target="https://ieeexplore.ieee.org/abstract/document/9209712/" TargetMode="External"/><Relationship Id="rId105" Type="http://schemas.openxmlformats.org/officeDocument/2006/relationships/hyperlink" Target="https://ieeexplore.ieee.org/abstract/document/8937836/" TargetMode="External"/><Relationship Id="rId104" Type="http://schemas.openxmlformats.org/officeDocument/2006/relationships/hyperlink" Target="https://link.springer.com/article/10.1007/s12652-020-02283-6" TargetMode="External"/><Relationship Id="rId109" Type="http://schemas.openxmlformats.org/officeDocument/2006/relationships/hyperlink" Target="https://www.sciencedirect.com/science/article/pii/S0167739X19308969" TargetMode="External"/><Relationship Id="rId108" Type="http://schemas.openxmlformats.org/officeDocument/2006/relationships/hyperlink" Target="https://www.sciencedirect.com/science/article/pii/S0045790617319808" TargetMode="External"/><Relationship Id="rId103" Type="http://schemas.openxmlformats.org/officeDocument/2006/relationships/hyperlink" Target="https://ieeexplore.ieee.org/abstract/document/8759087/" TargetMode="External"/><Relationship Id="rId102" Type="http://schemas.openxmlformats.org/officeDocument/2006/relationships/hyperlink" Target="https://www.sciencedirect.com/science/article/pii/S014036641830121X" TargetMode="External"/><Relationship Id="rId101" Type="http://schemas.openxmlformats.org/officeDocument/2006/relationships/hyperlink" Target="https://ieeexplore.ieee.org/abstract/document/8488203/" TargetMode="External"/><Relationship Id="rId100" Type="http://schemas.openxmlformats.org/officeDocument/2006/relationships/hyperlink" Target="https://www.sciencedirect.com/science/article/pii/S2405844019357263" TargetMode="External"/><Relationship Id="rId129" Type="http://schemas.openxmlformats.org/officeDocument/2006/relationships/hyperlink" Target="https://link.springer.com/article/10.1007/s10489-020-02003-9" TargetMode="External"/><Relationship Id="rId128" Type="http://schemas.openxmlformats.org/officeDocument/2006/relationships/hyperlink" Target="https://ieeexplore.ieee.org/abstract/document/9165232/" TargetMode="External"/><Relationship Id="rId127" Type="http://schemas.openxmlformats.org/officeDocument/2006/relationships/hyperlink" Target="https://ieeexplore.ieee.org/abstract/document/8878805/" TargetMode="External"/><Relationship Id="rId126" Type="http://schemas.openxmlformats.org/officeDocument/2006/relationships/hyperlink" Target="https://ieeexplore.ieee.org/abstract/document/8401956/" TargetMode="External"/><Relationship Id="rId121" Type="http://schemas.openxmlformats.org/officeDocument/2006/relationships/hyperlink" Target="http://search.ebscohost.com/login.aspx?direct=true&amp;profile=ehost&amp;scope=site&amp;authtype=crawler&amp;jrnl=09731318&amp;AN=141016261&amp;h=qwZ%2BpYdlfk%2BzvtM7AVtTzVM%2Frs4veDzSUV5je6ybbkKWBm%2BeTA2vKShbEJm7FRybBjeDPxz80LJa8UdNAVljOA%3D%3D&amp;crl=c" TargetMode="External"/><Relationship Id="rId120" Type="http://schemas.openxmlformats.org/officeDocument/2006/relationships/hyperlink" Target="https://link.springer.com/article/10.1007/s11036-018-1062-7" TargetMode="External"/><Relationship Id="rId125" Type="http://schemas.openxmlformats.org/officeDocument/2006/relationships/hyperlink" Target="https://ieeexplore.ieee.org/abstract/document/8932384/" TargetMode="External"/><Relationship Id="rId124" Type="http://schemas.openxmlformats.org/officeDocument/2006/relationships/hyperlink" Target="https://link.springer.com/chapter/10.1007/978-3-030-30709-7_25" TargetMode="External"/><Relationship Id="rId123" Type="http://schemas.openxmlformats.org/officeDocument/2006/relationships/hyperlink" Target="https://www.sid.ir/FileServer/JE/5055520192805" TargetMode="External"/><Relationship Id="rId122" Type="http://schemas.openxmlformats.org/officeDocument/2006/relationships/hyperlink" Target="https://www.sciencedirect.com/science/article/pii/S074373151730285X" TargetMode="External"/><Relationship Id="rId95" Type="http://schemas.openxmlformats.org/officeDocument/2006/relationships/hyperlink" Target="https://ieeexplore.ieee.org/abstract/document/8309283/" TargetMode="External"/><Relationship Id="rId94" Type="http://schemas.openxmlformats.org/officeDocument/2006/relationships/hyperlink" Target="https://dl.acm.org/doi/abs/10.1145/3374135.3385279" TargetMode="External"/><Relationship Id="rId97" Type="http://schemas.openxmlformats.org/officeDocument/2006/relationships/hyperlink" Target="https://ieeexplore.ieee.org/abstract/document/8875333/" TargetMode="External"/><Relationship Id="rId96" Type="http://schemas.openxmlformats.org/officeDocument/2006/relationships/hyperlink" Target="https://ieeexplore.ieee.org/abstract/document/8721126/" TargetMode="External"/><Relationship Id="rId99" Type="http://schemas.openxmlformats.org/officeDocument/2006/relationships/hyperlink" Target="https://www.sciencedirect.com/science/article/pii/S0167739X17321581" TargetMode="External"/><Relationship Id="rId98" Type="http://schemas.openxmlformats.org/officeDocument/2006/relationships/hyperlink" Target="https://link.springer.com/chapter/10.1007/978-3-030-15127-0_22" TargetMode="External"/><Relationship Id="rId91" Type="http://schemas.openxmlformats.org/officeDocument/2006/relationships/hyperlink" Target="https://link.springer.com/chapter/10.1007/978-3-319-99007-1_2" TargetMode="External"/><Relationship Id="rId90" Type="http://schemas.openxmlformats.org/officeDocument/2006/relationships/hyperlink" Target="https://ieeexplore.ieee.org/abstract/document/9022819/" TargetMode="External"/><Relationship Id="rId93" Type="http://schemas.openxmlformats.org/officeDocument/2006/relationships/hyperlink" Target="https://www.sciencedirect.com/science/article/pii/S2210537917302536" TargetMode="External"/><Relationship Id="rId92" Type="http://schemas.openxmlformats.org/officeDocument/2006/relationships/hyperlink" Target="https://ieeexplore.ieee.org/abstract/document/8963569/" TargetMode="External"/><Relationship Id="rId118" Type="http://schemas.openxmlformats.org/officeDocument/2006/relationships/hyperlink" Target="https://ieeexplore.ieee.org/abstract/document/8422225/" TargetMode="External"/><Relationship Id="rId117" Type="http://schemas.openxmlformats.org/officeDocument/2006/relationships/hyperlink" Target="https://ieeexplore.ieee.org/abstract/document/8603157/" TargetMode="External"/><Relationship Id="rId116" Type="http://schemas.openxmlformats.org/officeDocument/2006/relationships/hyperlink" Target="https://link.springer.com/article/10.1007/s00500-017-2905-z" TargetMode="External"/><Relationship Id="rId115" Type="http://schemas.openxmlformats.org/officeDocument/2006/relationships/hyperlink" Target="https://link.springer.com/content/pdf/10.1007/s10586-017-1166-z.pdf" TargetMode="External"/><Relationship Id="rId119" Type="http://schemas.openxmlformats.org/officeDocument/2006/relationships/hyperlink" Target="https://papers.ssrn.com/sol3/papers.cfm?abstract_id=3394044" TargetMode="External"/><Relationship Id="rId110" Type="http://schemas.openxmlformats.org/officeDocument/2006/relationships/hyperlink" Target="https://link.springer.com/chapter/10.1007/978-3-030-20485-3_40" TargetMode="External"/><Relationship Id="rId114" Type="http://schemas.openxmlformats.org/officeDocument/2006/relationships/hyperlink" Target="https://ieeexplore.ieee.org/abstract/document/8672350/" TargetMode="External"/><Relationship Id="rId113" Type="http://schemas.openxmlformats.org/officeDocument/2006/relationships/hyperlink" Target="https://www.sciencedirect.com/science/article/pii/S0167739X19319594" TargetMode="External"/><Relationship Id="rId112" Type="http://schemas.openxmlformats.org/officeDocument/2006/relationships/hyperlink" Target="https://www.hindawi.com/journals/mpe/2020/4176308/" TargetMode="External"/><Relationship Id="rId111" Type="http://schemas.openxmlformats.org/officeDocument/2006/relationships/hyperlink" Target="https://ieeexplore.ieee.org/abstract/document/897584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ieeexplore.ieee.org/abstract/document/8874886/" TargetMode="External"/><Relationship Id="rId2" Type="http://schemas.openxmlformats.org/officeDocument/2006/relationships/hyperlink" Target="https://link.springer.com/article/10.1007/s10586-018-2235-7" TargetMode="External"/><Relationship Id="rId3" Type="http://schemas.openxmlformats.org/officeDocument/2006/relationships/hyperlink" Target="https://ieeexplore.ieee.org/abstract/document/9053186/" TargetMode="External"/><Relationship Id="rId4" Type="http://schemas.openxmlformats.org/officeDocument/2006/relationships/hyperlink" Target="https://www.mdpi.com/1996-1073/12/17/3301" TargetMode="External"/><Relationship Id="rId9" Type="http://schemas.openxmlformats.org/officeDocument/2006/relationships/hyperlink" Target="https://search.ieice.org/bin/summary.php?id=e101-d_7_1816" TargetMode="External"/><Relationship Id="rId143" Type="http://schemas.openxmlformats.org/officeDocument/2006/relationships/table" Target="../tables/table3.xml"/><Relationship Id="rId141" Type="http://schemas.openxmlformats.org/officeDocument/2006/relationships/drawing" Target="../drawings/drawing3.xml"/><Relationship Id="rId140" Type="http://schemas.openxmlformats.org/officeDocument/2006/relationships/hyperlink" Target="https://www.mdpi.com/2079-9268/10/4/32" TargetMode="External"/><Relationship Id="rId5" Type="http://schemas.openxmlformats.org/officeDocument/2006/relationships/hyperlink" Target="https://link.springer.com/chapter/10.1007/978-3-030-12065-8_1" TargetMode="External"/><Relationship Id="rId6" Type="http://schemas.openxmlformats.org/officeDocument/2006/relationships/hyperlink" Target="https://link.springer.com/content/pdf/10.1007/s00607-020-00805-w.pdf" TargetMode="External"/><Relationship Id="rId7" Type="http://schemas.openxmlformats.org/officeDocument/2006/relationships/hyperlink" Target="https://centerprode.com/ojit/ojit0301/coas.ojit.0301.01001m.html" TargetMode="External"/><Relationship Id="rId8" Type="http://schemas.openxmlformats.org/officeDocument/2006/relationships/hyperlink" Target="https://link.springer.com/article/10.1007/s10586-018-2869-5" TargetMode="External"/><Relationship Id="rId139" Type="http://schemas.openxmlformats.org/officeDocument/2006/relationships/hyperlink" Target="https://ieeexplore.ieee.org/abstract/document/8468062/" TargetMode="External"/><Relationship Id="rId138" Type="http://schemas.openxmlformats.org/officeDocument/2006/relationships/hyperlink" Target="https://www.hindawi.com/journals/sp/2019/3204346/abs/" TargetMode="External"/><Relationship Id="rId137" Type="http://schemas.openxmlformats.org/officeDocument/2006/relationships/hyperlink" Target="https://www.sciencedirect.com/science/article/pii/S0167739X16308330" TargetMode="External"/><Relationship Id="rId132" Type="http://schemas.openxmlformats.org/officeDocument/2006/relationships/hyperlink" Target="http://iajit.org/PDF/May%202018,%20No.%203/10882.pdf" TargetMode="External"/><Relationship Id="rId131" Type="http://schemas.openxmlformats.org/officeDocument/2006/relationships/hyperlink" Target="https://link.springer.com/article/10.1007/s11227-018-2244-6" TargetMode="External"/><Relationship Id="rId130" Type="http://schemas.openxmlformats.org/officeDocument/2006/relationships/hyperlink" Target="https://dl.acm.org/doi/abs/10.1145/3344341.3368822" TargetMode="External"/><Relationship Id="rId136" Type="http://schemas.openxmlformats.org/officeDocument/2006/relationships/hyperlink" Target="https://www.sciencedirect.com/science/article/pii/S0957417418303531" TargetMode="External"/><Relationship Id="rId135" Type="http://schemas.openxmlformats.org/officeDocument/2006/relationships/hyperlink" Target="https://ieeexplore.ieee.org/abstract/document/8732201/" TargetMode="External"/><Relationship Id="rId134" Type="http://schemas.openxmlformats.org/officeDocument/2006/relationships/hyperlink" Target="http://jips-k.org/full-text/398" TargetMode="External"/><Relationship Id="rId133" Type="http://schemas.openxmlformats.org/officeDocument/2006/relationships/hyperlink" Target="http://search.proquest.com/openview/fbc5529f7cfcd78fae1b9de175c55a90/1?pq-origsite=gscholar&amp;cbl=1686344" TargetMode="External"/><Relationship Id="rId40" Type="http://schemas.openxmlformats.org/officeDocument/2006/relationships/hyperlink" Target="https://link.springer.com/chapter/10.1007/978-3-030-47560-4_22" TargetMode="External"/><Relationship Id="rId42" Type="http://schemas.openxmlformats.org/officeDocument/2006/relationships/hyperlink" Target="https://www.sciencedirect.com/science/article/pii/S2210537918302907" TargetMode="External"/><Relationship Id="rId41" Type="http://schemas.openxmlformats.org/officeDocument/2006/relationships/hyperlink" Target="https://ieeexplore.ieee.org/abstract/document/8401602/" TargetMode="External"/><Relationship Id="rId44" Type="http://schemas.openxmlformats.org/officeDocument/2006/relationships/hyperlink" Target="https://link.springer.com/content/pdf/10.1007/s10586-020-03066-6.pdf" TargetMode="External"/><Relationship Id="rId43" Type="http://schemas.openxmlformats.org/officeDocument/2006/relationships/hyperlink" Target="https://www.sciencedirect.com/science/article/pii/S1569190X18301825" TargetMode="External"/><Relationship Id="rId46" Type="http://schemas.openxmlformats.org/officeDocument/2006/relationships/hyperlink" Target="https://ieeexplore.ieee.org/abstract/document/9029070/" TargetMode="External"/><Relationship Id="rId45" Type="http://schemas.openxmlformats.org/officeDocument/2006/relationships/hyperlink" Target="https://ieeexplore.ieee.org/abstract/document/9209724/" TargetMode="External"/><Relationship Id="rId48" Type="http://schemas.openxmlformats.org/officeDocument/2006/relationships/hyperlink" Target="http://www.jmess.org/wp-content/uploads/2019/05/JMESSP13420537.pdf" TargetMode="External"/><Relationship Id="rId47" Type="http://schemas.openxmlformats.org/officeDocument/2006/relationships/hyperlink" Target="http://www.cai.sk/ojs/index.php/cai/article/viewArticle/4918" TargetMode="External"/><Relationship Id="rId49" Type="http://schemas.openxmlformats.org/officeDocument/2006/relationships/hyperlink" Target="https://www.osapublishing.org/abstract.cfm?uri=jocn-10-7-B58" TargetMode="External"/><Relationship Id="rId31" Type="http://schemas.openxmlformats.org/officeDocument/2006/relationships/hyperlink" Target="https://dl.acm.org/doi/abs/10.1145/3307772.3328291" TargetMode="External"/><Relationship Id="rId30" Type="http://schemas.openxmlformats.org/officeDocument/2006/relationships/hyperlink" Target="https://ieeexplore.ieee.org/abstract/document/8364052/" TargetMode="External"/><Relationship Id="rId33" Type="http://schemas.openxmlformats.org/officeDocument/2006/relationships/hyperlink" Target="https://onlinelibrary.wiley.com/doi/abs/10.1002/net.21752" TargetMode="External"/><Relationship Id="rId32" Type="http://schemas.openxmlformats.org/officeDocument/2006/relationships/hyperlink" Target="https://link.springer.com/chapter/10.1007/978-3-030-21507-1_41" TargetMode="External"/><Relationship Id="rId35" Type="http://schemas.openxmlformats.org/officeDocument/2006/relationships/hyperlink" Target="https://www.sciencedirect.com/science/article/pii/S074373151930190X" TargetMode="External"/><Relationship Id="rId34" Type="http://schemas.openxmlformats.org/officeDocument/2006/relationships/hyperlink" Target="https://www.researchgate.net/profile/Abdulrahman_Nahhas/publication/333335432_Toward_an_Autonomic_and_Adaptive_Load_Management_Strategy_for_Reducing_Energy_Consumption_under_Performance_Constraints_in_Data_Centers/links/5d1b96fa92851cf440600900/Toward-an-Autonomic-and-Adaptive-Load-Management-Strategy-for-Reducing-Energy-Consumption-under-Performance-Constraints-in-Data-Centers.pdf" TargetMode="External"/><Relationship Id="rId37" Type="http://schemas.openxmlformats.org/officeDocument/2006/relationships/hyperlink" Target="https://link.springer.com/article/10.1007/s11227-018-2513-4" TargetMode="External"/><Relationship Id="rId36" Type="http://schemas.openxmlformats.org/officeDocument/2006/relationships/hyperlink" Target="https://dl.acm.org/doi/abs/10.1145/3297280.3297420" TargetMode="External"/><Relationship Id="rId39" Type="http://schemas.openxmlformats.org/officeDocument/2006/relationships/hyperlink" Target="https://ieeexplore.ieee.org/abstract/document/9148838/" TargetMode="External"/><Relationship Id="rId38" Type="http://schemas.openxmlformats.org/officeDocument/2006/relationships/hyperlink" Target="https://link.springer.com/chapter/10.1007/978-981-15-5341-7_111" TargetMode="External"/><Relationship Id="rId20" Type="http://schemas.openxmlformats.org/officeDocument/2006/relationships/hyperlink" Target="https://link.springer.com/content/pdf/10.1007/s42235-019-0030-7.pdf" TargetMode="External"/><Relationship Id="rId22" Type="http://schemas.openxmlformats.org/officeDocument/2006/relationships/hyperlink" Target="https://ieeexplore.ieee.org/abstract/document/8267099/" TargetMode="External"/><Relationship Id="rId21" Type="http://schemas.openxmlformats.org/officeDocument/2006/relationships/hyperlink" Target="https://www.sciencedirect.com/science/article/pii/S1568494618301327" TargetMode="External"/><Relationship Id="rId24" Type="http://schemas.openxmlformats.org/officeDocument/2006/relationships/hyperlink" Target="https://ieeexplore.ieee.org/abstract/document/8982573/" TargetMode="External"/><Relationship Id="rId23" Type="http://schemas.openxmlformats.org/officeDocument/2006/relationships/hyperlink" Target="https://ieeexplore.ieee.org/abstract/document/8626500/" TargetMode="External"/><Relationship Id="rId26" Type="http://schemas.openxmlformats.org/officeDocument/2006/relationships/hyperlink" Target="https://jespublication.com/upload/2019-V10-I12-10.pdf" TargetMode="External"/><Relationship Id="rId25" Type="http://schemas.openxmlformats.org/officeDocument/2006/relationships/hyperlink" Target="https://jit.ndhu.edu.tw/article/view/2085" TargetMode="External"/><Relationship Id="rId28" Type="http://schemas.openxmlformats.org/officeDocument/2006/relationships/hyperlink" Target="http://search.proquest.com/openview/21c57e9527878ff9b6c8a99d58d1bdb0/1?pq-origsite=gscholar&amp;cbl=4477230" TargetMode="External"/><Relationship Id="rId27" Type="http://schemas.openxmlformats.org/officeDocument/2006/relationships/hyperlink" Target="https://link.springer.com/chapter/10.1007/978-3-319-62238-5_8" TargetMode="External"/><Relationship Id="rId29" Type="http://schemas.openxmlformats.org/officeDocument/2006/relationships/hyperlink" Target="https://www.mdpi.com/1424-8220/19/18/3980" TargetMode="External"/><Relationship Id="rId11" Type="http://schemas.openxmlformats.org/officeDocument/2006/relationships/hyperlink" Target="https://link.springer.com/chapter/10.1007/978-3-319-69889-2_5" TargetMode="External"/><Relationship Id="rId10" Type="http://schemas.openxmlformats.org/officeDocument/2006/relationships/hyperlink" Target="https://ieeexplore.ieee.org/abstract/document/8726577/" TargetMode="External"/><Relationship Id="rId13" Type="http://schemas.openxmlformats.org/officeDocument/2006/relationships/hyperlink" Target="https://ieeexplore.ieee.org/abstract/document/8836768/" TargetMode="External"/><Relationship Id="rId12" Type="http://schemas.openxmlformats.org/officeDocument/2006/relationships/hyperlink" Target="https://link.springer.com/chapter/10.1007/978-3-030-33702-5_24" TargetMode="External"/><Relationship Id="rId15" Type="http://schemas.openxmlformats.org/officeDocument/2006/relationships/hyperlink" Target="https://www.emerald.com/insight/content/doi/10.1108/IJPPM-08-2016-0160/full/html" TargetMode="External"/><Relationship Id="rId14" Type="http://schemas.openxmlformats.org/officeDocument/2006/relationships/hyperlink" Target="https://ieeexplore.ieee.org/abstract/document/9133776/" TargetMode="External"/><Relationship Id="rId17" Type="http://schemas.openxmlformats.org/officeDocument/2006/relationships/hyperlink" Target="https://ieeexplore.ieee.org/abstract/document/8731726/" TargetMode="External"/><Relationship Id="rId16" Type="http://schemas.openxmlformats.org/officeDocument/2006/relationships/hyperlink" Target="https://link.springer.com/article/10.1007/s11390-018-1811-x" TargetMode="External"/><Relationship Id="rId19" Type="http://schemas.openxmlformats.org/officeDocument/2006/relationships/hyperlink" Target="https://www.sciencedirect.com/science/article/pii/S0957417420305431" TargetMode="External"/><Relationship Id="rId18" Type="http://schemas.openxmlformats.org/officeDocument/2006/relationships/hyperlink" Target="https://ieeexplore.ieee.org/abstract/document/8631005/" TargetMode="External"/><Relationship Id="rId84" Type="http://schemas.openxmlformats.org/officeDocument/2006/relationships/hyperlink" Target="https://ieeexplore.ieee.org/abstract/document/8356052/" TargetMode="External"/><Relationship Id="rId83" Type="http://schemas.openxmlformats.org/officeDocument/2006/relationships/hyperlink" Target="https://link.springer.com/chapter/10.1007/978-981-15-3689-2_4" TargetMode="External"/><Relationship Id="rId86" Type="http://schemas.openxmlformats.org/officeDocument/2006/relationships/hyperlink" Target="https://link.springer.com/article/10.1007/s10586-020-03186-z" TargetMode="External"/><Relationship Id="rId85" Type="http://schemas.openxmlformats.org/officeDocument/2006/relationships/hyperlink" Target="https://ieeexplore.ieee.org/abstract/document/9006914/" TargetMode="External"/><Relationship Id="rId88" Type="http://schemas.openxmlformats.org/officeDocument/2006/relationships/hyperlink" Target="https://www.jstage.jst.go.jp/article/transinf/E102.D/10/E102.D_2018EDP7441/_article/-char/ja/" TargetMode="External"/><Relationship Id="rId87" Type="http://schemas.openxmlformats.org/officeDocument/2006/relationships/hyperlink" Target="https://www.sciencedirect.com/science/article/pii/S0167739X17300092" TargetMode="External"/><Relationship Id="rId89" Type="http://schemas.openxmlformats.org/officeDocument/2006/relationships/hyperlink" Target="https://ieeexplore.ieee.org/abstract/document/9047328/" TargetMode="External"/><Relationship Id="rId80" Type="http://schemas.openxmlformats.org/officeDocument/2006/relationships/hyperlink" Target="https://pdfs.semanticscholar.org/c99b/2673db1e4879ded860a78e5cea1b40af7cab.pdf" TargetMode="External"/><Relationship Id="rId82" Type="http://schemas.openxmlformats.org/officeDocument/2006/relationships/hyperlink" Target="https://www.mdpi.com/1996-1073/12/4/646" TargetMode="External"/><Relationship Id="rId81" Type="http://schemas.openxmlformats.org/officeDocument/2006/relationships/hyperlink" Target="https://ieeexplore.ieee.org/abstract/document/9024592/" TargetMode="External"/><Relationship Id="rId73" Type="http://schemas.openxmlformats.org/officeDocument/2006/relationships/hyperlink" Target="https://www.sciencedirect.com/science/article/pii/S2210537917304249" TargetMode="External"/><Relationship Id="rId72" Type="http://schemas.openxmlformats.org/officeDocument/2006/relationships/hyperlink" Target="https://ieeexplore.ieee.org/abstract/document/8825507/" TargetMode="External"/><Relationship Id="rId75" Type="http://schemas.openxmlformats.org/officeDocument/2006/relationships/hyperlink" Target="https://ieeexplore.ieee.org/abstract/document/9219590/" TargetMode="External"/><Relationship Id="rId74" Type="http://schemas.openxmlformats.org/officeDocument/2006/relationships/hyperlink" Target="https://link.springer.com/chapter/10.1007/978-3-030-23499-7_7" TargetMode="External"/><Relationship Id="rId77" Type="http://schemas.openxmlformats.org/officeDocument/2006/relationships/hyperlink" Target="https://www.mdpi.com/2076-3417/10/7/2323" TargetMode="External"/><Relationship Id="rId76" Type="http://schemas.openxmlformats.org/officeDocument/2006/relationships/hyperlink" Target="https://ieeexplore.ieee.org/abstract/document/8622869/" TargetMode="External"/><Relationship Id="rId79" Type="http://schemas.openxmlformats.org/officeDocument/2006/relationships/hyperlink" Target="https://ieeexplore.ieee.org/abstract/document/8931339/" TargetMode="External"/><Relationship Id="rId78" Type="http://schemas.openxmlformats.org/officeDocument/2006/relationships/hyperlink" Target="https://ieeexplore.ieee.org/abstract/document/8606094/" TargetMode="External"/><Relationship Id="rId71" Type="http://schemas.openxmlformats.org/officeDocument/2006/relationships/hyperlink" Target="https://www.sciencedirect.com/science/article/pii/S0167739X17326249" TargetMode="External"/><Relationship Id="rId70" Type="http://schemas.openxmlformats.org/officeDocument/2006/relationships/hyperlink" Target="https://onlinelibrary.wiley.com/doi/abs/10.1002/cpe.6134" TargetMode="External"/><Relationship Id="rId62" Type="http://schemas.openxmlformats.org/officeDocument/2006/relationships/hyperlink" Target="https://link.springer.com/content/pdf/10.1007/s10586-020-03096-0.pdf" TargetMode="External"/><Relationship Id="rId61" Type="http://schemas.openxmlformats.org/officeDocument/2006/relationships/hyperlink" Target="https://www.koreascience.or.kr/article/JAKO201811459665241.page" TargetMode="External"/><Relationship Id="rId64" Type="http://schemas.openxmlformats.org/officeDocument/2006/relationships/hyperlink" Target="https://www.mdpi.com/2071-1050/12/16/6383" TargetMode="External"/><Relationship Id="rId63" Type="http://schemas.openxmlformats.org/officeDocument/2006/relationships/hyperlink" Target="https://journals.sagepub.com/doi/abs/10.1177/1550147720935775" TargetMode="External"/><Relationship Id="rId66" Type="http://schemas.openxmlformats.org/officeDocument/2006/relationships/hyperlink" Target="https://ieeexplore.ieee.org/abstract/document/8991670/" TargetMode="External"/><Relationship Id="rId65" Type="http://schemas.openxmlformats.org/officeDocument/2006/relationships/hyperlink" Target="https://ieeexplore.ieee.org/abstract/document/8425223/" TargetMode="External"/><Relationship Id="rId68" Type="http://schemas.openxmlformats.org/officeDocument/2006/relationships/hyperlink" Target="https://ieeexplore.ieee.org/abstract/document/8727486/" TargetMode="External"/><Relationship Id="rId67" Type="http://schemas.openxmlformats.org/officeDocument/2006/relationships/hyperlink" Target="https://link.springer.com/article/10.1007/s11761-019-00273-x" TargetMode="External"/><Relationship Id="rId60" Type="http://schemas.openxmlformats.org/officeDocument/2006/relationships/hyperlink" Target="https://link.springer.com/chapter/10.1007/978-3-030-02849-7_16" TargetMode="External"/><Relationship Id="rId69" Type="http://schemas.openxmlformats.org/officeDocument/2006/relationships/hyperlink" Target="https://www.emerald.com/insight/content/doi/10.1108/JSIT-10-2017-0089/full/html" TargetMode="External"/><Relationship Id="rId51" Type="http://schemas.openxmlformats.org/officeDocument/2006/relationships/hyperlink" Target="http://www.inass.org/2019/2019083112.pdf" TargetMode="External"/><Relationship Id="rId50" Type="http://schemas.openxmlformats.org/officeDocument/2006/relationships/hyperlink" Target="https://www.atlantis-press.com/proceedings/amcce-18/25895654" TargetMode="External"/><Relationship Id="rId53" Type="http://schemas.openxmlformats.org/officeDocument/2006/relationships/hyperlink" Target="https://www.mdpi.com/2079-9292/8/9/1014" TargetMode="External"/><Relationship Id="rId52" Type="http://schemas.openxmlformats.org/officeDocument/2006/relationships/hyperlink" Target="https://www.sciencedirect.com/science/article/pii/S0167739X17316059" TargetMode="External"/><Relationship Id="rId55" Type="http://schemas.openxmlformats.org/officeDocument/2006/relationships/hyperlink" Target="https://link.springer.com/article/10.1007/s11227-018-2709-7" TargetMode="External"/><Relationship Id="rId54" Type="http://schemas.openxmlformats.org/officeDocument/2006/relationships/hyperlink" Target="https://strathprints.strath.ac.uk/id/eprint/65612" TargetMode="External"/><Relationship Id="rId57" Type="http://schemas.openxmlformats.org/officeDocument/2006/relationships/hyperlink" Target="https://link.springer.com/article/10.1007/s11227-018-2301-1" TargetMode="External"/><Relationship Id="rId56" Type="http://schemas.openxmlformats.org/officeDocument/2006/relationships/hyperlink" Target="https://www.sciencedirect.com/science/article/pii/S0167739X20305835" TargetMode="External"/><Relationship Id="rId59" Type="http://schemas.openxmlformats.org/officeDocument/2006/relationships/hyperlink" Target="https://content.sciendo.com/view/journals/techtrans/11/4/article-p127.xml" TargetMode="External"/><Relationship Id="rId58" Type="http://schemas.openxmlformats.org/officeDocument/2006/relationships/hyperlink" Target="https://onlinelibrary.wiley.com/doi/abs/10.1002/cpe.5221" TargetMode="External"/><Relationship Id="rId107" Type="http://schemas.openxmlformats.org/officeDocument/2006/relationships/hyperlink" Target="https://www.sciencedirect.com/science/article/pii/S1319157818306554" TargetMode="External"/><Relationship Id="rId106" Type="http://schemas.openxmlformats.org/officeDocument/2006/relationships/hyperlink" Target="https://ieeexplore.ieee.org/abstract/document/9209712/" TargetMode="External"/><Relationship Id="rId105" Type="http://schemas.openxmlformats.org/officeDocument/2006/relationships/hyperlink" Target="https://ieeexplore.ieee.org/abstract/document/8937836/" TargetMode="External"/><Relationship Id="rId104" Type="http://schemas.openxmlformats.org/officeDocument/2006/relationships/hyperlink" Target="https://link.springer.com/article/10.1007/s12652-020-02283-6" TargetMode="External"/><Relationship Id="rId109" Type="http://schemas.openxmlformats.org/officeDocument/2006/relationships/hyperlink" Target="https://www.sciencedirect.com/science/article/pii/S0167739X19308969" TargetMode="External"/><Relationship Id="rId108" Type="http://schemas.openxmlformats.org/officeDocument/2006/relationships/hyperlink" Target="https://www.sciencedirect.com/science/article/pii/S0045790617319808" TargetMode="External"/><Relationship Id="rId103" Type="http://schemas.openxmlformats.org/officeDocument/2006/relationships/hyperlink" Target="https://ieeexplore.ieee.org/abstract/document/8759087/" TargetMode="External"/><Relationship Id="rId102" Type="http://schemas.openxmlformats.org/officeDocument/2006/relationships/hyperlink" Target="https://www.sciencedirect.com/science/article/pii/S014036641830121X" TargetMode="External"/><Relationship Id="rId101" Type="http://schemas.openxmlformats.org/officeDocument/2006/relationships/hyperlink" Target="https://ieeexplore.ieee.org/abstract/document/8488203/" TargetMode="External"/><Relationship Id="rId100" Type="http://schemas.openxmlformats.org/officeDocument/2006/relationships/hyperlink" Target="https://www.sciencedirect.com/science/article/pii/S2405844019357263" TargetMode="External"/><Relationship Id="rId129" Type="http://schemas.openxmlformats.org/officeDocument/2006/relationships/hyperlink" Target="https://link.springer.com/article/10.1007/s10489-020-02003-9" TargetMode="External"/><Relationship Id="rId128" Type="http://schemas.openxmlformats.org/officeDocument/2006/relationships/hyperlink" Target="https://ieeexplore.ieee.org/abstract/document/9165232/" TargetMode="External"/><Relationship Id="rId127" Type="http://schemas.openxmlformats.org/officeDocument/2006/relationships/hyperlink" Target="https://ieeexplore.ieee.org/abstract/document/8878805/" TargetMode="External"/><Relationship Id="rId126" Type="http://schemas.openxmlformats.org/officeDocument/2006/relationships/hyperlink" Target="https://ieeexplore.ieee.org/abstract/document/8401956/" TargetMode="External"/><Relationship Id="rId121" Type="http://schemas.openxmlformats.org/officeDocument/2006/relationships/hyperlink" Target="http://search.ebscohost.com/login.aspx?direct=true&amp;profile=ehost&amp;scope=site&amp;authtype=crawler&amp;jrnl=09731318&amp;AN=141016261&amp;h=qwZ%2BpYdlfk%2BzvtM7AVtTzVM%2Frs4veDzSUV5je6ybbkKWBm%2BeTA2vKShbEJm7FRybBjeDPxz80LJa8UdNAVljOA%3D%3D&amp;crl=c" TargetMode="External"/><Relationship Id="rId120" Type="http://schemas.openxmlformats.org/officeDocument/2006/relationships/hyperlink" Target="https://link.springer.com/article/10.1007/s11036-018-1062-7" TargetMode="External"/><Relationship Id="rId125" Type="http://schemas.openxmlformats.org/officeDocument/2006/relationships/hyperlink" Target="https://ieeexplore.ieee.org/abstract/document/8932384/" TargetMode="External"/><Relationship Id="rId124" Type="http://schemas.openxmlformats.org/officeDocument/2006/relationships/hyperlink" Target="https://link.springer.com/chapter/10.1007/978-3-030-30709-7_25" TargetMode="External"/><Relationship Id="rId123" Type="http://schemas.openxmlformats.org/officeDocument/2006/relationships/hyperlink" Target="https://www.sid.ir/FileServer/JE/5055520192805" TargetMode="External"/><Relationship Id="rId122" Type="http://schemas.openxmlformats.org/officeDocument/2006/relationships/hyperlink" Target="https://www.sciencedirect.com/science/article/pii/S074373151730285X" TargetMode="External"/><Relationship Id="rId95" Type="http://schemas.openxmlformats.org/officeDocument/2006/relationships/hyperlink" Target="https://ieeexplore.ieee.org/abstract/document/8309283/" TargetMode="External"/><Relationship Id="rId94" Type="http://schemas.openxmlformats.org/officeDocument/2006/relationships/hyperlink" Target="https://dl.acm.org/doi/abs/10.1145/3374135.3385279" TargetMode="External"/><Relationship Id="rId97" Type="http://schemas.openxmlformats.org/officeDocument/2006/relationships/hyperlink" Target="https://ieeexplore.ieee.org/abstract/document/8875333/" TargetMode="External"/><Relationship Id="rId96" Type="http://schemas.openxmlformats.org/officeDocument/2006/relationships/hyperlink" Target="https://ieeexplore.ieee.org/abstract/document/8721126/" TargetMode="External"/><Relationship Id="rId99" Type="http://schemas.openxmlformats.org/officeDocument/2006/relationships/hyperlink" Target="https://www.sciencedirect.com/science/article/pii/S0167739X17321581" TargetMode="External"/><Relationship Id="rId98" Type="http://schemas.openxmlformats.org/officeDocument/2006/relationships/hyperlink" Target="https://link.springer.com/chapter/10.1007/978-3-030-15127-0_22" TargetMode="External"/><Relationship Id="rId91" Type="http://schemas.openxmlformats.org/officeDocument/2006/relationships/hyperlink" Target="https://link.springer.com/chapter/10.1007/978-3-319-99007-1_2" TargetMode="External"/><Relationship Id="rId90" Type="http://schemas.openxmlformats.org/officeDocument/2006/relationships/hyperlink" Target="https://ieeexplore.ieee.org/abstract/document/9022819/" TargetMode="External"/><Relationship Id="rId93" Type="http://schemas.openxmlformats.org/officeDocument/2006/relationships/hyperlink" Target="https://www.sciencedirect.com/science/article/pii/S2210537917302536" TargetMode="External"/><Relationship Id="rId92" Type="http://schemas.openxmlformats.org/officeDocument/2006/relationships/hyperlink" Target="https://ieeexplore.ieee.org/abstract/document/8963569/" TargetMode="External"/><Relationship Id="rId118" Type="http://schemas.openxmlformats.org/officeDocument/2006/relationships/hyperlink" Target="https://ieeexplore.ieee.org/abstract/document/8422225/" TargetMode="External"/><Relationship Id="rId117" Type="http://schemas.openxmlformats.org/officeDocument/2006/relationships/hyperlink" Target="https://ieeexplore.ieee.org/abstract/document/8603157/" TargetMode="External"/><Relationship Id="rId116" Type="http://schemas.openxmlformats.org/officeDocument/2006/relationships/hyperlink" Target="https://link.springer.com/article/10.1007/s00500-017-2905-z" TargetMode="External"/><Relationship Id="rId115" Type="http://schemas.openxmlformats.org/officeDocument/2006/relationships/hyperlink" Target="https://link.springer.com/content/pdf/10.1007/s10586-017-1166-z.pdf" TargetMode="External"/><Relationship Id="rId119" Type="http://schemas.openxmlformats.org/officeDocument/2006/relationships/hyperlink" Target="https://papers.ssrn.com/sol3/papers.cfm?abstract_id=3394044" TargetMode="External"/><Relationship Id="rId110" Type="http://schemas.openxmlformats.org/officeDocument/2006/relationships/hyperlink" Target="https://link.springer.com/chapter/10.1007/978-3-030-20485-3_40" TargetMode="External"/><Relationship Id="rId114" Type="http://schemas.openxmlformats.org/officeDocument/2006/relationships/hyperlink" Target="https://ieeexplore.ieee.org/abstract/document/8672350/" TargetMode="External"/><Relationship Id="rId113" Type="http://schemas.openxmlformats.org/officeDocument/2006/relationships/hyperlink" Target="https://www.sciencedirect.com/science/article/pii/S0167739X19319594" TargetMode="External"/><Relationship Id="rId112" Type="http://schemas.openxmlformats.org/officeDocument/2006/relationships/hyperlink" Target="https://www.hindawi.com/journals/mpe/2020/4176308/" TargetMode="External"/><Relationship Id="rId111" Type="http://schemas.openxmlformats.org/officeDocument/2006/relationships/hyperlink" Target="https://ieeexplore.ieee.org/abstract/document/8975843/"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doi-org.vu-nl.idm.oclc.org/10.1007/s00354-008-0081-5)" TargetMode="External"/><Relationship Id="rId3" Type="http://schemas.openxmlformats.org/officeDocument/2006/relationships/drawing" Target="../drawings/drawing5.xml"/><Relationship Id="rId4" Type="http://schemas.openxmlformats.org/officeDocument/2006/relationships/vmlDrawing" Target="../drawings/vmlDrawing2.vml"/><Relationship Id="rId6"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90" Type="http://schemas.openxmlformats.org/officeDocument/2006/relationships/hyperlink" Target="https://ieeexplore.ieee.org/abstract/document/9309376/" TargetMode="External"/><Relationship Id="rId194" Type="http://schemas.openxmlformats.org/officeDocument/2006/relationships/hyperlink" Target="https://ieeexplore.ieee.org/abstract/document/9303615/" TargetMode="External"/><Relationship Id="rId193" Type="http://schemas.openxmlformats.org/officeDocument/2006/relationships/hyperlink" Target="https://www.sciencedirect.com/science/article/pii/S2210537917302536" TargetMode="External"/><Relationship Id="rId192" Type="http://schemas.openxmlformats.org/officeDocument/2006/relationships/hyperlink" Target="https://ieeexplore.ieee.org/abstract/document/8963569/" TargetMode="External"/><Relationship Id="rId191" Type="http://schemas.openxmlformats.org/officeDocument/2006/relationships/hyperlink" Target="https://ieeexplore.ieee.org/abstract/document/8991325/" TargetMode="External"/><Relationship Id="rId187" Type="http://schemas.openxmlformats.org/officeDocument/2006/relationships/hyperlink" Target="https://link.springer.com/chapter/10.1007/978-3-030-53829-3_26" TargetMode="External"/><Relationship Id="rId186" Type="http://schemas.openxmlformats.org/officeDocument/2006/relationships/hyperlink" Target="https://link.springer.com/article/10.1007/s00607-020-00889-4" TargetMode="External"/><Relationship Id="rId185" Type="http://schemas.openxmlformats.org/officeDocument/2006/relationships/hyperlink" Target="https://ieeexplore.ieee.org/abstract/document/9022819/" TargetMode="External"/><Relationship Id="rId184" Type="http://schemas.openxmlformats.org/officeDocument/2006/relationships/hyperlink" Target="https://ieeexplore.ieee.org/abstract/document/9047328/" TargetMode="External"/><Relationship Id="rId189" Type="http://schemas.openxmlformats.org/officeDocument/2006/relationships/hyperlink" Target="https://ieeexplore.ieee.org/abstract/document/9046987/" TargetMode="External"/><Relationship Id="rId188" Type="http://schemas.openxmlformats.org/officeDocument/2006/relationships/hyperlink" Target="https://link.springer.com/chapter/10.1007/978-3-319-99007-1_2" TargetMode="External"/><Relationship Id="rId183" Type="http://schemas.openxmlformats.org/officeDocument/2006/relationships/hyperlink" Target="https://link.springer.com/article/10.1007/s13369-018-3196-0" TargetMode="External"/><Relationship Id="rId182" Type="http://schemas.openxmlformats.org/officeDocument/2006/relationships/hyperlink" Target="https://link.springer.com/article/10.1186/s13677-017-0103-2" TargetMode="External"/><Relationship Id="rId181" Type="http://schemas.openxmlformats.org/officeDocument/2006/relationships/hyperlink" Target="http://jstage.jst.go.jp" TargetMode="External"/><Relationship Id="rId180" Type="http://schemas.openxmlformats.org/officeDocument/2006/relationships/hyperlink" Target="http://jstage.jst.go.jp" TargetMode="External"/><Relationship Id="rId176" Type="http://schemas.openxmlformats.org/officeDocument/2006/relationships/hyperlink" Target="https://ieeexplore.ieee.org/abstract/document/9006914/" TargetMode="External"/><Relationship Id="rId297" Type="http://schemas.openxmlformats.org/officeDocument/2006/relationships/hyperlink" Target="https://link.springer.com/article/10.1007/s11276-018-1874-1" TargetMode="External"/><Relationship Id="rId175" Type="http://schemas.openxmlformats.org/officeDocument/2006/relationships/hyperlink" Target="http://psasir.upm.edu.my" TargetMode="External"/><Relationship Id="rId296" Type="http://schemas.openxmlformats.org/officeDocument/2006/relationships/hyperlink" Target="https://ieeexplore.ieee.org/abstract/document/8644591/" TargetMode="External"/><Relationship Id="rId174" Type="http://schemas.openxmlformats.org/officeDocument/2006/relationships/hyperlink" Target="http://psasir.upm.edu.my" TargetMode="External"/><Relationship Id="rId295" Type="http://schemas.openxmlformats.org/officeDocument/2006/relationships/hyperlink" Target="https://dl.acm.org/doi/abs/10.1145/3239264.3239275" TargetMode="External"/><Relationship Id="rId173" Type="http://schemas.openxmlformats.org/officeDocument/2006/relationships/hyperlink" Target="http://psasir.upm.edu.my/id/eprint/70614/1/17%20JST-1027-2017.pdf" TargetMode="External"/><Relationship Id="rId294" Type="http://schemas.openxmlformats.org/officeDocument/2006/relationships/hyperlink" Target="https://www.mdpi.com/1999-5903/10/9/86" TargetMode="External"/><Relationship Id="rId179" Type="http://schemas.openxmlformats.org/officeDocument/2006/relationships/hyperlink" Target="https://www.jstage.jst.go.jp/article/transinf/E102.D/10/E102.D_2018EDP7441/_article/-char/ja/" TargetMode="External"/><Relationship Id="rId178" Type="http://schemas.openxmlformats.org/officeDocument/2006/relationships/hyperlink" Target="https://www.sciencedirect.com/science/article/pii/S0167739X17300092" TargetMode="External"/><Relationship Id="rId299" Type="http://schemas.openxmlformats.org/officeDocument/2006/relationships/hyperlink" Target="http://en.cnki.com.cn" TargetMode="External"/><Relationship Id="rId177" Type="http://schemas.openxmlformats.org/officeDocument/2006/relationships/hyperlink" Target="https://link.springer.com/article/10.1007/s10586-020-03186-z" TargetMode="External"/><Relationship Id="rId298" Type="http://schemas.openxmlformats.org/officeDocument/2006/relationships/hyperlink" Target="http://en.cnki.com.cn/Article_en/CJFDTotal-ZWJC201807042.htm" TargetMode="External"/><Relationship Id="rId198" Type="http://schemas.openxmlformats.org/officeDocument/2006/relationships/hyperlink" Target="https://link.springer.com/article/10.1007/s10723-018-9449-z" TargetMode="External"/><Relationship Id="rId197" Type="http://schemas.openxmlformats.org/officeDocument/2006/relationships/hyperlink" Target="https://ieeexplore.ieee.org/abstract/document/8309283/" TargetMode="External"/><Relationship Id="rId196" Type="http://schemas.openxmlformats.org/officeDocument/2006/relationships/hyperlink" Target="https://dl.acm.org/doi/abs/10.1145/3374135.3385279" TargetMode="External"/><Relationship Id="rId195" Type="http://schemas.openxmlformats.org/officeDocument/2006/relationships/hyperlink" Target="https://www.mdpi.com/2071-1050/12/4/1417" TargetMode="External"/><Relationship Id="rId199" Type="http://schemas.openxmlformats.org/officeDocument/2006/relationships/hyperlink" Target="https://dl.acm.org/doi/abs/10.1145/3264746.3264792" TargetMode="External"/><Relationship Id="rId150" Type="http://schemas.openxmlformats.org/officeDocument/2006/relationships/hyperlink" Target="https://www.sciencedirect.com/science/article/pii/S0167739X17326249" TargetMode="External"/><Relationship Id="rId271" Type="http://schemas.openxmlformats.org/officeDocument/2006/relationships/hyperlink" Target="https://www.sciencedirect.com/science/article/pii/S0167739X16308330" TargetMode="External"/><Relationship Id="rId270" Type="http://schemas.openxmlformats.org/officeDocument/2006/relationships/hyperlink" Target="https://www.sciencedirect.com/science/article/pii/S0957417418303531" TargetMode="External"/><Relationship Id="rId1" Type="http://schemas.openxmlformats.org/officeDocument/2006/relationships/comments" Target="../comments3.xml"/><Relationship Id="rId2" Type="http://schemas.openxmlformats.org/officeDocument/2006/relationships/hyperlink" Target="https://ieeexplore.ieee.org/abstract/document/8573845/" TargetMode="External"/><Relationship Id="rId3" Type="http://schemas.openxmlformats.org/officeDocument/2006/relationships/hyperlink" Target="https://www.mdpi.com/2076-3417/9/3/518" TargetMode="External"/><Relationship Id="rId149" Type="http://schemas.openxmlformats.org/officeDocument/2006/relationships/hyperlink" Target="https://onlinelibrary.wiley.com/doi/abs/10.1002/cpe.6134" TargetMode="External"/><Relationship Id="rId4" Type="http://schemas.openxmlformats.org/officeDocument/2006/relationships/hyperlink" Target="https://ieeexplore.ieee.org/abstract/document/8874886/" TargetMode="External"/><Relationship Id="rId148" Type="http://schemas.openxmlformats.org/officeDocument/2006/relationships/hyperlink" Target="https://iopscience.iop.org/article/10.1088/1757-899X/322/5/052037/meta" TargetMode="External"/><Relationship Id="rId269" Type="http://schemas.openxmlformats.org/officeDocument/2006/relationships/hyperlink" Target="https://dl.acm.org/doi/abs/10.1145/3364210" TargetMode="External"/><Relationship Id="rId9" Type="http://schemas.openxmlformats.org/officeDocument/2006/relationships/hyperlink" Target="https://ieeexplore.ieee.org/abstract/document/8742558/" TargetMode="External"/><Relationship Id="rId143" Type="http://schemas.openxmlformats.org/officeDocument/2006/relationships/hyperlink" Target="https://ieeexplore.ieee.org/abstract/document/9079962/" TargetMode="External"/><Relationship Id="rId264" Type="http://schemas.openxmlformats.org/officeDocument/2006/relationships/hyperlink" Target="https://ieeexplore.ieee.org/abstract/document/8514358/" TargetMode="External"/><Relationship Id="rId142" Type="http://schemas.openxmlformats.org/officeDocument/2006/relationships/hyperlink" Target="https://ieeexplore.ieee.org/abstract/document/9117280/" TargetMode="External"/><Relationship Id="rId263" Type="http://schemas.openxmlformats.org/officeDocument/2006/relationships/hyperlink" Target="http://iajit.org/PDF/May%202018,%20No.%203/10882.pdf" TargetMode="External"/><Relationship Id="rId141" Type="http://schemas.openxmlformats.org/officeDocument/2006/relationships/hyperlink" Target="https://ieeexplore.ieee.org/abstract/document/8991670/" TargetMode="External"/><Relationship Id="rId262" Type="http://schemas.openxmlformats.org/officeDocument/2006/relationships/hyperlink" Target="https://ieeexplore.ieee.org/abstract/document/8794793/" TargetMode="External"/><Relationship Id="rId140" Type="http://schemas.openxmlformats.org/officeDocument/2006/relationships/hyperlink" Target="https://dl.acm.org/doi/abs/10.1145/3436829.3436867" TargetMode="External"/><Relationship Id="rId261" Type="http://schemas.openxmlformats.org/officeDocument/2006/relationships/hyperlink" Target="https://link.springer.com/article/10.1007/s11227-018-2244-6" TargetMode="External"/><Relationship Id="rId5" Type="http://schemas.openxmlformats.org/officeDocument/2006/relationships/hyperlink" Target="https://link.springer.com/article/10.1007/s10586-018-2235-7" TargetMode="External"/><Relationship Id="rId147" Type="http://schemas.openxmlformats.org/officeDocument/2006/relationships/hyperlink" Target="https://www.emerald.com/insight/content/doi/10.1108/JSIT-10-2017-0089/full/html" TargetMode="External"/><Relationship Id="rId268" Type="http://schemas.openxmlformats.org/officeDocument/2006/relationships/hyperlink" Target="https://ieeexplore.ieee.org/abstract/document/8732201/" TargetMode="External"/><Relationship Id="rId6" Type="http://schemas.openxmlformats.org/officeDocument/2006/relationships/hyperlink" Target="https://ieeexplore.ieee.org/abstract/document/9053186/" TargetMode="External"/><Relationship Id="rId146" Type="http://schemas.openxmlformats.org/officeDocument/2006/relationships/hyperlink" Target="http://www.academia.edu/download/62232693/network-aware-dynamic-vm-placement-for-achieving-energy-efficient-greeny-data-centers-IJERTCONV8IS0201020200229-80968-1kl6osa.pdf" TargetMode="External"/><Relationship Id="rId267" Type="http://schemas.openxmlformats.org/officeDocument/2006/relationships/hyperlink" Target="http://jips-k.org/full-text/398" TargetMode="External"/><Relationship Id="rId7" Type="http://schemas.openxmlformats.org/officeDocument/2006/relationships/hyperlink" Target="https://www.mdpi.com/1996-1073/12/17/3301" TargetMode="External"/><Relationship Id="rId145" Type="http://schemas.openxmlformats.org/officeDocument/2006/relationships/hyperlink" Target="https://ieeexplore.ieee.org/abstract/document/8727486/" TargetMode="External"/><Relationship Id="rId266" Type="http://schemas.openxmlformats.org/officeDocument/2006/relationships/hyperlink" Target="https://ieeexplore.ieee.org/abstract/document/8555561/" TargetMode="External"/><Relationship Id="rId8" Type="http://schemas.openxmlformats.org/officeDocument/2006/relationships/hyperlink" Target="https://link.springer.com/chapter/10.1007/978-3-030-12065-8_1" TargetMode="External"/><Relationship Id="rId144" Type="http://schemas.openxmlformats.org/officeDocument/2006/relationships/hyperlink" Target="https://link.springer.com/article/10.1007/s11761-019-00273-x" TargetMode="External"/><Relationship Id="rId265" Type="http://schemas.openxmlformats.org/officeDocument/2006/relationships/hyperlink" Target="http://search.proquest.com/openview/fbc5529f7cfcd78fae1b9de175c55a90/1?pq-origsite=gscholar&amp;cbl=1686344" TargetMode="External"/><Relationship Id="rId260" Type="http://schemas.openxmlformats.org/officeDocument/2006/relationships/hyperlink" Target="https://ieeexplore.ieee.org/abstract/document/8878624/" TargetMode="External"/><Relationship Id="rId139" Type="http://schemas.openxmlformats.org/officeDocument/2006/relationships/hyperlink" Target="https://ieeexplore.ieee.org/abstract/document/8425223/" TargetMode="External"/><Relationship Id="rId138" Type="http://schemas.openxmlformats.org/officeDocument/2006/relationships/hyperlink" Target="https://www.mdpi.com/2071-1050/12/16/6383" TargetMode="External"/><Relationship Id="rId259" Type="http://schemas.openxmlformats.org/officeDocument/2006/relationships/hyperlink" Target="https://dl.acm.org/doi/abs/10.1145/3344341.3368822" TargetMode="External"/><Relationship Id="rId137" Type="http://schemas.openxmlformats.org/officeDocument/2006/relationships/hyperlink" Target="http://hrcak.srce.hr" TargetMode="External"/><Relationship Id="rId258" Type="http://schemas.openxmlformats.org/officeDocument/2006/relationships/hyperlink" Target="https://link.springer.com/article/10.1007/s10489-020-02003-9" TargetMode="External"/><Relationship Id="rId132" Type="http://schemas.openxmlformats.org/officeDocument/2006/relationships/hyperlink" Target="https://link.springer.com/content/pdf/10.1007/s10586-020-03096-0.pdf" TargetMode="External"/><Relationship Id="rId253" Type="http://schemas.openxmlformats.org/officeDocument/2006/relationships/hyperlink" Target="https://ieeexplore.ieee.org/abstract/document/8932384/" TargetMode="External"/><Relationship Id="rId131" Type="http://schemas.openxmlformats.org/officeDocument/2006/relationships/hyperlink" Target="https://www.sciencedirect.com/science/article/pii/S0167739X1931235X" TargetMode="External"/><Relationship Id="rId252" Type="http://schemas.openxmlformats.org/officeDocument/2006/relationships/hyperlink" Target="https://link.springer.com/chapter/10.1007/978-981-15-3125-5_19" TargetMode="External"/><Relationship Id="rId130" Type="http://schemas.openxmlformats.org/officeDocument/2006/relationships/hyperlink" Target="http://koreascience.or.kr" TargetMode="External"/><Relationship Id="rId251" Type="http://schemas.openxmlformats.org/officeDocument/2006/relationships/hyperlink" Target="https://link.springer.com/chapter/10.1007/978-3-030-30709-7_25" TargetMode="External"/><Relationship Id="rId250" Type="http://schemas.openxmlformats.org/officeDocument/2006/relationships/hyperlink" Target="https://www.sid.ir/FileServer/JE/5055520192805" TargetMode="External"/><Relationship Id="rId136" Type="http://schemas.openxmlformats.org/officeDocument/2006/relationships/hyperlink" Target="http://hrcak.srce.hr" TargetMode="External"/><Relationship Id="rId257" Type="http://schemas.openxmlformats.org/officeDocument/2006/relationships/hyperlink" Target="https://ieeexplore.ieee.org/abstract/document/9165232/" TargetMode="External"/><Relationship Id="rId135" Type="http://schemas.openxmlformats.org/officeDocument/2006/relationships/hyperlink" Target="https://hrcak.srce.hr/index.php?show=clanak&amp;id_clanak_jezik=355662" TargetMode="External"/><Relationship Id="rId256" Type="http://schemas.openxmlformats.org/officeDocument/2006/relationships/hyperlink" Target="https://www.storageconference.us/2020/Papers/19.PreMatch.pdf" TargetMode="External"/><Relationship Id="rId134" Type="http://schemas.openxmlformats.org/officeDocument/2006/relationships/hyperlink" Target="http://journals.sagepub.com" TargetMode="External"/><Relationship Id="rId255" Type="http://schemas.openxmlformats.org/officeDocument/2006/relationships/hyperlink" Target="https://ieeexplore.ieee.org/abstract/document/8878805/" TargetMode="External"/><Relationship Id="rId133" Type="http://schemas.openxmlformats.org/officeDocument/2006/relationships/hyperlink" Target="https://journals.sagepub.com/doi/abs/10.1177/1550147720935775" TargetMode="External"/><Relationship Id="rId254" Type="http://schemas.openxmlformats.org/officeDocument/2006/relationships/hyperlink" Target="https://ieeexplore.ieee.org/abstract/document/8401956/" TargetMode="External"/><Relationship Id="rId172" Type="http://schemas.openxmlformats.org/officeDocument/2006/relationships/hyperlink" Target="https://ieeexplore.ieee.org/abstract/document/8356052/" TargetMode="External"/><Relationship Id="rId293" Type="http://schemas.openxmlformats.org/officeDocument/2006/relationships/hyperlink" Target="https://ieeexplore.ieee.org/abstract/document/8341994/" TargetMode="External"/><Relationship Id="rId171" Type="http://schemas.openxmlformats.org/officeDocument/2006/relationships/hyperlink" Target="https://www.academia.edu/download/60782019/320191003-30157-m01c7a.pdf" TargetMode="External"/><Relationship Id="rId292" Type="http://schemas.openxmlformats.org/officeDocument/2006/relationships/hyperlink" Target="https://content.iospress.com/articles/journal-of-intelligent-and-fuzzy-systems/ifs171927" TargetMode="External"/><Relationship Id="rId170" Type="http://schemas.openxmlformats.org/officeDocument/2006/relationships/hyperlink" Target="https://link.springer.com/chapter/10.1007/978-981-15-3689-2_4" TargetMode="External"/><Relationship Id="rId291" Type="http://schemas.openxmlformats.org/officeDocument/2006/relationships/hyperlink" Target="https://www.sciencedirect.com/science/article/pii/S0167739X17315650" TargetMode="External"/><Relationship Id="rId290" Type="http://schemas.openxmlformats.org/officeDocument/2006/relationships/hyperlink" Target="https://www.sciencedirect.com/science/article/pii/S0957417418307498" TargetMode="External"/><Relationship Id="rId165" Type="http://schemas.openxmlformats.org/officeDocument/2006/relationships/hyperlink" Target="https://onlinelibrary.wiley.com/doi/abs/10.1002/cpe.5437" TargetMode="External"/><Relationship Id="rId286" Type="http://schemas.openxmlformats.org/officeDocument/2006/relationships/hyperlink" Target="https://link.springer.com/content/pdf/10.1007/s11227-020-03248-4.pdf" TargetMode="External"/><Relationship Id="rId164" Type="http://schemas.openxmlformats.org/officeDocument/2006/relationships/hyperlink" Target="http://www.academia.edu/download/57287382/9_PerformanceImprovement.pdf" TargetMode="External"/><Relationship Id="rId285" Type="http://schemas.openxmlformats.org/officeDocument/2006/relationships/hyperlink" Target="https://digital-library.theiet.org/content/journals/10.1049/cje.2020.10.008" TargetMode="External"/><Relationship Id="rId163" Type="http://schemas.openxmlformats.org/officeDocument/2006/relationships/hyperlink" Target="https://pdfs.semanticscholar.org/c99b/2673db1e4879ded860a78e5cea1b40af7cab.pdf" TargetMode="External"/><Relationship Id="rId284" Type="http://schemas.openxmlformats.org/officeDocument/2006/relationships/hyperlink" Target="https://link.springer.com/article/10.1007/s00500-020-05240-9" TargetMode="External"/><Relationship Id="rId162" Type="http://schemas.openxmlformats.org/officeDocument/2006/relationships/hyperlink" Target="https://www.sciencedirect.com/science/article/pii/S0743731517302149" TargetMode="External"/><Relationship Id="rId283" Type="http://schemas.openxmlformats.org/officeDocument/2006/relationships/hyperlink" Target="https://ieeexplore.ieee.org/abstract/document/8855662/" TargetMode="External"/><Relationship Id="rId169" Type="http://schemas.openxmlformats.org/officeDocument/2006/relationships/hyperlink" Target="https://ieeexplore.ieee.org/abstract/document/9238057/" TargetMode="External"/><Relationship Id="rId168" Type="http://schemas.openxmlformats.org/officeDocument/2006/relationships/hyperlink" Target="https://www.mdpi.com/1996-1073/12/4/646" TargetMode="External"/><Relationship Id="rId289" Type="http://schemas.openxmlformats.org/officeDocument/2006/relationships/hyperlink" Target="https://link.springer.com/chapter/10.1007/978-3-319-99972-2_13" TargetMode="External"/><Relationship Id="rId167" Type="http://schemas.openxmlformats.org/officeDocument/2006/relationships/hyperlink" Target="https://link.springer.com/content/pdf/10.1007/s11277-020-07070-2.pdf" TargetMode="External"/><Relationship Id="rId288" Type="http://schemas.openxmlformats.org/officeDocument/2006/relationships/hyperlink" Target="https://ieeexplore.ieee.org/abstract/document/8880271/" TargetMode="External"/><Relationship Id="rId166" Type="http://schemas.openxmlformats.org/officeDocument/2006/relationships/hyperlink" Target="https://ieeexplore.ieee.org/abstract/document/9024592/" TargetMode="External"/><Relationship Id="rId287" Type="http://schemas.openxmlformats.org/officeDocument/2006/relationships/hyperlink" Target="https://link.springer.com/chapter/10.1007/978-981-10-8533-8_2" TargetMode="External"/><Relationship Id="rId161" Type="http://schemas.openxmlformats.org/officeDocument/2006/relationships/hyperlink" Target="https://link.springer.com/article/10.1007/s10586-018-2718-6" TargetMode="External"/><Relationship Id="rId282" Type="http://schemas.openxmlformats.org/officeDocument/2006/relationships/hyperlink" Target="https://link.springer.com/chapter/10.1007/978-3-662-57886-5_17" TargetMode="External"/><Relationship Id="rId160" Type="http://schemas.openxmlformats.org/officeDocument/2006/relationships/hyperlink" Target="https://ieeexplore.ieee.org/abstract/document/8931339/" TargetMode="External"/><Relationship Id="rId281" Type="http://schemas.openxmlformats.org/officeDocument/2006/relationships/hyperlink" Target="https://dl.acm.org/doi/abs/10.1145/3396851.3402657" TargetMode="External"/><Relationship Id="rId280" Type="http://schemas.openxmlformats.org/officeDocument/2006/relationships/hyperlink" Target="https://dl.acm.org/doi/abs/10.1145/3208903.3213522" TargetMode="External"/><Relationship Id="rId159" Type="http://schemas.openxmlformats.org/officeDocument/2006/relationships/hyperlink" Target="https://www.mdpi.com/2071-1050/12/23/9893" TargetMode="External"/><Relationship Id="rId154" Type="http://schemas.openxmlformats.org/officeDocument/2006/relationships/hyperlink" Target="https://link.springer.com/chapter/10.1007/978-3-030-23499-7_7" TargetMode="External"/><Relationship Id="rId275" Type="http://schemas.openxmlformats.org/officeDocument/2006/relationships/hyperlink" Target="https://link.springer.com/article/10.1007/s10586-018-2154-7" TargetMode="External"/><Relationship Id="rId153" Type="http://schemas.openxmlformats.org/officeDocument/2006/relationships/hyperlink" Target="https://www.sciencedirect.com/science/article/pii/S2210537917304249" TargetMode="External"/><Relationship Id="rId274" Type="http://schemas.openxmlformats.org/officeDocument/2006/relationships/hyperlink" Target="https://www.hindawi.com/journals/sp/2019/3204346/abs/" TargetMode="External"/><Relationship Id="rId152" Type="http://schemas.openxmlformats.org/officeDocument/2006/relationships/hyperlink" Target="https://ieeexplore.ieee.org/abstract/document/8648631/" TargetMode="External"/><Relationship Id="rId273" Type="http://schemas.openxmlformats.org/officeDocument/2006/relationships/hyperlink" Target="https://ieeexplore.ieee.org/abstract/document/8888103/" TargetMode="External"/><Relationship Id="rId151" Type="http://schemas.openxmlformats.org/officeDocument/2006/relationships/hyperlink" Target="https://ieeexplore.ieee.org/abstract/document/8825507/" TargetMode="External"/><Relationship Id="rId272" Type="http://schemas.openxmlformats.org/officeDocument/2006/relationships/hyperlink" Target="https://ieeexplore.ieee.org/abstract/document/9078781/" TargetMode="External"/><Relationship Id="rId158" Type="http://schemas.openxmlformats.org/officeDocument/2006/relationships/hyperlink" Target="https://ieeexplore.ieee.org/abstract/document/8606094/" TargetMode="External"/><Relationship Id="rId279" Type="http://schemas.openxmlformats.org/officeDocument/2006/relationships/hyperlink" Target="https://link.springer.com/chapter/10.1007/978-3-319-65687-8_24" TargetMode="External"/><Relationship Id="rId157" Type="http://schemas.openxmlformats.org/officeDocument/2006/relationships/hyperlink" Target="https://www.mdpi.com/2076-3417/10/7/2323" TargetMode="External"/><Relationship Id="rId278" Type="http://schemas.openxmlformats.org/officeDocument/2006/relationships/hyperlink" Target="https://www.mdpi.com/2079-9268/10/4/32" TargetMode="External"/><Relationship Id="rId156" Type="http://schemas.openxmlformats.org/officeDocument/2006/relationships/hyperlink" Target="https://ieeexplore.ieee.org/abstract/document/8622869/" TargetMode="External"/><Relationship Id="rId277" Type="http://schemas.openxmlformats.org/officeDocument/2006/relationships/hyperlink" Target="https://ieeexplore.ieee.org/abstract/document/8468062/" TargetMode="External"/><Relationship Id="rId155" Type="http://schemas.openxmlformats.org/officeDocument/2006/relationships/hyperlink" Target="https://ieeexplore.ieee.org/abstract/document/9219590/" TargetMode="External"/><Relationship Id="rId276" Type="http://schemas.openxmlformats.org/officeDocument/2006/relationships/hyperlink" Target="https://www.scielo.br/scielo.php?pid=S1516-89132019000200220&amp;script=sci_arttext" TargetMode="External"/><Relationship Id="rId40" Type="http://schemas.openxmlformats.org/officeDocument/2006/relationships/hyperlink" Target="https://ieeexplore.ieee.org/abstract/document/8807458/" TargetMode="External"/><Relationship Id="rId42" Type="http://schemas.openxmlformats.org/officeDocument/2006/relationships/hyperlink" Target="https://ieeexplore.ieee.org/abstract/document/8693725/" TargetMode="External"/><Relationship Id="rId41" Type="http://schemas.openxmlformats.org/officeDocument/2006/relationships/hyperlink" Target="https://link.springer.com/chapter/10.1007/978-981-15-5951-8_25" TargetMode="External"/><Relationship Id="rId44" Type="http://schemas.openxmlformats.org/officeDocument/2006/relationships/hyperlink" Target="https://content.iospress.com/articles/journal-of-intelligent-and-fuzzy-systems/ifs181016" TargetMode="External"/><Relationship Id="rId43" Type="http://schemas.openxmlformats.org/officeDocument/2006/relationships/hyperlink" Target="https://www.mdpi.com/1999-4893/11/10/145" TargetMode="External"/><Relationship Id="rId46" Type="http://schemas.openxmlformats.org/officeDocument/2006/relationships/hyperlink" Target="https://ieeexplore.ieee.org/abstract/document/9091377/" TargetMode="External"/><Relationship Id="rId45" Type="http://schemas.openxmlformats.org/officeDocument/2006/relationships/hyperlink" Target="https://link.springer.com/chapter/10.1007/978-3-030-22871-2_19" TargetMode="External"/><Relationship Id="rId48" Type="http://schemas.openxmlformats.org/officeDocument/2006/relationships/hyperlink" Target="https://www.sciencedirect.com/science/article/pii/S2210537918303160" TargetMode="External"/><Relationship Id="rId47" Type="http://schemas.openxmlformats.org/officeDocument/2006/relationships/hyperlink" Target="https://www.sciencedirect.com/science/article/pii/S2096511720300761" TargetMode="External"/><Relationship Id="rId49" Type="http://schemas.openxmlformats.org/officeDocument/2006/relationships/hyperlink" Target="https://ieeexplore.ieee.org/abstract/document/9065682/" TargetMode="External"/><Relationship Id="rId31" Type="http://schemas.openxmlformats.org/officeDocument/2006/relationships/hyperlink" Target="https://ieeexplore.ieee.org/abstract/document/8972019/" TargetMode="External"/><Relationship Id="rId30" Type="http://schemas.openxmlformats.org/officeDocument/2006/relationships/hyperlink" Target="https://www.sciencedirect.com/science/article/pii/S0925231220315873" TargetMode="External"/><Relationship Id="rId33" Type="http://schemas.openxmlformats.org/officeDocument/2006/relationships/hyperlink" Target="https://ieeexplore.ieee.org/abstract/document/9014023/" TargetMode="External"/><Relationship Id="rId32" Type="http://schemas.openxmlformats.org/officeDocument/2006/relationships/hyperlink" Target="https://ieeexplore.ieee.org/abstract/document/8855456/" TargetMode="External"/><Relationship Id="rId35" Type="http://schemas.openxmlformats.org/officeDocument/2006/relationships/hyperlink" Target="https://dl.acm.org/doi/abs/10.1145/3318265.3318287" TargetMode="External"/><Relationship Id="rId34" Type="http://schemas.openxmlformats.org/officeDocument/2006/relationships/hyperlink" Target="https://link.springer.com/article/10.1007/s13369-019-04048-6" TargetMode="External"/><Relationship Id="rId37" Type="http://schemas.openxmlformats.org/officeDocument/2006/relationships/hyperlink" Target="https://www.sciencedirect.com/science/article/pii/S1877050918307075" TargetMode="External"/><Relationship Id="rId36" Type="http://schemas.openxmlformats.org/officeDocument/2006/relationships/hyperlink" Target="https://ieeexplore.ieee.org/abstract/document/8666614/" TargetMode="External"/><Relationship Id="rId39" Type="http://schemas.openxmlformats.org/officeDocument/2006/relationships/hyperlink" Target="https://ieeexplore.ieee.org/abstract/document/8663624/" TargetMode="External"/><Relationship Id="rId38" Type="http://schemas.openxmlformats.org/officeDocument/2006/relationships/hyperlink" Target="https://www.jstage.jst.go.jp/article/jaciii/23/2/23_209/_article/-char/ja/" TargetMode="External"/><Relationship Id="rId20" Type="http://schemas.openxmlformats.org/officeDocument/2006/relationships/hyperlink" Target="https://link.springer.com/chapter/10.1007/978-3-319-69889-2_5" TargetMode="External"/><Relationship Id="rId22" Type="http://schemas.openxmlformats.org/officeDocument/2006/relationships/hyperlink" Target="https://ieeexplore.ieee.org/abstract/document/8836768/" TargetMode="External"/><Relationship Id="rId21" Type="http://schemas.openxmlformats.org/officeDocument/2006/relationships/hyperlink" Target="https://link.springer.com/chapter/10.1007/978-3-030-33702-5_24" TargetMode="External"/><Relationship Id="rId24" Type="http://schemas.openxmlformats.org/officeDocument/2006/relationships/hyperlink" Target="https://aip.scitation.org/doi/abs/10.1063/5.0024789" TargetMode="External"/><Relationship Id="rId23" Type="http://schemas.openxmlformats.org/officeDocument/2006/relationships/hyperlink" Target="https://ieeexplore.ieee.org/abstract/document/9133776/" TargetMode="External"/><Relationship Id="rId26" Type="http://schemas.openxmlformats.org/officeDocument/2006/relationships/hyperlink" Target="https://dl.acm.org/doi/abs/10.1145/3396851.3402658" TargetMode="External"/><Relationship Id="rId25" Type="http://schemas.openxmlformats.org/officeDocument/2006/relationships/hyperlink" Target="https://ieeexplore.ieee.org/abstract/document/8791437/" TargetMode="External"/><Relationship Id="rId28" Type="http://schemas.openxmlformats.org/officeDocument/2006/relationships/hyperlink" Target="https://ieeexplore.ieee.org/abstract/document/8580952/" TargetMode="External"/><Relationship Id="rId27" Type="http://schemas.openxmlformats.org/officeDocument/2006/relationships/hyperlink" Target="https://dl.acm.org/doi/abs/10.1145/3401335.3401648" TargetMode="External"/><Relationship Id="rId29" Type="http://schemas.openxmlformats.org/officeDocument/2006/relationships/hyperlink" Target="https://link.springer.com/content/pdf/10.1007/s11227-020-03203-3.pdf" TargetMode="External"/><Relationship Id="rId11" Type="http://schemas.openxmlformats.org/officeDocument/2006/relationships/hyperlink" Target="https://centerprode.com/ojit/ojit0301/coas.ojit.0301.01001m.html" TargetMode="External"/><Relationship Id="rId10" Type="http://schemas.openxmlformats.org/officeDocument/2006/relationships/hyperlink" Target="https://link.springer.com/content/pdf/10.1007/s00607-020-00805-w.pdf" TargetMode="External"/><Relationship Id="rId13" Type="http://schemas.openxmlformats.org/officeDocument/2006/relationships/hyperlink" Target="http://ijnaa.semnan.ac.ir" TargetMode="External"/><Relationship Id="rId12" Type="http://schemas.openxmlformats.org/officeDocument/2006/relationships/hyperlink" Target="https://ijnaa.semnan.ac.ir/article_4666.html" TargetMode="External"/><Relationship Id="rId15" Type="http://schemas.openxmlformats.org/officeDocument/2006/relationships/hyperlink" Target="https://link.springer.com/article/10.1007/s10586-018-2869-5" TargetMode="External"/><Relationship Id="rId14" Type="http://schemas.openxmlformats.org/officeDocument/2006/relationships/hyperlink" Target="http://ijnaa.semnan.ac.ir" TargetMode="External"/><Relationship Id="rId17" Type="http://schemas.openxmlformats.org/officeDocument/2006/relationships/hyperlink" Target="https://ieeexplore.ieee.org/abstract/document/9017981/" TargetMode="External"/><Relationship Id="rId16" Type="http://schemas.openxmlformats.org/officeDocument/2006/relationships/hyperlink" Target="https://ieeexplore.ieee.org/abstract/document/8559920/" TargetMode="External"/><Relationship Id="rId19" Type="http://schemas.openxmlformats.org/officeDocument/2006/relationships/hyperlink" Target="https://ieeexplore.ieee.org/abstract/document/8726577/" TargetMode="External"/><Relationship Id="rId18" Type="http://schemas.openxmlformats.org/officeDocument/2006/relationships/hyperlink" Target="https://search.ieice.org/bin/summary.php?id=e101-d_7_1816" TargetMode="External"/><Relationship Id="rId84" Type="http://schemas.openxmlformats.org/officeDocument/2006/relationships/hyperlink" Target="http://search.proquest.com/openview/21c57e9527878ff9b6c8a99d58d1bdb0/1?pq-origsite=gscholar&amp;cbl=4477230" TargetMode="External"/><Relationship Id="rId83" Type="http://schemas.openxmlformats.org/officeDocument/2006/relationships/hyperlink" Target="https://link.springer.com/chapter/10.1007/978-981-10-4394-9_60" TargetMode="External"/><Relationship Id="rId86" Type="http://schemas.openxmlformats.org/officeDocument/2006/relationships/hyperlink" Target="https://ieeexplore.ieee.org/abstract/document/8364052/" TargetMode="External"/><Relationship Id="rId85" Type="http://schemas.openxmlformats.org/officeDocument/2006/relationships/hyperlink" Target="https://www.mdpi.com/1424-8220/19/18/3980" TargetMode="External"/><Relationship Id="rId88" Type="http://schemas.openxmlformats.org/officeDocument/2006/relationships/hyperlink" Target="https://link.springer.com/chapter/10.1007/978-3-030-21507-1_41" TargetMode="External"/><Relationship Id="rId87" Type="http://schemas.openxmlformats.org/officeDocument/2006/relationships/hyperlink" Target="https://dl.acm.org/doi/abs/10.1145/3307772.3328291" TargetMode="External"/><Relationship Id="rId89" Type="http://schemas.openxmlformats.org/officeDocument/2006/relationships/hyperlink" Target="https://ieeexplore.ieee.org/abstract/document/9213653/" TargetMode="External"/><Relationship Id="rId80" Type="http://schemas.openxmlformats.org/officeDocument/2006/relationships/hyperlink" Target="https://jespublication.com/upload/2019-V10-I12-10.pdf" TargetMode="External"/><Relationship Id="rId82" Type="http://schemas.openxmlformats.org/officeDocument/2006/relationships/hyperlink" Target="https://ieeexplore.ieee.org/abstract/document/8924180/" TargetMode="External"/><Relationship Id="rId81" Type="http://schemas.openxmlformats.org/officeDocument/2006/relationships/hyperlink" Target="https://link.springer.com/chapter/10.1007/978-3-319-62238-5_8" TargetMode="External"/><Relationship Id="rId73" Type="http://schemas.openxmlformats.org/officeDocument/2006/relationships/hyperlink" Target="https://www.mdpi.com/1996-1073/12/8/1474" TargetMode="External"/><Relationship Id="rId72" Type="http://schemas.openxmlformats.org/officeDocument/2006/relationships/hyperlink" Target="https://www.sciencedirect.com/science/article/pii/S1568494618301327" TargetMode="External"/><Relationship Id="rId75" Type="http://schemas.openxmlformats.org/officeDocument/2006/relationships/hyperlink" Target="https://ieeexplore.ieee.org/abstract/document/8267099/" TargetMode="External"/><Relationship Id="rId74" Type="http://schemas.openxmlformats.org/officeDocument/2006/relationships/hyperlink" Target="https://onlinelibrary.wiley.com/doi/abs/10.1002/spe.2592" TargetMode="External"/><Relationship Id="rId77" Type="http://schemas.openxmlformats.org/officeDocument/2006/relationships/hyperlink" Target="https://ieeexplore.ieee.org/abstract/document/8626500/" TargetMode="External"/><Relationship Id="rId76" Type="http://schemas.openxmlformats.org/officeDocument/2006/relationships/hyperlink" Target="https://ieeexplore.ieee.org/abstract/document/8603158/" TargetMode="External"/><Relationship Id="rId79" Type="http://schemas.openxmlformats.org/officeDocument/2006/relationships/hyperlink" Target="https://jit.ndhu.edu.tw/article/view/2085" TargetMode="External"/><Relationship Id="rId78" Type="http://schemas.openxmlformats.org/officeDocument/2006/relationships/hyperlink" Target="https://ieeexplore.ieee.org/abstract/document/8982573/" TargetMode="External"/><Relationship Id="rId71" Type="http://schemas.openxmlformats.org/officeDocument/2006/relationships/hyperlink" Target="https://ieeexplore.ieee.org/abstract/document/8986732/" TargetMode="External"/><Relationship Id="rId70" Type="http://schemas.openxmlformats.org/officeDocument/2006/relationships/hyperlink" Target="https://link.springer.com/article/10.1007/s10115-018-1288-5" TargetMode="External"/><Relationship Id="rId62" Type="http://schemas.openxmlformats.org/officeDocument/2006/relationships/hyperlink" Target="http://www.ijrad.com/docs/v2n3/ncet18-3.pdf" TargetMode="External"/><Relationship Id="rId61" Type="http://schemas.openxmlformats.org/officeDocument/2006/relationships/hyperlink" Target="http://papers.ssrn.com" TargetMode="External"/><Relationship Id="rId64" Type="http://schemas.openxmlformats.org/officeDocument/2006/relationships/hyperlink" Target="https://www.sciencedirect.com/science/article/pii/S0306261918304768" TargetMode="External"/><Relationship Id="rId63" Type="http://schemas.openxmlformats.org/officeDocument/2006/relationships/hyperlink" Target="https://link.springer.com/article/10.1007/s11390-018-1811-x" TargetMode="External"/><Relationship Id="rId66" Type="http://schemas.openxmlformats.org/officeDocument/2006/relationships/hyperlink" Target="https://ieeexplore.ieee.org/abstract/document/8631005/" TargetMode="External"/><Relationship Id="rId65" Type="http://schemas.openxmlformats.org/officeDocument/2006/relationships/hyperlink" Target="https://ieeexplore.ieee.org/abstract/document/8731726/" TargetMode="External"/><Relationship Id="rId68" Type="http://schemas.openxmlformats.org/officeDocument/2006/relationships/hyperlink" Target="https://ieeexplore.ieee.org/abstract/document/9033927/" TargetMode="External"/><Relationship Id="rId67" Type="http://schemas.openxmlformats.org/officeDocument/2006/relationships/hyperlink" Target="https://www.sciencedirect.com/science/article/pii/S0957417420305431" TargetMode="External"/><Relationship Id="rId60" Type="http://schemas.openxmlformats.org/officeDocument/2006/relationships/hyperlink" Target="http://papers.ssrn.com" TargetMode="External"/><Relationship Id="rId69" Type="http://schemas.openxmlformats.org/officeDocument/2006/relationships/hyperlink" Target="https://link.springer.com/content/pdf/10.1007/s42235-019-0030-7.pdf" TargetMode="External"/><Relationship Id="rId51" Type="http://schemas.openxmlformats.org/officeDocument/2006/relationships/hyperlink" Target="https://ieeexplore.ieee.org/abstract/document/8781752/" TargetMode="External"/><Relationship Id="rId50" Type="http://schemas.openxmlformats.org/officeDocument/2006/relationships/hyperlink" Target="https://ieeexplore.ieee.org/abstract/document/9139872/" TargetMode="External"/><Relationship Id="rId53" Type="http://schemas.openxmlformats.org/officeDocument/2006/relationships/hyperlink" Target="https://www.sciencedirect.com/science/article/pii/S2210537917304043" TargetMode="External"/><Relationship Id="rId52" Type="http://schemas.openxmlformats.org/officeDocument/2006/relationships/hyperlink" Target="https://ieeexplore.ieee.org/abstract/document/8641327/" TargetMode="External"/><Relationship Id="rId55" Type="http://schemas.openxmlformats.org/officeDocument/2006/relationships/hyperlink" Target="https://ieeexplore.ieee.org/abstract/document/9107482/" TargetMode="External"/><Relationship Id="rId54" Type="http://schemas.openxmlformats.org/officeDocument/2006/relationships/hyperlink" Target="https://onlinelibrary.wiley.com/doi/abs/10.1002/ett.3641" TargetMode="External"/><Relationship Id="rId57" Type="http://schemas.openxmlformats.org/officeDocument/2006/relationships/hyperlink" Target="https://link.springer.com/article/10.1007/s12652-018-1157-9" TargetMode="External"/><Relationship Id="rId56" Type="http://schemas.openxmlformats.org/officeDocument/2006/relationships/hyperlink" Target="https://www.emerald.com/insight/content/doi/10.1108/IJPPM-08-2016-0160/full/html" TargetMode="External"/><Relationship Id="rId59" Type="http://schemas.openxmlformats.org/officeDocument/2006/relationships/hyperlink" Target="https://papers.ssrn.com/sol3/papers.cfm?abstract_id=3419260" TargetMode="External"/><Relationship Id="rId58" Type="http://schemas.openxmlformats.org/officeDocument/2006/relationships/hyperlink" Target="https://ieeexplore.ieee.org/abstract/document/8329460/" TargetMode="External"/><Relationship Id="rId107" Type="http://schemas.openxmlformats.org/officeDocument/2006/relationships/hyperlink" Target="http://www.cai.sk/ojs/index.php/cai/article/viewArticle/4918" TargetMode="External"/><Relationship Id="rId228" Type="http://schemas.openxmlformats.org/officeDocument/2006/relationships/hyperlink" Target="https://ieeexplore.ieee.org/abstract/document/9194169/" TargetMode="External"/><Relationship Id="rId349" Type="http://schemas.openxmlformats.org/officeDocument/2006/relationships/hyperlink" Target="http://www.jatit.org/volumes/Vol96No2/22Vol96No2.pdf" TargetMode="External"/><Relationship Id="rId106" Type="http://schemas.openxmlformats.org/officeDocument/2006/relationships/hyperlink" Target="https://ieeexplore.ieee.org/abstract/document/9029070/" TargetMode="External"/><Relationship Id="rId227" Type="http://schemas.openxmlformats.org/officeDocument/2006/relationships/hyperlink" Target="https://link.springer.com/chapter/10.1007/978-3-030-20485-3_40" TargetMode="External"/><Relationship Id="rId348" Type="http://schemas.openxmlformats.org/officeDocument/2006/relationships/hyperlink" Target="https://www.sciencedirect.com/science/article/pii/S2215098618312023" TargetMode="External"/><Relationship Id="rId105" Type="http://schemas.openxmlformats.org/officeDocument/2006/relationships/hyperlink" Target="https://ieeexplore.ieee.org/abstract/document/9209724/" TargetMode="External"/><Relationship Id="rId226" Type="http://schemas.openxmlformats.org/officeDocument/2006/relationships/hyperlink" Target="https://www.sciencedirect.com/science/article/pii/S0167739X19308969" TargetMode="External"/><Relationship Id="rId347" Type="http://schemas.openxmlformats.org/officeDocument/2006/relationships/hyperlink" Target="https://www.sciencedirect.com/science/article/pii/S1084804519303571" TargetMode="External"/><Relationship Id="rId104" Type="http://schemas.openxmlformats.org/officeDocument/2006/relationships/hyperlink" Target="https://link.springer.com/content/pdf/10.1007/s10586-020-03066-6.pdf" TargetMode="External"/><Relationship Id="rId225" Type="http://schemas.openxmlformats.org/officeDocument/2006/relationships/hyperlink" Target="https://www.sciencedirect.com/science/article/pii/S0045790617319808" TargetMode="External"/><Relationship Id="rId346" Type="http://schemas.openxmlformats.org/officeDocument/2006/relationships/hyperlink" Target="https://www.sciencedirect.com/science/article/pii/S0017931019367195" TargetMode="External"/><Relationship Id="rId109" Type="http://schemas.openxmlformats.org/officeDocument/2006/relationships/hyperlink" Target="https://www.ijert.org/research/improve-energy-consumption-model-for-cloud-data-centers-using-pso-algorithm-IJERTCONV7IS01035.pdf" TargetMode="External"/><Relationship Id="rId108" Type="http://schemas.openxmlformats.org/officeDocument/2006/relationships/hyperlink" Target="http://www.jmess.org/wp-content/uploads/2019/05/JMESSP13420537.pdf" TargetMode="External"/><Relationship Id="rId229" Type="http://schemas.openxmlformats.org/officeDocument/2006/relationships/hyperlink" Target="https://ieeexplore.ieee.org/abstract/document/8975843/" TargetMode="External"/><Relationship Id="rId220" Type="http://schemas.openxmlformats.org/officeDocument/2006/relationships/hyperlink" Target="https://ieeexplore.ieee.org/abstract/document/8937836/" TargetMode="External"/><Relationship Id="rId341" Type="http://schemas.openxmlformats.org/officeDocument/2006/relationships/hyperlink" Target="https://dl.acm.org/doi/abs/10.1145/3208903.3213777" TargetMode="External"/><Relationship Id="rId340" Type="http://schemas.openxmlformats.org/officeDocument/2006/relationships/hyperlink" Target="https://ieeexplore.ieee.org/abstract/document/8612307/" TargetMode="External"/><Relationship Id="rId103" Type="http://schemas.openxmlformats.org/officeDocument/2006/relationships/hyperlink" Target="https://www.sciencedirect.com/science/article/pii/S1569190X18301825" TargetMode="External"/><Relationship Id="rId224" Type="http://schemas.openxmlformats.org/officeDocument/2006/relationships/hyperlink" Target="https://www.sciencedirect.com/science/article/pii/S1319157818306554" TargetMode="External"/><Relationship Id="rId345" Type="http://schemas.openxmlformats.org/officeDocument/2006/relationships/hyperlink" Target="https://www.sciencedirect.com/science/article/pii/S2210537916301718" TargetMode="External"/><Relationship Id="rId102" Type="http://schemas.openxmlformats.org/officeDocument/2006/relationships/hyperlink" Target="https://www.sciencedirect.com/science/article/pii/S2210537918302907" TargetMode="External"/><Relationship Id="rId223" Type="http://schemas.openxmlformats.org/officeDocument/2006/relationships/hyperlink" Target="https://ieeexplore.ieee.org/abstract/document/9209712/" TargetMode="External"/><Relationship Id="rId344" Type="http://schemas.openxmlformats.org/officeDocument/2006/relationships/hyperlink" Target="http://osapublishing.org" TargetMode="External"/><Relationship Id="rId101" Type="http://schemas.openxmlformats.org/officeDocument/2006/relationships/hyperlink" Target="https://ieeexplore.ieee.org/abstract/document/8401602/" TargetMode="External"/><Relationship Id="rId222" Type="http://schemas.openxmlformats.org/officeDocument/2006/relationships/hyperlink" Target="https://ieeexplore.ieee.org/abstract/document/8493571/" TargetMode="External"/><Relationship Id="rId343" Type="http://schemas.openxmlformats.org/officeDocument/2006/relationships/hyperlink" Target="http://osapublishing.org" TargetMode="External"/><Relationship Id="rId100" Type="http://schemas.openxmlformats.org/officeDocument/2006/relationships/hyperlink" Target="https://link.springer.com/chapter/10.1007/978-3-030-47560-4_22" TargetMode="External"/><Relationship Id="rId221" Type="http://schemas.openxmlformats.org/officeDocument/2006/relationships/hyperlink" Target="https://www.sciencedirect.com/science/article/pii/S0306261920309363" TargetMode="External"/><Relationship Id="rId342" Type="http://schemas.openxmlformats.org/officeDocument/2006/relationships/hyperlink" Target="https://www.osapublishing.org/abstract.cfm?uri=ACPC-2020-S4I.6" TargetMode="External"/><Relationship Id="rId217" Type="http://schemas.openxmlformats.org/officeDocument/2006/relationships/hyperlink" Target="http://tel.archives-ouvertes.fr" TargetMode="External"/><Relationship Id="rId338" Type="http://schemas.openxmlformats.org/officeDocument/2006/relationships/hyperlink" Target="https://par.nsf.gov/biblio/10157200" TargetMode="External"/><Relationship Id="rId216" Type="http://schemas.openxmlformats.org/officeDocument/2006/relationships/hyperlink" Target="http://tel.archives-ouvertes.fr" TargetMode="External"/><Relationship Id="rId337" Type="http://schemas.openxmlformats.org/officeDocument/2006/relationships/hyperlink" Target="https://ieeexplore.ieee.org/abstract/document/8278252/" TargetMode="External"/><Relationship Id="rId215" Type="http://schemas.openxmlformats.org/officeDocument/2006/relationships/hyperlink" Target="https://tel.archives-ouvertes.fr/tel-02948725/" TargetMode="External"/><Relationship Id="rId336" Type="http://schemas.openxmlformats.org/officeDocument/2006/relationships/hyperlink" Target="https://www.sciencedirect.com/science/article/pii/S1389041720300553" TargetMode="External"/><Relationship Id="rId214" Type="http://schemas.openxmlformats.org/officeDocument/2006/relationships/hyperlink" Target="http://arxiv.org" TargetMode="External"/><Relationship Id="rId335" Type="http://schemas.openxmlformats.org/officeDocument/2006/relationships/hyperlink" Target="https://ieeexplore.ieee.org/abstract/document/8647884/" TargetMode="External"/><Relationship Id="rId219" Type="http://schemas.openxmlformats.org/officeDocument/2006/relationships/hyperlink" Target="https://ieeexplore.ieee.org/abstract/document/8559745/" TargetMode="External"/><Relationship Id="rId218" Type="http://schemas.openxmlformats.org/officeDocument/2006/relationships/hyperlink" Target="https://link.springer.com/article/10.1007/s12652-020-02283-6" TargetMode="External"/><Relationship Id="rId339" Type="http://schemas.openxmlformats.org/officeDocument/2006/relationships/hyperlink" Target="https://www.sciencedirect.com/science/article/pii/S1569190X20300666" TargetMode="External"/><Relationship Id="rId330" Type="http://schemas.openxmlformats.org/officeDocument/2006/relationships/hyperlink" Target="https://ieeexplore.ieee.org/abstract/document/8548323/" TargetMode="External"/><Relationship Id="rId213" Type="http://schemas.openxmlformats.org/officeDocument/2006/relationships/hyperlink" Target="http://arxiv.org" TargetMode="External"/><Relationship Id="rId334" Type="http://schemas.openxmlformats.org/officeDocument/2006/relationships/hyperlink" Target="https://ieeexplore.ieee.org/abstract/document/9057431/" TargetMode="External"/><Relationship Id="rId212" Type="http://schemas.openxmlformats.org/officeDocument/2006/relationships/hyperlink" Target="https://arxiv.org/abs/1812.06255" TargetMode="External"/><Relationship Id="rId333" Type="http://schemas.openxmlformats.org/officeDocument/2006/relationships/hyperlink" Target="https://dl.acm.org/doi/abs/10.1145/3167132.3167178" TargetMode="External"/><Relationship Id="rId211" Type="http://schemas.openxmlformats.org/officeDocument/2006/relationships/hyperlink" Target="http://hal-univ-pau.archives-ouvertes.fr" TargetMode="External"/><Relationship Id="rId332" Type="http://schemas.openxmlformats.org/officeDocument/2006/relationships/hyperlink" Target="https://ieeexplore.ieee.org/abstract/document/8477708/" TargetMode="External"/><Relationship Id="rId210" Type="http://schemas.openxmlformats.org/officeDocument/2006/relationships/hyperlink" Target="http://hal-univ-pau.archives-ouvertes.fr" TargetMode="External"/><Relationship Id="rId331" Type="http://schemas.openxmlformats.org/officeDocument/2006/relationships/hyperlink" Target="https://pdfs.semanticscholar.org/7108/6c527083818c4c696a386fd16e3e569116b2.pdf" TargetMode="External"/><Relationship Id="rId129" Type="http://schemas.openxmlformats.org/officeDocument/2006/relationships/hyperlink" Target="http://koreascience.or.kr" TargetMode="External"/><Relationship Id="rId128" Type="http://schemas.openxmlformats.org/officeDocument/2006/relationships/hyperlink" Target="https://www.koreascience.or.kr/article/JAKO201811459665241.page" TargetMode="External"/><Relationship Id="rId249" Type="http://schemas.openxmlformats.org/officeDocument/2006/relationships/hyperlink" Target="https://link.springer.com/chapter/10.1007/978-3-030-63319-6_3" TargetMode="External"/><Relationship Id="rId127" Type="http://schemas.openxmlformats.org/officeDocument/2006/relationships/hyperlink" Target="https://ieeexplore.ieee.org/abstract/document/8581422/" TargetMode="External"/><Relationship Id="rId248" Type="http://schemas.openxmlformats.org/officeDocument/2006/relationships/hyperlink" Target="https://ieeexplore.ieee.org/abstract/document/8885255/" TargetMode="External"/><Relationship Id="rId126" Type="http://schemas.openxmlformats.org/officeDocument/2006/relationships/hyperlink" Target="https://link.springer.com/chapter/10.1007/978-3-030-02849-7_16" TargetMode="External"/><Relationship Id="rId247" Type="http://schemas.openxmlformats.org/officeDocument/2006/relationships/hyperlink" Target="http://jestr.org" TargetMode="External"/><Relationship Id="rId368" Type="http://schemas.openxmlformats.org/officeDocument/2006/relationships/table" Target="../tables/table6.xml"/><Relationship Id="rId121" Type="http://schemas.openxmlformats.org/officeDocument/2006/relationships/hyperlink" Target="https://onlinelibrary.wiley.com/doi/abs/10.1002/cpe.5221" TargetMode="External"/><Relationship Id="rId242" Type="http://schemas.openxmlformats.org/officeDocument/2006/relationships/hyperlink" Target="https://link.springer.com/chapter/10.1007/978-3-319-94295-7_10" TargetMode="External"/><Relationship Id="rId363" Type="http://schemas.openxmlformats.org/officeDocument/2006/relationships/hyperlink" Target="http://arxiv.org" TargetMode="External"/><Relationship Id="rId120" Type="http://schemas.openxmlformats.org/officeDocument/2006/relationships/hyperlink" Target="https://link.springer.com/article/10.1007/s11227-018-2301-1" TargetMode="External"/><Relationship Id="rId241" Type="http://schemas.openxmlformats.org/officeDocument/2006/relationships/hyperlink" Target="https://link.springer.com/article/10.1007/s11036-018-1062-7" TargetMode="External"/><Relationship Id="rId362" Type="http://schemas.openxmlformats.org/officeDocument/2006/relationships/hyperlink" Target="http://arxiv.org" TargetMode="External"/><Relationship Id="rId240" Type="http://schemas.openxmlformats.org/officeDocument/2006/relationships/hyperlink" Target="https://papers.ssrn.com/sol3/papers.cfm?abstract_id=3394044" TargetMode="External"/><Relationship Id="rId361" Type="http://schemas.openxmlformats.org/officeDocument/2006/relationships/hyperlink" Target="https://arxiv.org/abs/1901.03371" TargetMode="External"/><Relationship Id="rId360" Type="http://schemas.openxmlformats.org/officeDocument/2006/relationships/hyperlink" Target="https://link.springer.com/article/10.1007/s10922-019-09489-w" TargetMode="External"/><Relationship Id="rId125" Type="http://schemas.openxmlformats.org/officeDocument/2006/relationships/hyperlink" Target="https://ieeexplore.ieee.org/abstract/document/8957199/" TargetMode="External"/><Relationship Id="rId246" Type="http://schemas.openxmlformats.org/officeDocument/2006/relationships/hyperlink" Target="http://jestr.org" TargetMode="External"/><Relationship Id="rId124" Type="http://schemas.openxmlformats.org/officeDocument/2006/relationships/hyperlink" Target="http://content.sciendo.com" TargetMode="External"/><Relationship Id="rId245" Type="http://schemas.openxmlformats.org/officeDocument/2006/relationships/hyperlink" Target="http://www.jestr.org/downloads/Volume13Issue3/fulltext251332020.pdf" TargetMode="External"/><Relationship Id="rId366" Type="http://schemas.openxmlformats.org/officeDocument/2006/relationships/vmlDrawing" Target="../drawings/vmlDrawing3.vml"/><Relationship Id="rId123" Type="http://schemas.openxmlformats.org/officeDocument/2006/relationships/hyperlink" Target="http://content.sciendo.com" TargetMode="External"/><Relationship Id="rId244" Type="http://schemas.openxmlformats.org/officeDocument/2006/relationships/hyperlink" Target="https://www.sciencedirect.com/science/article/pii/S074373151730285X" TargetMode="External"/><Relationship Id="rId365" Type="http://schemas.openxmlformats.org/officeDocument/2006/relationships/drawing" Target="../drawings/drawing6.xml"/><Relationship Id="rId122" Type="http://schemas.openxmlformats.org/officeDocument/2006/relationships/hyperlink" Target="https://content.sciendo.com/view/journals/techtrans/11/4/article-p127.xml" TargetMode="External"/><Relationship Id="rId243" Type="http://schemas.openxmlformats.org/officeDocument/2006/relationships/hyperlink" Target="http://search.ebscohost.com/login.aspx?direct=true&amp;profile=ehost&amp;scope=site&amp;authtype=crawler&amp;jrnl=09731318&amp;AN=141016261&amp;h=qwZ%2BpYdlfk%2BzvtM7AVtTzVM%2Frs4veDzSUV5je6ybbkKWBm%2BeTA2vKShbEJm7FRybBjeDPxz80LJa8UdNAVljOA%3D%3D&amp;crl=c" TargetMode="External"/><Relationship Id="rId364" Type="http://schemas.openxmlformats.org/officeDocument/2006/relationships/hyperlink" Target="https://link.springer.com/article/10.1007/s10626-019-00293-x" TargetMode="External"/><Relationship Id="rId95" Type="http://schemas.openxmlformats.org/officeDocument/2006/relationships/hyperlink" Target="https://www.sciencedirect.com/science/article/pii/S074373151930190X" TargetMode="External"/><Relationship Id="rId94" Type="http://schemas.openxmlformats.org/officeDocument/2006/relationships/hyperlink" Target="https://onlinelibrary.wiley.com/doi/abs/10.1002/cpe.4471" TargetMode="External"/><Relationship Id="rId97" Type="http://schemas.openxmlformats.org/officeDocument/2006/relationships/hyperlink" Target="https://link.springer.com/article/10.1007/s11227-018-2513-4" TargetMode="External"/><Relationship Id="rId96" Type="http://schemas.openxmlformats.org/officeDocument/2006/relationships/hyperlink" Target="https://dl.acm.org/doi/abs/10.1145/3297280.3297420" TargetMode="External"/><Relationship Id="rId99" Type="http://schemas.openxmlformats.org/officeDocument/2006/relationships/hyperlink" Target="https://ieeexplore.ieee.org/abstract/document/9148838/" TargetMode="External"/><Relationship Id="rId98" Type="http://schemas.openxmlformats.org/officeDocument/2006/relationships/hyperlink" Target="https://link.springer.com/chapter/10.1007/978-981-15-5341-7_111" TargetMode="External"/><Relationship Id="rId91" Type="http://schemas.openxmlformats.org/officeDocument/2006/relationships/hyperlink" Target="https://www.researchgate.net/profile/Abdulrahman_Nahhas/publication/333335432_Toward_an_Autonomic_and_Adaptive_Load_Management_Strategy_for_Reducing_Energy_Consumption_under_Performance_Constraints_in_Data_Centers/links/5d1b96fa92851cf440600900/Toward-an-Autonomic-and-Adaptive-Load-Management-Strategy-for-Reducing-Energy-Consumption-under-Performance-Constraints-in-Data-Centers.pdf" TargetMode="External"/><Relationship Id="rId90" Type="http://schemas.openxmlformats.org/officeDocument/2006/relationships/hyperlink" Target="https://onlinelibrary.wiley.com/doi/abs/10.1002/net.21752" TargetMode="External"/><Relationship Id="rId93" Type="http://schemas.openxmlformats.org/officeDocument/2006/relationships/hyperlink" Target="http://researchgate.net" TargetMode="External"/><Relationship Id="rId92" Type="http://schemas.openxmlformats.org/officeDocument/2006/relationships/hyperlink" Target="http://researchgate.net" TargetMode="External"/><Relationship Id="rId118" Type="http://schemas.openxmlformats.org/officeDocument/2006/relationships/hyperlink" Target="https://link.springer.com/chapter/10.1007/978-3-319-92792-3_12" TargetMode="External"/><Relationship Id="rId239" Type="http://schemas.openxmlformats.org/officeDocument/2006/relationships/hyperlink" Target="https://ieeexplore.ieee.org/abstract/document/8422225/" TargetMode="External"/><Relationship Id="rId117" Type="http://schemas.openxmlformats.org/officeDocument/2006/relationships/hyperlink" Target="https://link.springer.com/article/10.1007/s11227-018-2709-7" TargetMode="External"/><Relationship Id="rId238" Type="http://schemas.openxmlformats.org/officeDocument/2006/relationships/hyperlink" Target="https://ieeexplore.ieee.org/abstract/document/8603157/" TargetMode="External"/><Relationship Id="rId359" Type="http://schemas.openxmlformats.org/officeDocument/2006/relationships/hyperlink" Target="https://ieeexplore.ieee.org/abstract/document/8308710/" TargetMode="External"/><Relationship Id="rId116" Type="http://schemas.openxmlformats.org/officeDocument/2006/relationships/hyperlink" Target="https://strathprints.strath.ac.uk/id/eprint/65612" TargetMode="External"/><Relationship Id="rId237" Type="http://schemas.openxmlformats.org/officeDocument/2006/relationships/hyperlink" Target="https://link.springer.com/article/10.1007/s00500-017-2905-z" TargetMode="External"/><Relationship Id="rId358" Type="http://schemas.openxmlformats.org/officeDocument/2006/relationships/hyperlink" Target="http://qscience.com" TargetMode="External"/><Relationship Id="rId115" Type="http://schemas.openxmlformats.org/officeDocument/2006/relationships/hyperlink" Target="https://www.mdpi.com/2079-9292/8/9/1014" TargetMode="External"/><Relationship Id="rId236" Type="http://schemas.openxmlformats.org/officeDocument/2006/relationships/hyperlink" Target="https://link.springer.com/content/pdf/10.1007/s10586-017-1166-z.pdf" TargetMode="External"/><Relationship Id="rId357" Type="http://schemas.openxmlformats.org/officeDocument/2006/relationships/hyperlink" Target="http://qscience.com" TargetMode="External"/><Relationship Id="rId119" Type="http://schemas.openxmlformats.org/officeDocument/2006/relationships/hyperlink" Target="https://www.sciencedirect.com/science/article/pii/S0167739X20305835" TargetMode="External"/><Relationship Id="rId110" Type="http://schemas.openxmlformats.org/officeDocument/2006/relationships/hyperlink" Target="https://www.osapublishing.org/abstract.cfm?uri=jocn-10-7-B58" TargetMode="External"/><Relationship Id="rId231" Type="http://schemas.openxmlformats.org/officeDocument/2006/relationships/hyperlink" Target="http://hindawi.com" TargetMode="External"/><Relationship Id="rId352" Type="http://schemas.openxmlformats.org/officeDocument/2006/relationships/hyperlink" Target="https://www.sciencedirect.com/science/article/pii/S0167739X18318491" TargetMode="External"/><Relationship Id="rId230" Type="http://schemas.openxmlformats.org/officeDocument/2006/relationships/hyperlink" Target="https://www.hindawi.com/journals/mpe/2020/4176308/" TargetMode="External"/><Relationship Id="rId351" Type="http://schemas.openxmlformats.org/officeDocument/2006/relationships/hyperlink" Target="https://ieeexplore.ieee.org/abstract/document/8452029/" TargetMode="External"/><Relationship Id="rId350" Type="http://schemas.openxmlformats.org/officeDocument/2006/relationships/hyperlink" Target="https://link.springer.com/article/10.1007/s10586-018-2028-z" TargetMode="External"/><Relationship Id="rId114" Type="http://schemas.openxmlformats.org/officeDocument/2006/relationships/hyperlink" Target="https://www.sciencedirect.com/science/article/pii/S221053791830297X" TargetMode="External"/><Relationship Id="rId235" Type="http://schemas.openxmlformats.org/officeDocument/2006/relationships/hyperlink" Target="https://link.springer.com/article/10.1007/s10922-018-9462-3" TargetMode="External"/><Relationship Id="rId356" Type="http://schemas.openxmlformats.org/officeDocument/2006/relationships/hyperlink" Target="https://www.qscience.com/content/papers/10.5339/qfarc.2018.ICTPD814" TargetMode="External"/><Relationship Id="rId113" Type="http://schemas.openxmlformats.org/officeDocument/2006/relationships/hyperlink" Target="https://www.sciencedirect.com/science/article/pii/S0167739X17316059" TargetMode="External"/><Relationship Id="rId234" Type="http://schemas.openxmlformats.org/officeDocument/2006/relationships/hyperlink" Target="https://ieeexplore.ieee.org/abstract/document/8672350/" TargetMode="External"/><Relationship Id="rId355" Type="http://schemas.openxmlformats.org/officeDocument/2006/relationships/hyperlink" Target="https://ieeexplore.ieee.org/abstract/document/8761333/" TargetMode="External"/><Relationship Id="rId112" Type="http://schemas.openxmlformats.org/officeDocument/2006/relationships/hyperlink" Target="http://www.inass.org/2019/2019083112.pdf" TargetMode="External"/><Relationship Id="rId233" Type="http://schemas.openxmlformats.org/officeDocument/2006/relationships/hyperlink" Target="https://www.sciencedirect.com/science/article/pii/S0167739X19319594" TargetMode="External"/><Relationship Id="rId354" Type="http://schemas.openxmlformats.org/officeDocument/2006/relationships/hyperlink" Target="https://ieeexplore.ieee.org/abstract/document/8822159/" TargetMode="External"/><Relationship Id="rId111" Type="http://schemas.openxmlformats.org/officeDocument/2006/relationships/hyperlink" Target="https://www.atlantis-press.com/proceedings/amcce-18/25895654" TargetMode="External"/><Relationship Id="rId232" Type="http://schemas.openxmlformats.org/officeDocument/2006/relationships/hyperlink" Target="http://hindawi.com" TargetMode="External"/><Relationship Id="rId353" Type="http://schemas.openxmlformats.org/officeDocument/2006/relationships/hyperlink" Target="https://ieeexplore.ieee.org/abstract/document/8606104/" TargetMode="External"/><Relationship Id="rId305" Type="http://schemas.openxmlformats.org/officeDocument/2006/relationships/hyperlink" Target="https://www.mdpi.com/2227-7080/6/3/87" TargetMode="External"/><Relationship Id="rId304" Type="http://schemas.openxmlformats.org/officeDocument/2006/relationships/hyperlink" Target="https://ieeexplore.ieee.org/abstract/document/9069318/" TargetMode="External"/><Relationship Id="rId303" Type="http://schemas.openxmlformats.org/officeDocument/2006/relationships/hyperlink" Target="https://link.springer.com/article/10.1007/s11227-019-03036-9" TargetMode="External"/><Relationship Id="rId302" Type="http://schemas.openxmlformats.org/officeDocument/2006/relationships/hyperlink" Target="https://www.sciencedirect.com/science/article/pii/S2210537918302798" TargetMode="External"/><Relationship Id="rId309" Type="http://schemas.openxmlformats.org/officeDocument/2006/relationships/hyperlink" Target="https://www.worldscientific.com/doi/abs/10.1142/S0218001419510091" TargetMode="External"/><Relationship Id="rId308" Type="http://schemas.openxmlformats.org/officeDocument/2006/relationships/hyperlink" Target="https://ieeexplore.ieee.org/abstract/document/9079973/" TargetMode="External"/><Relationship Id="rId307" Type="http://schemas.openxmlformats.org/officeDocument/2006/relationships/hyperlink" Target="https://dl.acm.org/doi/abs/10.1145/3190508.3190537" TargetMode="External"/><Relationship Id="rId306" Type="http://schemas.openxmlformats.org/officeDocument/2006/relationships/hyperlink" Target="https://ieeexplore.ieee.org/abstract/document/8552101/" TargetMode="External"/><Relationship Id="rId301" Type="http://schemas.openxmlformats.org/officeDocument/2006/relationships/hyperlink" Target="https://ieeexplore.ieee.org/abstract/document/9234691/" TargetMode="External"/><Relationship Id="rId300" Type="http://schemas.openxmlformats.org/officeDocument/2006/relationships/hyperlink" Target="http://en.cnki.com.cn" TargetMode="External"/><Relationship Id="rId206" Type="http://schemas.openxmlformats.org/officeDocument/2006/relationships/hyperlink" Target="https://www.sciencedirect.com/science/article/pii/S014036641830121X" TargetMode="External"/><Relationship Id="rId327" Type="http://schemas.openxmlformats.org/officeDocument/2006/relationships/hyperlink" Target="https://ieeexplore.ieee.org/abstract/document/8442890/" TargetMode="External"/><Relationship Id="rId205" Type="http://schemas.openxmlformats.org/officeDocument/2006/relationships/hyperlink" Target="https://ieeexplore.ieee.org/abstract/document/8488203/" TargetMode="External"/><Relationship Id="rId326" Type="http://schemas.openxmlformats.org/officeDocument/2006/relationships/hyperlink" Target="https://link.springer.com/chapter/10.1007/978-3-030-00253-4_8" TargetMode="External"/><Relationship Id="rId204" Type="http://schemas.openxmlformats.org/officeDocument/2006/relationships/hyperlink" Target="https://www.sciencedirect.com/science/article/pii/S2405844019357263" TargetMode="External"/><Relationship Id="rId325" Type="http://schemas.openxmlformats.org/officeDocument/2006/relationships/hyperlink" Target="https://www.sciencedirect.com/science/article/pii/S0167739X17310129" TargetMode="External"/><Relationship Id="rId203" Type="http://schemas.openxmlformats.org/officeDocument/2006/relationships/hyperlink" Target="https://www.sciencedirect.com/science/article/pii/S0167739X17321581" TargetMode="External"/><Relationship Id="rId324" Type="http://schemas.openxmlformats.org/officeDocument/2006/relationships/hyperlink" Target="https://ieeexplore.ieee.org/abstract/document/9291049/" TargetMode="External"/><Relationship Id="rId209" Type="http://schemas.openxmlformats.org/officeDocument/2006/relationships/hyperlink" Target="https://hal-univ-pau.archives-ouvertes.fr/hal-02437210/" TargetMode="External"/><Relationship Id="rId208" Type="http://schemas.openxmlformats.org/officeDocument/2006/relationships/hyperlink" Target="https://www.sciencedirect.com/science/article/pii/S0306261920310096" TargetMode="External"/><Relationship Id="rId329" Type="http://schemas.openxmlformats.org/officeDocument/2006/relationships/hyperlink" Target="https://ieeexplore.ieee.org/abstract/document/8768369/" TargetMode="External"/><Relationship Id="rId207" Type="http://schemas.openxmlformats.org/officeDocument/2006/relationships/hyperlink" Target="https://ieeexplore.ieee.org/abstract/document/8759087/" TargetMode="External"/><Relationship Id="rId328" Type="http://schemas.openxmlformats.org/officeDocument/2006/relationships/hyperlink" Target="https://link.springer.com/article/10.1007/s11227-019-02909-3" TargetMode="External"/><Relationship Id="rId202" Type="http://schemas.openxmlformats.org/officeDocument/2006/relationships/hyperlink" Target="https://link.springer.com/chapter/10.1007/978-3-030-15127-0_22" TargetMode="External"/><Relationship Id="rId323" Type="http://schemas.openxmlformats.org/officeDocument/2006/relationships/hyperlink" Target="https://link.springer.com/article/10.1007/s11227-020-03439-z?error=cookies_not_supported&amp;error=cookies_not_supported&amp;code=54c48cd0-8f25-4364-8710-c07ad1dcce69&amp;code=526b045d-e4e9-4c95-9c3e-e8d6c55ffef4" TargetMode="External"/><Relationship Id="rId201" Type="http://schemas.openxmlformats.org/officeDocument/2006/relationships/hyperlink" Target="https://ieeexplore.ieee.org/abstract/document/8875333/" TargetMode="External"/><Relationship Id="rId322" Type="http://schemas.openxmlformats.org/officeDocument/2006/relationships/hyperlink" Target="https://ieeexplore.ieee.org/abstract/document/9291589/" TargetMode="External"/><Relationship Id="rId200" Type="http://schemas.openxmlformats.org/officeDocument/2006/relationships/hyperlink" Target="https://ieeexplore.ieee.org/abstract/document/8721126/" TargetMode="External"/><Relationship Id="rId321" Type="http://schemas.openxmlformats.org/officeDocument/2006/relationships/hyperlink" Target="https://ieeexplore.ieee.org/abstract/document/8969751/" TargetMode="External"/><Relationship Id="rId320" Type="http://schemas.openxmlformats.org/officeDocument/2006/relationships/hyperlink" Target="https://ieeexplore.ieee.org/abstract/document/8752123/" TargetMode="External"/><Relationship Id="rId316" Type="http://schemas.openxmlformats.org/officeDocument/2006/relationships/hyperlink" Target="https://www.sciencedirect.com/science/article/pii/S2210537920301852" TargetMode="External"/><Relationship Id="rId315" Type="http://schemas.openxmlformats.org/officeDocument/2006/relationships/hyperlink" Target="https://onlinelibrary.wiley.com/doi/abs/10.1002/cpe.5785" TargetMode="External"/><Relationship Id="rId314" Type="http://schemas.openxmlformats.org/officeDocument/2006/relationships/hyperlink" Target="https://www.sciencedirect.com/science/article/pii/S0167739X1732099X" TargetMode="External"/><Relationship Id="rId313" Type="http://schemas.openxmlformats.org/officeDocument/2006/relationships/hyperlink" Target="https://www.mdpi.com/1996-1073/12/8/1494" TargetMode="External"/><Relationship Id="rId319" Type="http://schemas.openxmlformats.org/officeDocument/2006/relationships/hyperlink" Target="http://en.cnki.com.cn" TargetMode="External"/><Relationship Id="rId318" Type="http://schemas.openxmlformats.org/officeDocument/2006/relationships/hyperlink" Target="http://en.cnki.com.cn" TargetMode="External"/><Relationship Id="rId317" Type="http://schemas.openxmlformats.org/officeDocument/2006/relationships/hyperlink" Target="http://en.cnki.com.cn/Article_en/CJFDTotal-CSDL201802006.htm" TargetMode="External"/><Relationship Id="rId312" Type="http://schemas.openxmlformats.org/officeDocument/2006/relationships/hyperlink" Target="https://ieeexplore.ieee.org/abstract/document/8620159/" TargetMode="External"/><Relationship Id="rId311" Type="http://schemas.openxmlformats.org/officeDocument/2006/relationships/hyperlink" Target="https://www.sid.ir/en/seminar/ViewPaper.aspx?id=46963" TargetMode="External"/><Relationship Id="rId310" Type="http://schemas.openxmlformats.org/officeDocument/2006/relationships/hyperlink" Target="https://link.springer.com/article/10.1007/s41870-018-0258-1" TargetMode="External"/></Relationships>
</file>

<file path=xl/worksheets/_rels/sheet7.xml.rels><?xml version="1.0" encoding="UTF-8" standalone="yes"?><Relationships xmlns="http://schemas.openxmlformats.org/package/2006/relationships"><Relationship Id="rId190" Type="http://schemas.openxmlformats.org/officeDocument/2006/relationships/hyperlink" Target="https://ieeexplore.ieee.org/abstract/document/8341994/" TargetMode="External"/><Relationship Id="rId194" Type="http://schemas.openxmlformats.org/officeDocument/2006/relationships/hyperlink" Target="https://link.springer.com/article/10.1007/s11276-018-1874-1" TargetMode="External"/><Relationship Id="rId193" Type="http://schemas.openxmlformats.org/officeDocument/2006/relationships/hyperlink" Target="https://ieeexplore.ieee.org/abstract/document/8644591/" TargetMode="External"/><Relationship Id="rId192" Type="http://schemas.openxmlformats.org/officeDocument/2006/relationships/hyperlink" Target="https://dl.acm.org/doi/abs/10.1145/3239264.3239275" TargetMode="External"/><Relationship Id="rId191" Type="http://schemas.openxmlformats.org/officeDocument/2006/relationships/hyperlink" Target="https://www.mdpi.com/1999-5903/10/9/86" TargetMode="External"/><Relationship Id="rId187" Type="http://schemas.openxmlformats.org/officeDocument/2006/relationships/hyperlink" Target="https://www.sciencedirect.com/science/article/pii/S0957417418307498" TargetMode="External"/><Relationship Id="rId186" Type="http://schemas.openxmlformats.org/officeDocument/2006/relationships/hyperlink" Target="https://link.springer.com/chapter/10.1007/978-3-319-99972-2_13" TargetMode="External"/><Relationship Id="rId185" Type="http://schemas.openxmlformats.org/officeDocument/2006/relationships/hyperlink" Target="https://ieeexplore.ieee.org/abstract/document/8880271/" TargetMode="External"/><Relationship Id="rId184" Type="http://schemas.openxmlformats.org/officeDocument/2006/relationships/hyperlink" Target="https://link.springer.com/content/pdf/10.1007/s11227-020-03248-4.pdf" TargetMode="External"/><Relationship Id="rId189" Type="http://schemas.openxmlformats.org/officeDocument/2006/relationships/hyperlink" Target="https://content.iospress.com/articles/journal-of-intelligent-and-fuzzy-systems/ifs171927" TargetMode="External"/><Relationship Id="rId188" Type="http://schemas.openxmlformats.org/officeDocument/2006/relationships/hyperlink" Target="https://www.sciencedirect.com/science/article/pii/S0167739X17315650" TargetMode="External"/><Relationship Id="rId183" Type="http://schemas.openxmlformats.org/officeDocument/2006/relationships/hyperlink" Target="https://link.springer.com/article/10.1007/s00500-020-05240-9" TargetMode="External"/><Relationship Id="rId182" Type="http://schemas.openxmlformats.org/officeDocument/2006/relationships/hyperlink" Target="https://ieeexplore.ieee.org/abstract/document/8855662/" TargetMode="External"/><Relationship Id="rId181" Type="http://schemas.openxmlformats.org/officeDocument/2006/relationships/hyperlink" Target="https://link.springer.com/chapter/10.1007/978-3-662-57886-5_17" TargetMode="External"/><Relationship Id="rId180" Type="http://schemas.openxmlformats.org/officeDocument/2006/relationships/hyperlink" Target="https://dl.acm.org/doi/abs/10.1145/3396851.3402657" TargetMode="External"/><Relationship Id="rId176" Type="http://schemas.openxmlformats.org/officeDocument/2006/relationships/hyperlink" Target="https://www.hindawi.com/journals/sp/2019/3204346/abs/" TargetMode="External"/><Relationship Id="rId175" Type="http://schemas.openxmlformats.org/officeDocument/2006/relationships/hyperlink" Target="https://www.sciencedirect.com/science/article/pii/S0167739X16308330" TargetMode="External"/><Relationship Id="rId174" Type="http://schemas.openxmlformats.org/officeDocument/2006/relationships/hyperlink" Target="https://www.sciencedirect.com/science/article/pii/S0957417418303531" TargetMode="External"/><Relationship Id="rId173" Type="http://schemas.openxmlformats.org/officeDocument/2006/relationships/hyperlink" Target="https://ieeexplore.ieee.org/abstract/document/8732201/" TargetMode="External"/><Relationship Id="rId179" Type="http://schemas.openxmlformats.org/officeDocument/2006/relationships/hyperlink" Target="https://dl.acm.org/doi/abs/10.1145/3208903.3213522" TargetMode="External"/><Relationship Id="rId178" Type="http://schemas.openxmlformats.org/officeDocument/2006/relationships/hyperlink" Target="https://www.mdpi.com/2079-9268/10/4/32" TargetMode="External"/><Relationship Id="rId177" Type="http://schemas.openxmlformats.org/officeDocument/2006/relationships/hyperlink" Target="https://ieeexplore.ieee.org/abstract/document/8468062/" TargetMode="External"/><Relationship Id="rId198" Type="http://schemas.openxmlformats.org/officeDocument/2006/relationships/hyperlink" Target="https://ieeexplore.ieee.org/abstract/document/9069318/" TargetMode="External"/><Relationship Id="rId197" Type="http://schemas.openxmlformats.org/officeDocument/2006/relationships/hyperlink" Target="https://link.springer.com/article/10.1007/s11227-019-03036-9" TargetMode="External"/><Relationship Id="rId196" Type="http://schemas.openxmlformats.org/officeDocument/2006/relationships/hyperlink" Target="https://www.sciencedirect.com/science/article/pii/S2210537918302798" TargetMode="External"/><Relationship Id="rId195" Type="http://schemas.openxmlformats.org/officeDocument/2006/relationships/hyperlink" Target="https://ieeexplore.ieee.org/abstract/document/9234691/" TargetMode="External"/><Relationship Id="rId199" Type="http://schemas.openxmlformats.org/officeDocument/2006/relationships/hyperlink" Target="https://www.mdpi.com/2227-7080/6/3/87" TargetMode="External"/><Relationship Id="rId150" Type="http://schemas.openxmlformats.org/officeDocument/2006/relationships/hyperlink" Target="http://hindawi.com" TargetMode="External"/><Relationship Id="rId1" Type="http://schemas.openxmlformats.org/officeDocument/2006/relationships/comments" Target="../comments4.xml"/><Relationship Id="rId2" Type="http://schemas.openxmlformats.org/officeDocument/2006/relationships/hyperlink" Target="https://ieeexplore.ieee.org/abstract/document/8874886/" TargetMode="External"/><Relationship Id="rId3" Type="http://schemas.openxmlformats.org/officeDocument/2006/relationships/hyperlink" Target="https://link.springer.com/article/10.1007/s10586-018-2235-7" TargetMode="External"/><Relationship Id="rId149" Type="http://schemas.openxmlformats.org/officeDocument/2006/relationships/hyperlink" Target="http://hindawi.com" TargetMode="External"/><Relationship Id="rId4" Type="http://schemas.openxmlformats.org/officeDocument/2006/relationships/hyperlink" Target="https://ieeexplore.ieee.org/abstract/document/9053186/" TargetMode="External"/><Relationship Id="rId148" Type="http://schemas.openxmlformats.org/officeDocument/2006/relationships/hyperlink" Target="https://www.hindawi.com/journals/mpe/2020/4176308/" TargetMode="External"/><Relationship Id="rId9" Type="http://schemas.openxmlformats.org/officeDocument/2006/relationships/hyperlink" Target="https://link.springer.com/article/10.1007/s10586-018-2869-5" TargetMode="External"/><Relationship Id="rId143" Type="http://schemas.openxmlformats.org/officeDocument/2006/relationships/hyperlink" Target="https://www.sciencedirect.com/science/article/pii/S1319157818306554" TargetMode="External"/><Relationship Id="rId142" Type="http://schemas.openxmlformats.org/officeDocument/2006/relationships/hyperlink" Target="https://ieeexplore.ieee.org/abstract/document/9209712/" TargetMode="External"/><Relationship Id="rId141" Type="http://schemas.openxmlformats.org/officeDocument/2006/relationships/hyperlink" Target="https://ieeexplore.ieee.org/abstract/document/8937836/" TargetMode="External"/><Relationship Id="rId140" Type="http://schemas.openxmlformats.org/officeDocument/2006/relationships/hyperlink" Target="https://link.springer.com/article/10.1007/s12652-020-02283-6" TargetMode="External"/><Relationship Id="rId5" Type="http://schemas.openxmlformats.org/officeDocument/2006/relationships/hyperlink" Target="https://www.mdpi.com/1996-1073/12/17/3301" TargetMode="External"/><Relationship Id="rId147" Type="http://schemas.openxmlformats.org/officeDocument/2006/relationships/hyperlink" Target="https://ieeexplore.ieee.org/abstract/document/8975843/" TargetMode="External"/><Relationship Id="rId6" Type="http://schemas.openxmlformats.org/officeDocument/2006/relationships/hyperlink" Target="https://link.springer.com/chapter/10.1007/978-3-030-12065-8_1" TargetMode="External"/><Relationship Id="rId146" Type="http://schemas.openxmlformats.org/officeDocument/2006/relationships/hyperlink" Target="https://link.springer.com/chapter/10.1007/978-3-030-20485-3_40" TargetMode="External"/><Relationship Id="rId7" Type="http://schemas.openxmlformats.org/officeDocument/2006/relationships/hyperlink" Target="https://link.springer.com/content/pdf/10.1007/s00607-020-00805-w.pdf" TargetMode="External"/><Relationship Id="rId145" Type="http://schemas.openxmlformats.org/officeDocument/2006/relationships/hyperlink" Target="https://www.sciencedirect.com/science/article/pii/S0167739X19308969" TargetMode="External"/><Relationship Id="rId8" Type="http://schemas.openxmlformats.org/officeDocument/2006/relationships/hyperlink" Target="https://centerprode.com/ojit/ojit0301/coas.ojit.0301.01001m.html" TargetMode="External"/><Relationship Id="rId144" Type="http://schemas.openxmlformats.org/officeDocument/2006/relationships/hyperlink" Target="https://www.sciencedirect.com/science/article/pii/S0045790617319808" TargetMode="External"/><Relationship Id="rId139" Type="http://schemas.openxmlformats.org/officeDocument/2006/relationships/hyperlink" Target="https://ieeexplore.ieee.org/abstract/document/8759087/" TargetMode="External"/><Relationship Id="rId138" Type="http://schemas.openxmlformats.org/officeDocument/2006/relationships/hyperlink" Target="https://www.sciencedirect.com/science/article/pii/S014036641830121X" TargetMode="External"/><Relationship Id="rId137" Type="http://schemas.openxmlformats.org/officeDocument/2006/relationships/hyperlink" Target="https://ieeexplore.ieee.org/abstract/document/8488203/" TargetMode="External"/><Relationship Id="rId132" Type="http://schemas.openxmlformats.org/officeDocument/2006/relationships/hyperlink" Target="https://ieeexplore.ieee.org/abstract/document/8721126/" TargetMode="External"/><Relationship Id="rId131" Type="http://schemas.openxmlformats.org/officeDocument/2006/relationships/hyperlink" Target="https://ieeexplore.ieee.org/abstract/document/8309283/" TargetMode="External"/><Relationship Id="rId130" Type="http://schemas.openxmlformats.org/officeDocument/2006/relationships/hyperlink" Target="https://dl.acm.org/doi/abs/10.1145/3374135.3385279" TargetMode="External"/><Relationship Id="rId136" Type="http://schemas.openxmlformats.org/officeDocument/2006/relationships/hyperlink" Target="https://www.sciencedirect.com/science/article/pii/S2405844019357263" TargetMode="External"/><Relationship Id="rId135" Type="http://schemas.openxmlformats.org/officeDocument/2006/relationships/hyperlink" Target="https://www.sciencedirect.com/science/article/pii/S0167739X17321581" TargetMode="External"/><Relationship Id="rId134" Type="http://schemas.openxmlformats.org/officeDocument/2006/relationships/hyperlink" Target="https://link.springer.com/chapter/10.1007/978-3-030-15127-0_22" TargetMode="External"/><Relationship Id="rId133" Type="http://schemas.openxmlformats.org/officeDocument/2006/relationships/hyperlink" Target="https://ieeexplore.ieee.org/abstract/document/8875333/" TargetMode="External"/><Relationship Id="rId172" Type="http://schemas.openxmlformats.org/officeDocument/2006/relationships/hyperlink" Target="http://jips-k.org/full-text/398" TargetMode="External"/><Relationship Id="rId171" Type="http://schemas.openxmlformats.org/officeDocument/2006/relationships/hyperlink" Target="http://search.proquest.com/openview/fbc5529f7cfcd78fae1b9de175c55a90/1?pq-origsite=gscholar&amp;cbl=1686344" TargetMode="External"/><Relationship Id="rId170" Type="http://schemas.openxmlformats.org/officeDocument/2006/relationships/hyperlink" Target="http://iajit.org/PDF/May%202018,%20No.%203/10882.pdf" TargetMode="External"/><Relationship Id="rId165" Type="http://schemas.openxmlformats.org/officeDocument/2006/relationships/hyperlink" Target="https://ieeexplore.ieee.org/abstract/document/8878805/" TargetMode="External"/><Relationship Id="rId164" Type="http://schemas.openxmlformats.org/officeDocument/2006/relationships/hyperlink" Target="https://ieeexplore.ieee.org/abstract/document/8401956/" TargetMode="External"/><Relationship Id="rId163" Type="http://schemas.openxmlformats.org/officeDocument/2006/relationships/hyperlink" Target="https://ieeexplore.ieee.org/abstract/document/8932384/" TargetMode="External"/><Relationship Id="rId162" Type="http://schemas.openxmlformats.org/officeDocument/2006/relationships/hyperlink" Target="https://link.springer.com/chapter/10.1007/978-3-030-30709-7_25" TargetMode="External"/><Relationship Id="rId169" Type="http://schemas.openxmlformats.org/officeDocument/2006/relationships/hyperlink" Target="https://link.springer.com/article/10.1007/s11227-018-2244-6" TargetMode="External"/><Relationship Id="rId168" Type="http://schemas.openxmlformats.org/officeDocument/2006/relationships/hyperlink" Target="https://dl.acm.org/doi/abs/10.1145/3344341.3368822" TargetMode="External"/><Relationship Id="rId167" Type="http://schemas.openxmlformats.org/officeDocument/2006/relationships/hyperlink" Target="https://link.springer.com/article/10.1007/s10489-020-02003-9" TargetMode="External"/><Relationship Id="rId166" Type="http://schemas.openxmlformats.org/officeDocument/2006/relationships/hyperlink" Target="https://ieeexplore.ieee.org/abstract/document/9165232/" TargetMode="External"/><Relationship Id="rId161" Type="http://schemas.openxmlformats.org/officeDocument/2006/relationships/hyperlink" Target="https://www.sid.ir/FileServer/JE/5055520192805" TargetMode="External"/><Relationship Id="rId160" Type="http://schemas.openxmlformats.org/officeDocument/2006/relationships/hyperlink" Target="https://www.sciencedirect.com/science/article/pii/S074373151730285X" TargetMode="External"/><Relationship Id="rId159" Type="http://schemas.openxmlformats.org/officeDocument/2006/relationships/hyperlink" Target="http://search.ebscohost.com/login.aspx?direct=true&amp;profile=ehost&amp;scope=site&amp;authtype=crawler&amp;jrnl=09731318&amp;AN=141016261&amp;h=qwZ%2BpYdlfk%2BzvtM7AVtTzVM%2Frs4veDzSUV5je6ybbkKWBm%2BeTA2vKShbEJm7FRybBjeDPxz80LJa8UdNAVljOA%3D%3D&amp;crl=c" TargetMode="External"/><Relationship Id="rId154" Type="http://schemas.openxmlformats.org/officeDocument/2006/relationships/hyperlink" Target="https://link.springer.com/article/10.1007/s00500-017-2905-z" TargetMode="External"/><Relationship Id="rId153" Type="http://schemas.openxmlformats.org/officeDocument/2006/relationships/hyperlink" Target="https://link.springer.com/content/pdf/10.1007/s10586-017-1166-z.pdf" TargetMode="External"/><Relationship Id="rId152" Type="http://schemas.openxmlformats.org/officeDocument/2006/relationships/hyperlink" Target="https://ieeexplore.ieee.org/abstract/document/8672350/" TargetMode="External"/><Relationship Id="rId151" Type="http://schemas.openxmlformats.org/officeDocument/2006/relationships/hyperlink" Target="https://www.sciencedirect.com/science/article/pii/S0167739X19319594" TargetMode="External"/><Relationship Id="rId158" Type="http://schemas.openxmlformats.org/officeDocument/2006/relationships/hyperlink" Target="https://link.springer.com/article/10.1007/s11036-018-1062-7" TargetMode="External"/><Relationship Id="rId157" Type="http://schemas.openxmlformats.org/officeDocument/2006/relationships/hyperlink" Target="https://papers.ssrn.com/sol3/papers.cfm?abstract_id=3394044" TargetMode="External"/><Relationship Id="rId156" Type="http://schemas.openxmlformats.org/officeDocument/2006/relationships/hyperlink" Target="https://ieeexplore.ieee.org/abstract/document/8422225/" TargetMode="External"/><Relationship Id="rId155" Type="http://schemas.openxmlformats.org/officeDocument/2006/relationships/hyperlink" Target="https://ieeexplore.ieee.org/abstract/document/8603157/" TargetMode="External"/><Relationship Id="rId40" Type="http://schemas.openxmlformats.org/officeDocument/2006/relationships/hyperlink" Target="https://www.sciencedirect.com/science/article/pii/S2210537917304043" TargetMode="External"/><Relationship Id="rId42" Type="http://schemas.openxmlformats.org/officeDocument/2006/relationships/hyperlink" Target="https://www.emerald.com/insight/content/doi/10.1108/IJPPM-08-2016-0160/full/html" TargetMode="External"/><Relationship Id="rId41" Type="http://schemas.openxmlformats.org/officeDocument/2006/relationships/hyperlink" Target="https://onlinelibrary.wiley.com/doi/abs/10.1002/ett.3641" TargetMode="External"/><Relationship Id="rId44" Type="http://schemas.openxmlformats.org/officeDocument/2006/relationships/hyperlink" Target="https://ieeexplore.ieee.org/abstract/document/8731726/" TargetMode="External"/><Relationship Id="rId43" Type="http://schemas.openxmlformats.org/officeDocument/2006/relationships/hyperlink" Target="https://link.springer.com/article/10.1007/s11390-018-1811-x" TargetMode="External"/><Relationship Id="rId46" Type="http://schemas.openxmlformats.org/officeDocument/2006/relationships/hyperlink" Target="https://www.sciencedirect.com/science/article/pii/S0957417420305431" TargetMode="External"/><Relationship Id="rId45" Type="http://schemas.openxmlformats.org/officeDocument/2006/relationships/hyperlink" Target="https://ieeexplore.ieee.org/abstract/document/8631005/" TargetMode="External"/><Relationship Id="rId48" Type="http://schemas.openxmlformats.org/officeDocument/2006/relationships/hyperlink" Target="https://www.sciencedirect.com/science/article/pii/S1568494618301327" TargetMode="External"/><Relationship Id="rId47" Type="http://schemas.openxmlformats.org/officeDocument/2006/relationships/hyperlink" Target="https://link.springer.com/content/pdf/10.1007/s42235-019-0030-7.pdf" TargetMode="External"/><Relationship Id="rId49" Type="http://schemas.openxmlformats.org/officeDocument/2006/relationships/hyperlink" Target="https://ieeexplore.ieee.org/abstract/document/8267099/" TargetMode="External"/><Relationship Id="rId31" Type="http://schemas.openxmlformats.org/officeDocument/2006/relationships/hyperlink" Target="https://ieeexplore.ieee.org/abstract/document/8693725/" TargetMode="External"/><Relationship Id="rId30" Type="http://schemas.openxmlformats.org/officeDocument/2006/relationships/hyperlink" Target="https://link.springer.com/chapter/10.1007/978-981-15-5951-8_25" TargetMode="External"/><Relationship Id="rId33" Type="http://schemas.openxmlformats.org/officeDocument/2006/relationships/hyperlink" Target="https://content.iospress.com/articles/journal-of-intelligent-and-fuzzy-systems/ifs181016" TargetMode="External"/><Relationship Id="rId32" Type="http://schemas.openxmlformats.org/officeDocument/2006/relationships/hyperlink" Target="https://www.mdpi.com/1999-4893/11/10/145" TargetMode="External"/><Relationship Id="rId35" Type="http://schemas.openxmlformats.org/officeDocument/2006/relationships/hyperlink" Target="https://ieeexplore.ieee.org/abstract/document/9091377/" TargetMode="External"/><Relationship Id="rId34" Type="http://schemas.openxmlformats.org/officeDocument/2006/relationships/hyperlink" Target="https://link.springer.com/chapter/10.1007/978-3-030-22871-2_19" TargetMode="External"/><Relationship Id="rId37" Type="http://schemas.openxmlformats.org/officeDocument/2006/relationships/hyperlink" Target="https://www.sciencedirect.com/science/article/pii/S2210537918303160" TargetMode="External"/><Relationship Id="rId36" Type="http://schemas.openxmlformats.org/officeDocument/2006/relationships/hyperlink" Target="https://www.sciencedirect.com/science/article/pii/S2096511720300761" TargetMode="External"/><Relationship Id="rId39" Type="http://schemas.openxmlformats.org/officeDocument/2006/relationships/hyperlink" Target="https://ieeexplore.ieee.org/abstract/document/8641327/" TargetMode="External"/><Relationship Id="rId38" Type="http://schemas.openxmlformats.org/officeDocument/2006/relationships/hyperlink" Target="https://ieeexplore.ieee.org/abstract/document/9139872/" TargetMode="External"/><Relationship Id="rId20" Type="http://schemas.openxmlformats.org/officeDocument/2006/relationships/hyperlink" Target="https://www.sciencedirect.com/science/article/pii/S0925231220315873" TargetMode="External"/><Relationship Id="rId22" Type="http://schemas.openxmlformats.org/officeDocument/2006/relationships/hyperlink" Target="https://ieeexplore.ieee.org/abstract/document/8855456/" TargetMode="External"/><Relationship Id="rId21" Type="http://schemas.openxmlformats.org/officeDocument/2006/relationships/hyperlink" Target="https://ieeexplore.ieee.org/abstract/document/8972019/" TargetMode="External"/><Relationship Id="rId24" Type="http://schemas.openxmlformats.org/officeDocument/2006/relationships/hyperlink" Target="https://link.springer.com/article/10.1007/s13369-019-04048-6" TargetMode="External"/><Relationship Id="rId23" Type="http://schemas.openxmlformats.org/officeDocument/2006/relationships/hyperlink" Target="https://ieeexplore.ieee.org/abstract/document/9014023/" TargetMode="External"/><Relationship Id="rId26" Type="http://schemas.openxmlformats.org/officeDocument/2006/relationships/hyperlink" Target="https://ieeexplore.ieee.org/abstract/document/8666614/" TargetMode="External"/><Relationship Id="rId25" Type="http://schemas.openxmlformats.org/officeDocument/2006/relationships/hyperlink" Target="https://dl.acm.org/doi/abs/10.1145/3318265.3318287" TargetMode="External"/><Relationship Id="rId28" Type="http://schemas.openxmlformats.org/officeDocument/2006/relationships/hyperlink" Target="https://www.jstage.jst.go.jp/article/jaciii/23/2/23_209/_article/-char/ja/" TargetMode="External"/><Relationship Id="rId27" Type="http://schemas.openxmlformats.org/officeDocument/2006/relationships/hyperlink" Target="https://www.sciencedirect.com/science/article/pii/S1877050918307075" TargetMode="External"/><Relationship Id="rId29" Type="http://schemas.openxmlformats.org/officeDocument/2006/relationships/hyperlink" Target="https://ieeexplore.ieee.org/abstract/document/8663624/" TargetMode="External"/><Relationship Id="rId11" Type="http://schemas.openxmlformats.org/officeDocument/2006/relationships/hyperlink" Target="https://ieeexplore.ieee.org/abstract/document/8726577/" TargetMode="External"/><Relationship Id="rId10" Type="http://schemas.openxmlformats.org/officeDocument/2006/relationships/hyperlink" Target="https://search.ieice.org/bin/summary.php?id=e101-d_7_1816" TargetMode="External"/><Relationship Id="rId13" Type="http://schemas.openxmlformats.org/officeDocument/2006/relationships/hyperlink" Target="https://link.springer.com/chapter/10.1007/978-3-030-33702-5_24" TargetMode="External"/><Relationship Id="rId12" Type="http://schemas.openxmlformats.org/officeDocument/2006/relationships/hyperlink" Target="https://link.springer.com/chapter/10.1007/978-3-319-69889-2_5" TargetMode="External"/><Relationship Id="rId15" Type="http://schemas.openxmlformats.org/officeDocument/2006/relationships/hyperlink" Target="https://ieeexplore.ieee.org/abstract/document/9133776/" TargetMode="External"/><Relationship Id="rId14" Type="http://schemas.openxmlformats.org/officeDocument/2006/relationships/hyperlink" Target="https://ieeexplore.ieee.org/abstract/document/8836768/" TargetMode="External"/><Relationship Id="rId17" Type="http://schemas.openxmlformats.org/officeDocument/2006/relationships/hyperlink" Target="https://dl.acm.org/doi/abs/10.1145/3401335.3401648" TargetMode="External"/><Relationship Id="rId16" Type="http://schemas.openxmlformats.org/officeDocument/2006/relationships/hyperlink" Target="https://dl.acm.org/doi/abs/10.1145/3396851.3402658" TargetMode="External"/><Relationship Id="rId19" Type="http://schemas.openxmlformats.org/officeDocument/2006/relationships/hyperlink" Target="https://link.springer.com/content/pdf/10.1007/s11227-020-03203-3.pdf" TargetMode="External"/><Relationship Id="rId18" Type="http://schemas.openxmlformats.org/officeDocument/2006/relationships/hyperlink" Target="https://ieeexplore.ieee.org/abstract/document/8580952/" TargetMode="External"/><Relationship Id="rId84" Type="http://schemas.openxmlformats.org/officeDocument/2006/relationships/hyperlink" Target="https://link.springer.com/article/10.1007/s11227-018-2709-7" TargetMode="External"/><Relationship Id="rId83" Type="http://schemas.openxmlformats.org/officeDocument/2006/relationships/hyperlink" Target="https://strathprints.strath.ac.uk/id/eprint/65612" TargetMode="External"/><Relationship Id="rId86" Type="http://schemas.openxmlformats.org/officeDocument/2006/relationships/hyperlink" Target="https://link.springer.com/article/10.1007/s11227-018-2301-1" TargetMode="External"/><Relationship Id="rId85" Type="http://schemas.openxmlformats.org/officeDocument/2006/relationships/hyperlink" Target="https://www.sciencedirect.com/science/article/pii/S0167739X20305835" TargetMode="External"/><Relationship Id="rId88" Type="http://schemas.openxmlformats.org/officeDocument/2006/relationships/hyperlink" Target="https://content.sciendo.com/view/journals/techtrans/11/4/article-p127.xml" TargetMode="External"/><Relationship Id="rId87" Type="http://schemas.openxmlformats.org/officeDocument/2006/relationships/hyperlink" Target="https://onlinelibrary.wiley.com/doi/abs/10.1002/cpe.5221" TargetMode="External"/><Relationship Id="rId89" Type="http://schemas.openxmlformats.org/officeDocument/2006/relationships/hyperlink" Target="http://content.sciendo.com" TargetMode="External"/><Relationship Id="rId80" Type="http://schemas.openxmlformats.org/officeDocument/2006/relationships/hyperlink" Target="http://www.inass.org/2019/2019083112.pdf" TargetMode="External"/><Relationship Id="rId82" Type="http://schemas.openxmlformats.org/officeDocument/2006/relationships/hyperlink" Target="https://www.mdpi.com/2079-9292/8/9/1014" TargetMode="External"/><Relationship Id="rId81" Type="http://schemas.openxmlformats.org/officeDocument/2006/relationships/hyperlink" Target="https://www.sciencedirect.com/science/article/pii/S0167739X17316059" TargetMode="External"/><Relationship Id="rId73" Type="http://schemas.openxmlformats.org/officeDocument/2006/relationships/hyperlink" Target="https://link.springer.com/content/pdf/10.1007/s10586-020-03066-6.pdf" TargetMode="External"/><Relationship Id="rId72" Type="http://schemas.openxmlformats.org/officeDocument/2006/relationships/hyperlink" Target="https://www.sciencedirect.com/science/article/pii/S1569190X18301825" TargetMode="External"/><Relationship Id="rId75" Type="http://schemas.openxmlformats.org/officeDocument/2006/relationships/hyperlink" Target="https://ieeexplore.ieee.org/abstract/document/9029070/" TargetMode="External"/><Relationship Id="rId74" Type="http://schemas.openxmlformats.org/officeDocument/2006/relationships/hyperlink" Target="https://ieeexplore.ieee.org/abstract/document/9209724/" TargetMode="External"/><Relationship Id="rId77" Type="http://schemas.openxmlformats.org/officeDocument/2006/relationships/hyperlink" Target="http://www.jmess.org/wp-content/uploads/2019/05/JMESSP13420537.pdf" TargetMode="External"/><Relationship Id="rId76" Type="http://schemas.openxmlformats.org/officeDocument/2006/relationships/hyperlink" Target="http://www.cai.sk/ojs/index.php/cai/article/viewArticle/4918" TargetMode="External"/><Relationship Id="rId79" Type="http://schemas.openxmlformats.org/officeDocument/2006/relationships/hyperlink" Target="https://www.atlantis-press.com/proceedings/amcce-18/25895654" TargetMode="External"/><Relationship Id="rId78" Type="http://schemas.openxmlformats.org/officeDocument/2006/relationships/hyperlink" Target="https://www.osapublishing.org/abstract.cfm?uri=jocn-10-7-B58" TargetMode="External"/><Relationship Id="rId71" Type="http://schemas.openxmlformats.org/officeDocument/2006/relationships/hyperlink" Target="https://www.sciencedirect.com/science/article/pii/S2210537918302907" TargetMode="External"/><Relationship Id="rId70" Type="http://schemas.openxmlformats.org/officeDocument/2006/relationships/hyperlink" Target="https://ieeexplore.ieee.org/abstract/document/8401602/" TargetMode="External"/><Relationship Id="rId62" Type="http://schemas.openxmlformats.org/officeDocument/2006/relationships/hyperlink" Target="http://researchgate.net" TargetMode="External"/><Relationship Id="rId61" Type="http://schemas.openxmlformats.org/officeDocument/2006/relationships/hyperlink" Target="https://www.researchgate.net/profile/Abdulrahman_Nahhas/publication/333335432_Toward_an_Autonomic_and_Adaptive_Load_Management_Strategy_for_Reducing_Energy_Consumption_under_Performance_Constraints_in_Data_Centers/links/5d1b96fa92851cf440600900/Toward-an-Autonomic-and-Adaptive-Load-Management-Strategy-for-Reducing-Energy-Consumption-under-Performance-Constraints-in-Data-Centers.pdf" TargetMode="External"/><Relationship Id="rId64" Type="http://schemas.openxmlformats.org/officeDocument/2006/relationships/hyperlink" Target="https://www.sciencedirect.com/science/article/pii/S074373151930190X" TargetMode="External"/><Relationship Id="rId63" Type="http://schemas.openxmlformats.org/officeDocument/2006/relationships/hyperlink" Target="http://researchgate.net" TargetMode="External"/><Relationship Id="rId66" Type="http://schemas.openxmlformats.org/officeDocument/2006/relationships/hyperlink" Target="https://link.springer.com/article/10.1007/s11227-018-2513-4" TargetMode="External"/><Relationship Id="rId65" Type="http://schemas.openxmlformats.org/officeDocument/2006/relationships/hyperlink" Target="https://dl.acm.org/doi/abs/10.1145/3297280.3297420" TargetMode="External"/><Relationship Id="rId68" Type="http://schemas.openxmlformats.org/officeDocument/2006/relationships/hyperlink" Target="https://ieeexplore.ieee.org/abstract/document/9148838/" TargetMode="External"/><Relationship Id="rId67" Type="http://schemas.openxmlformats.org/officeDocument/2006/relationships/hyperlink" Target="https://link.springer.com/chapter/10.1007/978-981-15-5341-7_111" TargetMode="External"/><Relationship Id="rId60" Type="http://schemas.openxmlformats.org/officeDocument/2006/relationships/hyperlink" Target="https://onlinelibrary.wiley.com/doi/abs/10.1002/net.21752" TargetMode="External"/><Relationship Id="rId69" Type="http://schemas.openxmlformats.org/officeDocument/2006/relationships/hyperlink" Target="https://link.springer.com/chapter/10.1007/978-3-030-47560-4_22" TargetMode="External"/><Relationship Id="rId51" Type="http://schemas.openxmlformats.org/officeDocument/2006/relationships/hyperlink" Target="https://ieeexplore.ieee.org/abstract/document/8982573/" TargetMode="External"/><Relationship Id="rId50" Type="http://schemas.openxmlformats.org/officeDocument/2006/relationships/hyperlink" Target="https://ieeexplore.ieee.org/abstract/document/8626500/" TargetMode="External"/><Relationship Id="rId53" Type="http://schemas.openxmlformats.org/officeDocument/2006/relationships/hyperlink" Target="https://jespublication.com/upload/2019-V10-I12-10.pdf" TargetMode="External"/><Relationship Id="rId52" Type="http://schemas.openxmlformats.org/officeDocument/2006/relationships/hyperlink" Target="https://jit.ndhu.edu.tw/article/view/2085" TargetMode="External"/><Relationship Id="rId55" Type="http://schemas.openxmlformats.org/officeDocument/2006/relationships/hyperlink" Target="http://search.proquest.com/openview/21c57e9527878ff9b6c8a99d58d1bdb0/1?pq-origsite=gscholar&amp;cbl=4477230" TargetMode="External"/><Relationship Id="rId54" Type="http://schemas.openxmlformats.org/officeDocument/2006/relationships/hyperlink" Target="https://link.springer.com/chapter/10.1007/978-3-319-62238-5_8" TargetMode="External"/><Relationship Id="rId57" Type="http://schemas.openxmlformats.org/officeDocument/2006/relationships/hyperlink" Target="https://ieeexplore.ieee.org/abstract/document/8364052/" TargetMode="External"/><Relationship Id="rId56" Type="http://schemas.openxmlformats.org/officeDocument/2006/relationships/hyperlink" Target="https://www.mdpi.com/1424-8220/19/18/3980" TargetMode="External"/><Relationship Id="rId59" Type="http://schemas.openxmlformats.org/officeDocument/2006/relationships/hyperlink" Target="https://link.springer.com/chapter/10.1007/978-3-030-21507-1_41" TargetMode="External"/><Relationship Id="rId58" Type="http://schemas.openxmlformats.org/officeDocument/2006/relationships/hyperlink" Target="https://dl.acm.org/doi/abs/10.1145/3307772.3328291" TargetMode="External"/><Relationship Id="rId107" Type="http://schemas.openxmlformats.org/officeDocument/2006/relationships/hyperlink" Target="https://www.sciencedirect.com/science/article/pii/S2210537917304249" TargetMode="External"/><Relationship Id="rId228" Type="http://schemas.openxmlformats.org/officeDocument/2006/relationships/hyperlink" Target="https://www.sciencedirect.com/science/article/pii/S2215098618312023" TargetMode="External"/><Relationship Id="rId106" Type="http://schemas.openxmlformats.org/officeDocument/2006/relationships/hyperlink" Target="https://ieeexplore.ieee.org/abstract/document/8825507/" TargetMode="External"/><Relationship Id="rId227" Type="http://schemas.openxmlformats.org/officeDocument/2006/relationships/hyperlink" Target="https://www.sciencedirect.com/science/article/pii/S1084804519303571" TargetMode="External"/><Relationship Id="rId105" Type="http://schemas.openxmlformats.org/officeDocument/2006/relationships/hyperlink" Target="https://www.sciencedirect.com/science/article/pii/S0167739X17326249" TargetMode="External"/><Relationship Id="rId226" Type="http://schemas.openxmlformats.org/officeDocument/2006/relationships/hyperlink" Target="https://www.sciencedirect.com/science/article/pii/S2210537916301718" TargetMode="External"/><Relationship Id="rId104" Type="http://schemas.openxmlformats.org/officeDocument/2006/relationships/hyperlink" Target="https://onlinelibrary.wiley.com/doi/abs/10.1002/cpe.6134" TargetMode="External"/><Relationship Id="rId225" Type="http://schemas.openxmlformats.org/officeDocument/2006/relationships/hyperlink" Target="https://ieeexplore.ieee.org/abstract/document/8612307/" TargetMode="External"/><Relationship Id="rId109" Type="http://schemas.openxmlformats.org/officeDocument/2006/relationships/hyperlink" Target="https://ieeexplore.ieee.org/abstract/document/9219590/" TargetMode="External"/><Relationship Id="rId108" Type="http://schemas.openxmlformats.org/officeDocument/2006/relationships/hyperlink" Target="https://link.springer.com/chapter/10.1007/978-3-030-23499-7_7" TargetMode="External"/><Relationship Id="rId229" Type="http://schemas.openxmlformats.org/officeDocument/2006/relationships/hyperlink" Target="http://www.jatit.org/volumes/Vol96No2/22Vol96No2.pdf" TargetMode="External"/><Relationship Id="rId220" Type="http://schemas.openxmlformats.org/officeDocument/2006/relationships/hyperlink" Target="https://ieeexplore.ieee.org/abstract/document/9057431/" TargetMode="External"/><Relationship Id="rId103" Type="http://schemas.openxmlformats.org/officeDocument/2006/relationships/hyperlink" Target="https://www.emerald.com/insight/content/doi/10.1108/JSIT-10-2017-0089/full/html" TargetMode="External"/><Relationship Id="rId224" Type="http://schemas.openxmlformats.org/officeDocument/2006/relationships/hyperlink" Target="https://www.sciencedirect.com/science/article/pii/S1569190X20300666" TargetMode="External"/><Relationship Id="rId102" Type="http://schemas.openxmlformats.org/officeDocument/2006/relationships/hyperlink" Target="https://ieeexplore.ieee.org/abstract/document/8727486/" TargetMode="External"/><Relationship Id="rId223" Type="http://schemas.openxmlformats.org/officeDocument/2006/relationships/hyperlink" Target="https://par.nsf.gov/biblio/10157200" TargetMode="External"/><Relationship Id="rId101" Type="http://schemas.openxmlformats.org/officeDocument/2006/relationships/hyperlink" Target="https://link.springer.com/article/10.1007/s11761-019-00273-x" TargetMode="External"/><Relationship Id="rId222" Type="http://schemas.openxmlformats.org/officeDocument/2006/relationships/hyperlink" Target="https://www.sciencedirect.com/science/article/pii/S1389041720300553" TargetMode="External"/><Relationship Id="rId100" Type="http://schemas.openxmlformats.org/officeDocument/2006/relationships/hyperlink" Target="https://ieeexplore.ieee.org/abstract/document/8991670/" TargetMode="External"/><Relationship Id="rId221" Type="http://schemas.openxmlformats.org/officeDocument/2006/relationships/hyperlink" Target="https://ieeexplore.ieee.org/abstract/document/8647884/" TargetMode="External"/><Relationship Id="rId217" Type="http://schemas.openxmlformats.org/officeDocument/2006/relationships/hyperlink" Target="https://ieeexplore.ieee.org/abstract/document/8768369/" TargetMode="External"/><Relationship Id="rId216" Type="http://schemas.openxmlformats.org/officeDocument/2006/relationships/hyperlink" Target="https://link.springer.com/article/10.1007/s11227-019-02909-3" TargetMode="External"/><Relationship Id="rId215" Type="http://schemas.openxmlformats.org/officeDocument/2006/relationships/hyperlink" Target="https://ieeexplore.ieee.org/abstract/document/8442890/" TargetMode="External"/><Relationship Id="rId214" Type="http://schemas.openxmlformats.org/officeDocument/2006/relationships/hyperlink" Target="https://link.springer.com/chapter/10.1007/978-3-030-00253-4_8" TargetMode="External"/><Relationship Id="rId219" Type="http://schemas.openxmlformats.org/officeDocument/2006/relationships/hyperlink" Target="https://dl.acm.org/doi/abs/10.1145/3167132.3167178" TargetMode="External"/><Relationship Id="rId218" Type="http://schemas.openxmlformats.org/officeDocument/2006/relationships/hyperlink" Target="https://ieeexplore.ieee.org/abstract/document/8548323/" TargetMode="External"/><Relationship Id="rId213" Type="http://schemas.openxmlformats.org/officeDocument/2006/relationships/hyperlink" Target="https://www.sciencedirect.com/science/article/pii/S0167739X17310129" TargetMode="External"/><Relationship Id="rId212" Type="http://schemas.openxmlformats.org/officeDocument/2006/relationships/hyperlink" Target="https://ieeexplore.ieee.org/abstract/document/9291049/" TargetMode="External"/><Relationship Id="rId211" Type="http://schemas.openxmlformats.org/officeDocument/2006/relationships/hyperlink" Target="https://link.springer.com/article/10.1007/s11227-020-03439-z?error=cookies_not_supported&amp;error=cookies_not_supported&amp;code=54c48cd0-8f25-4364-8710-c07ad1dcce69&amp;code=526b045d-e4e9-4c95-9c3e-e8d6c55ffef4" TargetMode="External"/><Relationship Id="rId210" Type="http://schemas.openxmlformats.org/officeDocument/2006/relationships/hyperlink" Target="https://ieeexplore.ieee.org/abstract/document/9291589/" TargetMode="External"/><Relationship Id="rId129" Type="http://schemas.openxmlformats.org/officeDocument/2006/relationships/hyperlink" Target="https://www.sciencedirect.com/science/article/pii/S2210537917302536" TargetMode="External"/><Relationship Id="rId128" Type="http://schemas.openxmlformats.org/officeDocument/2006/relationships/hyperlink" Target="https://ieeexplore.ieee.org/abstract/document/8963569/" TargetMode="External"/><Relationship Id="rId127" Type="http://schemas.openxmlformats.org/officeDocument/2006/relationships/hyperlink" Target="https://link.springer.com/chapter/10.1007/978-3-319-99007-1_2" TargetMode="External"/><Relationship Id="rId126" Type="http://schemas.openxmlformats.org/officeDocument/2006/relationships/hyperlink" Target="https://ieeexplore.ieee.org/abstract/document/9022819/" TargetMode="External"/><Relationship Id="rId121" Type="http://schemas.openxmlformats.org/officeDocument/2006/relationships/hyperlink" Target="https://www.sciencedirect.com/science/article/pii/S0167739X17300092" TargetMode="External"/><Relationship Id="rId120" Type="http://schemas.openxmlformats.org/officeDocument/2006/relationships/hyperlink" Target="https://link.springer.com/article/10.1007/s10586-020-03186-z" TargetMode="External"/><Relationship Id="rId240" Type="http://schemas.openxmlformats.org/officeDocument/2006/relationships/table" Target="../tables/table7.xml"/><Relationship Id="rId125" Type="http://schemas.openxmlformats.org/officeDocument/2006/relationships/hyperlink" Target="https://ieeexplore.ieee.org/abstract/document/9047328/" TargetMode="External"/><Relationship Id="rId124" Type="http://schemas.openxmlformats.org/officeDocument/2006/relationships/hyperlink" Target="http://jstage.jst.go.jp" TargetMode="External"/><Relationship Id="rId123" Type="http://schemas.openxmlformats.org/officeDocument/2006/relationships/hyperlink" Target="http://jstage.jst.go.jp" TargetMode="External"/><Relationship Id="rId122" Type="http://schemas.openxmlformats.org/officeDocument/2006/relationships/hyperlink" Target="https://www.jstage.jst.go.jp/article/transinf/E102.D/10/E102.D_2018EDP7441/_article/-char/ja/" TargetMode="External"/><Relationship Id="rId95" Type="http://schemas.openxmlformats.org/officeDocument/2006/relationships/hyperlink" Target="https://link.springer.com/content/pdf/10.1007/s10586-020-03096-0.pdf" TargetMode="External"/><Relationship Id="rId94" Type="http://schemas.openxmlformats.org/officeDocument/2006/relationships/hyperlink" Target="http://koreascience.or.kr" TargetMode="External"/><Relationship Id="rId97" Type="http://schemas.openxmlformats.org/officeDocument/2006/relationships/hyperlink" Target="http://journals.sagepub.com" TargetMode="External"/><Relationship Id="rId96" Type="http://schemas.openxmlformats.org/officeDocument/2006/relationships/hyperlink" Target="https://journals.sagepub.com/doi/abs/10.1177/1550147720935775" TargetMode="External"/><Relationship Id="rId99" Type="http://schemas.openxmlformats.org/officeDocument/2006/relationships/hyperlink" Target="https://ieeexplore.ieee.org/abstract/document/8425223/" TargetMode="External"/><Relationship Id="rId98" Type="http://schemas.openxmlformats.org/officeDocument/2006/relationships/hyperlink" Target="https://www.mdpi.com/2071-1050/12/16/6383" TargetMode="External"/><Relationship Id="rId91" Type="http://schemas.openxmlformats.org/officeDocument/2006/relationships/hyperlink" Target="https://link.springer.com/chapter/10.1007/978-3-030-02849-7_16" TargetMode="External"/><Relationship Id="rId90" Type="http://schemas.openxmlformats.org/officeDocument/2006/relationships/hyperlink" Target="http://content.sciendo.com" TargetMode="External"/><Relationship Id="rId93" Type="http://schemas.openxmlformats.org/officeDocument/2006/relationships/hyperlink" Target="http://koreascience.or.kr" TargetMode="External"/><Relationship Id="rId92" Type="http://schemas.openxmlformats.org/officeDocument/2006/relationships/hyperlink" Target="https://www.koreascience.or.kr/article/JAKO201811459665241.page" TargetMode="External"/><Relationship Id="rId118" Type="http://schemas.openxmlformats.org/officeDocument/2006/relationships/hyperlink" Target="https://ieeexplore.ieee.org/abstract/document/8356052/" TargetMode="External"/><Relationship Id="rId117" Type="http://schemas.openxmlformats.org/officeDocument/2006/relationships/hyperlink" Target="https://link.springer.com/chapter/10.1007/978-981-15-3689-2_4" TargetMode="External"/><Relationship Id="rId238" Type="http://schemas.openxmlformats.org/officeDocument/2006/relationships/vmlDrawing" Target="../drawings/vmlDrawing4.vml"/><Relationship Id="rId116" Type="http://schemas.openxmlformats.org/officeDocument/2006/relationships/hyperlink" Target="https://www.mdpi.com/1996-1073/12/4/646" TargetMode="External"/><Relationship Id="rId237" Type="http://schemas.openxmlformats.org/officeDocument/2006/relationships/drawing" Target="../drawings/drawing7.xml"/><Relationship Id="rId115" Type="http://schemas.openxmlformats.org/officeDocument/2006/relationships/hyperlink" Target="https://ieeexplore.ieee.org/abstract/document/9024592/" TargetMode="External"/><Relationship Id="rId236" Type="http://schemas.openxmlformats.org/officeDocument/2006/relationships/hyperlink" Target="https://link.springer.com/article/10.1007/s10626-019-00293-x" TargetMode="External"/><Relationship Id="rId119" Type="http://schemas.openxmlformats.org/officeDocument/2006/relationships/hyperlink" Target="https://ieeexplore.ieee.org/abstract/document/9006914/" TargetMode="External"/><Relationship Id="rId110" Type="http://schemas.openxmlformats.org/officeDocument/2006/relationships/hyperlink" Target="https://ieeexplore.ieee.org/abstract/document/8622869/" TargetMode="External"/><Relationship Id="rId231" Type="http://schemas.openxmlformats.org/officeDocument/2006/relationships/hyperlink" Target="https://ieeexplore.ieee.org/abstract/document/8452029/" TargetMode="External"/><Relationship Id="rId230" Type="http://schemas.openxmlformats.org/officeDocument/2006/relationships/hyperlink" Target="https://link.springer.com/article/10.1007/s10586-018-2028-z" TargetMode="External"/><Relationship Id="rId114" Type="http://schemas.openxmlformats.org/officeDocument/2006/relationships/hyperlink" Target="https://pdfs.semanticscholar.org/c99b/2673db1e4879ded860a78e5cea1b40af7cab.pdf" TargetMode="External"/><Relationship Id="rId235" Type="http://schemas.openxmlformats.org/officeDocument/2006/relationships/hyperlink" Target="https://link.springer.com/article/10.1007/s10922-019-09489-w" TargetMode="External"/><Relationship Id="rId113" Type="http://schemas.openxmlformats.org/officeDocument/2006/relationships/hyperlink" Target="https://ieeexplore.ieee.org/abstract/document/8931339/" TargetMode="External"/><Relationship Id="rId234" Type="http://schemas.openxmlformats.org/officeDocument/2006/relationships/hyperlink" Target="https://ieeexplore.ieee.org/abstract/document/8308710/" TargetMode="External"/><Relationship Id="rId112" Type="http://schemas.openxmlformats.org/officeDocument/2006/relationships/hyperlink" Target="https://ieeexplore.ieee.org/abstract/document/8606094/" TargetMode="External"/><Relationship Id="rId233" Type="http://schemas.openxmlformats.org/officeDocument/2006/relationships/hyperlink" Target="https://ieeexplore.ieee.org/abstract/document/8606104/" TargetMode="External"/><Relationship Id="rId111" Type="http://schemas.openxmlformats.org/officeDocument/2006/relationships/hyperlink" Target="https://www.mdpi.com/2076-3417/10/7/2323" TargetMode="External"/><Relationship Id="rId232" Type="http://schemas.openxmlformats.org/officeDocument/2006/relationships/hyperlink" Target="https://www.sciencedirect.com/science/article/pii/S0167739X18318491" TargetMode="External"/><Relationship Id="rId206" Type="http://schemas.openxmlformats.org/officeDocument/2006/relationships/hyperlink" Target="https://www.sciencedirect.com/science/article/pii/S0167739X1732099X" TargetMode="External"/><Relationship Id="rId205" Type="http://schemas.openxmlformats.org/officeDocument/2006/relationships/hyperlink" Target="https://www.mdpi.com/1996-1073/12/8/1494" TargetMode="External"/><Relationship Id="rId204" Type="http://schemas.openxmlformats.org/officeDocument/2006/relationships/hyperlink" Target="https://ieeexplore.ieee.org/abstract/document/8620159/" TargetMode="External"/><Relationship Id="rId203" Type="http://schemas.openxmlformats.org/officeDocument/2006/relationships/hyperlink" Target="https://www.sid.ir/en/seminar/ViewPaper.aspx?id=46963" TargetMode="External"/><Relationship Id="rId209" Type="http://schemas.openxmlformats.org/officeDocument/2006/relationships/hyperlink" Target="https://ieeexplore.ieee.org/abstract/document/8969751/" TargetMode="External"/><Relationship Id="rId208" Type="http://schemas.openxmlformats.org/officeDocument/2006/relationships/hyperlink" Target="https://ieeexplore.ieee.org/abstract/document/8752123/" TargetMode="External"/><Relationship Id="rId207" Type="http://schemas.openxmlformats.org/officeDocument/2006/relationships/hyperlink" Target="https://onlinelibrary.wiley.com/doi/abs/10.1002/cpe.5785" TargetMode="External"/><Relationship Id="rId202" Type="http://schemas.openxmlformats.org/officeDocument/2006/relationships/hyperlink" Target="https://link.springer.com/article/10.1007/s41870-018-0258-1" TargetMode="External"/><Relationship Id="rId201" Type="http://schemas.openxmlformats.org/officeDocument/2006/relationships/hyperlink" Target="https://www.worldscientific.com/doi/abs/10.1142/S0218001419510091" TargetMode="External"/><Relationship Id="rId200" Type="http://schemas.openxmlformats.org/officeDocument/2006/relationships/hyperlink" Target="https://ieeexplore.ieee.org/abstract/document/9079973/"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71"/>
    <col customWidth="1" min="2" max="2" width="46.86"/>
    <col customWidth="1" min="3" max="3" width="28.43"/>
    <col customWidth="1" min="4" max="4" width="29.86"/>
    <col customWidth="1" min="5" max="5" width="42.29"/>
    <col customWidth="1" min="6" max="6" width="17.0"/>
    <col customWidth="1" min="7" max="7" width="8.86"/>
    <col customWidth="1" min="8" max="8" width="8.43"/>
    <col customWidth="1" min="9" max="9" width="6.43"/>
    <col customWidth="1" min="10" max="13" width="7.14"/>
    <col customWidth="1" min="14" max="17" width="6.57"/>
    <col customWidth="1" min="18" max="18" width="6.71"/>
    <col customWidth="1" min="19" max="22" width="6.57"/>
    <col customWidth="1" min="23" max="23" width="11.57"/>
    <col customWidth="1" min="24" max="24" width="20.57"/>
    <col customWidth="1" min="25" max="25" width="11.86"/>
    <col customWidth="1" min="26" max="26" width="29.43"/>
  </cols>
  <sheetData>
    <row r="1">
      <c r="A1" s="1" t="s">
        <v>0</v>
      </c>
      <c r="B1" s="1" t="s">
        <v>1</v>
      </c>
      <c r="C1" s="2" t="s">
        <v>2</v>
      </c>
      <c r="D1" s="1" t="s">
        <v>3</v>
      </c>
      <c r="E1" s="1" t="s">
        <v>4</v>
      </c>
      <c r="F1" s="3" t="s">
        <v>5</v>
      </c>
      <c r="G1" s="1" t="s">
        <v>6</v>
      </c>
      <c r="H1" s="1" t="s">
        <v>7</v>
      </c>
      <c r="I1" s="4" t="s">
        <v>8</v>
      </c>
      <c r="J1" s="4" t="s">
        <v>9</v>
      </c>
      <c r="K1" s="4" t="s">
        <v>10</v>
      </c>
      <c r="L1" s="4" t="s">
        <v>11</v>
      </c>
      <c r="M1" s="4" t="s">
        <v>12</v>
      </c>
      <c r="N1" s="5" t="s">
        <v>13</v>
      </c>
      <c r="O1" s="5" t="s">
        <v>14</v>
      </c>
      <c r="P1" s="5" t="s">
        <v>15</v>
      </c>
      <c r="Q1" s="5" t="s">
        <v>16</v>
      </c>
      <c r="R1" s="5" t="s">
        <v>17</v>
      </c>
      <c r="S1" s="5" t="s">
        <v>18</v>
      </c>
      <c r="T1" s="5" t="s">
        <v>19</v>
      </c>
      <c r="U1" s="5" t="s">
        <v>20</v>
      </c>
      <c r="V1" s="5" t="s">
        <v>21</v>
      </c>
      <c r="W1" s="6" t="s">
        <v>22</v>
      </c>
      <c r="X1" s="6" t="s">
        <v>23</v>
      </c>
      <c r="Y1" s="7" t="s">
        <v>24</v>
      </c>
      <c r="Z1" s="8" t="s">
        <v>25</v>
      </c>
    </row>
    <row r="2">
      <c r="A2" s="9">
        <v>1.0</v>
      </c>
      <c r="B2" s="10" t="s">
        <v>26</v>
      </c>
      <c r="C2" s="11" t="s">
        <v>27</v>
      </c>
      <c r="D2" s="10" t="s">
        <v>28</v>
      </c>
      <c r="E2" s="12" t="s">
        <v>29</v>
      </c>
      <c r="F2" s="12" t="s">
        <v>30</v>
      </c>
      <c r="G2" s="9"/>
      <c r="H2" s="13">
        <v>2018.0</v>
      </c>
      <c r="I2" s="14"/>
      <c r="J2" s="14"/>
      <c r="K2" s="14"/>
      <c r="L2" s="14"/>
      <c r="M2" s="14"/>
      <c r="N2" s="14"/>
      <c r="O2" s="14">
        <v>1.0</v>
      </c>
      <c r="P2" s="14"/>
      <c r="Q2" s="14"/>
      <c r="R2" s="14"/>
      <c r="S2" s="14"/>
      <c r="T2" s="14"/>
      <c r="U2" s="14"/>
      <c r="V2" s="14"/>
      <c r="W2" s="14"/>
      <c r="X2" s="14" t="s">
        <v>31</v>
      </c>
      <c r="Y2" s="9" t="s">
        <v>32</v>
      </c>
      <c r="Z2" s="9"/>
    </row>
    <row r="3">
      <c r="A3" s="9">
        <v>2.0</v>
      </c>
      <c r="B3" s="10" t="s">
        <v>33</v>
      </c>
      <c r="C3" s="11" t="s">
        <v>34</v>
      </c>
      <c r="D3" s="15" t="s">
        <v>35</v>
      </c>
      <c r="E3" s="12" t="s">
        <v>36</v>
      </c>
      <c r="F3" s="12" t="s">
        <v>37</v>
      </c>
      <c r="G3" s="9" t="s">
        <v>38</v>
      </c>
      <c r="H3" s="13">
        <v>2018.0</v>
      </c>
      <c r="I3" s="14">
        <v>0.0</v>
      </c>
      <c r="J3" s="14"/>
      <c r="K3" s="14"/>
      <c r="L3" s="14"/>
      <c r="M3" s="14"/>
      <c r="N3" s="14"/>
      <c r="O3" s="14"/>
      <c r="P3" s="14"/>
      <c r="Q3" s="14"/>
      <c r="R3" s="14"/>
      <c r="S3" s="14"/>
      <c r="T3" s="14"/>
      <c r="U3" s="14"/>
      <c r="V3" s="14"/>
      <c r="W3" s="14" t="s">
        <v>31</v>
      </c>
      <c r="X3" s="14" t="s">
        <v>39</v>
      </c>
      <c r="Y3" s="9" t="s">
        <v>32</v>
      </c>
      <c r="Z3" s="9" t="s">
        <v>40</v>
      </c>
    </row>
    <row r="4">
      <c r="A4" s="9">
        <v>3.0</v>
      </c>
      <c r="B4" s="10" t="s">
        <v>41</v>
      </c>
      <c r="C4" s="16" t="s">
        <v>42</v>
      </c>
      <c r="D4" s="10" t="s">
        <v>43</v>
      </c>
      <c r="E4" s="17" t="s">
        <v>44</v>
      </c>
      <c r="F4" s="17" t="s">
        <v>44</v>
      </c>
      <c r="G4" s="9"/>
      <c r="H4" s="18">
        <v>2019.0</v>
      </c>
      <c r="I4" s="14"/>
      <c r="J4" s="19"/>
      <c r="K4" s="19"/>
      <c r="L4" s="19"/>
      <c r="M4" s="19"/>
      <c r="N4" s="14"/>
      <c r="O4" s="14"/>
      <c r="P4" s="14"/>
      <c r="Q4" s="14"/>
      <c r="R4" s="19"/>
      <c r="S4" s="19"/>
      <c r="T4" s="19"/>
      <c r="U4" s="14">
        <v>1.0</v>
      </c>
      <c r="V4" s="19"/>
      <c r="W4" s="14"/>
      <c r="X4" s="14" t="s">
        <v>31</v>
      </c>
      <c r="Y4" s="9" t="s">
        <v>32</v>
      </c>
      <c r="Z4" s="9" t="s">
        <v>45</v>
      </c>
    </row>
    <row r="5">
      <c r="A5" s="9">
        <v>4.0</v>
      </c>
      <c r="B5" s="10" t="s">
        <v>46</v>
      </c>
      <c r="C5" s="11" t="s">
        <v>47</v>
      </c>
      <c r="D5" s="10" t="s">
        <v>48</v>
      </c>
      <c r="E5" s="17" t="s">
        <v>49</v>
      </c>
      <c r="F5" s="17" t="s">
        <v>49</v>
      </c>
      <c r="G5" s="9"/>
      <c r="H5" s="13">
        <v>2018.0</v>
      </c>
      <c r="I5" s="19"/>
      <c r="J5" s="19"/>
      <c r="K5" s="19"/>
      <c r="L5" s="19"/>
      <c r="M5" s="19"/>
      <c r="N5" s="19"/>
      <c r="O5" s="19"/>
      <c r="P5" s="19"/>
      <c r="Q5" s="14"/>
      <c r="R5" s="19"/>
      <c r="S5" s="19"/>
      <c r="T5" s="14">
        <v>1.0</v>
      </c>
      <c r="U5" s="19"/>
      <c r="V5" s="14"/>
      <c r="W5" s="14"/>
      <c r="X5" s="14" t="s">
        <v>31</v>
      </c>
      <c r="Y5" s="9" t="s">
        <v>32</v>
      </c>
      <c r="Z5" s="9" t="s">
        <v>50</v>
      </c>
    </row>
    <row r="6">
      <c r="A6" s="9">
        <v>5.0</v>
      </c>
      <c r="B6" s="10" t="s">
        <v>51</v>
      </c>
      <c r="C6" s="11" t="s">
        <v>52</v>
      </c>
      <c r="D6" s="10" t="s">
        <v>53</v>
      </c>
      <c r="E6" s="12" t="s">
        <v>29</v>
      </c>
      <c r="F6" s="12" t="s">
        <v>30</v>
      </c>
      <c r="G6" s="9" t="s">
        <v>38</v>
      </c>
      <c r="H6" s="13">
        <v>2019.0</v>
      </c>
      <c r="I6" s="14">
        <v>1.0</v>
      </c>
      <c r="J6" s="19"/>
      <c r="K6" s="19"/>
      <c r="L6" s="14">
        <v>1.0</v>
      </c>
      <c r="M6" s="14">
        <v>1.0</v>
      </c>
      <c r="N6" s="19"/>
      <c r="O6" s="14">
        <v>0.0</v>
      </c>
      <c r="P6" s="14">
        <v>1.0</v>
      </c>
      <c r="Q6" s="14">
        <v>1.0</v>
      </c>
      <c r="R6" s="14">
        <v>0.0</v>
      </c>
      <c r="S6" s="14">
        <v>0.0</v>
      </c>
      <c r="T6" s="14">
        <v>0.0</v>
      </c>
      <c r="U6" s="14">
        <v>0.0</v>
      </c>
      <c r="V6" s="14">
        <v>0.0</v>
      </c>
      <c r="W6" s="14" t="s">
        <v>31</v>
      </c>
      <c r="X6" s="14" t="s">
        <v>39</v>
      </c>
      <c r="Y6" s="9" t="s">
        <v>32</v>
      </c>
      <c r="Z6" s="9" t="s">
        <v>54</v>
      </c>
    </row>
    <row r="7">
      <c r="A7" s="9">
        <v>6.0</v>
      </c>
      <c r="B7" s="10" t="s">
        <v>55</v>
      </c>
      <c r="C7" s="11" t="s">
        <v>56</v>
      </c>
      <c r="D7" s="10" t="s">
        <v>57</v>
      </c>
      <c r="E7" s="12" t="s">
        <v>36</v>
      </c>
      <c r="F7" s="12" t="s">
        <v>37</v>
      </c>
      <c r="G7" s="9" t="s">
        <v>58</v>
      </c>
      <c r="H7" s="13">
        <v>2019.0</v>
      </c>
      <c r="I7" s="14">
        <v>1.0</v>
      </c>
      <c r="J7" s="14">
        <v>1.0</v>
      </c>
      <c r="K7" s="14">
        <v>1.0</v>
      </c>
      <c r="L7" s="14">
        <v>1.0</v>
      </c>
      <c r="M7" s="14">
        <v>1.0</v>
      </c>
      <c r="N7" s="14">
        <v>0.0</v>
      </c>
      <c r="O7" s="14">
        <v>0.0</v>
      </c>
      <c r="P7" s="14">
        <v>0.0</v>
      </c>
      <c r="Q7" s="20">
        <v>0.0</v>
      </c>
      <c r="R7" s="14">
        <v>0.0</v>
      </c>
      <c r="S7" s="14">
        <v>0.0</v>
      </c>
      <c r="T7" s="14">
        <v>0.0</v>
      </c>
      <c r="U7" s="14">
        <v>0.0</v>
      </c>
      <c r="V7" s="14">
        <v>0.0</v>
      </c>
      <c r="W7" s="14" t="s">
        <v>39</v>
      </c>
      <c r="X7" s="14" t="s">
        <v>39</v>
      </c>
      <c r="Y7" s="9" t="s">
        <v>32</v>
      </c>
      <c r="Z7" s="21"/>
    </row>
    <row r="8">
      <c r="A8" s="9">
        <v>7.0</v>
      </c>
      <c r="B8" s="10" t="s">
        <v>59</v>
      </c>
      <c r="C8" s="11" t="s">
        <v>60</v>
      </c>
      <c r="D8" s="10" t="s">
        <v>61</v>
      </c>
      <c r="E8" s="22" t="s">
        <v>62</v>
      </c>
      <c r="F8" s="22" t="s">
        <v>62</v>
      </c>
      <c r="G8" s="9" t="s">
        <v>38</v>
      </c>
      <c r="H8" s="13">
        <v>2019.0</v>
      </c>
      <c r="I8" s="14">
        <v>1.0</v>
      </c>
      <c r="J8" s="14">
        <v>1.0</v>
      </c>
      <c r="K8" s="14">
        <v>1.0</v>
      </c>
      <c r="L8" s="14">
        <v>1.0</v>
      </c>
      <c r="M8" s="14">
        <v>1.0</v>
      </c>
      <c r="N8" s="14">
        <v>0.0</v>
      </c>
      <c r="O8" s="14">
        <v>0.0</v>
      </c>
      <c r="P8" s="14">
        <v>0.0</v>
      </c>
      <c r="Q8" s="14">
        <v>0.0</v>
      </c>
      <c r="R8" s="14">
        <v>0.0</v>
      </c>
      <c r="S8" s="14">
        <v>0.0</v>
      </c>
      <c r="T8" s="14">
        <v>0.0</v>
      </c>
      <c r="U8" s="14">
        <v>0.0</v>
      </c>
      <c r="V8" s="14">
        <v>0.0</v>
      </c>
      <c r="W8" s="14" t="s">
        <v>39</v>
      </c>
      <c r="X8" s="14" t="s">
        <v>39</v>
      </c>
      <c r="Y8" s="9" t="s">
        <v>32</v>
      </c>
      <c r="Z8" s="21"/>
    </row>
    <row r="9">
      <c r="A9" s="9">
        <v>8.0</v>
      </c>
      <c r="B9" s="10" t="s">
        <v>63</v>
      </c>
      <c r="C9" s="16" t="s">
        <v>64</v>
      </c>
      <c r="D9" s="10" t="s">
        <v>65</v>
      </c>
      <c r="E9" s="22" t="s">
        <v>62</v>
      </c>
      <c r="F9" s="22" t="s">
        <v>62</v>
      </c>
      <c r="G9" s="9"/>
      <c r="H9" s="13">
        <v>2018.0</v>
      </c>
      <c r="I9" s="14"/>
      <c r="J9" s="14"/>
      <c r="K9" s="14"/>
      <c r="L9" s="14"/>
      <c r="M9" s="14"/>
      <c r="N9" s="14"/>
      <c r="O9" s="14"/>
      <c r="P9" s="14">
        <v>1.0</v>
      </c>
      <c r="Q9" s="14"/>
      <c r="R9" s="14"/>
      <c r="S9" s="14"/>
      <c r="T9" s="14"/>
      <c r="U9" s="14"/>
      <c r="V9" s="14"/>
      <c r="W9" s="14"/>
      <c r="X9" s="14" t="s">
        <v>31</v>
      </c>
      <c r="Y9" s="9" t="s">
        <v>32</v>
      </c>
      <c r="Z9" s="21"/>
    </row>
    <row r="10">
      <c r="A10" s="9">
        <v>9.0</v>
      </c>
      <c r="B10" s="10" t="s">
        <v>66</v>
      </c>
      <c r="C10" s="16" t="s">
        <v>67</v>
      </c>
      <c r="D10" s="10" t="s">
        <v>68</v>
      </c>
      <c r="E10" s="23" t="s">
        <v>69</v>
      </c>
      <c r="F10" s="23" t="s">
        <v>69</v>
      </c>
      <c r="G10" s="9"/>
      <c r="H10" s="13">
        <v>2019.0</v>
      </c>
      <c r="I10" s="14"/>
      <c r="J10" s="14"/>
      <c r="K10" s="14"/>
      <c r="L10" s="14"/>
      <c r="M10" s="14"/>
      <c r="N10" s="14"/>
      <c r="O10" s="14"/>
      <c r="P10" s="14"/>
      <c r="Q10" s="14"/>
      <c r="R10" s="14"/>
      <c r="S10" s="14"/>
      <c r="T10" s="14">
        <v>1.0</v>
      </c>
      <c r="U10" s="14"/>
      <c r="V10" s="14"/>
      <c r="W10" s="14"/>
      <c r="X10" s="14" t="s">
        <v>31</v>
      </c>
      <c r="Y10" s="9" t="s">
        <v>32</v>
      </c>
      <c r="Z10" s="9" t="s">
        <v>70</v>
      </c>
    </row>
    <row r="11">
      <c r="A11" s="9">
        <v>10.0</v>
      </c>
      <c r="B11" s="10" t="s">
        <v>71</v>
      </c>
      <c r="C11" s="11" t="s">
        <v>72</v>
      </c>
      <c r="D11" s="15" t="s">
        <v>73</v>
      </c>
      <c r="E11" s="12" t="s">
        <v>36</v>
      </c>
      <c r="F11" s="12" t="s">
        <v>37</v>
      </c>
      <c r="G11" s="9" t="s">
        <v>58</v>
      </c>
      <c r="H11" s="13">
        <v>2020.0</v>
      </c>
      <c r="I11" s="14">
        <v>1.0</v>
      </c>
      <c r="J11" s="14">
        <v>1.0</v>
      </c>
      <c r="K11" s="14">
        <v>1.0</v>
      </c>
      <c r="L11" s="14">
        <v>1.0</v>
      </c>
      <c r="M11" s="14">
        <v>1.0</v>
      </c>
      <c r="N11" s="14">
        <v>0.0</v>
      </c>
      <c r="O11" s="14">
        <v>0.0</v>
      </c>
      <c r="P11" s="14">
        <v>0.0</v>
      </c>
      <c r="Q11" s="14">
        <v>0.0</v>
      </c>
      <c r="R11" s="14">
        <v>0.0</v>
      </c>
      <c r="S11" s="14">
        <v>0.0</v>
      </c>
      <c r="T11" s="14">
        <v>0.0</v>
      </c>
      <c r="U11" s="14">
        <v>0.0</v>
      </c>
      <c r="V11" s="14">
        <v>0.0</v>
      </c>
      <c r="W11" s="14" t="s">
        <v>39</v>
      </c>
      <c r="X11" s="14" t="s">
        <v>39</v>
      </c>
      <c r="Y11" s="9" t="s">
        <v>32</v>
      </c>
      <c r="Z11" s="24"/>
    </row>
    <row r="12">
      <c r="A12" s="9">
        <v>11.0</v>
      </c>
      <c r="B12" s="10" t="s">
        <v>74</v>
      </c>
      <c r="C12" s="11" t="s">
        <v>75</v>
      </c>
      <c r="D12" s="10" t="s">
        <v>76</v>
      </c>
      <c r="E12" s="12" t="s">
        <v>29</v>
      </c>
      <c r="F12" s="12" t="s">
        <v>30</v>
      </c>
      <c r="G12" s="9" t="s">
        <v>38</v>
      </c>
      <c r="H12" s="13">
        <v>2019.0</v>
      </c>
      <c r="I12" s="14">
        <v>1.0</v>
      </c>
      <c r="J12" s="14">
        <v>1.0</v>
      </c>
      <c r="K12" s="14">
        <v>1.0</v>
      </c>
      <c r="L12" s="14">
        <v>1.0</v>
      </c>
      <c r="M12" s="14">
        <v>1.0</v>
      </c>
      <c r="N12" s="14">
        <v>0.0</v>
      </c>
      <c r="O12" s="14">
        <v>0.0</v>
      </c>
      <c r="P12" s="14">
        <v>0.0</v>
      </c>
      <c r="Q12" s="14">
        <v>0.0</v>
      </c>
      <c r="R12" s="14">
        <v>0.0</v>
      </c>
      <c r="S12" s="14">
        <v>0.0</v>
      </c>
      <c r="T12" s="14">
        <v>0.0</v>
      </c>
      <c r="U12" s="14">
        <v>0.0</v>
      </c>
      <c r="V12" s="14">
        <v>0.0</v>
      </c>
      <c r="W12" s="14" t="s">
        <v>39</v>
      </c>
      <c r="X12" s="14" t="s">
        <v>39</v>
      </c>
      <c r="Y12" s="9" t="s">
        <v>32</v>
      </c>
      <c r="Z12" s="9"/>
    </row>
    <row r="13">
      <c r="A13" s="9">
        <v>12.0</v>
      </c>
      <c r="B13" s="10" t="s">
        <v>77</v>
      </c>
      <c r="C13" s="11" t="s">
        <v>78</v>
      </c>
      <c r="D13" s="10" t="s">
        <v>79</v>
      </c>
      <c r="E13" s="12" t="s">
        <v>80</v>
      </c>
      <c r="F13" s="12" t="s">
        <v>81</v>
      </c>
      <c r="G13" s="9"/>
      <c r="H13" s="18">
        <v>2019.0</v>
      </c>
      <c r="I13" s="14"/>
      <c r="J13" s="14"/>
      <c r="K13" s="14"/>
      <c r="L13" s="14"/>
      <c r="M13" s="14"/>
      <c r="N13" s="19"/>
      <c r="O13" s="19"/>
      <c r="P13" s="19"/>
      <c r="Q13" s="19"/>
      <c r="R13" s="19"/>
      <c r="S13" s="14">
        <v>1.0</v>
      </c>
      <c r="T13" s="19"/>
      <c r="U13" s="19"/>
      <c r="V13" s="19"/>
      <c r="W13" s="14"/>
      <c r="X13" s="14" t="s">
        <v>31</v>
      </c>
      <c r="Y13" s="9" t="s">
        <v>32</v>
      </c>
      <c r="Z13" s="9" t="s">
        <v>82</v>
      </c>
    </row>
    <row r="14">
      <c r="A14" s="9">
        <v>13.0</v>
      </c>
      <c r="B14" s="10" t="s">
        <v>41</v>
      </c>
      <c r="C14" s="11" t="s">
        <v>83</v>
      </c>
      <c r="D14" s="10" t="s">
        <v>84</v>
      </c>
      <c r="E14" s="22" t="s">
        <v>62</v>
      </c>
      <c r="F14" s="22" t="s">
        <v>62</v>
      </c>
      <c r="G14" s="9" t="s">
        <v>58</v>
      </c>
      <c r="H14" s="13">
        <v>2018.0</v>
      </c>
      <c r="I14" s="14">
        <v>1.0</v>
      </c>
      <c r="J14" s="14">
        <v>1.0</v>
      </c>
      <c r="K14" s="14">
        <v>1.0</v>
      </c>
      <c r="L14" s="14">
        <v>1.0</v>
      </c>
      <c r="M14" s="14">
        <v>1.0</v>
      </c>
      <c r="N14" s="14">
        <v>0.0</v>
      </c>
      <c r="O14" s="14">
        <v>0.0</v>
      </c>
      <c r="P14" s="14">
        <v>0.0</v>
      </c>
      <c r="Q14" s="14">
        <v>0.0</v>
      </c>
      <c r="R14" s="14">
        <v>0.0</v>
      </c>
      <c r="S14" s="14">
        <v>0.0</v>
      </c>
      <c r="T14" s="14">
        <v>0.0</v>
      </c>
      <c r="U14" s="14">
        <v>0.0</v>
      </c>
      <c r="V14" s="14">
        <v>0.0</v>
      </c>
      <c r="W14" s="14" t="s">
        <v>39</v>
      </c>
      <c r="X14" s="14" t="s">
        <v>39</v>
      </c>
      <c r="Y14" s="9" t="s">
        <v>32</v>
      </c>
      <c r="Z14" s="24"/>
    </row>
    <row r="15">
      <c r="A15" s="9">
        <v>14.0</v>
      </c>
      <c r="B15" s="10" t="s">
        <v>85</v>
      </c>
      <c r="C15" s="11" t="s">
        <v>86</v>
      </c>
      <c r="D15" s="10" t="s">
        <v>87</v>
      </c>
      <c r="E15" s="12" t="s">
        <v>88</v>
      </c>
      <c r="F15" s="12" t="s">
        <v>89</v>
      </c>
      <c r="G15" s="9"/>
      <c r="H15" s="13">
        <v>2018.0</v>
      </c>
      <c r="I15" s="14">
        <v>0.0</v>
      </c>
      <c r="J15" s="14"/>
      <c r="K15" s="14"/>
      <c r="L15" s="14"/>
      <c r="M15" s="14"/>
      <c r="N15" s="14"/>
      <c r="O15" s="14"/>
      <c r="P15" s="14"/>
      <c r="Q15" s="14"/>
      <c r="R15" s="14"/>
      <c r="S15" s="14"/>
      <c r="T15" s="14"/>
      <c r="U15" s="14"/>
      <c r="V15" s="14"/>
      <c r="W15" s="14"/>
      <c r="X15" s="14" t="s">
        <v>31</v>
      </c>
      <c r="Y15" s="9" t="s">
        <v>32</v>
      </c>
      <c r="Z15" s="9"/>
    </row>
    <row r="16">
      <c r="A16" s="9">
        <v>15.0</v>
      </c>
      <c r="B16" s="10" t="s">
        <v>90</v>
      </c>
      <c r="C16" s="11" t="s">
        <v>91</v>
      </c>
      <c r="D16" s="10" t="s">
        <v>92</v>
      </c>
      <c r="E16" s="12" t="s">
        <v>36</v>
      </c>
      <c r="F16" s="12" t="s">
        <v>37</v>
      </c>
      <c r="G16" s="9" t="s">
        <v>38</v>
      </c>
      <c r="H16" s="13">
        <v>2019.0</v>
      </c>
      <c r="I16" s="14">
        <v>0.0</v>
      </c>
      <c r="J16" s="14"/>
      <c r="K16" s="14"/>
      <c r="L16" s="14"/>
      <c r="M16" s="14"/>
      <c r="N16" s="14"/>
      <c r="O16" s="14"/>
      <c r="P16" s="14"/>
      <c r="Q16" s="14"/>
      <c r="R16" s="14"/>
      <c r="S16" s="14"/>
      <c r="T16" s="14"/>
      <c r="U16" s="14"/>
      <c r="V16" s="14"/>
      <c r="W16" s="14" t="s">
        <v>31</v>
      </c>
      <c r="X16" s="14" t="s">
        <v>39</v>
      </c>
      <c r="Y16" s="9" t="s">
        <v>32</v>
      </c>
      <c r="Z16" s="9" t="s">
        <v>93</v>
      </c>
    </row>
    <row r="17">
      <c r="A17" s="9">
        <v>16.0</v>
      </c>
      <c r="B17" s="10" t="s">
        <v>94</v>
      </c>
      <c r="C17" s="16" t="s">
        <v>95</v>
      </c>
      <c r="D17" s="10" t="s">
        <v>96</v>
      </c>
      <c r="E17" s="25" t="s">
        <v>62</v>
      </c>
      <c r="F17" s="25" t="s">
        <v>62</v>
      </c>
      <c r="G17" s="9" t="s">
        <v>38</v>
      </c>
      <c r="H17" s="13">
        <v>2020.0</v>
      </c>
      <c r="I17" s="14">
        <v>1.0</v>
      </c>
      <c r="J17" s="14">
        <v>1.0</v>
      </c>
      <c r="K17" s="14">
        <v>1.0</v>
      </c>
      <c r="L17" s="14">
        <v>1.0</v>
      </c>
      <c r="M17" s="14">
        <v>1.0</v>
      </c>
      <c r="N17" s="14">
        <v>0.0</v>
      </c>
      <c r="O17" s="14">
        <v>0.0</v>
      </c>
      <c r="P17" s="14">
        <v>0.0</v>
      </c>
      <c r="Q17" s="14">
        <v>0.0</v>
      </c>
      <c r="R17" s="14">
        <v>0.0</v>
      </c>
      <c r="S17" s="14">
        <v>0.0</v>
      </c>
      <c r="T17" s="14">
        <v>0.0</v>
      </c>
      <c r="U17" s="14">
        <v>0.0</v>
      </c>
      <c r="V17" s="14">
        <v>0.0</v>
      </c>
      <c r="W17" s="14" t="s">
        <v>39</v>
      </c>
      <c r="X17" s="14" t="s">
        <v>39</v>
      </c>
      <c r="Y17" s="9" t="s">
        <v>32</v>
      </c>
      <c r="Z17" s="9"/>
    </row>
    <row r="18">
      <c r="A18" s="9">
        <v>17.0</v>
      </c>
      <c r="B18" s="10" t="s">
        <v>97</v>
      </c>
      <c r="C18" s="16" t="s">
        <v>98</v>
      </c>
      <c r="D18" s="10" t="s">
        <v>99</v>
      </c>
      <c r="E18" s="12" t="s">
        <v>100</v>
      </c>
      <c r="F18" s="12" t="s">
        <v>101</v>
      </c>
      <c r="G18" s="9" t="s">
        <v>38</v>
      </c>
      <c r="H18" s="18">
        <v>2020.0</v>
      </c>
      <c r="I18" s="14">
        <v>1.0</v>
      </c>
      <c r="J18" s="14">
        <v>1.0</v>
      </c>
      <c r="K18" s="14">
        <v>1.0</v>
      </c>
      <c r="L18" s="14">
        <v>1.0</v>
      </c>
      <c r="M18" s="14">
        <v>1.0</v>
      </c>
      <c r="N18" s="14">
        <v>0.0</v>
      </c>
      <c r="O18" s="14">
        <v>0.0</v>
      </c>
      <c r="P18" s="14">
        <v>0.0</v>
      </c>
      <c r="Q18" s="14">
        <v>0.0</v>
      </c>
      <c r="R18" s="14">
        <v>0.0</v>
      </c>
      <c r="S18" s="14">
        <v>0.0</v>
      </c>
      <c r="T18" s="14">
        <v>0.0</v>
      </c>
      <c r="U18" s="14">
        <v>0.0</v>
      </c>
      <c r="V18" s="14">
        <v>0.0</v>
      </c>
      <c r="W18" s="14" t="s">
        <v>39</v>
      </c>
      <c r="X18" s="14" t="s">
        <v>39</v>
      </c>
      <c r="Y18" s="9" t="s">
        <v>32</v>
      </c>
      <c r="Z18" s="9"/>
    </row>
    <row r="19">
      <c r="A19" s="9">
        <v>18.0</v>
      </c>
      <c r="B19" s="10" t="s">
        <v>102</v>
      </c>
      <c r="C19" s="11" t="s">
        <v>103</v>
      </c>
      <c r="D19" s="10" t="s">
        <v>104</v>
      </c>
      <c r="E19" s="23" t="s">
        <v>105</v>
      </c>
      <c r="F19" s="23" t="s">
        <v>105</v>
      </c>
      <c r="G19" s="9"/>
      <c r="H19" s="13">
        <v>2020.0</v>
      </c>
      <c r="I19" s="14">
        <v>0.0</v>
      </c>
      <c r="J19" s="19"/>
      <c r="K19" s="19"/>
      <c r="L19" s="19"/>
      <c r="M19" s="19"/>
      <c r="N19" s="14"/>
      <c r="O19" s="14"/>
      <c r="P19" s="14"/>
      <c r="Q19" s="14"/>
      <c r="R19" s="19"/>
      <c r="S19" s="19"/>
      <c r="T19" s="19"/>
      <c r="U19" s="19"/>
      <c r="V19" s="19"/>
      <c r="W19" s="14" t="s">
        <v>31</v>
      </c>
      <c r="X19" s="14" t="s">
        <v>39</v>
      </c>
      <c r="Y19" s="9" t="s">
        <v>32</v>
      </c>
      <c r="Z19" s="9" t="s">
        <v>106</v>
      </c>
    </row>
    <row r="20">
      <c r="A20" s="9">
        <v>19.0</v>
      </c>
      <c r="B20" s="10" t="s">
        <v>107</v>
      </c>
      <c r="C20" s="11" t="s">
        <v>108</v>
      </c>
      <c r="D20" s="10" t="s">
        <v>109</v>
      </c>
      <c r="E20" s="23" t="s">
        <v>110</v>
      </c>
      <c r="F20" s="23" t="s">
        <v>110</v>
      </c>
      <c r="G20" s="9"/>
      <c r="H20" s="13">
        <v>2019.0</v>
      </c>
      <c r="I20" s="19"/>
      <c r="J20" s="14"/>
      <c r="K20" s="14"/>
      <c r="L20" s="14"/>
      <c r="M20" s="14"/>
      <c r="N20" s="19"/>
      <c r="O20" s="19"/>
      <c r="P20" s="19"/>
      <c r="Q20" s="19"/>
      <c r="R20" s="14">
        <v>1.0</v>
      </c>
      <c r="S20" s="19"/>
      <c r="T20" s="19"/>
      <c r="U20" s="19"/>
      <c r="V20" s="19"/>
      <c r="W20" s="14"/>
      <c r="X20" s="14" t="s">
        <v>31</v>
      </c>
      <c r="Y20" s="9" t="s">
        <v>32</v>
      </c>
      <c r="Z20" s="9" t="s">
        <v>111</v>
      </c>
    </row>
    <row r="21">
      <c r="A21" s="9">
        <v>20.0</v>
      </c>
      <c r="B21" s="10" t="s">
        <v>112</v>
      </c>
      <c r="C21" s="11" t="s">
        <v>113</v>
      </c>
      <c r="D21" s="10" t="s">
        <v>114</v>
      </c>
      <c r="E21" s="23" t="s">
        <v>115</v>
      </c>
      <c r="F21" s="23" t="s">
        <v>115</v>
      </c>
      <c r="G21" s="9"/>
      <c r="H21" s="18">
        <v>2018.0</v>
      </c>
      <c r="I21" s="14"/>
      <c r="J21" s="14"/>
      <c r="K21" s="14"/>
      <c r="L21" s="14"/>
      <c r="M21" s="14"/>
      <c r="N21" s="19"/>
      <c r="O21" s="19"/>
      <c r="P21" s="19"/>
      <c r="Q21" s="19"/>
      <c r="R21" s="19"/>
      <c r="S21" s="14">
        <v>1.0</v>
      </c>
      <c r="T21" s="19"/>
      <c r="U21" s="19"/>
      <c r="V21" s="19"/>
      <c r="W21" s="14"/>
      <c r="X21" s="14" t="s">
        <v>31</v>
      </c>
      <c r="Y21" s="9" t="s">
        <v>32</v>
      </c>
      <c r="Z21" s="9"/>
    </row>
    <row r="22">
      <c r="A22" s="9">
        <v>21.0</v>
      </c>
      <c r="B22" s="10" t="s">
        <v>116</v>
      </c>
      <c r="C22" s="11" t="s">
        <v>117</v>
      </c>
      <c r="D22" s="10" t="s">
        <v>118</v>
      </c>
      <c r="E22" s="25" t="s">
        <v>62</v>
      </c>
      <c r="F22" s="25" t="s">
        <v>62</v>
      </c>
      <c r="G22" s="9" t="s">
        <v>38</v>
      </c>
      <c r="H22" s="13">
        <v>2019.0</v>
      </c>
      <c r="I22" s="14">
        <v>1.0</v>
      </c>
      <c r="J22" s="14">
        <v>1.0</v>
      </c>
      <c r="K22" s="14">
        <v>1.0</v>
      </c>
      <c r="L22" s="14">
        <v>1.0</v>
      </c>
      <c r="M22" s="14">
        <v>1.0</v>
      </c>
      <c r="N22" s="14">
        <v>0.0</v>
      </c>
      <c r="O22" s="14">
        <v>0.0</v>
      </c>
      <c r="P22" s="14">
        <v>0.0</v>
      </c>
      <c r="Q22" s="14">
        <v>0.0</v>
      </c>
      <c r="R22" s="14">
        <v>0.0</v>
      </c>
      <c r="S22" s="14">
        <v>0.0</v>
      </c>
      <c r="T22" s="14">
        <v>0.0</v>
      </c>
      <c r="U22" s="14">
        <v>0.0</v>
      </c>
      <c r="V22" s="14">
        <v>0.0</v>
      </c>
      <c r="W22" s="14" t="s">
        <v>39</v>
      </c>
      <c r="X22" s="14" t="s">
        <v>39</v>
      </c>
      <c r="Y22" s="9" t="s">
        <v>32</v>
      </c>
      <c r="Z22" s="21"/>
    </row>
    <row r="23">
      <c r="A23" s="9">
        <v>22.0</v>
      </c>
      <c r="B23" s="10" t="s">
        <v>119</v>
      </c>
      <c r="C23" s="11" t="s">
        <v>120</v>
      </c>
      <c r="D23" s="10" t="s">
        <v>121</v>
      </c>
      <c r="E23" s="12" t="s">
        <v>36</v>
      </c>
      <c r="F23" s="12" t="s">
        <v>37</v>
      </c>
      <c r="G23" s="9" t="s">
        <v>58</v>
      </c>
      <c r="H23" s="13">
        <v>2018.0</v>
      </c>
      <c r="I23" s="19"/>
      <c r="J23" s="19"/>
      <c r="K23" s="19"/>
      <c r="L23" s="19"/>
      <c r="M23" s="14"/>
      <c r="N23" s="14"/>
      <c r="O23" s="14">
        <v>1.0</v>
      </c>
      <c r="P23" s="14"/>
      <c r="Q23" s="14"/>
      <c r="R23" s="14"/>
      <c r="S23" s="14"/>
      <c r="T23" s="14"/>
      <c r="U23" s="14"/>
      <c r="V23" s="14"/>
      <c r="W23" s="14" t="s">
        <v>31</v>
      </c>
      <c r="X23" s="14" t="s">
        <v>39</v>
      </c>
      <c r="Y23" s="9" t="s">
        <v>32</v>
      </c>
      <c r="Z23" s="9"/>
    </row>
    <row r="24">
      <c r="A24" s="9">
        <v>23.0</v>
      </c>
      <c r="B24" s="10" t="s">
        <v>122</v>
      </c>
      <c r="C24" s="11" t="s">
        <v>123</v>
      </c>
      <c r="D24" s="10" t="s">
        <v>124</v>
      </c>
      <c r="E24" s="12" t="s">
        <v>36</v>
      </c>
      <c r="F24" s="12" t="s">
        <v>37</v>
      </c>
      <c r="G24" s="9"/>
      <c r="H24" s="13">
        <v>2019.0</v>
      </c>
      <c r="I24" s="14"/>
      <c r="J24" s="19"/>
      <c r="K24" s="19"/>
      <c r="L24" s="19"/>
      <c r="M24" s="19"/>
      <c r="N24" s="14"/>
      <c r="O24" s="14"/>
      <c r="P24" s="14"/>
      <c r="Q24" s="14"/>
      <c r="R24" s="19"/>
      <c r="S24" s="14">
        <v>1.0</v>
      </c>
      <c r="T24" s="19"/>
      <c r="U24" s="19"/>
      <c r="V24" s="19"/>
      <c r="W24" s="14"/>
      <c r="X24" s="14" t="s">
        <v>31</v>
      </c>
      <c r="Y24" s="9" t="s">
        <v>32</v>
      </c>
      <c r="Z24" s="9" t="s">
        <v>82</v>
      </c>
    </row>
    <row r="25">
      <c r="A25" s="9">
        <v>24.0</v>
      </c>
      <c r="B25" s="10" t="s">
        <v>125</v>
      </c>
      <c r="C25" s="11" t="s">
        <v>126</v>
      </c>
      <c r="D25" s="10" t="s">
        <v>127</v>
      </c>
      <c r="E25" s="22" t="s">
        <v>128</v>
      </c>
      <c r="F25" s="22" t="s">
        <v>128</v>
      </c>
      <c r="G25" s="9"/>
      <c r="H25" s="13">
        <v>2018.0</v>
      </c>
      <c r="I25" s="14"/>
      <c r="J25" s="14"/>
      <c r="K25" s="14"/>
      <c r="L25" s="14"/>
      <c r="M25" s="14"/>
      <c r="N25" s="19"/>
      <c r="O25" s="14">
        <v>1.0</v>
      </c>
      <c r="P25" s="19"/>
      <c r="Q25" s="19"/>
      <c r="R25" s="19"/>
      <c r="S25" s="19"/>
      <c r="T25" s="19"/>
      <c r="U25" s="19"/>
      <c r="V25" s="19"/>
      <c r="W25" s="14"/>
      <c r="X25" s="14" t="s">
        <v>31</v>
      </c>
      <c r="Y25" s="9" t="s">
        <v>32</v>
      </c>
      <c r="Z25" s="9"/>
    </row>
    <row r="26">
      <c r="A26" s="9">
        <v>25.0</v>
      </c>
      <c r="B26" s="10" t="s">
        <v>129</v>
      </c>
      <c r="C26" s="11" t="s">
        <v>130</v>
      </c>
      <c r="D26" s="10" t="s">
        <v>131</v>
      </c>
      <c r="E26" s="12" t="s">
        <v>36</v>
      </c>
      <c r="F26" s="12" t="s">
        <v>37</v>
      </c>
      <c r="G26" s="9"/>
      <c r="H26" s="13">
        <v>2018.0</v>
      </c>
      <c r="I26" s="14"/>
      <c r="J26" s="14"/>
      <c r="K26" s="14"/>
      <c r="L26" s="14"/>
      <c r="M26" s="14"/>
      <c r="N26" s="14">
        <v>1.0</v>
      </c>
      <c r="O26" s="19"/>
      <c r="P26" s="19"/>
      <c r="Q26" s="19"/>
      <c r="R26" s="19"/>
      <c r="S26" s="19"/>
      <c r="T26" s="19"/>
      <c r="U26" s="19"/>
      <c r="V26" s="19"/>
      <c r="W26" s="14"/>
      <c r="X26" s="14" t="s">
        <v>31</v>
      </c>
      <c r="Y26" s="9" t="s">
        <v>32</v>
      </c>
      <c r="Z26" s="9"/>
    </row>
    <row r="27">
      <c r="A27" s="9">
        <v>26.0</v>
      </c>
      <c r="B27" s="10" t="s">
        <v>132</v>
      </c>
      <c r="C27" s="11" t="s">
        <v>133</v>
      </c>
      <c r="D27" s="10" t="s">
        <v>134</v>
      </c>
      <c r="E27" s="23" t="s">
        <v>135</v>
      </c>
      <c r="F27" s="23" t="s">
        <v>135</v>
      </c>
      <c r="G27" s="9"/>
      <c r="H27" s="13">
        <v>2018.0</v>
      </c>
      <c r="I27" s="14">
        <v>0.0</v>
      </c>
      <c r="J27" s="14"/>
      <c r="K27" s="14"/>
      <c r="L27" s="14"/>
      <c r="M27" s="14"/>
      <c r="N27" s="19"/>
      <c r="O27" s="19"/>
      <c r="P27" s="19"/>
      <c r="Q27" s="19"/>
      <c r="R27" s="19"/>
      <c r="S27" s="19"/>
      <c r="T27" s="19"/>
      <c r="U27" s="19"/>
      <c r="V27" s="19"/>
      <c r="W27" s="14"/>
      <c r="X27" s="14" t="s">
        <v>31</v>
      </c>
      <c r="Y27" s="9" t="s">
        <v>32</v>
      </c>
      <c r="Z27" s="9" t="s">
        <v>136</v>
      </c>
    </row>
    <row r="28">
      <c r="A28" s="9">
        <v>27.0</v>
      </c>
      <c r="B28" s="10" t="s">
        <v>137</v>
      </c>
      <c r="C28" s="16" t="s">
        <v>138</v>
      </c>
      <c r="D28" s="10" t="s">
        <v>139</v>
      </c>
      <c r="E28" s="23" t="s">
        <v>44</v>
      </c>
      <c r="F28" s="23" t="s">
        <v>44</v>
      </c>
      <c r="G28" s="9"/>
      <c r="H28" s="13">
        <v>2019.0</v>
      </c>
      <c r="I28" s="14"/>
      <c r="J28" s="14"/>
      <c r="K28" s="14"/>
      <c r="L28" s="14"/>
      <c r="M28" s="14"/>
      <c r="N28" s="19"/>
      <c r="O28" s="19"/>
      <c r="P28" s="19"/>
      <c r="Q28" s="19"/>
      <c r="R28" s="19"/>
      <c r="S28" s="19"/>
      <c r="T28" s="19"/>
      <c r="U28" s="14">
        <v>1.0</v>
      </c>
      <c r="V28" s="19"/>
      <c r="W28" s="14"/>
      <c r="X28" s="14" t="s">
        <v>31</v>
      </c>
      <c r="Y28" s="9" t="s">
        <v>32</v>
      </c>
      <c r="Z28" s="9" t="s">
        <v>45</v>
      </c>
    </row>
    <row r="29">
      <c r="A29" s="9">
        <v>28.0</v>
      </c>
      <c r="B29" s="10" t="s">
        <v>140</v>
      </c>
      <c r="C29" s="11" t="s">
        <v>141</v>
      </c>
      <c r="D29" s="15" t="s">
        <v>142</v>
      </c>
      <c r="E29" s="12" t="s">
        <v>36</v>
      </c>
      <c r="F29" s="12" t="s">
        <v>37</v>
      </c>
      <c r="G29" s="9" t="s">
        <v>38</v>
      </c>
      <c r="H29" s="13">
        <v>2020.0</v>
      </c>
      <c r="I29" s="14"/>
      <c r="J29" s="14"/>
      <c r="K29" s="14"/>
      <c r="L29" s="14"/>
      <c r="M29" s="14"/>
      <c r="N29" s="14"/>
      <c r="O29" s="14">
        <v>1.0</v>
      </c>
      <c r="P29" s="14">
        <v>1.0</v>
      </c>
      <c r="Q29" s="14"/>
      <c r="R29" s="14"/>
      <c r="S29" s="14"/>
      <c r="T29" s="14"/>
      <c r="U29" s="14"/>
      <c r="V29" s="14"/>
      <c r="W29" s="14" t="s">
        <v>31</v>
      </c>
      <c r="X29" s="14" t="s">
        <v>39</v>
      </c>
      <c r="Y29" s="9" t="s">
        <v>32</v>
      </c>
      <c r="Z29" s="9"/>
    </row>
    <row r="30">
      <c r="A30" s="9">
        <v>29.0</v>
      </c>
      <c r="B30" s="10" t="s">
        <v>143</v>
      </c>
      <c r="C30" s="26" t="s">
        <v>144</v>
      </c>
      <c r="D30" s="10" t="s">
        <v>145</v>
      </c>
      <c r="E30" s="12" t="s">
        <v>36</v>
      </c>
      <c r="F30" s="12" t="s">
        <v>37</v>
      </c>
      <c r="G30" s="9"/>
      <c r="H30" s="13">
        <v>2020.0</v>
      </c>
      <c r="I30" s="14">
        <v>0.0</v>
      </c>
      <c r="J30" s="14"/>
      <c r="K30" s="14"/>
      <c r="L30" s="14"/>
      <c r="M30" s="14"/>
      <c r="N30" s="19"/>
      <c r="O30" s="19"/>
      <c r="P30" s="19"/>
      <c r="Q30" s="19"/>
      <c r="R30" s="19"/>
      <c r="S30" s="19"/>
      <c r="T30" s="19"/>
      <c r="U30" s="19"/>
      <c r="V30" s="19"/>
      <c r="W30" s="14"/>
      <c r="X30" s="14" t="s">
        <v>31</v>
      </c>
      <c r="Y30" s="9" t="s">
        <v>32</v>
      </c>
      <c r="Z30" s="9" t="s">
        <v>146</v>
      </c>
    </row>
    <row r="31">
      <c r="A31" s="9">
        <v>30.0</v>
      </c>
      <c r="B31" s="10" t="s">
        <v>147</v>
      </c>
      <c r="C31" s="11" t="s">
        <v>148</v>
      </c>
      <c r="D31" s="10" t="s">
        <v>149</v>
      </c>
      <c r="E31" s="12" t="s">
        <v>36</v>
      </c>
      <c r="F31" s="12" t="s">
        <v>37</v>
      </c>
      <c r="G31" s="9"/>
      <c r="H31" s="18">
        <v>2018.0</v>
      </c>
      <c r="I31" s="14"/>
      <c r="J31" s="14"/>
      <c r="K31" s="14"/>
      <c r="L31" s="14"/>
      <c r="M31" s="14"/>
      <c r="N31" s="14"/>
      <c r="O31" s="14"/>
      <c r="P31" s="14">
        <v>1.0</v>
      </c>
      <c r="Q31" s="19"/>
      <c r="R31" s="19"/>
      <c r="S31" s="19"/>
      <c r="T31" s="19"/>
      <c r="U31" s="19"/>
      <c r="V31" s="19"/>
      <c r="W31" s="14"/>
      <c r="X31" s="14" t="s">
        <v>31</v>
      </c>
      <c r="Y31" s="9" t="s">
        <v>32</v>
      </c>
      <c r="Z31" s="9"/>
    </row>
    <row r="32">
      <c r="A32" s="9">
        <v>31.0</v>
      </c>
      <c r="B32" s="10" t="s">
        <v>150</v>
      </c>
      <c r="C32" s="16" t="s">
        <v>151</v>
      </c>
      <c r="D32" s="10" t="s">
        <v>152</v>
      </c>
      <c r="E32" s="17" t="s">
        <v>69</v>
      </c>
      <c r="F32" s="17" t="s">
        <v>69</v>
      </c>
      <c r="G32" s="9"/>
      <c r="H32" s="13">
        <v>2020.0</v>
      </c>
      <c r="I32" s="19"/>
      <c r="J32" s="19"/>
      <c r="K32" s="19"/>
      <c r="L32" s="19"/>
      <c r="M32" s="19"/>
      <c r="N32" s="19"/>
      <c r="O32" s="19"/>
      <c r="P32" s="19"/>
      <c r="Q32" s="19"/>
      <c r="R32" s="14"/>
      <c r="S32" s="19"/>
      <c r="T32" s="14">
        <v>1.0</v>
      </c>
      <c r="U32" s="19"/>
      <c r="V32" s="19"/>
      <c r="W32" s="14"/>
      <c r="X32" s="14" t="s">
        <v>31</v>
      </c>
      <c r="Y32" s="9" t="s">
        <v>32</v>
      </c>
      <c r="Z32" s="9" t="s">
        <v>70</v>
      </c>
    </row>
    <row r="33">
      <c r="A33" s="9">
        <v>32.0</v>
      </c>
      <c r="B33" s="10" t="s">
        <v>153</v>
      </c>
      <c r="C33" s="11" t="s">
        <v>154</v>
      </c>
      <c r="D33" s="10" t="s">
        <v>155</v>
      </c>
      <c r="E33" s="12" t="s">
        <v>156</v>
      </c>
      <c r="F33" s="12" t="s">
        <v>157</v>
      </c>
      <c r="G33" s="9" t="s">
        <v>38</v>
      </c>
      <c r="H33" s="13">
        <v>2018.0</v>
      </c>
      <c r="I33" s="14">
        <v>1.0</v>
      </c>
      <c r="J33" s="14">
        <v>1.0</v>
      </c>
      <c r="K33" s="14">
        <v>1.0</v>
      </c>
      <c r="L33" s="14">
        <v>1.0</v>
      </c>
      <c r="M33" s="14">
        <v>1.0</v>
      </c>
      <c r="N33" s="14">
        <v>0.0</v>
      </c>
      <c r="O33" s="14">
        <v>0.0</v>
      </c>
      <c r="P33" s="14">
        <v>0.0</v>
      </c>
      <c r="Q33" s="14">
        <v>0.0</v>
      </c>
      <c r="R33" s="14">
        <v>0.0</v>
      </c>
      <c r="S33" s="14">
        <v>0.0</v>
      </c>
      <c r="T33" s="14">
        <v>0.0</v>
      </c>
      <c r="U33" s="14">
        <v>0.0</v>
      </c>
      <c r="V33" s="14">
        <v>0.0</v>
      </c>
      <c r="W33" s="14" t="s">
        <v>39</v>
      </c>
      <c r="X33" s="14" t="s">
        <v>39</v>
      </c>
      <c r="Y33" s="9" t="s">
        <v>32</v>
      </c>
      <c r="Z33" s="9"/>
    </row>
    <row r="34">
      <c r="A34" s="9">
        <v>33.0</v>
      </c>
      <c r="B34" s="10" t="s">
        <v>158</v>
      </c>
      <c r="C34" s="11" t="s">
        <v>159</v>
      </c>
      <c r="D34" s="15" t="s">
        <v>160</v>
      </c>
      <c r="E34" s="12" t="s">
        <v>36</v>
      </c>
      <c r="F34" s="12" t="s">
        <v>37</v>
      </c>
      <c r="G34" s="9" t="s">
        <v>58</v>
      </c>
      <c r="H34" s="13">
        <v>2018.0</v>
      </c>
      <c r="I34" s="14">
        <v>1.0</v>
      </c>
      <c r="J34" s="14">
        <v>1.0</v>
      </c>
      <c r="K34" s="14">
        <v>1.0</v>
      </c>
      <c r="L34" s="14">
        <v>1.0</v>
      </c>
      <c r="M34" s="14">
        <v>1.0</v>
      </c>
      <c r="N34" s="14">
        <v>0.0</v>
      </c>
      <c r="O34" s="14">
        <v>0.0</v>
      </c>
      <c r="P34" s="14">
        <v>0.0</v>
      </c>
      <c r="Q34" s="14">
        <v>0.0</v>
      </c>
      <c r="R34" s="14">
        <v>0.0</v>
      </c>
      <c r="S34" s="14">
        <v>0.0</v>
      </c>
      <c r="T34" s="14">
        <v>0.0</v>
      </c>
      <c r="U34" s="14">
        <v>0.0</v>
      </c>
      <c r="V34" s="14">
        <v>0.0</v>
      </c>
      <c r="W34" s="14" t="s">
        <v>39</v>
      </c>
      <c r="X34" s="14" t="s">
        <v>39</v>
      </c>
      <c r="Y34" s="9" t="s">
        <v>32</v>
      </c>
      <c r="Z34" s="9"/>
    </row>
    <row r="35">
      <c r="A35" s="9">
        <v>34.0</v>
      </c>
      <c r="B35" s="10" t="s">
        <v>161</v>
      </c>
      <c r="C35" s="11" t="s">
        <v>162</v>
      </c>
      <c r="D35" s="10" t="s">
        <v>163</v>
      </c>
      <c r="E35" s="25" t="s">
        <v>62</v>
      </c>
      <c r="F35" s="25" t="s">
        <v>62</v>
      </c>
      <c r="G35" s="9" t="s">
        <v>38</v>
      </c>
      <c r="H35" s="13">
        <v>2019.0</v>
      </c>
      <c r="I35" s="14">
        <v>1.0</v>
      </c>
      <c r="J35" s="14">
        <v>1.0</v>
      </c>
      <c r="K35" s="14">
        <v>1.0</v>
      </c>
      <c r="L35" s="14">
        <v>1.0</v>
      </c>
      <c r="M35" s="14">
        <v>1.0</v>
      </c>
      <c r="N35" s="14">
        <v>0.0</v>
      </c>
      <c r="O35" s="14">
        <v>0.0</v>
      </c>
      <c r="P35" s="14">
        <v>0.0</v>
      </c>
      <c r="Q35" s="14">
        <v>0.0</v>
      </c>
      <c r="R35" s="14">
        <v>0.0</v>
      </c>
      <c r="S35" s="14">
        <v>0.0</v>
      </c>
      <c r="T35" s="14">
        <v>0.0</v>
      </c>
      <c r="U35" s="14">
        <v>0.0</v>
      </c>
      <c r="V35" s="14">
        <v>0.0</v>
      </c>
      <c r="W35" s="14" t="s">
        <v>39</v>
      </c>
      <c r="X35" s="14" t="s">
        <v>39</v>
      </c>
      <c r="Y35" s="9" t="s">
        <v>32</v>
      </c>
      <c r="Z35" s="9"/>
    </row>
    <row r="36">
      <c r="A36" s="9">
        <v>35.0</v>
      </c>
      <c r="B36" s="10" t="s">
        <v>164</v>
      </c>
      <c r="C36" s="11" t="s">
        <v>165</v>
      </c>
      <c r="D36" s="10" t="s">
        <v>166</v>
      </c>
      <c r="E36" s="23" t="s">
        <v>167</v>
      </c>
      <c r="F36" s="23" t="s">
        <v>167</v>
      </c>
      <c r="G36" s="9"/>
      <c r="H36" s="13">
        <v>2018.0</v>
      </c>
      <c r="I36" s="14"/>
      <c r="J36" s="14"/>
      <c r="K36" s="14"/>
      <c r="L36" s="14"/>
      <c r="M36" s="14"/>
      <c r="N36" s="19"/>
      <c r="O36" s="19"/>
      <c r="P36" s="19"/>
      <c r="Q36" s="19"/>
      <c r="R36" s="14"/>
      <c r="S36" s="19"/>
      <c r="T36" s="14">
        <v>1.0</v>
      </c>
      <c r="U36" s="19"/>
      <c r="V36" s="19"/>
      <c r="W36" s="14"/>
      <c r="X36" s="14" t="s">
        <v>31</v>
      </c>
      <c r="Y36" s="9" t="s">
        <v>32</v>
      </c>
      <c r="Z36" s="9" t="s">
        <v>70</v>
      </c>
    </row>
    <row r="37">
      <c r="A37" s="9">
        <v>36.0</v>
      </c>
      <c r="B37" s="10" t="s">
        <v>168</v>
      </c>
      <c r="C37" s="11" t="s">
        <v>169</v>
      </c>
      <c r="D37" s="10" t="s">
        <v>170</v>
      </c>
      <c r="E37" s="12" t="s">
        <v>36</v>
      </c>
      <c r="F37" s="12" t="s">
        <v>37</v>
      </c>
      <c r="G37" s="9"/>
      <c r="H37" s="18">
        <v>2018.0</v>
      </c>
      <c r="I37" s="19"/>
      <c r="J37" s="14"/>
      <c r="K37" s="14"/>
      <c r="L37" s="14"/>
      <c r="M37" s="19"/>
      <c r="N37" s="14">
        <v>1.0</v>
      </c>
      <c r="O37" s="19"/>
      <c r="P37" s="19"/>
      <c r="Q37" s="14"/>
      <c r="R37" s="19"/>
      <c r="S37" s="19"/>
      <c r="T37" s="19"/>
      <c r="U37" s="19"/>
      <c r="V37" s="19"/>
      <c r="W37" s="14"/>
      <c r="X37" s="14" t="s">
        <v>31</v>
      </c>
      <c r="Y37" s="9" t="s">
        <v>32</v>
      </c>
      <c r="Z37" s="9"/>
    </row>
    <row r="38">
      <c r="A38" s="9">
        <v>37.0</v>
      </c>
      <c r="B38" s="10" t="s">
        <v>171</v>
      </c>
      <c r="C38" s="16" t="s">
        <v>172</v>
      </c>
      <c r="D38" s="10" t="s">
        <v>173</v>
      </c>
      <c r="E38" s="12" t="s">
        <v>174</v>
      </c>
      <c r="F38" s="12" t="s">
        <v>175</v>
      </c>
      <c r="G38" s="9" t="s">
        <v>38</v>
      </c>
      <c r="H38" s="13">
        <v>2020.0</v>
      </c>
      <c r="I38" s="14"/>
      <c r="J38" s="14"/>
      <c r="K38" s="14"/>
      <c r="L38" s="14"/>
      <c r="M38" s="14"/>
      <c r="N38" s="19"/>
      <c r="O38" s="19"/>
      <c r="P38" s="19"/>
      <c r="Q38" s="14"/>
      <c r="R38" s="19"/>
      <c r="S38" s="14">
        <v>1.0</v>
      </c>
      <c r="T38" s="19"/>
      <c r="U38" s="19"/>
      <c r="V38" s="19"/>
      <c r="W38" s="14"/>
      <c r="X38" s="14" t="s">
        <v>31</v>
      </c>
      <c r="Y38" s="9" t="s">
        <v>32</v>
      </c>
      <c r="Z38" s="9"/>
    </row>
    <row r="39">
      <c r="A39" s="9">
        <v>38.0</v>
      </c>
      <c r="B39" s="10" t="s">
        <v>176</v>
      </c>
      <c r="C39" s="11" t="s">
        <v>177</v>
      </c>
      <c r="D39" s="15" t="s">
        <v>178</v>
      </c>
      <c r="E39" s="22" t="s">
        <v>62</v>
      </c>
      <c r="F39" s="22" t="s">
        <v>62</v>
      </c>
      <c r="G39" s="9" t="s">
        <v>58</v>
      </c>
      <c r="H39" s="13">
        <v>2019.0</v>
      </c>
      <c r="I39" s="14">
        <v>1.0</v>
      </c>
      <c r="J39" s="14">
        <v>1.0</v>
      </c>
      <c r="K39" s="14">
        <v>1.0</v>
      </c>
      <c r="L39" s="14">
        <v>1.0</v>
      </c>
      <c r="M39" s="14">
        <v>1.0</v>
      </c>
      <c r="N39" s="14">
        <v>0.0</v>
      </c>
      <c r="O39" s="14">
        <v>0.0</v>
      </c>
      <c r="P39" s="14">
        <v>0.0</v>
      </c>
      <c r="Q39" s="14">
        <v>0.0</v>
      </c>
      <c r="R39" s="14">
        <v>0.0</v>
      </c>
      <c r="S39" s="14">
        <v>0.0</v>
      </c>
      <c r="T39" s="14">
        <v>0.0</v>
      </c>
      <c r="U39" s="14">
        <v>0.0</v>
      </c>
      <c r="V39" s="14">
        <v>0.0</v>
      </c>
      <c r="W39" s="14" t="s">
        <v>39</v>
      </c>
      <c r="X39" s="14" t="s">
        <v>39</v>
      </c>
      <c r="Y39" s="9" t="s">
        <v>32</v>
      </c>
      <c r="Z39" s="9"/>
    </row>
    <row r="40">
      <c r="A40" s="9">
        <v>39.0</v>
      </c>
      <c r="B40" s="10" t="s">
        <v>179</v>
      </c>
      <c r="C40" s="11" t="s">
        <v>180</v>
      </c>
      <c r="D40" s="10" t="s">
        <v>181</v>
      </c>
      <c r="E40" s="23" t="s">
        <v>182</v>
      </c>
      <c r="F40" s="23" t="s">
        <v>182</v>
      </c>
      <c r="G40" s="9"/>
      <c r="H40" s="13">
        <v>2019.0</v>
      </c>
      <c r="I40" s="19"/>
      <c r="J40" s="19"/>
      <c r="K40" s="19"/>
      <c r="L40" s="19"/>
      <c r="M40" s="19"/>
      <c r="N40" s="14"/>
      <c r="O40" s="14"/>
      <c r="P40" s="14"/>
      <c r="Q40" s="14"/>
      <c r="R40" s="14">
        <v>1.0</v>
      </c>
      <c r="S40" s="19"/>
      <c r="T40" s="19"/>
      <c r="U40" s="19"/>
      <c r="V40" s="19"/>
      <c r="W40" s="14"/>
      <c r="X40" s="14" t="s">
        <v>31</v>
      </c>
      <c r="Y40" s="9" t="s">
        <v>32</v>
      </c>
      <c r="Z40" s="21"/>
    </row>
    <row r="41">
      <c r="A41" s="9">
        <v>40.0</v>
      </c>
      <c r="B41" s="10" t="s">
        <v>183</v>
      </c>
      <c r="C41" s="11" t="s">
        <v>184</v>
      </c>
      <c r="D41" s="10" t="s">
        <v>185</v>
      </c>
      <c r="E41" s="12" t="s">
        <v>36</v>
      </c>
      <c r="F41" s="12" t="s">
        <v>37</v>
      </c>
      <c r="G41" s="9" t="s">
        <v>58</v>
      </c>
      <c r="H41" s="13">
        <v>2019.0</v>
      </c>
      <c r="I41" s="14">
        <v>1.0</v>
      </c>
      <c r="J41" s="14">
        <v>1.0</v>
      </c>
      <c r="K41" s="14">
        <v>1.0</v>
      </c>
      <c r="L41" s="14">
        <v>1.0</v>
      </c>
      <c r="M41" s="14">
        <v>1.0</v>
      </c>
      <c r="N41" s="14">
        <v>0.0</v>
      </c>
      <c r="O41" s="14">
        <v>0.0</v>
      </c>
      <c r="P41" s="14">
        <v>0.0</v>
      </c>
      <c r="Q41" s="14">
        <v>0.0</v>
      </c>
      <c r="R41" s="14">
        <v>0.0</v>
      </c>
      <c r="S41" s="14">
        <v>0.0</v>
      </c>
      <c r="T41" s="14">
        <v>0.0</v>
      </c>
      <c r="U41" s="14">
        <v>0.0</v>
      </c>
      <c r="V41" s="14">
        <v>0.0</v>
      </c>
      <c r="W41" s="14" t="s">
        <v>39</v>
      </c>
      <c r="X41" s="14" t="s">
        <v>39</v>
      </c>
      <c r="Y41" s="9" t="s">
        <v>32</v>
      </c>
      <c r="Z41" s="9"/>
    </row>
    <row r="42">
      <c r="A42" s="9">
        <v>41.0</v>
      </c>
      <c r="B42" s="10" t="s">
        <v>186</v>
      </c>
      <c r="C42" s="11" t="s">
        <v>187</v>
      </c>
      <c r="D42" s="10" t="s">
        <v>188</v>
      </c>
      <c r="E42" s="22" t="s">
        <v>128</v>
      </c>
      <c r="F42" s="22" t="s">
        <v>128</v>
      </c>
      <c r="G42" s="9"/>
      <c r="H42" s="18">
        <v>2020.0</v>
      </c>
      <c r="I42" s="14"/>
      <c r="J42" s="14"/>
      <c r="K42" s="14"/>
      <c r="L42" s="14"/>
      <c r="M42" s="14"/>
      <c r="N42" s="19"/>
      <c r="O42" s="19"/>
      <c r="P42" s="19"/>
      <c r="Q42" s="19"/>
      <c r="R42" s="19"/>
      <c r="S42" s="14">
        <v>1.0</v>
      </c>
      <c r="T42" s="19"/>
      <c r="U42" s="19"/>
      <c r="V42" s="19"/>
      <c r="W42" s="14"/>
      <c r="X42" s="14" t="s">
        <v>31</v>
      </c>
      <c r="Y42" s="9" t="s">
        <v>32</v>
      </c>
      <c r="Z42" s="9" t="s">
        <v>82</v>
      </c>
    </row>
    <row r="43">
      <c r="A43" s="9">
        <v>42.0</v>
      </c>
      <c r="B43" s="10" t="s">
        <v>189</v>
      </c>
      <c r="C43" s="16" t="s">
        <v>190</v>
      </c>
      <c r="D43" s="10" t="s">
        <v>191</v>
      </c>
      <c r="E43" s="23" t="s">
        <v>192</v>
      </c>
      <c r="F43" s="23" t="s">
        <v>192</v>
      </c>
      <c r="G43" s="9"/>
      <c r="H43" s="13">
        <v>2018.0</v>
      </c>
      <c r="I43" s="14"/>
      <c r="J43" s="14"/>
      <c r="K43" s="14"/>
      <c r="L43" s="14"/>
      <c r="M43" s="14"/>
      <c r="N43" s="19"/>
      <c r="O43" s="19"/>
      <c r="P43" s="19"/>
      <c r="Q43" s="19"/>
      <c r="R43" s="14">
        <v>1.0</v>
      </c>
      <c r="S43" s="19"/>
      <c r="T43" s="19"/>
      <c r="U43" s="19"/>
      <c r="V43" s="19"/>
      <c r="W43" s="14"/>
      <c r="X43" s="14" t="s">
        <v>31</v>
      </c>
      <c r="Y43" s="9" t="s">
        <v>32</v>
      </c>
      <c r="Z43" s="9" t="s">
        <v>193</v>
      </c>
    </row>
    <row r="44">
      <c r="A44" s="9">
        <v>43.0</v>
      </c>
      <c r="B44" s="10" t="s">
        <v>194</v>
      </c>
      <c r="C44" s="16" t="s">
        <v>195</v>
      </c>
      <c r="D44" s="10" t="s">
        <v>196</v>
      </c>
      <c r="E44" s="23" t="s">
        <v>69</v>
      </c>
      <c r="F44" s="23" t="s">
        <v>69</v>
      </c>
      <c r="G44" s="9"/>
      <c r="H44" s="13">
        <v>2019.0</v>
      </c>
      <c r="I44" s="19"/>
      <c r="J44" s="14"/>
      <c r="K44" s="19"/>
      <c r="L44" s="19"/>
      <c r="M44" s="19"/>
      <c r="N44" s="14"/>
      <c r="O44" s="14">
        <v>1.0</v>
      </c>
      <c r="P44" s="14"/>
      <c r="Q44" s="14"/>
      <c r="R44" s="14"/>
      <c r="S44" s="19"/>
      <c r="T44" s="14">
        <v>1.0</v>
      </c>
      <c r="U44" s="19"/>
      <c r="V44" s="19"/>
      <c r="W44" s="14"/>
      <c r="X44" s="14" t="s">
        <v>31</v>
      </c>
      <c r="Y44" s="9" t="s">
        <v>32</v>
      </c>
      <c r="Z44" s="9" t="s">
        <v>70</v>
      </c>
    </row>
    <row r="45">
      <c r="A45" s="9">
        <v>44.0</v>
      </c>
      <c r="B45" s="10" t="s">
        <v>197</v>
      </c>
      <c r="C45" s="11" t="s">
        <v>198</v>
      </c>
      <c r="D45" s="10" t="s">
        <v>199</v>
      </c>
      <c r="E45" s="12" t="s">
        <v>36</v>
      </c>
      <c r="F45" s="12" t="s">
        <v>37</v>
      </c>
      <c r="G45" s="9" t="s">
        <v>58</v>
      </c>
      <c r="H45" s="13">
        <v>2019.0</v>
      </c>
      <c r="I45" s="14">
        <v>1.0</v>
      </c>
      <c r="J45" s="14">
        <v>1.0</v>
      </c>
      <c r="K45" s="14">
        <v>1.0</v>
      </c>
      <c r="L45" s="14">
        <v>1.0</v>
      </c>
      <c r="M45" s="14">
        <v>1.0</v>
      </c>
      <c r="N45" s="14">
        <v>0.0</v>
      </c>
      <c r="O45" s="14">
        <v>0.0</v>
      </c>
      <c r="P45" s="14">
        <v>0.0</v>
      </c>
      <c r="Q45" s="14">
        <v>0.0</v>
      </c>
      <c r="R45" s="14">
        <v>0.0</v>
      </c>
      <c r="S45" s="14">
        <v>0.0</v>
      </c>
      <c r="T45" s="14">
        <v>0.0</v>
      </c>
      <c r="U45" s="14">
        <v>0.0</v>
      </c>
      <c r="V45" s="14">
        <v>0.0</v>
      </c>
      <c r="W45" s="14" t="s">
        <v>39</v>
      </c>
      <c r="X45" s="14" t="s">
        <v>39</v>
      </c>
      <c r="Y45" s="9" t="s">
        <v>32</v>
      </c>
      <c r="Z45" s="9"/>
    </row>
    <row r="46">
      <c r="A46" s="9">
        <v>45.0</v>
      </c>
      <c r="B46" s="10" t="s">
        <v>200</v>
      </c>
      <c r="C46" s="16" t="s">
        <v>201</v>
      </c>
      <c r="D46" s="10" t="s">
        <v>202</v>
      </c>
      <c r="E46" s="22"/>
      <c r="F46" s="22"/>
      <c r="G46" s="9"/>
      <c r="H46" s="10"/>
      <c r="I46" s="19"/>
      <c r="J46" s="19"/>
      <c r="K46" s="19"/>
      <c r="L46" s="19"/>
      <c r="M46" s="19"/>
      <c r="N46" s="14"/>
      <c r="O46" s="14"/>
      <c r="P46" s="14"/>
      <c r="Q46" s="19"/>
      <c r="R46" s="14">
        <v>1.0</v>
      </c>
      <c r="S46" s="19"/>
      <c r="T46" s="19"/>
      <c r="U46" s="19"/>
      <c r="V46" s="19"/>
      <c r="W46" s="14"/>
      <c r="X46" s="14" t="s">
        <v>31</v>
      </c>
      <c r="Y46" s="9" t="s">
        <v>32</v>
      </c>
      <c r="Z46" s="21"/>
    </row>
    <row r="47">
      <c r="A47" s="9">
        <v>46.0</v>
      </c>
      <c r="B47" s="10" t="s">
        <v>203</v>
      </c>
      <c r="C47" s="11" t="s">
        <v>204</v>
      </c>
      <c r="D47" s="10" t="s">
        <v>205</v>
      </c>
      <c r="E47" s="17" t="s">
        <v>44</v>
      </c>
      <c r="F47" s="17" t="s">
        <v>44</v>
      </c>
      <c r="G47" s="9"/>
      <c r="H47" s="13">
        <v>2019.0</v>
      </c>
      <c r="I47" s="19"/>
      <c r="J47" s="19"/>
      <c r="K47" s="19"/>
      <c r="L47" s="19"/>
      <c r="M47" s="19"/>
      <c r="N47" s="14"/>
      <c r="O47" s="14"/>
      <c r="P47" s="14"/>
      <c r="Q47" s="19"/>
      <c r="R47" s="14"/>
      <c r="S47" s="19"/>
      <c r="T47" s="14">
        <v>1.0</v>
      </c>
      <c r="U47" s="19"/>
      <c r="V47" s="14"/>
      <c r="W47" s="14"/>
      <c r="X47" s="14" t="s">
        <v>31</v>
      </c>
      <c r="Y47" s="9" t="s">
        <v>32</v>
      </c>
      <c r="Z47" s="9" t="s">
        <v>50</v>
      </c>
    </row>
    <row r="48">
      <c r="A48" s="9">
        <v>47.0</v>
      </c>
      <c r="B48" s="10" t="s">
        <v>206</v>
      </c>
      <c r="C48" s="11" t="s">
        <v>207</v>
      </c>
      <c r="D48" s="10" t="s">
        <v>208</v>
      </c>
      <c r="E48" s="12" t="s">
        <v>209</v>
      </c>
      <c r="F48" s="12" t="s">
        <v>210</v>
      </c>
      <c r="G48" s="9" t="s">
        <v>58</v>
      </c>
      <c r="H48" s="13">
        <v>2020.0</v>
      </c>
      <c r="I48" s="19"/>
      <c r="J48" s="19"/>
      <c r="K48" s="19"/>
      <c r="L48" s="19"/>
      <c r="M48" s="19"/>
      <c r="N48" s="14"/>
      <c r="O48" s="14"/>
      <c r="P48" s="14"/>
      <c r="Q48" s="14"/>
      <c r="R48" s="19"/>
      <c r="S48" s="19"/>
      <c r="T48" s="14">
        <v>1.0</v>
      </c>
      <c r="U48" s="19"/>
      <c r="V48" s="19"/>
      <c r="W48" s="14" t="s">
        <v>31</v>
      </c>
      <c r="X48" s="14" t="s">
        <v>39</v>
      </c>
      <c r="Y48" s="9" t="s">
        <v>32</v>
      </c>
      <c r="Z48" s="9"/>
    </row>
    <row r="49">
      <c r="A49" s="9">
        <v>48.0</v>
      </c>
      <c r="B49" s="10" t="s">
        <v>211</v>
      </c>
      <c r="C49" s="11" t="s">
        <v>212</v>
      </c>
      <c r="D49" s="10" t="s">
        <v>213</v>
      </c>
      <c r="E49" s="12" t="s">
        <v>36</v>
      </c>
      <c r="F49" s="12" t="s">
        <v>37</v>
      </c>
      <c r="G49" s="9" t="s">
        <v>58</v>
      </c>
      <c r="H49" s="13">
        <v>2019.0</v>
      </c>
      <c r="I49" s="14"/>
      <c r="J49" s="14"/>
      <c r="K49" s="19"/>
      <c r="L49" s="19"/>
      <c r="M49" s="14"/>
      <c r="N49" s="19"/>
      <c r="O49" s="19"/>
      <c r="P49" s="14">
        <v>1.0</v>
      </c>
      <c r="Q49" s="14"/>
      <c r="R49" s="14"/>
      <c r="S49" s="14"/>
      <c r="T49" s="14"/>
      <c r="U49" s="14"/>
      <c r="V49" s="14"/>
      <c r="W49" s="14" t="s">
        <v>31</v>
      </c>
      <c r="X49" s="14" t="s">
        <v>39</v>
      </c>
      <c r="Y49" s="9" t="s">
        <v>32</v>
      </c>
      <c r="Z49" s="9" t="s">
        <v>214</v>
      </c>
    </row>
    <row r="50">
      <c r="A50" s="9">
        <v>49.0</v>
      </c>
      <c r="B50" s="10" t="s">
        <v>215</v>
      </c>
      <c r="C50" s="11" t="s">
        <v>216</v>
      </c>
      <c r="D50" s="10" t="s">
        <v>217</v>
      </c>
      <c r="E50" s="12" t="s">
        <v>80</v>
      </c>
      <c r="F50" s="12" t="s">
        <v>81</v>
      </c>
      <c r="G50" s="9" t="s">
        <v>58</v>
      </c>
      <c r="H50" s="13">
        <v>2020.0</v>
      </c>
      <c r="I50" s="14">
        <v>1.0</v>
      </c>
      <c r="J50" s="14">
        <v>1.0</v>
      </c>
      <c r="K50" s="14">
        <v>1.0</v>
      </c>
      <c r="L50" s="14">
        <v>1.0</v>
      </c>
      <c r="M50" s="14">
        <v>1.0</v>
      </c>
      <c r="N50" s="14">
        <v>0.0</v>
      </c>
      <c r="O50" s="14">
        <v>0.0</v>
      </c>
      <c r="P50" s="14">
        <v>0.0</v>
      </c>
      <c r="Q50" s="14">
        <v>0.0</v>
      </c>
      <c r="R50" s="14">
        <v>0.0</v>
      </c>
      <c r="S50" s="14">
        <v>0.0</v>
      </c>
      <c r="T50" s="14">
        <v>0.0</v>
      </c>
      <c r="U50" s="14">
        <v>0.0</v>
      </c>
      <c r="V50" s="14">
        <v>0.0</v>
      </c>
      <c r="W50" s="14" t="s">
        <v>39</v>
      </c>
      <c r="X50" s="14" t="s">
        <v>39</v>
      </c>
      <c r="Y50" s="9" t="s">
        <v>32</v>
      </c>
      <c r="Z50" s="9"/>
    </row>
    <row r="51">
      <c r="A51" s="9">
        <v>50.0</v>
      </c>
      <c r="B51" s="10" t="s">
        <v>218</v>
      </c>
      <c r="C51" s="11" t="s">
        <v>219</v>
      </c>
      <c r="D51" s="10" t="s">
        <v>220</v>
      </c>
      <c r="E51" s="25" t="s">
        <v>128</v>
      </c>
      <c r="F51" s="25" t="s">
        <v>128</v>
      </c>
      <c r="G51" s="9" t="s">
        <v>38</v>
      </c>
      <c r="H51" s="13">
        <v>2018.0</v>
      </c>
      <c r="I51" s="19"/>
      <c r="J51" s="14"/>
      <c r="K51" s="19"/>
      <c r="L51" s="19"/>
      <c r="M51" s="19"/>
      <c r="N51" s="19"/>
      <c r="O51" s="14">
        <v>1.0</v>
      </c>
      <c r="P51" s="19"/>
      <c r="Q51" s="14"/>
      <c r="R51" s="19"/>
      <c r="S51" s="19"/>
      <c r="T51" s="19"/>
      <c r="U51" s="19"/>
      <c r="V51" s="19"/>
      <c r="W51" s="14"/>
      <c r="X51" s="14" t="s">
        <v>31</v>
      </c>
      <c r="Y51" s="9" t="s">
        <v>32</v>
      </c>
      <c r="Z51" s="9"/>
    </row>
    <row r="52">
      <c r="A52" s="9">
        <v>51.0</v>
      </c>
      <c r="B52" s="10" t="s">
        <v>221</v>
      </c>
      <c r="C52" s="11" t="s">
        <v>222</v>
      </c>
      <c r="D52" s="10" t="s">
        <v>223</v>
      </c>
      <c r="E52" s="12" t="s">
        <v>80</v>
      </c>
      <c r="F52" s="12" t="s">
        <v>81</v>
      </c>
      <c r="G52" s="9" t="s">
        <v>58</v>
      </c>
      <c r="H52" s="13">
        <v>2020.0</v>
      </c>
      <c r="I52" s="14">
        <v>1.0</v>
      </c>
      <c r="J52" s="14">
        <v>1.0</v>
      </c>
      <c r="K52" s="14">
        <v>1.0</v>
      </c>
      <c r="L52" s="14">
        <v>1.0</v>
      </c>
      <c r="M52" s="14">
        <v>1.0</v>
      </c>
      <c r="N52" s="14">
        <v>0.0</v>
      </c>
      <c r="O52" s="14">
        <v>0.0</v>
      </c>
      <c r="P52" s="14">
        <v>0.0</v>
      </c>
      <c r="Q52" s="14">
        <v>0.0</v>
      </c>
      <c r="R52" s="14">
        <v>0.0</v>
      </c>
      <c r="S52" s="14">
        <v>0.0</v>
      </c>
      <c r="T52" s="14">
        <v>0.0</v>
      </c>
      <c r="U52" s="14">
        <v>0.0</v>
      </c>
      <c r="V52" s="14">
        <v>0.0</v>
      </c>
      <c r="W52" s="14" t="s">
        <v>39</v>
      </c>
      <c r="X52" s="14" t="s">
        <v>39</v>
      </c>
      <c r="Y52" s="9" t="s">
        <v>32</v>
      </c>
      <c r="Z52" s="9"/>
    </row>
    <row r="53">
      <c r="A53" s="9">
        <v>52.0</v>
      </c>
      <c r="B53" s="10" t="s">
        <v>224</v>
      </c>
      <c r="C53" s="11" t="s">
        <v>225</v>
      </c>
      <c r="D53" s="10" t="s">
        <v>226</v>
      </c>
      <c r="E53" s="22"/>
      <c r="F53" s="22"/>
      <c r="G53" s="9"/>
      <c r="H53" s="10"/>
      <c r="I53" s="19"/>
      <c r="J53" s="19"/>
      <c r="K53" s="19"/>
      <c r="L53" s="19"/>
      <c r="M53" s="19"/>
      <c r="N53" s="19"/>
      <c r="O53" s="19"/>
      <c r="P53" s="19"/>
      <c r="Q53" s="14"/>
      <c r="R53" s="19"/>
      <c r="S53" s="19"/>
      <c r="T53" s="19"/>
      <c r="U53" s="14">
        <v>1.0</v>
      </c>
      <c r="V53" s="19"/>
      <c r="W53" s="14"/>
      <c r="X53" s="14" t="s">
        <v>31</v>
      </c>
      <c r="Y53" s="9" t="s">
        <v>32</v>
      </c>
      <c r="Z53" s="9" t="s">
        <v>227</v>
      </c>
    </row>
    <row r="54">
      <c r="A54" s="9">
        <v>53.0</v>
      </c>
      <c r="B54" s="10" t="s">
        <v>228</v>
      </c>
      <c r="C54" s="11" t="s">
        <v>229</v>
      </c>
      <c r="D54" s="15" t="s">
        <v>230</v>
      </c>
      <c r="E54" s="12" t="s">
        <v>36</v>
      </c>
      <c r="F54" s="12" t="s">
        <v>37</v>
      </c>
      <c r="G54" s="9" t="s">
        <v>38</v>
      </c>
      <c r="H54" s="13">
        <v>2018.0</v>
      </c>
      <c r="I54" s="14">
        <v>1.0</v>
      </c>
      <c r="J54" s="14">
        <v>1.0</v>
      </c>
      <c r="K54" s="14">
        <v>1.0</v>
      </c>
      <c r="L54" s="14">
        <v>1.0</v>
      </c>
      <c r="M54" s="14">
        <v>1.0</v>
      </c>
      <c r="N54" s="14">
        <v>0.0</v>
      </c>
      <c r="O54" s="14">
        <v>0.0</v>
      </c>
      <c r="P54" s="14">
        <v>0.0</v>
      </c>
      <c r="Q54" s="14">
        <v>0.0</v>
      </c>
      <c r="R54" s="14">
        <v>0.0</v>
      </c>
      <c r="S54" s="14">
        <v>0.0</v>
      </c>
      <c r="T54" s="14">
        <v>0.0</v>
      </c>
      <c r="U54" s="14">
        <v>0.0</v>
      </c>
      <c r="V54" s="14">
        <v>0.0</v>
      </c>
      <c r="W54" s="14" t="s">
        <v>39</v>
      </c>
      <c r="X54" s="14" t="s">
        <v>39</v>
      </c>
      <c r="Y54" s="9" t="s">
        <v>32</v>
      </c>
      <c r="Z54" s="9"/>
    </row>
    <row r="55">
      <c r="A55" s="9">
        <v>54.0</v>
      </c>
      <c r="B55" s="10" t="s">
        <v>231</v>
      </c>
      <c r="C55" s="11" t="s">
        <v>232</v>
      </c>
      <c r="D55" s="10" t="s">
        <v>233</v>
      </c>
      <c r="E55" s="25" t="s">
        <v>62</v>
      </c>
      <c r="F55" s="25" t="s">
        <v>62</v>
      </c>
      <c r="G55" s="9" t="s">
        <v>38</v>
      </c>
      <c r="H55" s="18">
        <v>2020.0</v>
      </c>
      <c r="I55" s="14">
        <v>1.0</v>
      </c>
      <c r="J55" s="14">
        <v>1.0</v>
      </c>
      <c r="K55" s="14">
        <v>1.0</v>
      </c>
      <c r="L55" s="14">
        <v>1.0</v>
      </c>
      <c r="M55" s="14">
        <v>1.0</v>
      </c>
      <c r="N55" s="14">
        <v>0.0</v>
      </c>
      <c r="O55" s="14">
        <v>0.0</v>
      </c>
      <c r="P55" s="14">
        <v>0.0</v>
      </c>
      <c r="Q55" s="14">
        <v>0.0</v>
      </c>
      <c r="R55" s="14">
        <v>0.0</v>
      </c>
      <c r="S55" s="14">
        <v>0.0</v>
      </c>
      <c r="T55" s="14">
        <v>0.0</v>
      </c>
      <c r="U55" s="14">
        <v>0.0</v>
      </c>
      <c r="V55" s="14">
        <v>0.0</v>
      </c>
      <c r="W55" s="14" t="s">
        <v>39</v>
      </c>
      <c r="X55" s="14" t="s">
        <v>39</v>
      </c>
      <c r="Y55" s="9" t="s">
        <v>32</v>
      </c>
      <c r="Z55" s="9"/>
    </row>
    <row r="56">
      <c r="A56" s="9">
        <v>55.0</v>
      </c>
      <c r="B56" s="10" t="s">
        <v>234</v>
      </c>
      <c r="C56" s="11" t="s">
        <v>235</v>
      </c>
      <c r="D56" s="10" t="s">
        <v>236</v>
      </c>
      <c r="E56" s="23" t="s">
        <v>237</v>
      </c>
      <c r="F56" s="23" t="s">
        <v>237</v>
      </c>
      <c r="G56" s="9"/>
      <c r="H56" s="13">
        <v>2018.0</v>
      </c>
      <c r="I56" s="19"/>
      <c r="J56" s="19"/>
      <c r="K56" s="19"/>
      <c r="L56" s="19"/>
      <c r="M56" s="19"/>
      <c r="N56" s="19"/>
      <c r="O56" s="19"/>
      <c r="P56" s="19"/>
      <c r="Q56" s="19"/>
      <c r="R56" s="14"/>
      <c r="S56" s="19"/>
      <c r="T56" s="14">
        <v>1.0</v>
      </c>
      <c r="U56" s="19"/>
      <c r="V56" s="19"/>
      <c r="W56" s="14"/>
      <c r="X56" s="14" t="s">
        <v>31</v>
      </c>
      <c r="Y56" s="9" t="s">
        <v>32</v>
      </c>
      <c r="Z56" s="9" t="s">
        <v>70</v>
      </c>
    </row>
    <row r="57">
      <c r="A57" s="9">
        <v>56.0</v>
      </c>
      <c r="B57" s="10" t="s">
        <v>238</v>
      </c>
      <c r="C57" s="16" t="s">
        <v>239</v>
      </c>
      <c r="D57" s="10" t="s">
        <v>240</v>
      </c>
      <c r="E57" s="25" t="s">
        <v>128</v>
      </c>
      <c r="F57" s="25" t="s">
        <v>128</v>
      </c>
      <c r="G57" s="9" t="s">
        <v>38</v>
      </c>
      <c r="H57" s="13">
        <v>2020.0</v>
      </c>
      <c r="I57" s="14">
        <v>1.0</v>
      </c>
      <c r="J57" s="14">
        <v>1.0</v>
      </c>
      <c r="K57" s="14">
        <v>1.0</v>
      </c>
      <c r="L57" s="14">
        <v>1.0</v>
      </c>
      <c r="M57" s="14">
        <v>1.0</v>
      </c>
      <c r="N57" s="14">
        <v>0.0</v>
      </c>
      <c r="O57" s="14">
        <v>0.0</v>
      </c>
      <c r="P57" s="14">
        <v>0.0</v>
      </c>
      <c r="Q57" s="14">
        <v>0.0</v>
      </c>
      <c r="R57" s="14">
        <v>0.0</v>
      </c>
      <c r="S57" s="14">
        <v>0.0</v>
      </c>
      <c r="T57" s="14">
        <v>0.0</v>
      </c>
      <c r="U57" s="14">
        <v>0.0</v>
      </c>
      <c r="V57" s="14">
        <v>0.0</v>
      </c>
      <c r="W57" s="14" t="s">
        <v>39</v>
      </c>
      <c r="X57" s="14" t="s">
        <v>39</v>
      </c>
      <c r="Y57" s="9" t="s">
        <v>32</v>
      </c>
      <c r="Z57" s="9"/>
    </row>
    <row r="58">
      <c r="A58" s="9">
        <v>57.0</v>
      </c>
      <c r="B58" s="10" t="s">
        <v>241</v>
      </c>
      <c r="C58" s="11" t="s">
        <v>242</v>
      </c>
      <c r="D58" s="10" t="s">
        <v>243</v>
      </c>
      <c r="E58" s="12" t="s">
        <v>36</v>
      </c>
      <c r="F58" s="12" t="s">
        <v>37</v>
      </c>
      <c r="G58" s="9" t="s">
        <v>58</v>
      </c>
      <c r="H58" s="13">
        <v>2019.0</v>
      </c>
      <c r="I58" s="14">
        <v>1.0</v>
      </c>
      <c r="J58" s="14">
        <v>1.0</v>
      </c>
      <c r="K58" s="14">
        <v>1.0</v>
      </c>
      <c r="L58" s="14">
        <v>1.0</v>
      </c>
      <c r="M58" s="14">
        <v>1.0</v>
      </c>
      <c r="N58" s="14">
        <v>0.0</v>
      </c>
      <c r="O58" s="14">
        <v>0.0</v>
      </c>
      <c r="P58" s="14">
        <v>0.0</v>
      </c>
      <c r="Q58" s="14">
        <v>0.0</v>
      </c>
      <c r="R58" s="14">
        <v>0.0</v>
      </c>
      <c r="S58" s="14">
        <v>0.0</v>
      </c>
      <c r="T58" s="14">
        <v>0.0</v>
      </c>
      <c r="U58" s="14">
        <v>0.0</v>
      </c>
      <c r="V58" s="14">
        <v>0.0</v>
      </c>
      <c r="W58" s="14" t="s">
        <v>39</v>
      </c>
      <c r="X58" s="14" t="s">
        <v>39</v>
      </c>
      <c r="Y58" s="9" t="s">
        <v>32</v>
      </c>
      <c r="Z58" s="9"/>
    </row>
    <row r="59">
      <c r="A59" s="9">
        <v>58.0</v>
      </c>
      <c r="B59" s="10" t="s">
        <v>244</v>
      </c>
      <c r="C59" s="11" t="s">
        <v>245</v>
      </c>
      <c r="D59" s="10" t="s">
        <v>246</v>
      </c>
      <c r="E59" s="12" t="s">
        <v>36</v>
      </c>
      <c r="F59" s="12" t="s">
        <v>37</v>
      </c>
      <c r="G59" s="9" t="s">
        <v>58</v>
      </c>
      <c r="H59" s="18">
        <v>2019.0</v>
      </c>
      <c r="I59" s="14">
        <v>1.0</v>
      </c>
      <c r="J59" s="14">
        <v>1.0</v>
      </c>
      <c r="K59" s="14">
        <v>1.0</v>
      </c>
      <c r="L59" s="14">
        <v>1.0</v>
      </c>
      <c r="M59" s="14">
        <v>1.0</v>
      </c>
      <c r="N59" s="14">
        <v>0.0</v>
      </c>
      <c r="O59" s="14">
        <v>0.0</v>
      </c>
      <c r="P59" s="14">
        <v>0.0</v>
      </c>
      <c r="Q59" s="14">
        <v>0.0</v>
      </c>
      <c r="R59" s="14">
        <v>0.0</v>
      </c>
      <c r="S59" s="14">
        <v>0.0</v>
      </c>
      <c r="T59" s="14">
        <v>0.0</v>
      </c>
      <c r="U59" s="14">
        <v>0.0</v>
      </c>
      <c r="V59" s="14">
        <v>0.0</v>
      </c>
      <c r="W59" s="14" t="s">
        <v>39</v>
      </c>
      <c r="X59" s="14" t="s">
        <v>39</v>
      </c>
      <c r="Y59" s="9" t="s">
        <v>32</v>
      </c>
      <c r="Z59" s="9"/>
    </row>
    <row r="60">
      <c r="A60" s="9">
        <v>59.0</v>
      </c>
      <c r="B60" s="10" t="s">
        <v>247</v>
      </c>
      <c r="C60" s="11" t="s">
        <v>248</v>
      </c>
      <c r="D60" s="10" t="s">
        <v>249</v>
      </c>
      <c r="E60" s="12" t="s">
        <v>36</v>
      </c>
      <c r="F60" s="12" t="s">
        <v>37</v>
      </c>
      <c r="G60" s="9" t="s">
        <v>58</v>
      </c>
      <c r="H60" s="13">
        <v>2019.0</v>
      </c>
      <c r="I60" s="14">
        <v>1.0</v>
      </c>
      <c r="J60" s="14">
        <v>1.0</v>
      </c>
      <c r="K60" s="14">
        <v>1.0</v>
      </c>
      <c r="L60" s="14">
        <v>1.0</v>
      </c>
      <c r="M60" s="14">
        <v>1.0</v>
      </c>
      <c r="N60" s="14">
        <v>0.0</v>
      </c>
      <c r="O60" s="14">
        <v>0.0</v>
      </c>
      <c r="P60" s="14">
        <v>0.0</v>
      </c>
      <c r="Q60" s="14">
        <v>0.0</v>
      </c>
      <c r="R60" s="14">
        <v>0.0</v>
      </c>
      <c r="S60" s="14">
        <v>0.0</v>
      </c>
      <c r="T60" s="14">
        <v>0.0</v>
      </c>
      <c r="U60" s="14">
        <v>0.0</v>
      </c>
      <c r="V60" s="14">
        <v>0.0</v>
      </c>
      <c r="W60" s="14" t="s">
        <v>39</v>
      </c>
      <c r="X60" s="14" t="s">
        <v>39</v>
      </c>
      <c r="Y60" s="9" t="s">
        <v>32</v>
      </c>
      <c r="Z60" s="9"/>
    </row>
    <row r="61">
      <c r="A61" s="9">
        <v>60.0</v>
      </c>
      <c r="B61" s="10" t="s">
        <v>250</v>
      </c>
      <c r="C61" s="11" t="s">
        <v>251</v>
      </c>
      <c r="D61" s="10" t="s">
        <v>252</v>
      </c>
      <c r="E61" s="23" t="s">
        <v>253</v>
      </c>
      <c r="F61" s="23" t="s">
        <v>253</v>
      </c>
      <c r="G61" s="9"/>
      <c r="H61" s="13">
        <v>2018.0</v>
      </c>
      <c r="I61" s="19"/>
      <c r="J61" s="19"/>
      <c r="K61" s="19"/>
      <c r="L61" s="19"/>
      <c r="M61" s="19"/>
      <c r="N61" s="19"/>
      <c r="O61" s="19"/>
      <c r="P61" s="19"/>
      <c r="Q61" s="19"/>
      <c r="R61" s="14">
        <v>1.0</v>
      </c>
      <c r="S61" s="19"/>
      <c r="T61" s="19"/>
      <c r="U61" s="19"/>
      <c r="V61" s="19"/>
      <c r="W61" s="14"/>
      <c r="X61" s="14" t="s">
        <v>31</v>
      </c>
      <c r="Y61" s="9" t="s">
        <v>32</v>
      </c>
      <c r="Z61" s="9" t="s">
        <v>193</v>
      </c>
    </row>
    <row r="62">
      <c r="A62" s="9">
        <v>61.0</v>
      </c>
      <c r="B62" s="10" t="s">
        <v>254</v>
      </c>
      <c r="C62" s="11" t="s">
        <v>255</v>
      </c>
      <c r="D62" s="10" t="s">
        <v>256</v>
      </c>
      <c r="E62" s="17" t="s">
        <v>257</v>
      </c>
      <c r="F62" s="17" t="s">
        <v>257</v>
      </c>
      <c r="G62" s="9"/>
      <c r="H62" s="13">
        <v>2018.0</v>
      </c>
      <c r="I62" s="19"/>
      <c r="J62" s="14"/>
      <c r="K62" s="19"/>
      <c r="L62" s="19"/>
      <c r="M62" s="19"/>
      <c r="N62" s="19"/>
      <c r="O62" s="19"/>
      <c r="P62" s="19"/>
      <c r="Q62" s="14"/>
      <c r="R62" s="19"/>
      <c r="S62" s="19"/>
      <c r="T62" s="14">
        <v>1.0</v>
      </c>
      <c r="U62" s="19"/>
      <c r="V62" s="19"/>
      <c r="W62" s="14"/>
      <c r="X62" s="14" t="s">
        <v>31</v>
      </c>
      <c r="Y62" s="9" t="s">
        <v>32</v>
      </c>
      <c r="Z62" s="9" t="s">
        <v>70</v>
      </c>
    </row>
    <row r="63">
      <c r="A63" s="9">
        <v>62.0</v>
      </c>
      <c r="B63" s="10" t="s">
        <v>258</v>
      </c>
      <c r="C63" s="16" t="s">
        <v>259</v>
      </c>
      <c r="D63" s="10" t="s">
        <v>260</v>
      </c>
      <c r="E63" s="17" t="s">
        <v>261</v>
      </c>
      <c r="F63" s="17" t="s">
        <v>261</v>
      </c>
      <c r="G63" s="9"/>
      <c r="H63" s="13">
        <v>2019.0</v>
      </c>
      <c r="I63" s="19"/>
      <c r="J63" s="19"/>
      <c r="K63" s="19"/>
      <c r="L63" s="19"/>
      <c r="M63" s="19"/>
      <c r="N63" s="19"/>
      <c r="O63" s="19"/>
      <c r="P63" s="19"/>
      <c r="Q63" s="14"/>
      <c r="R63" s="14">
        <v>1.0</v>
      </c>
      <c r="S63" s="19"/>
      <c r="T63" s="14"/>
      <c r="U63" s="19"/>
      <c r="V63" s="19"/>
      <c r="W63" s="14"/>
      <c r="X63" s="14" t="s">
        <v>31</v>
      </c>
      <c r="Y63" s="9" t="s">
        <v>32</v>
      </c>
      <c r="Z63" s="9" t="s">
        <v>193</v>
      </c>
    </row>
    <row r="64">
      <c r="A64" s="9">
        <v>63.0</v>
      </c>
      <c r="B64" s="10" t="s">
        <v>262</v>
      </c>
      <c r="C64" s="16" t="s">
        <v>263</v>
      </c>
      <c r="D64" s="10" t="s">
        <v>264</v>
      </c>
      <c r="E64" s="17" t="s">
        <v>265</v>
      </c>
      <c r="F64" s="17" t="s">
        <v>265</v>
      </c>
      <c r="G64" s="9"/>
      <c r="H64" s="13">
        <v>2020.0</v>
      </c>
      <c r="I64" s="19"/>
      <c r="J64" s="14"/>
      <c r="K64" s="19"/>
      <c r="L64" s="19"/>
      <c r="M64" s="19"/>
      <c r="N64" s="14">
        <v>1.0</v>
      </c>
      <c r="O64" s="19"/>
      <c r="P64" s="19"/>
      <c r="Q64" s="14"/>
      <c r="R64" s="19"/>
      <c r="S64" s="19"/>
      <c r="T64" s="19"/>
      <c r="U64" s="19"/>
      <c r="V64" s="19"/>
      <c r="W64" s="14"/>
      <c r="X64" s="14" t="s">
        <v>31</v>
      </c>
      <c r="Y64" s="9" t="s">
        <v>32</v>
      </c>
      <c r="Z64" s="27" t="s">
        <v>266</v>
      </c>
    </row>
    <row r="65">
      <c r="A65" s="9">
        <v>64.0</v>
      </c>
      <c r="B65" s="10" t="s">
        <v>267</v>
      </c>
      <c r="C65" s="16" t="s">
        <v>268</v>
      </c>
      <c r="D65" s="10" t="s">
        <v>269</v>
      </c>
      <c r="E65" s="17" t="s">
        <v>270</v>
      </c>
      <c r="F65" s="17" t="s">
        <v>270</v>
      </c>
      <c r="G65" s="9"/>
      <c r="H65" s="13">
        <v>2018.0</v>
      </c>
      <c r="I65" s="14"/>
      <c r="J65" s="14"/>
      <c r="K65" s="19"/>
      <c r="L65" s="19"/>
      <c r="M65" s="19"/>
      <c r="N65" s="14">
        <v>1.0</v>
      </c>
      <c r="O65" s="19"/>
      <c r="P65" s="19"/>
      <c r="Q65" s="14"/>
      <c r="R65" s="19"/>
      <c r="S65" s="19"/>
      <c r="T65" s="19"/>
      <c r="U65" s="19"/>
      <c r="V65" s="19"/>
      <c r="W65" s="14"/>
      <c r="X65" s="14" t="s">
        <v>31</v>
      </c>
      <c r="Y65" s="9" t="s">
        <v>32</v>
      </c>
      <c r="Z65" s="9" t="s">
        <v>271</v>
      </c>
    </row>
    <row r="66">
      <c r="A66" s="9">
        <v>65.0</v>
      </c>
      <c r="B66" s="10" t="s">
        <v>272</v>
      </c>
      <c r="C66" s="11" t="s">
        <v>273</v>
      </c>
      <c r="D66" s="10" t="s">
        <v>274</v>
      </c>
      <c r="E66" s="23" t="s">
        <v>275</v>
      </c>
      <c r="F66" s="23" t="s">
        <v>275</v>
      </c>
      <c r="G66" s="9"/>
      <c r="H66" s="13">
        <v>2019.0</v>
      </c>
      <c r="I66" s="19"/>
      <c r="J66" s="19"/>
      <c r="K66" s="19"/>
      <c r="L66" s="19"/>
      <c r="M66" s="19"/>
      <c r="N66" s="19"/>
      <c r="O66" s="19"/>
      <c r="P66" s="19"/>
      <c r="Q66" s="14"/>
      <c r="R66" s="19"/>
      <c r="S66" s="19"/>
      <c r="T66" s="14">
        <v>1.0</v>
      </c>
      <c r="U66" s="19"/>
      <c r="V66" s="19"/>
      <c r="W66" s="14"/>
      <c r="X66" s="14" t="s">
        <v>31</v>
      </c>
      <c r="Y66" s="9" t="s">
        <v>32</v>
      </c>
      <c r="Z66" s="9" t="s">
        <v>70</v>
      </c>
    </row>
    <row r="67">
      <c r="A67" s="9">
        <v>66.0</v>
      </c>
      <c r="B67" s="10" t="s">
        <v>276</v>
      </c>
      <c r="C67" s="11" t="s">
        <v>277</v>
      </c>
      <c r="D67" s="10" t="s">
        <v>278</v>
      </c>
      <c r="E67" s="12" t="s">
        <v>36</v>
      </c>
      <c r="F67" s="12" t="s">
        <v>37</v>
      </c>
      <c r="G67" s="9"/>
      <c r="H67" s="13">
        <v>2019.0</v>
      </c>
      <c r="I67" s="19"/>
      <c r="J67" s="14"/>
      <c r="K67" s="19"/>
      <c r="L67" s="19"/>
      <c r="M67" s="19"/>
      <c r="N67" s="14"/>
      <c r="O67" s="14"/>
      <c r="P67" s="14">
        <v>1.0</v>
      </c>
      <c r="Q67" s="19"/>
      <c r="R67" s="19"/>
      <c r="S67" s="19"/>
      <c r="T67" s="19"/>
      <c r="U67" s="19"/>
      <c r="V67" s="19"/>
      <c r="W67" s="14"/>
      <c r="X67" s="14" t="s">
        <v>31</v>
      </c>
      <c r="Y67" s="9" t="s">
        <v>32</v>
      </c>
      <c r="Z67" s="9"/>
    </row>
    <row r="68">
      <c r="A68" s="9">
        <v>67.0</v>
      </c>
      <c r="B68" s="10" t="s">
        <v>279</v>
      </c>
      <c r="C68" s="11" t="s">
        <v>280</v>
      </c>
      <c r="D68" s="10" t="s">
        <v>281</v>
      </c>
      <c r="E68" s="12" t="s">
        <v>36</v>
      </c>
      <c r="F68" s="12" t="s">
        <v>37</v>
      </c>
      <c r="G68" s="9"/>
      <c r="H68" s="13">
        <v>2020.0</v>
      </c>
      <c r="I68" s="19"/>
      <c r="J68" s="19"/>
      <c r="K68" s="19"/>
      <c r="L68" s="19"/>
      <c r="M68" s="19"/>
      <c r="N68" s="19"/>
      <c r="O68" s="19"/>
      <c r="P68" s="19"/>
      <c r="Q68" s="19"/>
      <c r="R68" s="19"/>
      <c r="S68" s="14">
        <v>1.0</v>
      </c>
      <c r="T68" s="19"/>
      <c r="U68" s="19"/>
      <c r="V68" s="19"/>
      <c r="W68" s="14"/>
      <c r="X68" s="14" t="s">
        <v>31</v>
      </c>
      <c r="Y68" s="9" t="s">
        <v>32</v>
      </c>
      <c r="Z68" s="9" t="s">
        <v>82</v>
      </c>
    </row>
    <row r="69">
      <c r="A69" s="9">
        <v>68.0</v>
      </c>
      <c r="B69" s="10" t="s">
        <v>282</v>
      </c>
      <c r="C69" s="11" t="s">
        <v>283</v>
      </c>
      <c r="D69" s="10" t="s">
        <v>284</v>
      </c>
      <c r="E69" s="25" t="s">
        <v>62</v>
      </c>
      <c r="F69" s="25" t="s">
        <v>62</v>
      </c>
      <c r="G69" s="9" t="s">
        <v>38</v>
      </c>
      <c r="H69" s="13">
        <v>2019.0</v>
      </c>
      <c r="I69" s="14">
        <v>1.0</v>
      </c>
      <c r="J69" s="14">
        <v>1.0</v>
      </c>
      <c r="K69" s="14">
        <v>1.0</v>
      </c>
      <c r="L69" s="14">
        <v>1.0</v>
      </c>
      <c r="M69" s="14">
        <v>1.0</v>
      </c>
      <c r="N69" s="14">
        <v>0.0</v>
      </c>
      <c r="O69" s="14">
        <v>0.0</v>
      </c>
      <c r="P69" s="14">
        <v>0.0</v>
      </c>
      <c r="Q69" s="14">
        <v>0.0</v>
      </c>
      <c r="R69" s="14">
        <v>0.0</v>
      </c>
      <c r="S69" s="14">
        <v>0.0</v>
      </c>
      <c r="T69" s="14">
        <v>0.0</v>
      </c>
      <c r="U69" s="14">
        <v>0.0</v>
      </c>
      <c r="V69" s="14">
        <v>0.0</v>
      </c>
      <c r="W69" s="14" t="s">
        <v>39</v>
      </c>
      <c r="X69" s="14" t="s">
        <v>39</v>
      </c>
      <c r="Y69" s="9" t="s">
        <v>32</v>
      </c>
      <c r="Z69" s="9"/>
    </row>
    <row r="70">
      <c r="A70" s="9">
        <v>69.0</v>
      </c>
      <c r="B70" s="10" t="s">
        <v>285</v>
      </c>
      <c r="C70" s="11" t="s">
        <v>286</v>
      </c>
      <c r="D70" s="10" t="s">
        <v>287</v>
      </c>
      <c r="E70" s="12" t="s">
        <v>29</v>
      </c>
      <c r="F70" s="12" t="s">
        <v>30</v>
      </c>
      <c r="G70" s="9"/>
      <c r="H70" s="13">
        <v>2019.0</v>
      </c>
      <c r="I70" s="14"/>
      <c r="J70" s="14"/>
      <c r="K70" s="19"/>
      <c r="L70" s="19"/>
      <c r="M70" s="19"/>
      <c r="N70" s="14"/>
      <c r="O70" s="14"/>
      <c r="P70" s="14">
        <v>1.0</v>
      </c>
      <c r="Q70" s="14"/>
      <c r="R70" s="19"/>
      <c r="S70" s="19"/>
      <c r="T70" s="19"/>
      <c r="U70" s="19"/>
      <c r="V70" s="19"/>
      <c r="W70" s="14"/>
      <c r="X70" s="14" t="s">
        <v>31</v>
      </c>
      <c r="Y70" s="9" t="s">
        <v>32</v>
      </c>
      <c r="Z70" s="9"/>
    </row>
    <row r="71">
      <c r="A71" s="9">
        <v>70.0</v>
      </c>
      <c r="B71" s="10" t="s">
        <v>288</v>
      </c>
      <c r="C71" s="11" t="s">
        <v>289</v>
      </c>
      <c r="D71" s="10" t="s">
        <v>290</v>
      </c>
      <c r="E71" s="12" t="s">
        <v>29</v>
      </c>
      <c r="F71" s="12" t="s">
        <v>30</v>
      </c>
      <c r="G71" s="9" t="s">
        <v>38</v>
      </c>
      <c r="H71" s="13">
        <v>2020.0</v>
      </c>
      <c r="I71" s="14"/>
      <c r="J71" s="14"/>
      <c r="K71" s="19"/>
      <c r="L71" s="19"/>
      <c r="M71" s="14"/>
      <c r="N71" s="14"/>
      <c r="O71" s="14">
        <v>1.0</v>
      </c>
      <c r="P71" s="14">
        <v>1.0</v>
      </c>
      <c r="Q71" s="14"/>
      <c r="R71" s="14"/>
      <c r="S71" s="14"/>
      <c r="T71" s="14"/>
      <c r="U71" s="14"/>
      <c r="V71" s="14"/>
      <c r="W71" s="14"/>
      <c r="X71" s="14" t="s">
        <v>31</v>
      </c>
      <c r="Y71" s="9" t="s">
        <v>32</v>
      </c>
      <c r="Z71" s="9"/>
    </row>
    <row r="72">
      <c r="A72" s="9">
        <v>71.0</v>
      </c>
      <c r="B72" s="10" t="s">
        <v>291</v>
      </c>
      <c r="C72" s="11" t="s">
        <v>292</v>
      </c>
      <c r="D72" s="10" t="s">
        <v>293</v>
      </c>
      <c r="E72" s="12" t="s">
        <v>36</v>
      </c>
      <c r="F72" s="12" t="s">
        <v>37</v>
      </c>
      <c r="G72" s="9"/>
      <c r="H72" s="13">
        <v>2018.0</v>
      </c>
      <c r="I72" s="19"/>
      <c r="J72" s="14"/>
      <c r="K72" s="19"/>
      <c r="L72" s="19"/>
      <c r="M72" s="19"/>
      <c r="N72" s="14"/>
      <c r="O72" s="14">
        <v>1.0</v>
      </c>
      <c r="P72" s="14">
        <v>1.0</v>
      </c>
      <c r="Q72" s="14"/>
      <c r="R72" s="19"/>
      <c r="S72" s="19"/>
      <c r="T72" s="19"/>
      <c r="U72" s="19"/>
      <c r="V72" s="19"/>
      <c r="W72" s="14"/>
      <c r="X72" s="14" t="s">
        <v>31</v>
      </c>
      <c r="Y72" s="9" t="s">
        <v>32</v>
      </c>
      <c r="Z72" s="9"/>
    </row>
    <row r="73">
      <c r="A73" s="9">
        <v>72.0</v>
      </c>
      <c r="B73" s="10" t="s">
        <v>294</v>
      </c>
      <c r="C73" s="11" t="s">
        <v>295</v>
      </c>
      <c r="D73" s="10" t="s">
        <v>296</v>
      </c>
      <c r="E73" s="12" t="s">
        <v>36</v>
      </c>
      <c r="F73" s="12" t="s">
        <v>37</v>
      </c>
      <c r="G73" s="9"/>
      <c r="H73" s="13">
        <v>2019.0</v>
      </c>
      <c r="I73" s="19"/>
      <c r="J73" s="14"/>
      <c r="K73" s="19"/>
      <c r="L73" s="19"/>
      <c r="M73" s="19"/>
      <c r="N73" s="19"/>
      <c r="O73" s="14">
        <v>1.0</v>
      </c>
      <c r="P73" s="19"/>
      <c r="Q73" s="14"/>
      <c r="R73" s="19"/>
      <c r="S73" s="19"/>
      <c r="T73" s="19"/>
      <c r="U73" s="19"/>
      <c r="V73" s="19"/>
      <c r="W73" s="14"/>
      <c r="X73" s="14" t="s">
        <v>31</v>
      </c>
      <c r="Y73" s="9" t="s">
        <v>32</v>
      </c>
      <c r="Z73" s="9" t="s">
        <v>297</v>
      </c>
    </row>
    <row r="74">
      <c r="A74" s="9">
        <v>73.0</v>
      </c>
      <c r="B74" s="10" t="s">
        <v>298</v>
      </c>
      <c r="C74" s="11" t="s">
        <v>299</v>
      </c>
      <c r="D74" s="10" t="s">
        <v>300</v>
      </c>
      <c r="E74" s="12" t="s">
        <v>80</v>
      </c>
      <c r="F74" s="12" t="s">
        <v>81</v>
      </c>
      <c r="G74" s="9" t="s">
        <v>58</v>
      </c>
      <c r="H74" s="13">
        <v>2019.0</v>
      </c>
      <c r="I74" s="14">
        <v>1.0</v>
      </c>
      <c r="J74" s="14">
        <v>1.0</v>
      </c>
      <c r="K74" s="14">
        <v>1.0</v>
      </c>
      <c r="L74" s="14">
        <v>1.0</v>
      </c>
      <c r="M74" s="14">
        <v>1.0</v>
      </c>
      <c r="N74" s="14">
        <v>0.0</v>
      </c>
      <c r="O74" s="14">
        <v>0.0</v>
      </c>
      <c r="P74" s="14">
        <v>0.0</v>
      </c>
      <c r="Q74" s="14">
        <v>0.0</v>
      </c>
      <c r="R74" s="14">
        <v>0.0</v>
      </c>
      <c r="S74" s="14">
        <v>0.0</v>
      </c>
      <c r="T74" s="14">
        <v>0.0</v>
      </c>
      <c r="U74" s="14">
        <v>0.0</v>
      </c>
      <c r="V74" s="14">
        <v>0.0</v>
      </c>
      <c r="W74" s="14" t="s">
        <v>39</v>
      </c>
      <c r="X74" s="14" t="s">
        <v>39</v>
      </c>
      <c r="Y74" s="9" t="s">
        <v>32</v>
      </c>
      <c r="Z74" s="9"/>
    </row>
    <row r="75">
      <c r="A75" s="9">
        <v>74.0</v>
      </c>
      <c r="B75" s="10" t="s">
        <v>301</v>
      </c>
      <c r="C75" s="11" t="s">
        <v>302</v>
      </c>
      <c r="D75" s="10" t="s">
        <v>303</v>
      </c>
      <c r="E75" s="12" t="s">
        <v>36</v>
      </c>
      <c r="F75" s="12" t="s">
        <v>37</v>
      </c>
      <c r="G75" s="9" t="s">
        <v>58</v>
      </c>
      <c r="H75" s="13">
        <v>2019.0</v>
      </c>
      <c r="I75" s="14">
        <v>1.0</v>
      </c>
      <c r="J75" s="14">
        <v>1.0</v>
      </c>
      <c r="K75" s="14">
        <v>1.0</v>
      </c>
      <c r="L75" s="14">
        <v>1.0</v>
      </c>
      <c r="M75" s="14">
        <v>1.0</v>
      </c>
      <c r="N75" s="14">
        <v>0.0</v>
      </c>
      <c r="O75" s="14">
        <v>0.0</v>
      </c>
      <c r="P75" s="14">
        <v>0.0</v>
      </c>
      <c r="Q75" s="14">
        <v>0.0</v>
      </c>
      <c r="R75" s="14">
        <v>0.0</v>
      </c>
      <c r="S75" s="14">
        <v>0.0</v>
      </c>
      <c r="T75" s="14">
        <v>0.0</v>
      </c>
      <c r="U75" s="14">
        <v>0.0</v>
      </c>
      <c r="V75" s="14">
        <v>0.0</v>
      </c>
      <c r="W75" s="14" t="s">
        <v>39</v>
      </c>
      <c r="X75" s="14" t="s">
        <v>39</v>
      </c>
      <c r="Y75" s="9" t="s">
        <v>32</v>
      </c>
      <c r="Z75" s="9"/>
    </row>
    <row r="76">
      <c r="A76" s="9">
        <v>75.0</v>
      </c>
      <c r="B76" s="10" t="s">
        <v>304</v>
      </c>
      <c r="C76" s="11" t="s">
        <v>305</v>
      </c>
      <c r="D76" s="10" t="s">
        <v>306</v>
      </c>
      <c r="E76" s="12" t="s">
        <v>36</v>
      </c>
      <c r="F76" s="12" t="s">
        <v>37</v>
      </c>
      <c r="G76" s="9"/>
      <c r="H76" s="13">
        <v>2019.0</v>
      </c>
      <c r="I76" s="19"/>
      <c r="J76" s="14"/>
      <c r="K76" s="19"/>
      <c r="L76" s="19"/>
      <c r="M76" s="19"/>
      <c r="N76" s="14">
        <v>1.0</v>
      </c>
      <c r="O76" s="19"/>
      <c r="P76" s="19"/>
      <c r="Q76" s="14"/>
      <c r="R76" s="19"/>
      <c r="S76" s="19"/>
      <c r="T76" s="19"/>
      <c r="U76" s="19"/>
      <c r="V76" s="19"/>
      <c r="W76" s="14"/>
      <c r="X76" s="14" t="s">
        <v>31</v>
      </c>
      <c r="Y76" s="9" t="s">
        <v>32</v>
      </c>
      <c r="Z76" s="9" t="s">
        <v>307</v>
      </c>
    </row>
    <row r="77">
      <c r="A77" s="9">
        <v>76.0</v>
      </c>
      <c r="B77" s="10" t="s">
        <v>308</v>
      </c>
      <c r="C77" s="16" t="s">
        <v>309</v>
      </c>
      <c r="D77" s="10" t="s">
        <v>310</v>
      </c>
      <c r="E77" s="23" t="s">
        <v>270</v>
      </c>
      <c r="F77" s="23" t="s">
        <v>270</v>
      </c>
      <c r="G77" s="9"/>
      <c r="H77" s="13">
        <v>2020.0</v>
      </c>
      <c r="I77" s="14">
        <v>0.0</v>
      </c>
      <c r="J77" s="14"/>
      <c r="K77" s="19"/>
      <c r="L77" s="19"/>
      <c r="M77" s="19"/>
      <c r="N77" s="14"/>
      <c r="O77" s="14"/>
      <c r="P77" s="14">
        <v>1.0</v>
      </c>
      <c r="Q77" s="19"/>
      <c r="R77" s="19"/>
      <c r="S77" s="19"/>
      <c r="T77" s="19"/>
      <c r="U77" s="19"/>
      <c r="V77" s="19"/>
      <c r="W77" s="14"/>
      <c r="X77" s="14" t="s">
        <v>31</v>
      </c>
      <c r="Y77" s="9" t="s">
        <v>32</v>
      </c>
      <c r="Z77" s="21"/>
    </row>
    <row r="78">
      <c r="A78" s="9">
        <v>77.0</v>
      </c>
      <c r="B78" s="10" t="s">
        <v>311</v>
      </c>
      <c r="C78" s="11" t="s">
        <v>312</v>
      </c>
      <c r="D78" s="10" t="s">
        <v>313</v>
      </c>
      <c r="E78" s="22" t="s">
        <v>128</v>
      </c>
      <c r="F78" s="22" t="s">
        <v>128</v>
      </c>
      <c r="G78" s="9" t="s">
        <v>38</v>
      </c>
      <c r="H78" s="13">
        <v>2018.0</v>
      </c>
      <c r="I78" s="14">
        <v>1.0</v>
      </c>
      <c r="J78" s="14">
        <v>1.0</v>
      </c>
      <c r="K78" s="14">
        <v>1.0</v>
      </c>
      <c r="L78" s="14">
        <v>1.0</v>
      </c>
      <c r="M78" s="14">
        <v>1.0</v>
      </c>
      <c r="N78" s="14">
        <v>0.0</v>
      </c>
      <c r="O78" s="14">
        <v>0.0</v>
      </c>
      <c r="P78" s="14">
        <v>0.0</v>
      </c>
      <c r="Q78" s="14">
        <v>0.0</v>
      </c>
      <c r="R78" s="14">
        <v>0.0</v>
      </c>
      <c r="S78" s="14">
        <v>0.0</v>
      </c>
      <c r="T78" s="14">
        <v>0.0</v>
      </c>
      <c r="U78" s="14">
        <v>0.0</v>
      </c>
      <c r="V78" s="14">
        <v>0.0</v>
      </c>
      <c r="W78" s="14" t="s">
        <v>39</v>
      </c>
      <c r="X78" s="14" t="s">
        <v>39</v>
      </c>
      <c r="Y78" s="9" t="s">
        <v>32</v>
      </c>
      <c r="Z78" s="9"/>
    </row>
    <row r="79">
      <c r="A79" s="9">
        <v>78.0</v>
      </c>
      <c r="B79" s="10" t="s">
        <v>314</v>
      </c>
      <c r="C79" s="16" t="s">
        <v>315</v>
      </c>
      <c r="D79" s="10" t="s">
        <v>316</v>
      </c>
      <c r="E79" s="12" t="s">
        <v>317</v>
      </c>
      <c r="F79" s="12" t="s">
        <v>318</v>
      </c>
      <c r="G79" s="9" t="s">
        <v>38</v>
      </c>
      <c r="H79" s="13">
        <v>2019.0</v>
      </c>
      <c r="I79" s="14">
        <v>1.0</v>
      </c>
      <c r="J79" s="14">
        <v>1.0</v>
      </c>
      <c r="K79" s="14">
        <v>1.0</v>
      </c>
      <c r="L79" s="14">
        <v>1.0</v>
      </c>
      <c r="M79" s="14">
        <v>1.0</v>
      </c>
      <c r="N79" s="14">
        <v>0.0</v>
      </c>
      <c r="O79" s="14">
        <v>0.0</v>
      </c>
      <c r="P79" s="14">
        <v>0.0</v>
      </c>
      <c r="Q79" s="14">
        <v>0.0</v>
      </c>
      <c r="R79" s="14">
        <v>0.0</v>
      </c>
      <c r="S79" s="14">
        <v>0.0</v>
      </c>
      <c r="T79" s="14">
        <v>0.0</v>
      </c>
      <c r="U79" s="14">
        <v>0.0</v>
      </c>
      <c r="V79" s="14">
        <v>0.0</v>
      </c>
      <c r="W79" s="14" t="s">
        <v>39</v>
      </c>
      <c r="X79" s="14" t="s">
        <v>39</v>
      </c>
      <c r="Y79" s="9" t="s">
        <v>32</v>
      </c>
      <c r="Z79" s="9"/>
    </row>
    <row r="80">
      <c r="A80" s="9">
        <v>79.0</v>
      </c>
      <c r="B80" s="10" t="s">
        <v>319</v>
      </c>
      <c r="C80" s="11" t="s">
        <v>320</v>
      </c>
      <c r="D80" s="15" t="s">
        <v>321</v>
      </c>
      <c r="E80" s="12" t="s">
        <v>36</v>
      </c>
      <c r="F80" s="12" t="s">
        <v>37</v>
      </c>
      <c r="G80" s="9" t="s">
        <v>38</v>
      </c>
      <c r="H80" s="13">
        <v>2019.0</v>
      </c>
      <c r="I80" s="14">
        <v>1.0</v>
      </c>
      <c r="J80" s="14">
        <v>1.0</v>
      </c>
      <c r="K80" s="14">
        <v>1.0</v>
      </c>
      <c r="L80" s="14">
        <v>1.0</v>
      </c>
      <c r="M80" s="14">
        <v>1.0</v>
      </c>
      <c r="N80" s="14">
        <v>0.0</v>
      </c>
      <c r="O80" s="14">
        <v>0.0</v>
      </c>
      <c r="P80" s="14">
        <v>0.0</v>
      </c>
      <c r="Q80" s="14">
        <v>0.0</v>
      </c>
      <c r="R80" s="14">
        <v>0.0</v>
      </c>
      <c r="S80" s="14">
        <v>0.0</v>
      </c>
      <c r="T80" s="14">
        <v>0.0</v>
      </c>
      <c r="U80" s="14">
        <v>0.0</v>
      </c>
      <c r="V80" s="14">
        <v>0.0</v>
      </c>
      <c r="W80" s="14" t="s">
        <v>39</v>
      </c>
      <c r="X80" s="14" t="s">
        <v>39</v>
      </c>
      <c r="Y80" s="9" t="s">
        <v>32</v>
      </c>
      <c r="Z80" s="9"/>
    </row>
    <row r="81">
      <c r="A81" s="9">
        <v>80.0</v>
      </c>
      <c r="B81" s="10" t="s">
        <v>322</v>
      </c>
      <c r="C81" s="11" t="s">
        <v>323</v>
      </c>
      <c r="D81" s="10" t="s">
        <v>324</v>
      </c>
      <c r="E81" s="12" t="s">
        <v>36</v>
      </c>
      <c r="F81" s="12" t="s">
        <v>37</v>
      </c>
      <c r="G81" s="9" t="s">
        <v>58</v>
      </c>
      <c r="H81" s="13">
        <v>2019.0</v>
      </c>
      <c r="I81" s="14"/>
      <c r="J81" s="14"/>
      <c r="K81" s="14"/>
      <c r="L81" s="14"/>
      <c r="M81" s="14"/>
      <c r="N81" s="14"/>
      <c r="O81" s="14"/>
      <c r="P81" s="14"/>
      <c r="Q81" s="14"/>
      <c r="R81" s="14"/>
      <c r="S81" s="14">
        <v>1.0</v>
      </c>
      <c r="T81" s="14"/>
      <c r="U81" s="14"/>
      <c r="V81" s="14"/>
      <c r="W81" s="14" t="s">
        <v>31</v>
      </c>
      <c r="X81" s="14" t="s">
        <v>39</v>
      </c>
      <c r="Y81" s="9" t="s">
        <v>32</v>
      </c>
      <c r="Z81" s="9"/>
    </row>
    <row r="82">
      <c r="A82" s="9">
        <v>81.0</v>
      </c>
      <c r="B82" s="10" t="s">
        <v>325</v>
      </c>
      <c r="C82" s="16" t="s">
        <v>326</v>
      </c>
      <c r="D82" s="10" t="s">
        <v>327</v>
      </c>
      <c r="E82" s="25" t="s">
        <v>62</v>
      </c>
      <c r="F82" s="25" t="s">
        <v>62</v>
      </c>
      <c r="G82" s="9"/>
      <c r="H82" s="13">
        <v>2020.0</v>
      </c>
      <c r="I82" s="14">
        <v>1.0</v>
      </c>
      <c r="J82" s="14">
        <v>1.0</v>
      </c>
      <c r="K82" s="14">
        <v>1.0</v>
      </c>
      <c r="L82" s="14">
        <v>1.0</v>
      </c>
      <c r="M82" s="14">
        <v>1.0</v>
      </c>
      <c r="N82" s="14">
        <v>0.0</v>
      </c>
      <c r="O82" s="14">
        <v>0.0</v>
      </c>
      <c r="P82" s="14">
        <v>0.0</v>
      </c>
      <c r="Q82" s="14">
        <v>0.0</v>
      </c>
      <c r="R82" s="14">
        <v>0.0</v>
      </c>
      <c r="S82" s="14">
        <v>0.0</v>
      </c>
      <c r="T82" s="14">
        <v>0.0</v>
      </c>
      <c r="U82" s="14">
        <v>0.0</v>
      </c>
      <c r="V82" s="14">
        <v>0.0</v>
      </c>
      <c r="W82" s="14" t="s">
        <v>39</v>
      </c>
      <c r="X82" s="14" t="s">
        <v>39</v>
      </c>
      <c r="Y82" s="9" t="s">
        <v>32</v>
      </c>
      <c r="Z82" s="9"/>
    </row>
    <row r="83">
      <c r="A83" s="9">
        <v>82.0</v>
      </c>
      <c r="B83" s="10" t="s">
        <v>328</v>
      </c>
      <c r="C83" s="11" t="s">
        <v>329</v>
      </c>
      <c r="D83" s="10" t="s">
        <v>330</v>
      </c>
      <c r="E83" s="12" t="s">
        <v>36</v>
      </c>
      <c r="F83" s="12" t="s">
        <v>37</v>
      </c>
      <c r="G83" s="9" t="s">
        <v>38</v>
      </c>
      <c r="H83" s="13">
        <v>2019.0</v>
      </c>
      <c r="I83" s="14">
        <v>1.0</v>
      </c>
      <c r="J83" s="14">
        <v>1.0</v>
      </c>
      <c r="K83" s="14">
        <v>1.0</v>
      </c>
      <c r="L83" s="14">
        <v>1.0</v>
      </c>
      <c r="M83" s="14">
        <v>1.0</v>
      </c>
      <c r="N83" s="14">
        <v>0.0</v>
      </c>
      <c r="O83" s="14">
        <v>0.0</v>
      </c>
      <c r="P83" s="14">
        <v>0.0</v>
      </c>
      <c r="Q83" s="14">
        <v>0.0</v>
      </c>
      <c r="R83" s="14">
        <v>0.0</v>
      </c>
      <c r="S83" s="14">
        <v>0.0</v>
      </c>
      <c r="T83" s="14">
        <v>0.0</v>
      </c>
      <c r="U83" s="14">
        <v>0.0</v>
      </c>
      <c r="V83" s="14">
        <v>0.0</v>
      </c>
      <c r="W83" s="14" t="s">
        <v>39</v>
      </c>
      <c r="X83" s="14" t="s">
        <v>39</v>
      </c>
      <c r="Y83" s="9" t="s">
        <v>32</v>
      </c>
      <c r="Z83" s="9"/>
    </row>
    <row r="84">
      <c r="A84" s="9">
        <v>83.0</v>
      </c>
      <c r="B84" s="10" t="s">
        <v>331</v>
      </c>
      <c r="C84" s="11" t="s">
        <v>332</v>
      </c>
      <c r="D84" s="10" t="s">
        <v>333</v>
      </c>
      <c r="E84" s="23" t="s">
        <v>334</v>
      </c>
      <c r="F84" s="23" t="s">
        <v>334</v>
      </c>
      <c r="G84" s="9"/>
      <c r="H84" s="18">
        <v>2020.0</v>
      </c>
      <c r="I84" s="14"/>
      <c r="J84" s="14"/>
      <c r="K84" s="14"/>
      <c r="L84" s="14"/>
      <c r="M84" s="14"/>
      <c r="N84" s="19"/>
      <c r="O84" s="19"/>
      <c r="P84" s="19"/>
      <c r="Q84" s="19"/>
      <c r="R84" s="14">
        <v>1.0</v>
      </c>
      <c r="S84" s="19"/>
      <c r="T84" s="19"/>
      <c r="U84" s="19"/>
      <c r="V84" s="19"/>
      <c r="W84" s="14"/>
      <c r="X84" s="14" t="s">
        <v>31</v>
      </c>
      <c r="Y84" s="9" t="s">
        <v>32</v>
      </c>
      <c r="Z84" s="9" t="s">
        <v>193</v>
      </c>
    </row>
    <row r="85">
      <c r="A85" s="9">
        <v>84.0</v>
      </c>
      <c r="B85" s="10" t="s">
        <v>335</v>
      </c>
      <c r="C85" s="11" t="s">
        <v>336</v>
      </c>
      <c r="D85" s="10" t="s">
        <v>337</v>
      </c>
      <c r="E85" s="12" t="s">
        <v>29</v>
      </c>
      <c r="F85" s="12" t="s">
        <v>30</v>
      </c>
      <c r="G85" s="9" t="s">
        <v>38</v>
      </c>
      <c r="H85" s="13">
        <v>2018.0</v>
      </c>
      <c r="I85" s="14">
        <v>1.0</v>
      </c>
      <c r="J85" s="14">
        <v>1.0</v>
      </c>
      <c r="K85" s="14">
        <v>1.0</v>
      </c>
      <c r="L85" s="14">
        <v>1.0</v>
      </c>
      <c r="M85" s="14">
        <v>1.0</v>
      </c>
      <c r="N85" s="14">
        <v>0.0</v>
      </c>
      <c r="O85" s="14">
        <v>0.0</v>
      </c>
      <c r="P85" s="14">
        <v>0.0</v>
      </c>
      <c r="Q85" s="14">
        <v>0.0</v>
      </c>
      <c r="R85" s="14">
        <v>0.0</v>
      </c>
      <c r="S85" s="14">
        <v>0.0</v>
      </c>
      <c r="T85" s="14">
        <v>0.0</v>
      </c>
      <c r="U85" s="14">
        <v>0.0</v>
      </c>
      <c r="V85" s="14">
        <v>0.0</v>
      </c>
      <c r="W85" s="14" t="s">
        <v>39</v>
      </c>
      <c r="X85" s="14" t="s">
        <v>39</v>
      </c>
      <c r="Y85" s="9" t="s">
        <v>32</v>
      </c>
      <c r="Z85" s="9"/>
    </row>
    <row r="86">
      <c r="A86" s="9">
        <v>85.0</v>
      </c>
      <c r="B86" s="10" t="s">
        <v>338</v>
      </c>
      <c r="C86" s="11" t="s">
        <v>339</v>
      </c>
      <c r="D86" s="10" t="s">
        <v>340</v>
      </c>
      <c r="E86" s="12" t="s">
        <v>341</v>
      </c>
      <c r="F86" s="12" t="s">
        <v>342</v>
      </c>
      <c r="G86" s="9" t="s">
        <v>38</v>
      </c>
      <c r="H86" s="13">
        <v>2019.0</v>
      </c>
      <c r="I86" s="14">
        <v>1.0</v>
      </c>
      <c r="J86" s="14">
        <v>1.0</v>
      </c>
      <c r="K86" s="14">
        <v>1.0</v>
      </c>
      <c r="L86" s="14">
        <v>1.0</v>
      </c>
      <c r="M86" s="14">
        <v>1.0</v>
      </c>
      <c r="N86" s="14">
        <v>0.0</v>
      </c>
      <c r="O86" s="14">
        <v>0.0</v>
      </c>
      <c r="P86" s="14">
        <v>0.0</v>
      </c>
      <c r="Q86" s="14">
        <v>0.0</v>
      </c>
      <c r="R86" s="14">
        <v>0.0</v>
      </c>
      <c r="S86" s="14">
        <v>0.0</v>
      </c>
      <c r="T86" s="14">
        <v>0.0</v>
      </c>
      <c r="U86" s="14">
        <v>0.0</v>
      </c>
      <c r="V86" s="14">
        <v>0.0</v>
      </c>
      <c r="W86" s="14" t="s">
        <v>39</v>
      </c>
      <c r="X86" s="14" t="s">
        <v>39</v>
      </c>
      <c r="Y86" s="9" t="s">
        <v>32</v>
      </c>
      <c r="Z86" s="9"/>
    </row>
    <row r="87">
      <c r="A87" s="9">
        <v>86.0</v>
      </c>
      <c r="B87" s="10" t="s">
        <v>343</v>
      </c>
      <c r="C87" s="11" t="s">
        <v>344</v>
      </c>
      <c r="D87" s="10" t="s">
        <v>345</v>
      </c>
      <c r="E87" s="12" t="s">
        <v>80</v>
      </c>
      <c r="F87" s="12" t="s">
        <v>81</v>
      </c>
      <c r="G87" s="9"/>
      <c r="H87" s="13">
        <v>2019.0</v>
      </c>
      <c r="I87" s="14"/>
      <c r="J87" s="14"/>
      <c r="K87" s="14"/>
      <c r="L87" s="14"/>
      <c r="M87" s="14"/>
      <c r="N87" s="14"/>
      <c r="O87" s="14"/>
      <c r="P87" s="14">
        <v>1.0</v>
      </c>
      <c r="Q87" s="19"/>
      <c r="R87" s="19"/>
      <c r="S87" s="19"/>
      <c r="T87" s="19"/>
      <c r="U87" s="19"/>
      <c r="V87" s="19"/>
      <c r="W87" s="14"/>
      <c r="X87" s="14" t="s">
        <v>31</v>
      </c>
      <c r="Y87" s="9" t="s">
        <v>32</v>
      </c>
      <c r="Z87" s="9"/>
    </row>
    <row r="88">
      <c r="A88" s="9">
        <v>87.0</v>
      </c>
      <c r="B88" s="10" t="s">
        <v>137</v>
      </c>
      <c r="C88" s="11" t="s">
        <v>346</v>
      </c>
      <c r="D88" s="15" t="s">
        <v>347</v>
      </c>
      <c r="E88" s="22" t="s">
        <v>62</v>
      </c>
      <c r="F88" s="22" t="s">
        <v>62</v>
      </c>
      <c r="G88" s="9" t="s">
        <v>58</v>
      </c>
      <c r="H88" s="13">
        <v>2019.0</v>
      </c>
      <c r="I88" s="14">
        <v>1.0</v>
      </c>
      <c r="J88" s="14">
        <v>1.0</v>
      </c>
      <c r="K88" s="14">
        <v>1.0</v>
      </c>
      <c r="L88" s="14">
        <v>1.0</v>
      </c>
      <c r="M88" s="14">
        <v>1.0</v>
      </c>
      <c r="N88" s="14">
        <v>0.0</v>
      </c>
      <c r="O88" s="14">
        <v>0.0</v>
      </c>
      <c r="P88" s="14">
        <v>0.0</v>
      </c>
      <c r="Q88" s="14">
        <v>0.0</v>
      </c>
      <c r="R88" s="14">
        <v>0.0</v>
      </c>
      <c r="S88" s="14">
        <v>0.0</v>
      </c>
      <c r="T88" s="14">
        <v>0.0</v>
      </c>
      <c r="U88" s="14">
        <v>0.0</v>
      </c>
      <c r="V88" s="14">
        <v>0.0</v>
      </c>
      <c r="W88" s="14" t="s">
        <v>39</v>
      </c>
      <c r="X88" s="14" t="s">
        <v>39</v>
      </c>
      <c r="Y88" s="9" t="s">
        <v>32</v>
      </c>
      <c r="Z88" s="9"/>
    </row>
    <row r="89">
      <c r="A89" s="9">
        <v>88.0</v>
      </c>
      <c r="B89" s="10" t="s">
        <v>348</v>
      </c>
      <c r="C89" s="11" t="s">
        <v>349</v>
      </c>
      <c r="D89" s="10" t="s">
        <v>350</v>
      </c>
      <c r="E89" s="22" t="s">
        <v>128</v>
      </c>
      <c r="F89" s="22" t="s">
        <v>128</v>
      </c>
      <c r="G89" s="9"/>
      <c r="H89" s="13">
        <v>2019.0</v>
      </c>
      <c r="I89" s="14"/>
      <c r="J89" s="14"/>
      <c r="K89" s="14"/>
      <c r="L89" s="14"/>
      <c r="M89" s="14"/>
      <c r="N89" s="14"/>
      <c r="O89" s="14">
        <v>1.0</v>
      </c>
      <c r="P89" s="14">
        <v>1.0</v>
      </c>
      <c r="Q89" s="19"/>
      <c r="R89" s="19"/>
      <c r="S89" s="19"/>
      <c r="T89" s="19"/>
      <c r="U89" s="19"/>
      <c r="V89" s="19"/>
      <c r="W89" s="14"/>
      <c r="X89" s="14" t="s">
        <v>31</v>
      </c>
      <c r="Y89" s="9" t="s">
        <v>32</v>
      </c>
      <c r="Z89" s="9" t="s">
        <v>351</v>
      </c>
    </row>
    <row r="90">
      <c r="A90" s="9">
        <v>89.0</v>
      </c>
      <c r="B90" s="10" t="s">
        <v>352</v>
      </c>
      <c r="C90" s="16" t="s">
        <v>353</v>
      </c>
      <c r="D90" s="10" t="s">
        <v>354</v>
      </c>
      <c r="E90" s="22"/>
      <c r="F90" s="22"/>
      <c r="G90" s="9"/>
      <c r="H90" s="15">
        <v>2018.0</v>
      </c>
      <c r="I90" s="14"/>
      <c r="J90" s="14"/>
      <c r="K90" s="14"/>
      <c r="L90" s="14"/>
      <c r="M90" s="14"/>
      <c r="N90" s="19"/>
      <c r="O90" s="19"/>
      <c r="P90" s="19"/>
      <c r="Q90" s="19"/>
      <c r="R90" s="19"/>
      <c r="S90" s="14">
        <v>1.0</v>
      </c>
      <c r="T90" s="19"/>
      <c r="U90" s="19"/>
      <c r="V90" s="19"/>
      <c r="W90" s="14"/>
      <c r="X90" s="14" t="s">
        <v>31</v>
      </c>
      <c r="Y90" s="9" t="s">
        <v>32</v>
      </c>
      <c r="Z90" s="9"/>
    </row>
    <row r="91">
      <c r="A91" s="9">
        <v>90.0</v>
      </c>
      <c r="B91" s="10" t="s">
        <v>355</v>
      </c>
      <c r="C91" s="11" t="s">
        <v>356</v>
      </c>
      <c r="D91" s="10" t="s">
        <v>357</v>
      </c>
      <c r="E91" s="12" t="s">
        <v>36</v>
      </c>
      <c r="F91" s="12" t="s">
        <v>37</v>
      </c>
      <c r="G91" s="9" t="s">
        <v>58</v>
      </c>
      <c r="H91" s="13">
        <v>2019.0</v>
      </c>
      <c r="I91" s="14">
        <v>1.0</v>
      </c>
      <c r="J91" s="14">
        <v>1.0</v>
      </c>
      <c r="K91" s="14">
        <v>1.0</v>
      </c>
      <c r="L91" s="14">
        <v>1.0</v>
      </c>
      <c r="M91" s="14">
        <v>1.0</v>
      </c>
      <c r="N91" s="14">
        <v>0.0</v>
      </c>
      <c r="O91" s="14">
        <v>0.0</v>
      </c>
      <c r="P91" s="14">
        <v>0.0</v>
      </c>
      <c r="Q91" s="14">
        <v>0.0</v>
      </c>
      <c r="R91" s="14">
        <v>0.0</v>
      </c>
      <c r="S91" s="14">
        <v>0.0</v>
      </c>
      <c r="T91" s="14">
        <v>0.0</v>
      </c>
      <c r="U91" s="14">
        <v>0.0</v>
      </c>
      <c r="V91" s="14">
        <v>0.0</v>
      </c>
      <c r="W91" s="14" t="s">
        <v>39</v>
      </c>
      <c r="X91" s="14" t="s">
        <v>39</v>
      </c>
      <c r="Y91" s="9" t="s">
        <v>32</v>
      </c>
      <c r="Z91" s="9"/>
    </row>
    <row r="92">
      <c r="A92" s="9">
        <v>91.0</v>
      </c>
      <c r="B92" s="10" t="s">
        <v>358</v>
      </c>
      <c r="C92" s="16" t="s">
        <v>359</v>
      </c>
      <c r="D92" s="10" t="s">
        <v>360</v>
      </c>
      <c r="E92" s="22" t="s">
        <v>128</v>
      </c>
      <c r="F92" s="22" t="s">
        <v>128</v>
      </c>
      <c r="G92" s="9" t="s">
        <v>38</v>
      </c>
      <c r="H92" s="13">
        <v>2020.0</v>
      </c>
      <c r="I92" s="14">
        <v>1.0</v>
      </c>
      <c r="J92" s="14">
        <v>1.0</v>
      </c>
      <c r="K92" s="14">
        <v>1.0</v>
      </c>
      <c r="L92" s="14">
        <v>1.0</v>
      </c>
      <c r="M92" s="14">
        <v>1.0</v>
      </c>
      <c r="N92" s="14">
        <v>0.0</v>
      </c>
      <c r="O92" s="14">
        <v>0.0</v>
      </c>
      <c r="P92" s="14">
        <v>0.0</v>
      </c>
      <c r="Q92" s="14">
        <v>0.0</v>
      </c>
      <c r="R92" s="14">
        <v>0.0</v>
      </c>
      <c r="S92" s="14">
        <v>0.0</v>
      </c>
      <c r="T92" s="14">
        <v>0.0</v>
      </c>
      <c r="U92" s="14">
        <v>0.0</v>
      </c>
      <c r="V92" s="14">
        <v>0.0</v>
      </c>
      <c r="W92" s="14" t="s">
        <v>39</v>
      </c>
      <c r="X92" s="14" t="s">
        <v>39</v>
      </c>
      <c r="Y92" s="9" t="s">
        <v>32</v>
      </c>
      <c r="Z92" s="9"/>
    </row>
    <row r="93">
      <c r="A93" s="9">
        <v>92.0</v>
      </c>
      <c r="B93" s="10" t="s">
        <v>361</v>
      </c>
      <c r="C93" s="11" t="s">
        <v>362</v>
      </c>
      <c r="D93" s="10" t="s">
        <v>363</v>
      </c>
      <c r="E93" s="23" t="s">
        <v>364</v>
      </c>
      <c r="F93" s="23" t="s">
        <v>364</v>
      </c>
      <c r="G93" s="9"/>
      <c r="H93" s="18">
        <v>2018.0</v>
      </c>
      <c r="I93" s="14"/>
      <c r="J93" s="14"/>
      <c r="K93" s="14"/>
      <c r="L93" s="14"/>
      <c r="M93" s="14"/>
      <c r="N93" s="19"/>
      <c r="O93" s="19"/>
      <c r="P93" s="19"/>
      <c r="Q93" s="19"/>
      <c r="R93" s="14"/>
      <c r="S93" s="19"/>
      <c r="T93" s="14">
        <v>1.0</v>
      </c>
      <c r="U93" s="19"/>
      <c r="V93" s="19"/>
      <c r="W93" s="14"/>
      <c r="X93" s="14" t="s">
        <v>31</v>
      </c>
      <c r="Y93" s="9" t="s">
        <v>32</v>
      </c>
      <c r="Z93" s="9" t="s">
        <v>70</v>
      </c>
    </row>
    <row r="94">
      <c r="A94" s="9">
        <v>93.0</v>
      </c>
      <c r="B94" s="10" t="s">
        <v>365</v>
      </c>
      <c r="C94" s="11" t="s">
        <v>366</v>
      </c>
      <c r="D94" s="10" t="s">
        <v>367</v>
      </c>
      <c r="E94" s="22" t="s">
        <v>128</v>
      </c>
      <c r="F94" s="22" t="s">
        <v>128</v>
      </c>
      <c r="G94" s="9"/>
      <c r="H94" s="13">
        <v>2018.0</v>
      </c>
      <c r="I94" s="19"/>
      <c r="J94" s="14"/>
      <c r="K94" s="19"/>
      <c r="L94" s="19"/>
      <c r="M94" s="19"/>
      <c r="N94" s="14"/>
      <c r="O94" s="14">
        <v>1.0</v>
      </c>
      <c r="P94" s="14">
        <v>1.0</v>
      </c>
      <c r="Q94" s="19"/>
      <c r="R94" s="19"/>
      <c r="S94" s="19"/>
      <c r="T94" s="19"/>
      <c r="U94" s="19"/>
      <c r="V94" s="19"/>
      <c r="W94" s="14"/>
      <c r="X94" s="14" t="s">
        <v>31</v>
      </c>
      <c r="Y94" s="9" t="s">
        <v>32</v>
      </c>
      <c r="Z94" s="9"/>
    </row>
    <row r="95">
      <c r="A95" s="9">
        <v>94.0</v>
      </c>
      <c r="B95" s="10" t="s">
        <v>368</v>
      </c>
      <c r="C95" s="11" t="s">
        <v>369</v>
      </c>
      <c r="D95" s="10" t="s">
        <v>370</v>
      </c>
      <c r="E95" s="22" t="s">
        <v>128</v>
      </c>
      <c r="F95" s="22" t="s">
        <v>128</v>
      </c>
      <c r="G95" s="9" t="s">
        <v>38</v>
      </c>
      <c r="H95" s="13">
        <v>2019.0</v>
      </c>
      <c r="I95" s="14">
        <v>1.0</v>
      </c>
      <c r="J95" s="14">
        <v>1.0</v>
      </c>
      <c r="K95" s="14">
        <v>1.0</v>
      </c>
      <c r="L95" s="14">
        <v>1.0</v>
      </c>
      <c r="M95" s="14">
        <v>1.0</v>
      </c>
      <c r="N95" s="14">
        <v>0.0</v>
      </c>
      <c r="O95" s="14">
        <v>0.0</v>
      </c>
      <c r="P95" s="14">
        <v>0.0</v>
      </c>
      <c r="Q95" s="14">
        <v>0.0</v>
      </c>
      <c r="R95" s="14">
        <v>0.0</v>
      </c>
      <c r="S95" s="14">
        <v>0.0</v>
      </c>
      <c r="T95" s="14">
        <v>0.0</v>
      </c>
      <c r="U95" s="14">
        <v>0.0</v>
      </c>
      <c r="V95" s="14">
        <v>0.0</v>
      </c>
      <c r="W95" s="14" t="s">
        <v>39</v>
      </c>
      <c r="X95" s="14" t="s">
        <v>39</v>
      </c>
      <c r="Y95" s="9" t="s">
        <v>32</v>
      </c>
      <c r="Z95" s="9"/>
    </row>
    <row r="96">
      <c r="A96" s="9">
        <v>95.0</v>
      </c>
      <c r="B96" s="10" t="s">
        <v>371</v>
      </c>
      <c r="C96" s="11" t="s">
        <v>372</v>
      </c>
      <c r="D96" s="10" t="s">
        <v>373</v>
      </c>
      <c r="E96" s="12" t="s">
        <v>36</v>
      </c>
      <c r="F96" s="12" t="s">
        <v>37</v>
      </c>
      <c r="G96" s="9" t="s">
        <v>58</v>
      </c>
      <c r="H96" s="13">
        <v>2019.0</v>
      </c>
      <c r="I96" s="14"/>
      <c r="J96" s="14"/>
      <c r="K96" s="14"/>
      <c r="L96" s="14">
        <v>0.0</v>
      </c>
      <c r="M96" s="14"/>
      <c r="N96" s="14"/>
      <c r="O96" s="14"/>
      <c r="P96" s="14"/>
      <c r="Q96" s="14"/>
      <c r="R96" s="14"/>
      <c r="S96" s="14"/>
      <c r="T96" s="14"/>
      <c r="U96" s="14"/>
      <c r="V96" s="14"/>
      <c r="W96" s="14" t="s">
        <v>31</v>
      </c>
      <c r="X96" s="14" t="s">
        <v>39</v>
      </c>
      <c r="Y96" s="9" t="s">
        <v>32</v>
      </c>
      <c r="Z96" s="9"/>
    </row>
    <row r="97">
      <c r="A97" s="9">
        <v>96.0</v>
      </c>
      <c r="B97" s="10" t="s">
        <v>374</v>
      </c>
      <c r="C97" s="16" t="s">
        <v>375</v>
      </c>
      <c r="D97" s="10" t="s">
        <v>376</v>
      </c>
      <c r="E97" s="22"/>
      <c r="F97" s="22"/>
      <c r="G97" s="9"/>
      <c r="H97" s="10"/>
      <c r="I97" s="14"/>
      <c r="J97" s="19"/>
      <c r="K97" s="19"/>
      <c r="L97" s="19"/>
      <c r="M97" s="19"/>
      <c r="N97" s="19"/>
      <c r="O97" s="19"/>
      <c r="P97" s="19"/>
      <c r="Q97" s="19"/>
      <c r="R97" s="14">
        <v>1.0</v>
      </c>
      <c r="S97" s="19"/>
      <c r="T97" s="19"/>
      <c r="U97" s="19"/>
      <c r="V97" s="19"/>
      <c r="W97" s="14"/>
      <c r="X97" s="14" t="s">
        <v>31</v>
      </c>
      <c r="Y97" s="9" t="s">
        <v>32</v>
      </c>
      <c r="Z97" s="21"/>
    </row>
    <row r="98">
      <c r="A98" s="9">
        <v>97.0</v>
      </c>
      <c r="B98" s="10" t="s">
        <v>377</v>
      </c>
      <c r="C98" s="11" t="s">
        <v>378</v>
      </c>
      <c r="D98" s="10" t="s">
        <v>379</v>
      </c>
      <c r="E98" s="12" t="s">
        <v>36</v>
      </c>
      <c r="F98" s="12" t="s">
        <v>37</v>
      </c>
      <c r="G98" s="9" t="s">
        <v>58</v>
      </c>
      <c r="H98" s="13">
        <v>2020.0</v>
      </c>
      <c r="I98" s="14">
        <v>1.0</v>
      </c>
      <c r="J98" s="14">
        <v>1.0</v>
      </c>
      <c r="K98" s="14">
        <v>1.0</v>
      </c>
      <c r="L98" s="14">
        <v>1.0</v>
      </c>
      <c r="M98" s="14">
        <v>1.0</v>
      </c>
      <c r="N98" s="14">
        <v>0.0</v>
      </c>
      <c r="O98" s="14">
        <v>0.0</v>
      </c>
      <c r="P98" s="14">
        <v>0.0</v>
      </c>
      <c r="Q98" s="14">
        <v>0.0</v>
      </c>
      <c r="R98" s="14">
        <v>0.0</v>
      </c>
      <c r="S98" s="14">
        <v>0.0</v>
      </c>
      <c r="T98" s="14">
        <v>0.0</v>
      </c>
      <c r="U98" s="14">
        <v>0.0</v>
      </c>
      <c r="V98" s="14">
        <v>0.0</v>
      </c>
      <c r="W98" s="14" t="s">
        <v>39</v>
      </c>
      <c r="X98" s="14" t="s">
        <v>39</v>
      </c>
      <c r="Y98" s="9" t="s">
        <v>32</v>
      </c>
      <c r="Z98" s="9"/>
    </row>
    <row r="99">
      <c r="A99" s="9">
        <v>98.0</v>
      </c>
      <c r="B99" s="10" t="s">
        <v>380</v>
      </c>
      <c r="C99" s="11" t="s">
        <v>381</v>
      </c>
      <c r="D99" s="10" t="s">
        <v>382</v>
      </c>
      <c r="E99" s="12" t="s">
        <v>36</v>
      </c>
      <c r="F99" s="12" t="s">
        <v>37</v>
      </c>
      <c r="G99" s="9" t="s">
        <v>38</v>
      </c>
      <c r="H99" s="13">
        <v>2019.0</v>
      </c>
      <c r="I99" s="14"/>
      <c r="J99" s="19"/>
      <c r="K99" s="19"/>
      <c r="L99" s="19"/>
      <c r="M99" s="14"/>
      <c r="N99" s="14"/>
      <c r="O99" s="14"/>
      <c r="P99" s="14"/>
      <c r="Q99" s="14"/>
      <c r="R99" s="14"/>
      <c r="S99" s="14"/>
      <c r="T99" s="14"/>
      <c r="U99" s="14"/>
      <c r="V99" s="14">
        <v>1.0</v>
      </c>
      <c r="W99" s="14"/>
      <c r="X99" s="14" t="s">
        <v>39</v>
      </c>
      <c r="Y99" s="9" t="s">
        <v>32</v>
      </c>
      <c r="Z99" s="24" t="s">
        <v>383</v>
      </c>
    </row>
    <row r="100">
      <c r="A100" s="9">
        <v>99.0</v>
      </c>
      <c r="B100" s="10" t="s">
        <v>384</v>
      </c>
      <c r="C100" s="11" t="s">
        <v>385</v>
      </c>
      <c r="D100" s="10" t="s">
        <v>386</v>
      </c>
      <c r="E100" s="12" t="s">
        <v>36</v>
      </c>
      <c r="F100" s="12" t="s">
        <v>37</v>
      </c>
      <c r="G100" s="9" t="s">
        <v>38</v>
      </c>
      <c r="H100" s="13">
        <v>2019.0</v>
      </c>
      <c r="I100" s="14">
        <v>1.0</v>
      </c>
      <c r="J100" s="14">
        <v>1.0</v>
      </c>
      <c r="K100" s="14">
        <v>1.0</v>
      </c>
      <c r="L100" s="14">
        <v>1.0</v>
      </c>
      <c r="M100" s="14">
        <v>1.0</v>
      </c>
      <c r="N100" s="14">
        <v>0.0</v>
      </c>
      <c r="O100" s="14">
        <v>0.0</v>
      </c>
      <c r="P100" s="14">
        <v>0.0</v>
      </c>
      <c r="Q100" s="14">
        <v>0.0</v>
      </c>
      <c r="R100" s="14">
        <v>0.0</v>
      </c>
      <c r="S100" s="14">
        <v>0.0</v>
      </c>
      <c r="T100" s="14">
        <v>0.0</v>
      </c>
      <c r="U100" s="14">
        <v>0.0</v>
      </c>
      <c r="V100" s="14">
        <v>0.0</v>
      </c>
      <c r="W100" s="14" t="s">
        <v>39</v>
      </c>
      <c r="X100" s="14" t="s">
        <v>39</v>
      </c>
      <c r="Y100" s="9" t="s">
        <v>32</v>
      </c>
      <c r="Z100" s="9"/>
    </row>
    <row r="101">
      <c r="A101" s="9">
        <v>100.0</v>
      </c>
      <c r="B101" s="10" t="s">
        <v>387</v>
      </c>
      <c r="C101" s="11" t="s">
        <v>388</v>
      </c>
      <c r="D101" s="10" t="s">
        <v>389</v>
      </c>
      <c r="E101" s="22" t="s">
        <v>128</v>
      </c>
      <c r="F101" s="22" t="s">
        <v>128</v>
      </c>
      <c r="G101" s="9" t="s">
        <v>38</v>
      </c>
      <c r="H101" s="13">
        <v>2018.0</v>
      </c>
      <c r="I101" s="14">
        <v>1.0</v>
      </c>
      <c r="J101" s="14">
        <v>1.0</v>
      </c>
      <c r="K101" s="14">
        <v>1.0</v>
      </c>
      <c r="L101" s="14">
        <v>1.0</v>
      </c>
      <c r="M101" s="14">
        <v>1.0</v>
      </c>
      <c r="N101" s="14">
        <v>0.0</v>
      </c>
      <c r="O101" s="14">
        <v>0.0</v>
      </c>
      <c r="P101" s="14">
        <v>0.0</v>
      </c>
      <c r="Q101" s="14">
        <v>0.0</v>
      </c>
      <c r="R101" s="14">
        <v>0.0</v>
      </c>
      <c r="S101" s="14">
        <v>0.0</v>
      </c>
      <c r="T101" s="14">
        <v>0.0</v>
      </c>
      <c r="U101" s="14">
        <v>0.0</v>
      </c>
      <c r="V101" s="14">
        <v>0.0</v>
      </c>
      <c r="W101" s="14" t="s">
        <v>39</v>
      </c>
      <c r="X101" s="14" t="s">
        <v>39</v>
      </c>
      <c r="Y101" s="9" t="s">
        <v>32</v>
      </c>
      <c r="Z101" s="9"/>
    </row>
    <row r="102">
      <c r="A102" s="9">
        <v>101.0</v>
      </c>
      <c r="B102" s="10" t="s">
        <v>390</v>
      </c>
      <c r="C102" s="11" t="s">
        <v>391</v>
      </c>
      <c r="D102" s="15" t="s">
        <v>392</v>
      </c>
      <c r="E102" s="22" t="s">
        <v>393</v>
      </c>
      <c r="F102" s="28" t="s">
        <v>394</v>
      </c>
      <c r="G102" s="9" t="s">
        <v>38</v>
      </c>
      <c r="H102" s="18">
        <v>2019.0</v>
      </c>
      <c r="I102" s="14">
        <v>1.0</v>
      </c>
      <c r="J102" s="14">
        <v>1.0</v>
      </c>
      <c r="K102" s="14">
        <v>1.0</v>
      </c>
      <c r="L102" s="14">
        <v>1.0</v>
      </c>
      <c r="M102" s="14">
        <v>1.0</v>
      </c>
      <c r="N102" s="14">
        <v>0.0</v>
      </c>
      <c r="O102" s="14">
        <v>0.0</v>
      </c>
      <c r="P102" s="14">
        <v>0.0</v>
      </c>
      <c r="Q102" s="14">
        <v>0.0</v>
      </c>
      <c r="R102" s="14">
        <v>0.0</v>
      </c>
      <c r="S102" s="14">
        <v>0.0</v>
      </c>
      <c r="T102" s="14">
        <v>0.0</v>
      </c>
      <c r="U102" s="14">
        <v>0.0</v>
      </c>
      <c r="V102" s="14">
        <v>0.0</v>
      </c>
      <c r="W102" s="14" t="s">
        <v>39</v>
      </c>
      <c r="X102" s="14" t="s">
        <v>39</v>
      </c>
      <c r="Y102" s="9" t="s">
        <v>32</v>
      </c>
      <c r="Z102" s="9"/>
    </row>
    <row r="103">
      <c r="A103" s="9">
        <v>102.0</v>
      </c>
      <c r="B103" s="10" t="s">
        <v>395</v>
      </c>
      <c r="C103" s="16" t="s">
        <v>396</v>
      </c>
      <c r="D103" s="10" t="s">
        <v>397</v>
      </c>
      <c r="E103" s="23" t="s">
        <v>398</v>
      </c>
      <c r="F103" s="23" t="s">
        <v>398</v>
      </c>
      <c r="G103" s="9"/>
      <c r="H103" s="13">
        <v>2020.0</v>
      </c>
      <c r="I103" s="19"/>
      <c r="J103" s="19"/>
      <c r="K103" s="19"/>
      <c r="L103" s="19"/>
      <c r="M103" s="19"/>
      <c r="N103" s="19"/>
      <c r="O103" s="19"/>
      <c r="P103" s="19"/>
      <c r="Q103" s="14"/>
      <c r="R103" s="14">
        <v>1.0</v>
      </c>
      <c r="S103" s="19"/>
      <c r="T103" s="19"/>
      <c r="U103" s="19"/>
      <c r="V103" s="19"/>
      <c r="W103" s="14"/>
      <c r="X103" s="14" t="s">
        <v>31</v>
      </c>
      <c r="Y103" s="9" t="s">
        <v>32</v>
      </c>
      <c r="Z103" s="9"/>
    </row>
    <row r="104">
      <c r="A104" s="9">
        <v>103.0</v>
      </c>
      <c r="B104" s="10" t="s">
        <v>399</v>
      </c>
      <c r="C104" s="11" t="s">
        <v>400</v>
      </c>
      <c r="D104" s="10" t="s">
        <v>401</v>
      </c>
      <c r="E104" s="22" t="s">
        <v>62</v>
      </c>
      <c r="F104" s="22" t="s">
        <v>62</v>
      </c>
      <c r="G104" s="9"/>
      <c r="H104" s="13">
        <v>2018.0</v>
      </c>
      <c r="I104" s="19"/>
      <c r="J104" s="14">
        <v>0.0</v>
      </c>
      <c r="K104" s="19"/>
      <c r="L104" s="19"/>
      <c r="M104" s="19"/>
      <c r="N104" s="14">
        <v>1.0</v>
      </c>
      <c r="O104" s="19"/>
      <c r="P104" s="19"/>
      <c r="Q104" s="14"/>
      <c r="R104" s="19"/>
      <c r="S104" s="19"/>
      <c r="T104" s="19"/>
      <c r="U104" s="19"/>
      <c r="V104" s="19"/>
      <c r="W104" s="14"/>
      <c r="X104" s="14" t="s">
        <v>31</v>
      </c>
      <c r="Y104" s="9" t="s">
        <v>32</v>
      </c>
      <c r="Z104" s="9" t="s">
        <v>402</v>
      </c>
    </row>
    <row r="105">
      <c r="A105" s="9">
        <v>104.0</v>
      </c>
      <c r="B105" s="10" t="s">
        <v>403</v>
      </c>
      <c r="C105" s="11" t="s">
        <v>404</v>
      </c>
      <c r="D105" s="10" t="s">
        <v>405</v>
      </c>
      <c r="E105" s="12" t="s">
        <v>36</v>
      </c>
      <c r="F105" s="12" t="s">
        <v>37</v>
      </c>
      <c r="G105" s="9" t="s">
        <v>38</v>
      </c>
      <c r="H105" s="13">
        <v>2020.0</v>
      </c>
      <c r="I105" s="14">
        <v>0.0</v>
      </c>
      <c r="J105" s="14"/>
      <c r="K105" s="14"/>
      <c r="L105" s="14"/>
      <c r="M105" s="14"/>
      <c r="N105" s="14"/>
      <c r="O105" s="14"/>
      <c r="P105" s="14"/>
      <c r="Q105" s="14"/>
      <c r="R105" s="14"/>
      <c r="S105" s="14"/>
      <c r="T105" s="14"/>
      <c r="U105" s="14"/>
      <c r="V105" s="14"/>
      <c r="W105" s="14" t="s">
        <v>31</v>
      </c>
      <c r="X105" s="14" t="s">
        <v>39</v>
      </c>
      <c r="Y105" s="9" t="s">
        <v>32</v>
      </c>
      <c r="Z105" s="9" t="s">
        <v>406</v>
      </c>
    </row>
    <row r="106">
      <c r="A106" s="9">
        <v>105.0</v>
      </c>
      <c r="B106" s="10" t="s">
        <v>407</v>
      </c>
      <c r="C106" s="11" t="s">
        <v>408</v>
      </c>
      <c r="D106" s="10" t="s">
        <v>409</v>
      </c>
      <c r="E106" s="12" t="s">
        <v>410</v>
      </c>
      <c r="F106" s="12" t="s">
        <v>411</v>
      </c>
      <c r="G106" s="9" t="s">
        <v>38</v>
      </c>
      <c r="H106" s="13">
        <v>2018.0</v>
      </c>
      <c r="I106" s="14">
        <v>1.0</v>
      </c>
      <c r="J106" s="14">
        <v>1.0</v>
      </c>
      <c r="K106" s="14">
        <v>1.0</v>
      </c>
      <c r="L106" s="14">
        <v>1.0</v>
      </c>
      <c r="M106" s="14">
        <v>1.0</v>
      </c>
      <c r="N106" s="14">
        <v>0.0</v>
      </c>
      <c r="O106" s="14">
        <v>0.0</v>
      </c>
      <c r="P106" s="14">
        <v>0.0</v>
      </c>
      <c r="Q106" s="14">
        <v>0.0</v>
      </c>
      <c r="R106" s="14">
        <v>0.0</v>
      </c>
      <c r="S106" s="14">
        <v>0.0</v>
      </c>
      <c r="T106" s="14">
        <v>0.0</v>
      </c>
      <c r="U106" s="14">
        <v>0.0</v>
      </c>
      <c r="V106" s="14">
        <v>0.0</v>
      </c>
      <c r="W106" s="14" t="s">
        <v>39</v>
      </c>
      <c r="X106" s="14" t="s">
        <v>39</v>
      </c>
      <c r="Y106" s="9" t="s">
        <v>412</v>
      </c>
      <c r="Z106" s="9" t="s">
        <v>413</v>
      </c>
    </row>
    <row r="107">
      <c r="A107" s="9">
        <v>106.0</v>
      </c>
      <c r="B107" s="10" t="s">
        <v>414</v>
      </c>
      <c r="C107" s="11" t="s">
        <v>415</v>
      </c>
      <c r="D107" s="10" t="s">
        <v>416</v>
      </c>
      <c r="E107" s="12" t="s">
        <v>29</v>
      </c>
      <c r="F107" s="12" t="s">
        <v>30</v>
      </c>
      <c r="G107" s="9"/>
      <c r="H107" s="13">
        <v>2018.0</v>
      </c>
      <c r="I107" s="19"/>
      <c r="J107" s="19"/>
      <c r="K107" s="19"/>
      <c r="L107" s="19"/>
      <c r="M107" s="14"/>
      <c r="N107" s="19"/>
      <c r="O107" s="19"/>
      <c r="P107" s="19"/>
      <c r="Q107" s="19"/>
      <c r="R107" s="19"/>
      <c r="S107" s="14">
        <v>1.0</v>
      </c>
      <c r="T107" s="14">
        <v>1.0</v>
      </c>
      <c r="U107" s="19"/>
      <c r="V107" s="19"/>
      <c r="W107" s="14"/>
      <c r="X107" s="14" t="s">
        <v>31</v>
      </c>
      <c r="Y107" s="9" t="s">
        <v>32</v>
      </c>
      <c r="Z107" s="9"/>
    </row>
    <row r="108">
      <c r="A108" s="9">
        <v>107.0</v>
      </c>
      <c r="B108" s="10" t="s">
        <v>417</v>
      </c>
      <c r="C108" s="11" t="s">
        <v>418</v>
      </c>
      <c r="D108" s="10" t="s">
        <v>419</v>
      </c>
      <c r="E108" s="22" t="s">
        <v>128</v>
      </c>
      <c r="F108" s="22" t="s">
        <v>128</v>
      </c>
      <c r="G108" s="9"/>
      <c r="H108" s="13">
        <v>2018.0</v>
      </c>
      <c r="I108" s="19"/>
      <c r="J108" s="19"/>
      <c r="K108" s="19"/>
      <c r="L108" s="19"/>
      <c r="M108" s="19"/>
      <c r="N108" s="19"/>
      <c r="O108" s="14">
        <v>1.0</v>
      </c>
      <c r="P108" s="19"/>
      <c r="Q108" s="14"/>
      <c r="R108" s="19"/>
      <c r="S108" s="19"/>
      <c r="T108" s="19"/>
      <c r="U108" s="19"/>
      <c r="V108" s="19"/>
      <c r="W108" s="14"/>
      <c r="X108" s="14" t="s">
        <v>31</v>
      </c>
      <c r="Y108" s="9" t="s">
        <v>32</v>
      </c>
      <c r="Z108" s="9"/>
    </row>
    <row r="109">
      <c r="A109" s="9">
        <v>108.0</v>
      </c>
      <c r="B109" s="10" t="s">
        <v>420</v>
      </c>
      <c r="C109" s="16" t="s">
        <v>421</v>
      </c>
      <c r="D109" s="10" t="s">
        <v>422</v>
      </c>
      <c r="E109" s="22" t="s">
        <v>128</v>
      </c>
      <c r="F109" s="22" t="s">
        <v>128</v>
      </c>
      <c r="G109" s="9"/>
      <c r="H109" s="13">
        <v>2020.0</v>
      </c>
      <c r="I109" s="19"/>
      <c r="J109" s="19"/>
      <c r="K109" s="19"/>
      <c r="L109" s="19"/>
      <c r="M109" s="19"/>
      <c r="N109" s="19"/>
      <c r="O109" s="19"/>
      <c r="P109" s="14">
        <v>1.0</v>
      </c>
      <c r="Q109" s="19"/>
      <c r="R109" s="19"/>
      <c r="S109" s="19"/>
      <c r="T109" s="19"/>
      <c r="U109" s="19"/>
      <c r="V109" s="19"/>
      <c r="W109" s="14"/>
      <c r="X109" s="14" t="s">
        <v>31</v>
      </c>
      <c r="Y109" s="9" t="s">
        <v>32</v>
      </c>
      <c r="Z109" s="9"/>
    </row>
    <row r="110">
      <c r="A110" s="9">
        <v>109.0</v>
      </c>
      <c r="B110" s="10" t="s">
        <v>423</v>
      </c>
      <c r="C110" s="16" t="s">
        <v>424</v>
      </c>
      <c r="D110" s="10" t="s">
        <v>425</v>
      </c>
      <c r="E110" s="25" t="s">
        <v>62</v>
      </c>
      <c r="F110" s="25" t="s">
        <v>62</v>
      </c>
      <c r="G110" s="9"/>
      <c r="H110" s="18">
        <v>2018.0</v>
      </c>
      <c r="I110" s="14">
        <v>0.0</v>
      </c>
      <c r="J110" s="19"/>
      <c r="K110" s="14"/>
      <c r="L110" s="19"/>
      <c r="M110" s="19"/>
      <c r="N110" s="19"/>
      <c r="O110" s="19"/>
      <c r="P110" s="19"/>
      <c r="Q110" s="14"/>
      <c r="R110" s="19"/>
      <c r="S110" s="19"/>
      <c r="T110" s="19"/>
      <c r="U110" s="19"/>
      <c r="V110" s="19"/>
      <c r="W110" s="14" t="s">
        <v>31</v>
      </c>
      <c r="X110" s="14" t="s">
        <v>39</v>
      </c>
      <c r="Y110" s="9" t="s">
        <v>412</v>
      </c>
      <c r="Z110" s="9" t="s">
        <v>426</v>
      </c>
    </row>
    <row r="111">
      <c r="A111" s="9">
        <v>110.0</v>
      </c>
      <c r="B111" s="10" t="s">
        <v>427</v>
      </c>
      <c r="C111" s="11" t="s">
        <v>428</v>
      </c>
      <c r="D111" s="10" t="s">
        <v>429</v>
      </c>
      <c r="E111" s="12" t="s">
        <v>36</v>
      </c>
      <c r="F111" s="12" t="s">
        <v>37</v>
      </c>
      <c r="G111" s="9"/>
      <c r="H111" s="13">
        <v>2018.0</v>
      </c>
      <c r="I111" s="14">
        <v>1.0</v>
      </c>
      <c r="J111" s="14"/>
      <c r="K111" s="14"/>
      <c r="L111" s="14"/>
      <c r="M111" s="14">
        <v>1.0</v>
      </c>
      <c r="N111" s="14"/>
      <c r="O111" s="14">
        <v>1.0</v>
      </c>
      <c r="P111" s="19"/>
      <c r="Q111" s="14">
        <v>0.0</v>
      </c>
      <c r="R111" s="14">
        <v>0.0</v>
      </c>
      <c r="S111" s="14">
        <v>0.0</v>
      </c>
      <c r="T111" s="14">
        <v>0.0</v>
      </c>
      <c r="U111" s="14">
        <v>0.0</v>
      </c>
      <c r="V111" s="14">
        <v>0.0</v>
      </c>
      <c r="W111" s="14" t="s">
        <v>31</v>
      </c>
      <c r="X111" s="14" t="s">
        <v>39</v>
      </c>
      <c r="Y111" s="9" t="s">
        <v>412</v>
      </c>
      <c r="Z111" s="9" t="s">
        <v>430</v>
      </c>
    </row>
    <row r="112">
      <c r="A112" s="9">
        <v>111.0</v>
      </c>
      <c r="B112" s="10" t="s">
        <v>431</v>
      </c>
      <c r="C112" s="11" t="s">
        <v>432</v>
      </c>
      <c r="D112" s="10" t="s">
        <v>433</v>
      </c>
      <c r="E112" s="12" t="s">
        <v>36</v>
      </c>
      <c r="F112" s="12" t="s">
        <v>37</v>
      </c>
      <c r="G112" s="9" t="s">
        <v>58</v>
      </c>
      <c r="H112" s="13">
        <v>2019.0</v>
      </c>
      <c r="I112" s="19"/>
      <c r="J112" s="19"/>
      <c r="K112" s="19"/>
      <c r="L112" s="19"/>
      <c r="M112" s="19"/>
      <c r="N112" s="14">
        <v>1.0</v>
      </c>
      <c r="O112" s="19"/>
      <c r="P112" s="19"/>
      <c r="Q112" s="14"/>
      <c r="R112" s="19"/>
      <c r="S112" s="19"/>
      <c r="T112" s="19"/>
      <c r="U112" s="19"/>
      <c r="V112" s="19"/>
      <c r="W112" s="14"/>
      <c r="X112" s="14" t="s">
        <v>31</v>
      </c>
      <c r="Y112" s="9" t="s">
        <v>32</v>
      </c>
      <c r="Z112" s="9" t="s">
        <v>434</v>
      </c>
    </row>
    <row r="113">
      <c r="A113" s="9">
        <v>112.0</v>
      </c>
      <c r="B113" s="10" t="s">
        <v>435</v>
      </c>
      <c r="C113" s="11" t="s">
        <v>436</v>
      </c>
      <c r="D113" s="10" t="s">
        <v>437</v>
      </c>
      <c r="E113" s="17" t="s">
        <v>438</v>
      </c>
      <c r="F113" s="17" t="s">
        <v>438</v>
      </c>
      <c r="G113" s="9"/>
      <c r="H113" s="13">
        <v>2018.0</v>
      </c>
      <c r="I113" s="19"/>
      <c r="J113" s="19"/>
      <c r="K113" s="19"/>
      <c r="L113" s="19"/>
      <c r="M113" s="19"/>
      <c r="N113" s="19"/>
      <c r="O113" s="19"/>
      <c r="P113" s="19"/>
      <c r="Q113" s="14"/>
      <c r="R113" s="14"/>
      <c r="S113" s="19"/>
      <c r="T113" s="14">
        <v>1.0</v>
      </c>
      <c r="U113" s="19"/>
      <c r="V113" s="19"/>
      <c r="W113" s="14"/>
      <c r="X113" s="14" t="s">
        <v>31</v>
      </c>
      <c r="Y113" s="9" t="s">
        <v>32</v>
      </c>
      <c r="Z113" s="9" t="s">
        <v>70</v>
      </c>
    </row>
    <row r="114">
      <c r="A114" s="9">
        <v>113.0</v>
      </c>
      <c r="B114" s="10" t="s">
        <v>439</v>
      </c>
      <c r="C114" s="11" t="s">
        <v>440</v>
      </c>
      <c r="D114" s="10" t="s">
        <v>441</v>
      </c>
      <c r="E114" s="23" t="s">
        <v>442</v>
      </c>
      <c r="F114" s="23" t="s">
        <v>442</v>
      </c>
      <c r="G114" s="9"/>
      <c r="H114" s="18">
        <v>2018.0</v>
      </c>
      <c r="I114" s="14"/>
      <c r="J114" s="14"/>
      <c r="K114" s="14"/>
      <c r="L114" s="14"/>
      <c r="M114" s="14"/>
      <c r="N114" s="19"/>
      <c r="O114" s="19"/>
      <c r="P114" s="19"/>
      <c r="Q114" s="19"/>
      <c r="R114" s="14"/>
      <c r="S114" s="19"/>
      <c r="T114" s="14">
        <v>1.0</v>
      </c>
      <c r="U114" s="19"/>
      <c r="V114" s="19"/>
      <c r="W114" s="14"/>
      <c r="X114" s="14" t="s">
        <v>31</v>
      </c>
      <c r="Y114" s="9" t="s">
        <v>32</v>
      </c>
      <c r="Z114" s="9" t="s">
        <v>70</v>
      </c>
    </row>
    <row r="115">
      <c r="A115" s="9">
        <v>114.0</v>
      </c>
      <c r="B115" s="10" t="s">
        <v>443</v>
      </c>
      <c r="C115" s="16" t="s">
        <v>444</v>
      </c>
      <c r="D115" s="10" t="s">
        <v>445</v>
      </c>
      <c r="E115" s="12" t="s">
        <v>446</v>
      </c>
      <c r="F115" s="12" t="s">
        <v>447</v>
      </c>
      <c r="G115" s="9"/>
      <c r="H115" s="13">
        <v>2019.0</v>
      </c>
      <c r="I115" s="19"/>
      <c r="J115" s="19"/>
      <c r="K115" s="19"/>
      <c r="L115" s="19"/>
      <c r="M115" s="19"/>
      <c r="N115" s="19"/>
      <c r="O115" s="19"/>
      <c r="P115" s="14">
        <v>1.0</v>
      </c>
      <c r="Q115" s="14"/>
      <c r="R115" s="19"/>
      <c r="S115" s="19"/>
      <c r="T115" s="19"/>
      <c r="U115" s="19"/>
      <c r="V115" s="19"/>
      <c r="W115" s="14"/>
      <c r="X115" s="14" t="s">
        <v>31</v>
      </c>
      <c r="Y115" s="9" t="s">
        <v>32</v>
      </c>
      <c r="Z115" s="9" t="s">
        <v>448</v>
      </c>
    </row>
    <row r="116">
      <c r="A116" s="9">
        <v>115.0</v>
      </c>
      <c r="B116" s="10" t="s">
        <v>449</v>
      </c>
      <c r="C116" s="16" t="s">
        <v>450</v>
      </c>
      <c r="D116" s="10" t="s">
        <v>451</v>
      </c>
      <c r="E116" s="23" t="s">
        <v>452</v>
      </c>
      <c r="F116" s="23" t="s">
        <v>452</v>
      </c>
      <c r="G116" s="9"/>
      <c r="H116" s="13">
        <v>2019.0</v>
      </c>
      <c r="I116" s="19"/>
      <c r="J116" s="19"/>
      <c r="K116" s="19"/>
      <c r="L116" s="19"/>
      <c r="M116" s="19"/>
      <c r="N116" s="14">
        <v>1.0</v>
      </c>
      <c r="O116" s="19"/>
      <c r="P116" s="19"/>
      <c r="Q116" s="14"/>
      <c r="R116" s="14"/>
      <c r="S116" s="19"/>
      <c r="T116" s="19"/>
      <c r="U116" s="19"/>
      <c r="V116" s="19"/>
      <c r="W116" s="14" t="s">
        <v>31</v>
      </c>
      <c r="X116" s="14" t="s">
        <v>39</v>
      </c>
      <c r="Y116" s="9" t="s">
        <v>412</v>
      </c>
      <c r="Z116" s="9" t="s">
        <v>453</v>
      </c>
    </row>
    <row r="117">
      <c r="A117" s="9">
        <v>116.0</v>
      </c>
      <c r="B117" s="10" t="s">
        <v>454</v>
      </c>
      <c r="C117" s="11" t="s">
        <v>455</v>
      </c>
      <c r="D117" s="10" t="s">
        <v>456</v>
      </c>
      <c r="E117" s="28" t="s">
        <v>457</v>
      </c>
      <c r="F117" s="28" t="s">
        <v>458</v>
      </c>
      <c r="G117" s="9" t="s">
        <v>38</v>
      </c>
      <c r="H117" s="15">
        <v>2018.0</v>
      </c>
      <c r="I117" s="14">
        <v>1.0</v>
      </c>
      <c r="J117" s="19"/>
      <c r="K117" s="19"/>
      <c r="L117" s="14"/>
      <c r="M117" s="19"/>
      <c r="N117" s="19"/>
      <c r="O117" s="19"/>
      <c r="P117" s="19"/>
      <c r="Q117" s="14"/>
      <c r="R117" s="19"/>
      <c r="S117" s="19"/>
      <c r="T117" s="19"/>
      <c r="U117" s="19"/>
      <c r="V117" s="19"/>
      <c r="W117" s="14" t="s">
        <v>31</v>
      </c>
      <c r="X117" s="14" t="s">
        <v>39</v>
      </c>
      <c r="Y117" s="9" t="s">
        <v>412</v>
      </c>
      <c r="Z117" s="9" t="s">
        <v>459</v>
      </c>
    </row>
    <row r="118">
      <c r="A118" s="9">
        <v>117.0</v>
      </c>
      <c r="B118" s="10" t="s">
        <v>460</v>
      </c>
      <c r="C118" s="11" t="s">
        <v>461</v>
      </c>
      <c r="D118" s="10" t="s">
        <v>462</v>
      </c>
      <c r="E118" s="12" t="s">
        <v>36</v>
      </c>
      <c r="F118" s="12" t="s">
        <v>37</v>
      </c>
      <c r="G118" s="9"/>
      <c r="H118" s="13">
        <v>2020.0</v>
      </c>
      <c r="I118" s="19"/>
      <c r="J118" s="19"/>
      <c r="K118" s="19"/>
      <c r="L118" s="19"/>
      <c r="M118" s="19"/>
      <c r="N118" s="19"/>
      <c r="O118" s="19"/>
      <c r="P118" s="14">
        <v>1.0</v>
      </c>
      <c r="Q118" s="14"/>
      <c r="R118" s="19"/>
      <c r="S118" s="14">
        <v>1.0</v>
      </c>
      <c r="T118" s="19"/>
      <c r="U118" s="14"/>
      <c r="V118" s="19"/>
      <c r="W118" s="14"/>
      <c r="X118" s="14" t="s">
        <v>31</v>
      </c>
      <c r="Y118" s="9" t="s">
        <v>32</v>
      </c>
      <c r="Z118" s="9"/>
    </row>
    <row r="119">
      <c r="A119" s="9">
        <v>118.0</v>
      </c>
      <c r="B119" s="10" t="s">
        <v>463</v>
      </c>
      <c r="C119" s="16" t="s">
        <v>464</v>
      </c>
      <c r="D119" s="10" t="s">
        <v>465</v>
      </c>
      <c r="E119" s="23" t="s">
        <v>466</v>
      </c>
      <c r="F119" s="23" t="s">
        <v>466</v>
      </c>
      <c r="G119" s="9"/>
      <c r="H119" s="29"/>
      <c r="I119" s="14"/>
      <c r="J119" s="14"/>
      <c r="K119" s="14"/>
      <c r="L119" s="14"/>
      <c r="M119" s="14"/>
      <c r="N119" s="19"/>
      <c r="O119" s="19"/>
      <c r="P119" s="19"/>
      <c r="Q119" s="14">
        <v>1.0</v>
      </c>
      <c r="R119" s="19"/>
      <c r="S119" s="19"/>
      <c r="T119" s="19"/>
      <c r="U119" s="19"/>
      <c r="V119" s="19"/>
      <c r="W119" s="14"/>
      <c r="X119" s="14" t="s">
        <v>31</v>
      </c>
      <c r="Y119" s="9" t="s">
        <v>32</v>
      </c>
      <c r="Z119" s="9"/>
    </row>
    <row r="120">
      <c r="A120" s="9">
        <v>119.0</v>
      </c>
      <c r="B120" s="10" t="s">
        <v>467</v>
      </c>
      <c r="C120" s="11" t="s">
        <v>468</v>
      </c>
      <c r="D120" s="10" t="s">
        <v>469</v>
      </c>
      <c r="E120" s="22" t="s">
        <v>62</v>
      </c>
      <c r="F120" s="22" t="s">
        <v>62</v>
      </c>
      <c r="G120" s="9" t="s">
        <v>38</v>
      </c>
      <c r="H120" s="18">
        <v>2018.0</v>
      </c>
      <c r="I120" s="14">
        <v>1.0</v>
      </c>
      <c r="J120" s="14">
        <v>1.0</v>
      </c>
      <c r="K120" s="14">
        <v>1.0</v>
      </c>
      <c r="L120" s="14">
        <v>1.0</v>
      </c>
      <c r="M120" s="14">
        <v>1.0</v>
      </c>
      <c r="N120" s="14">
        <v>0.0</v>
      </c>
      <c r="O120" s="14">
        <v>0.0</v>
      </c>
      <c r="P120" s="14">
        <v>0.0</v>
      </c>
      <c r="Q120" s="14">
        <v>0.0</v>
      </c>
      <c r="R120" s="14">
        <v>0.0</v>
      </c>
      <c r="S120" s="14">
        <v>0.0</v>
      </c>
      <c r="T120" s="14">
        <v>0.0</v>
      </c>
      <c r="U120" s="14">
        <v>0.0</v>
      </c>
      <c r="V120" s="14">
        <v>0.0</v>
      </c>
      <c r="W120" s="14" t="s">
        <v>39</v>
      </c>
      <c r="X120" s="14" t="s">
        <v>39</v>
      </c>
      <c r="Y120" s="9" t="s">
        <v>412</v>
      </c>
      <c r="Z120" s="9" t="s">
        <v>470</v>
      </c>
    </row>
    <row r="121">
      <c r="A121" s="9">
        <v>120.0</v>
      </c>
      <c r="B121" s="10" t="s">
        <v>471</v>
      </c>
      <c r="C121" s="11" t="s">
        <v>472</v>
      </c>
      <c r="D121" s="10" t="s">
        <v>473</v>
      </c>
      <c r="E121" s="25" t="s">
        <v>128</v>
      </c>
      <c r="F121" s="25" t="s">
        <v>128</v>
      </c>
      <c r="G121" s="9" t="s">
        <v>38</v>
      </c>
      <c r="H121" s="18">
        <v>2018.0</v>
      </c>
      <c r="I121" s="14">
        <v>1.0</v>
      </c>
      <c r="J121" s="14">
        <v>1.0</v>
      </c>
      <c r="K121" s="14">
        <v>1.0</v>
      </c>
      <c r="L121" s="14">
        <v>1.0</v>
      </c>
      <c r="M121" s="14">
        <v>1.0</v>
      </c>
      <c r="N121" s="14">
        <v>0.0</v>
      </c>
      <c r="O121" s="14">
        <v>1.0</v>
      </c>
      <c r="P121" s="14">
        <v>0.0</v>
      </c>
      <c r="Q121" s="14">
        <v>0.0</v>
      </c>
      <c r="R121" s="14">
        <v>0.0</v>
      </c>
      <c r="S121" s="14">
        <v>0.0</v>
      </c>
      <c r="T121" s="14">
        <v>0.0</v>
      </c>
      <c r="U121" s="14">
        <v>0.0</v>
      </c>
      <c r="V121" s="14">
        <v>0.0</v>
      </c>
      <c r="W121" s="14" t="s">
        <v>31</v>
      </c>
      <c r="X121" s="14" t="s">
        <v>39</v>
      </c>
      <c r="Y121" s="9" t="s">
        <v>412</v>
      </c>
      <c r="Z121" s="9" t="s">
        <v>474</v>
      </c>
    </row>
    <row r="122">
      <c r="A122" s="9">
        <v>121.0</v>
      </c>
      <c r="B122" s="10" t="s">
        <v>475</v>
      </c>
      <c r="C122" s="11" t="s">
        <v>476</v>
      </c>
      <c r="D122" s="15" t="s">
        <v>477</v>
      </c>
      <c r="E122" s="12" t="s">
        <v>36</v>
      </c>
      <c r="F122" s="12" t="s">
        <v>37</v>
      </c>
      <c r="G122" s="9" t="s">
        <v>38</v>
      </c>
      <c r="H122" s="13">
        <v>2019.0</v>
      </c>
      <c r="I122" s="14">
        <v>1.0</v>
      </c>
      <c r="J122" s="14">
        <v>1.0</v>
      </c>
      <c r="K122" s="14">
        <v>1.0</v>
      </c>
      <c r="L122" s="14">
        <v>1.0</v>
      </c>
      <c r="M122" s="14">
        <v>1.0</v>
      </c>
      <c r="N122" s="14">
        <v>0.0</v>
      </c>
      <c r="O122" s="14">
        <v>0.0</v>
      </c>
      <c r="P122" s="14">
        <v>0.0</v>
      </c>
      <c r="Q122" s="14">
        <v>0.0</v>
      </c>
      <c r="R122" s="14">
        <v>0.0</v>
      </c>
      <c r="S122" s="14">
        <v>0.0</v>
      </c>
      <c r="T122" s="14">
        <v>0.0</v>
      </c>
      <c r="U122" s="14">
        <v>0.0</v>
      </c>
      <c r="V122" s="14">
        <v>0.0</v>
      </c>
      <c r="W122" s="14" t="s">
        <v>39</v>
      </c>
      <c r="X122" s="14" t="s">
        <v>39</v>
      </c>
      <c r="Y122" s="9" t="s">
        <v>412</v>
      </c>
      <c r="Z122" s="9" t="s">
        <v>478</v>
      </c>
    </row>
    <row r="123">
      <c r="A123" s="9">
        <v>122.0</v>
      </c>
      <c r="B123" s="10" t="s">
        <v>479</v>
      </c>
      <c r="C123" s="11" t="s">
        <v>480</v>
      </c>
      <c r="D123" s="10" t="s">
        <v>481</v>
      </c>
      <c r="E123" s="12" t="s">
        <v>36</v>
      </c>
      <c r="F123" s="12" t="s">
        <v>37</v>
      </c>
      <c r="G123" s="9" t="s">
        <v>38</v>
      </c>
      <c r="H123" s="13">
        <v>2019.0</v>
      </c>
      <c r="I123" s="14">
        <v>1.0</v>
      </c>
      <c r="J123" s="14">
        <v>1.0</v>
      </c>
      <c r="K123" s="14">
        <v>1.0</v>
      </c>
      <c r="L123" s="14">
        <v>1.0</v>
      </c>
      <c r="M123" s="14">
        <v>1.0</v>
      </c>
      <c r="N123" s="14">
        <v>0.0</v>
      </c>
      <c r="O123" s="14">
        <v>0.0</v>
      </c>
      <c r="P123" s="14">
        <v>0.0</v>
      </c>
      <c r="Q123" s="14">
        <v>0.0</v>
      </c>
      <c r="R123" s="14">
        <v>0.0</v>
      </c>
      <c r="S123" s="14">
        <v>0.0</v>
      </c>
      <c r="T123" s="14">
        <v>0.0</v>
      </c>
      <c r="U123" s="14">
        <v>0.0</v>
      </c>
      <c r="V123" s="14">
        <v>0.0</v>
      </c>
      <c r="W123" s="14" t="s">
        <v>39</v>
      </c>
      <c r="X123" s="14" t="s">
        <v>39</v>
      </c>
      <c r="Y123" s="9" t="s">
        <v>412</v>
      </c>
      <c r="Z123" s="9" t="s">
        <v>482</v>
      </c>
    </row>
    <row r="124">
      <c r="A124" s="9">
        <v>123.0</v>
      </c>
      <c r="B124" s="10" t="s">
        <v>483</v>
      </c>
      <c r="C124" s="16" t="s">
        <v>484</v>
      </c>
      <c r="D124" s="10" t="s">
        <v>485</v>
      </c>
      <c r="E124" s="22" t="s">
        <v>128</v>
      </c>
      <c r="F124" s="22" t="s">
        <v>128</v>
      </c>
      <c r="G124" s="9" t="s">
        <v>38</v>
      </c>
      <c r="H124" s="15">
        <v>2021.0</v>
      </c>
      <c r="I124" s="14">
        <v>1.0</v>
      </c>
      <c r="J124" s="14">
        <v>1.0</v>
      </c>
      <c r="K124" s="14">
        <v>1.0</v>
      </c>
      <c r="L124" s="14">
        <v>1.0</v>
      </c>
      <c r="M124" s="14">
        <v>1.0</v>
      </c>
      <c r="N124" s="14">
        <v>0.0</v>
      </c>
      <c r="O124" s="14">
        <v>0.0</v>
      </c>
      <c r="P124" s="14">
        <v>0.0</v>
      </c>
      <c r="Q124" s="14">
        <v>0.0</v>
      </c>
      <c r="R124" s="14">
        <v>0.0</v>
      </c>
      <c r="S124" s="14">
        <v>0.0</v>
      </c>
      <c r="T124" s="14">
        <v>0.0</v>
      </c>
      <c r="U124" s="14">
        <v>0.0</v>
      </c>
      <c r="V124" s="14">
        <v>0.0</v>
      </c>
      <c r="W124" s="14" t="s">
        <v>39</v>
      </c>
      <c r="X124" s="14" t="s">
        <v>39</v>
      </c>
      <c r="Y124" s="9" t="s">
        <v>412</v>
      </c>
      <c r="Z124" s="9" t="s">
        <v>486</v>
      </c>
    </row>
    <row r="125">
      <c r="A125" s="9">
        <v>124.0</v>
      </c>
      <c r="B125" s="10" t="s">
        <v>487</v>
      </c>
      <c r="C125" s="11" t="s">
        <v>488</v>
      </c>
      <c r="D125" s="10" t="s">
        <v>489</v>
      </c>
      <c r="E125" s="22" t="s">
        <v>128</v>
      </c>
      <c r="F125" s="22" t="s">
        <v>128</v>
      </c>
      <c r="G125" s="9"/>
      <c r="H125" s="13">
        <v>2018.0</v>
      </c>
      <c r="I125" s="19"/>
      <c r="J125" s="19"/>
      <c r="K125" s="14"/>
      <c r="L125" s="19"/>
      <c r="M125" s="19"/>
      <c r="N125" s="19"/>
      <c r="O125" s="14"/>
      <c r="P125" s="14">
        <v>1.0</v>
      </c>
      <c r="Q125" s="14"/>
      <c r="R125" s="19"/>
      <c r="S125" s="19"/>
      <c r="T125" s="19"/>
      <c r="U125" s="19"/>
      <c r="V125" s="19"/>
      <c r="W125" s="14"/>
      <c r="X125" s="14" t="s">
        <v>31</v>
      </c>
      <c r="Y125" s="9" t="s">
        <v>32</v>
      </c>
      <c r="Z125" s="21"/>
    </row>
    <row r="126">
      <c r="A126" s="9">
        <v>125.0</v>
      </c>
      <c r="B126" s="10" t="s">
        <v>490</v>
      </c>
      <c r="C126" s="16" t="s">
        <v>491</v>
      </c>
      <c r="D126" s="10" t="s">
        <v>492</v>
      </c>
      <c r="E126" s="23" t="s">
        <v>44</v>
      </c>
      <c r="F126" s="23" t="s">
        <v>44</v>
      </c>
      <c r="G126" s="9"/>
      <c r="H126" s="13">
        <v>2019.0</v>
      </c>
      <c r="I126" s="19"/>
      <c r="J126" s="19"/>
      <c r="K126" s="19"/>
      <c r="L126" s="19"/>
      <c r="M126" s="19"/>
      <c r="N126" s="19"/>
      <c r="O126" s="19"/>
      <c r="P126" s="19"/>
      <c r="Q126" s="14"/>
      <c r="R126" s="14"/>
      <c r="S126" s="19"/>
      <c r="T126" s="14">
        <v>1.0</v>
      </c>
      <c r="U126" s="19"/>
      <c r="V126" s="19"/>
      <c r="W126" s="14"/>
      <c r="X126" s="14" t="s">
        <v>31</v>
      </c>
      <c r="Y126" s="9" t="s">
        <v>32</v>
      </c>
      <c r="Z126" s="9" t="s">
        <v>50</v>
      </c>
    </row>
    <row r="127">
      <c r="A127" s="9">
        <v>126.0</v>
      </c>
      <c r="B127" s="10" t="s">
        <v>493</v>
      </c>
      <c r="C127" s="11" t="s">
        <v>494</v>
      </c>
      <c r="D127" s="10" t="s">
        <v>495</v>
      </c>
      <c r="E127" s="12" t="s">
        <v>36</v>
      </c>
      <c r="F127" s="12" t="s">
        <v>37</v>
      </c>
      <c r="G127" s="9"/>
      <c r="H127" s="18">
        <v>2019.0</v>
      </c>
      <c r="I127" s="14">
        <v>0.0</v>
      </c>
      <c r="J127" s="14">
        <v>0.0</v>
      </c>
      <c r="K127" s="14">
        <v>1.0</v>
      </c>
      <c r="L127" s="14">
        <v>0.0</v>
      </c>
      <c r="M127" s="14">
        <v>1.0</v>
      </c>
      <c r="N127" s="14">
        <v>0.0</v>
      </c>
      <c r="O127" s="14">
        <v>0.0</v>
      </c>
      <c r="P127" s="14">
        <v>0.0</v>
      </c>
      <c r="Q127" s="14">
        <v>0.0</v>
      </c>
      <c r="R127" s="14">
        <v>0.0</v>
      </c>
      <c r="S127" s="14">
        <v>0.0</v>
      </c>
      <c r="T127" s="14">
        <v>0.0</v>
      </c>
      <c r="U127" s="14">
        <v>0.0</v>
      </c>
      <c r="V127" s="14">
        <v>0.0</v>
      </c>
      <c r="W127" s="14" t="s">
        <v>31</v>
      </c>
      <c r="X127" s="14" t="s">
        <v>39</v>
      </c>
      <c r="Y127" s="9" t="s">
        <v>412</v>
      </c>
      <c r="Z127" s="9" t="s">
        <v>496</v>
      </c>
    </row>
    <row r="128">
      <c r="A128" s="9">
        <v>127.0</v>
      </c>
      <c r="B128" s="10" t="s">
        <v>497</v>
      </c>
      <c r="C128" s="11" t="s">
        <v>498</v>
      </c>
      <c r="D128" s="10" t="s">
        <v>499</v>
      </c>
      <c r="E128" s="12" t="s">
        <v>36</v>
      </c>
      <c r="F128" s="12" t="s">
        <v>37</v>
      </c>
      <c r="G128" s="9"/>
      <c r="H128" s="13">
        <v>2018.0</v>
      </c>
      <c r="I128" s="19"/>
      <c r="J128" s="19"/>
      <c r="K128" s="19"/>
      <c r="L128" s="19"/>
      <c r="M128" s="19"/>
      <c r="N128" s="19"/>
      <c r="O128" s="14">
        <v>1.0</v>
      </c>
      <c r="P128" s="19"/>
      <c r="Q128" s="14"/>
      <c r="R128" s="19"/>
      <c r="S128" s="19"/>
      <c r="T128" s="19"/>
      <c r="U128" s="19"/>
      <c r="V128" s="19"/>
      <c r="W128" s="14"/>
      <c r="X128" s="14" t="s">
        <v>31</v>
      </c>
      <c r="Y128" s="9" t="s">
        <v>32</v>
      </c>
      <c r="Z128" s="9"/>
    </row>
    <row r="129">
      <c r="A129" s="9">
        <v>128.0</v>
      </c>
      <c r="B129" s="10" t="s">
        <v>500</v>
      </c>
      <c r="C129" s="11" t="s">
        <v>501</v>
      </c>
      <c r="D129" s="15" t="s">
        <v>502</v>
      </c>
      <c r="E129" s="25" t="s">
        <v>62</v>
      </c>
      <c r="F129" s="25" t="s">
        <v>62</v>
      </c>
      <c r="G129" s="9" t="s">
        <v>38</v>
      </c>
      <c r="H129" s="13">
        <v>2019.0</v>
      </c>
      <c r="I129" s="14">
        <v>1.0</v>
      </c>
      <c r="J129" s="14">
        <v>1.0</v>
      </c>
      <c r="K129" s="14">
        <v>1.0</v>
      </c>
      <c r="L129" s="14">
        <v>1.0</v>
      </c>
      <c r="M129" s="14">
        <v>1.0</v>
      </c>
      <c r="N129" s="14">
        <v>0.0</v>
      </c>
      <c r="O129" s="14">
        <v>0.0</v>
      </c>
      <c r="P129" s="14">
        <v>0.0</v>
      </c>
      <c r="Q129" s="14">
        <v>0.0</v>
      </c>
      <c r="R129" s="14">
        <v>0.0</v>
      </c>
      <c r="S129" s="14">
        <v>0.0</v>
      </c>
      <c r="T129" s="14">
        <v>0.0</v>
      </c>
      <c r="U129" s="14">
        <v>0.0</v>
      </c>
      <c r="V129" s="14">
        <v>0.0</v>
      </c>
      <c r="W129" s="14" t="s">
        <v>39</v>
      </c>
      <c r="X129" s="14" t="s">
        <v>39</v>
      </c>
      <c r="Y129" s="9" t="s">
        <v>412</v>
      </c>
      <c r="Z129" s="9" t="s">
        <v>503</v>
      </c>
    </row>
    <row r="130">
      <c r="A130" s="9">
        <v>129.0</v>
      </c>
      <c r="B130" s="10" t="s">
        <v>504</v>
      </c>
      <c r="C130" s="11" t="s">
        <v>505</v>
      </c>
      <c r="D130" s="10" t="s">
        <v>506</v>
      </c>
      <c r="E130" s="22" t="s">
        <v>128</v>
      </c>
      <c r="F130" s="22" t="s">
        <v>128</v>
      </c>
      <c r="G130" s="9"/>
      <c r="H130" s="13">
        <v>2019.0</v>
      </c>
      <c r="I130" s="19"/>
      <c r="J130" s="19"/>
      <c r="K130" s="19"/>
      <c r="L130" s="19"/>
      <c r="M130" s="19"/>
      <c r="N130" s="19"/>
      <c r="O130" s="14">
        <v>1.0</v>
      </c>
      <c r="P130" s="19"/>
      <c r="Q130" s="19"/>
      <c r="R130" s="19"/>
      <c r="S130" s="14">
        <v>1.0</v>
      </c>
      <c r="T130" s="19"/>
      <c r="U130" s="19"/>
      <c r="V130" s="19"/>
      <c r="W130" s="14"/>
      <c r="X130" s="14" t="s">
        <v>31</v>
      </c>
      <c r="Y130" s="9" t="s">
        <v>32</v>
      </c>
      <c r="Z130" s="21"/>
    </row>
    <row r="131">
      <c r="A131" s="9">
        <v>130.0</v>
      </c>
      <c r="B131" s="10" t="s">
        <v>507</v>
      </c>
      <c r="C131" s="11" t="s">
        <v>508</v>
      </c>
      <c r="D131" s="10" t="s">
        <v>509</v>
      </c>
      <c r="E131" s="23" t="s">
        <v>510</v>
      </c>
      <c r="F131" s="23" t="s">
        <v>510</v>
      </c>
      <c r="G131" s="9"/>
      <c r="H131" s="13">
        <v>2020.0</v>
      </c>
      <c r="I131" s="19"/>
      <c r="J131" s="19"/>
      <c r="K131" s="19"/>
      <c r="L131" s="19"/>
      <c r="M131" s="19"/>
      <c r="N131" s="14"/>
      <c r="O131" s="14"/>
      <c r="P131" s="14"/>
      <c r="Q131" s="14"/>
      <c r="R131" s="19"/>
      <c r="S131" s="14">
        <v>1.0</v>
      </c>
      <c r="T131" s="19"/>
      <c r="U131" s="19"/>
      <c r="V131" s="19"/>
      <c r="W131" s="14"/>
      <c r="X131" s="14" t="s">
        <v>31</v>
      </c>
      <c r="Y131" s="9" t="s">
        <v>32</v>
      </c>
      <c r="Z131" s="21"/>
    </row>
    <row r="132">
      <c r="A132" s="9">
        <v>131.0</v>
      </c>
      <c r="B132" s="10" t="s">
        <v>511</v>
      </c>
      <c r="C132" s="11" t="s">
        <v>512</v>
      </c>
      <c r="D132" s="10" t="s">
        <v>513</v>
      </c>
      <c r="E132" s="22" t="s">
        <v>62</v>
      </c>
      <c r="F132" s="22" t="s">
        <v>62</v>
      </c>
      <c r="G132" s="9" t="s">
        <v>38</v>
      </c>
      <c r="H132" s="13">
        <v>2019.0</v>
      </c>
      <c r="I132" s="14">
        <v>1.0</v>
      </c>
      <c r="J132" s="14">
        <v>1.0</v>
      </c>
      <c r="K132" s="14">
        <v>1.0</v>
      </c>
      <c r="L132" s="14">
        <v>1.0</v>
      </c>
      <c r="M132" s="14">
        <v>1.0</v>
      </c>
      <c r="N132" s="14">
        <v>0.0</v>
      </c>
      <c r="O132" s="14">
        <v>0.0</v>
      </c>
      <c r="P132" s="14">
        <v>0.0</v>
      </c>
      <c r="Q132" s="14">
        <v>0.0</v>
      </c>
      <c r="R132" s="14">
        <v>0.0</v>
      </c>
      <c r="S132" s="14">
        <v>0.0</v>
      </c>
      <c r="T132" s="14">
        <v>0.0</v>
      </c>
      <c r="U132" s="14">
        <v>0.0</v>
      </c>
      <c r="V132" s="14">
        <v>0.0</v>
      </c>
      <c r="W132" s="14" t="s">
        <v>31</v>
      </c>
      <c r="X132" s="14" t="s">
        <v>39</v>
      </c>
      <c r="Y132" s="9" t="s">
        <v>412</v>
      </c>
      <c r="Z132" s="9" t="s">
        <v>514</v>
      </c>
    </row>
    <row r="133">
      <c r="A133" s="9">
        <v>132.0</v>
      </c>
      <c r="B133" s="10" t="s">
        <v>515</v>
      </c>
      <c r="C133" s="16" t="s">
        <v>516</v>
      </c>
      <c r="D133" s="10" t="s">
        <v>517</v>
      </c>
      <c r="E133" s="17" t="s">
        <v>518</v>
      </c>
      <c r="F133" s="17" t="s">
        <v>518</v>
      </c>
      <c r="G133" s="9"/>
      <c r="H133" s="13">
        <v>2019.0</v>
      </c>
      <c r="I133" s="14"/>
      <c r="J133" s="19"/>
      <c r="K133" s="19"/>
      <c r="L133" s="19"/>
      <c r="M133" s="19"/>
      <c r="N133" s="19"/>
      <c r="O133" s="19"/>
      <c r="P133" s="19"/>
      <c r="Q133" s="14"/>
      <c r="R133" s="14">
        <v>1.0</v>
      </c>
      <c r="S133" s="19"/>
      <c r="T133" s="19"/>
      <c r="U133" s="19"/>
      <c r="V133" s="19"/>
      <c r="W133" s="14"/>
      <c r="X133" s="14" t="s">
        <v>31</v>
      </c>
      <c r="Y133" s="9" t="s">
        <v>32</v>
      </c>
      <c r="Z133" s="9" t="s">
        <v>193</v>
      </c>
    </row>
    <row r="134">
      <c r="A134" s="9">
        <v>133.0</v>
      </c>
      <c r="B134" s="10" t="s">
        <v>519</v>
      </c>
      <c r="C134" s="11" t="s">
        <v>520</v>
      </c>
      <c r="D134" s="10" t="s">
        <v>521</v>
      </c>
      <c r="E134" s="12" t="s">
        <v>36</v>
      </c>
      <c r="F134" s="12" t="s">
        <v>37</v>
      </c>
      <c r="G134" s="9"/>
      <c r="H134" s="13">
        <v>2018.0</v>
      </c>
      <c r="I134" s="19"/>
      <c r="J134" s="19"/>
      <c r="K134" s="19"/>
      <c r="L134" s="19"/>
      <c r="M134" s="19"/>
      <c r="N134" s="14"/>
      <c r="O134" s="14">
        <v>1.0</v>
      </c>
      <c r="P134" s="14"/>
      <c r="Q134" s="14"/>
      <c r="R134" s="19"/>
      <c r="S134" s="19"/>
      <c r="T134" s="19"/>
      <c r="U134" s="19"/>
      <c r="V134" s="19"/>
      <c r="W134" s="14"/>
      <c r="X134" s="14" t="s">
        <v>31</v>
      </c>
      <c r="Y134" s="9" t="s">
        <v>32</v>
      </c>
      <c r="Z134" s="21"/>
    </row>
    <row r="135">
      <c r="A135" s="9">
        <v>134.0</v>
      </c>
      <c r="B135" s="10" t="s">
        <v>522</v>
      </c>
      <c r="C135" s="11" t="s">
        <v>523</v>
      </c>
      <c r="D135" s="10" t="s">
        <v>524</v>
      </c>
      <c r="E135" s="17" t="s">
        <v>182</v>
      </c>
      <c r="F135" s="17" t="s">
        <v>182</v>
      </c>
      <c r="G135" s="9"/>
      <c r="H135" s="13">
        <v>2019.0</v>
      </c>
      <c r="I135" s="19"/>
      <c r="J135" s="14"/>
      <c r="K135" s="14"/>
      <c r="L135" s="14"/>
      <c r="M135" s="14"/>
      <c r="N135" s="19"/>
      <c r="O135" s="19"/>
      <c r="P135" s="14">
        <v>1.0</v>
      </c>
      <c r="Q135" s="19"/>
      <c r="R135" s="14"/>
      <c r="S135" s="19"/>
      <c r="T135" s="19"/>
      <c r="U135" s="19"/>
      <c r="V135" s="19"/>
      <c r="W135" s="14"/>
      <c r="X135" s="14" t="s">
        <v>31</v>
      </c>
      <c r="Y135" s="9" t="s">
        <v>32</v>
      </c>
      <c r="Z135" s="21"/>
    </row>
    <row r="136">
      <c r="A136" s="9">
        <v>135.0</v>
      </c>
      <c r="B136" s="10" t="s">
        <v>525</v>
      </c>
      <c r="C136" s="11" t="s">
        <v>526</v>
      </c>
      <c r="D136" s="10" t="s">
        <v>527</v>
      </c>
      <c r="E136" s="12" t="s">
        <v>36</v>
      </c>
      <c r="F136" s="12" t="s">
        <v>37</v>
      </c>
      <c r="G136" s="9" t="s">
        <v>58</v>
      </c>
      <c r="H136" s="13">
        <v>2018.0</v>
      </c>
      <c r="I136" s="14">
        <v>0.0</v>
      </c>
      <c r="J136" s="14"/>
      <c r="K136" s="14"/>
      <c r="L136" s="14"/>
      <c r="M136" s="14">
        <v>1.0</v>
      </c>
      <c r="N136" s="14">
        <v>0.0</v>
      </c>
      <c r="O136" s="14">
        <v>0.0</v>
      </c>
      <c r="P136" s="14">
        <v>0.0</v>
      </c>
      <c r="Q136" s="14">
        <v>0.0</v>
      </c>
      <c r="R136" s="14">
        <v>0.0</v>
      </c>
      <c r="S136" s="14">
        <v>0.0</v>
      </c>
      <c r="T136" s="14">
        <v>0.0</v>
      </c>
      <c r="U136" s="14">
        <v>0.0</v>
      </c>
      <c r="V136" s="14">
        <v>0.0</v>
      </c>
      <c r="W136" s="14" t="s">
        <v>31</v>
      </c>
      <c r="X136" s="14" t="s">
        <v>39</v>
      </c>
      <c r="Y136" s="9" t="s">
        <v>412</v>
      </c>
      <c r="Z136" s="9" t="s">
        <v>528</v>
      </c>
    </row>
    <row r="137">
      <c r="A137" s="9">
        <v>136.0</v>
      </c>
      <c r="B137" s="10" t="s">
        <v>529</v>
      </c>
      <c r="C137" s="11" t="s">
        <v>530</v>
      </c>
      <c r="D137" s="15" t="s">
        <v>531</v>
      </c>
      <c r="E137" s="25" t="s">
        <v>128</v>
      </c>
      <c r="F137" s="25" t="s">
        <v>128</v>
      </c>
      <c r="G137" s="9" t="s">
        <v>38</v>
      </c>
      <c r="H137" s="13">
        <v>2018.0</v>
      </c>
      <c r="I137" s="14">
        <v>1.0</v>
      </c>
      <c r="J137" s="14">
        <v>1.0</v>
      </c>
      <c r="K137" s="14">
        <v>1.0</v>
      </c>
      <c r="L137" s="14">
        <v>1.0</v>
      </c>
      <c r="M137" s="14">
        <v>1.0</v>
      </c>
      <c r="N137" s="14">
        <v>0.0</v>
      </c>
      <c r="O137" s="14">
        <v>0.0</v>
      </c>
      <c r="P137" s="14">
        <v>0.0</v>
      </c>
      <c r="Q137" s="14">
        <v>0.0</v>
      </c>
      <c r="R137" s="14">
        <v>0.0</v>
      </c>
      <c r="S137" s="14">
        <v>0.0</v>
      </c>
      <c r="T137" s="14">
        <v>0.0</v>
      </c>
      <c r="U137" s="14">
        <v>0.0</v>
      </c>
      <c r="V137" s="14">
        <v>0.0</v>
      </c>
      <c r="W137" s="14" t="s">
        <v>39</v>
      </c>
      <c r="X137" s="14" t="s">
        <v>39</v>
      </c>
      <c r="Y137" s="9" t="s">
        <v>412</v>
      </c>
      <c r="Z137" s="9" t="s">
        <v>532</v>
      </c>
    </row>
    <row r="138">
      <c r="A138" s="9">
        <v>137.0</v>
      </c>
      <c r="B138" s="10" t="s">
        <v>533</v>
      </c>
      <c r="C138" s="11" t="s">
        <v>534</v>
      </c>
      <c r="D138" s="10" t="s">
        <v>535</v>
      </c>
      <c r="E138" s="12" t="s">
        <v>29</v>
      </c>
      <c r="F138" s="12" t="s">
        <v>30</v>
      </c>
      <c r="G138" s="9"/>
      <c r="H138" s="13">
        <v>2019.0</v>
      </c>
      <c r="I138" s="14"/>
      <c r="J138" s="14"/>
      <c r="K138" s="14"/>
      <c r="L138" s="14"/>
      <c r="M138" s="14"/>
      <c r="N138" s="14"/>
      <c r="O138" s="14">
        <v>1.0</v>
      </c>
      <c r="P138" s="14"/>
      <c r="Q138" s="14"/>
      <c r="R138" s="14"/>
      <c r="S138" s="14"/>
      <c r="T138" s="14"/>
      <c r="U138" s="14"/>
      <c r="V138" s="14"/>
      <c r="W138" s="14" t="s">
        <v>31</v>
      </c>
      <c r="X138" s="14" t="s">
        <v>39</v>
      </c>
      <c r="Y138" s="9" t="s">
        <v>412</v>
      </c>
      <c r="Z138" s="9" t="s">
        <v>430</v>
      </c>
    </row>
    <row r="139">
      <c r="A139" s="9">
        <v>138.0</v>
      </c>
      <c r="B139" s="10" t="s">
        <v>536</v>
      </c>
      <c r="C139" s="11" t="s">
        <v>537</v>
      </c>
      <c r="D139" s="10" t="s">
        <v>538</v>
      </c>
      <c r="E139" s="17" t="s">
        <v>265</v>
      </c>
      <c r="F139" s="17" t="s">
        <v>265</v>
      </c>
      <c r="G139" s="9"/>
      <c r="H139" s="13">
        <v>2019.0</v>
      </c>
      <c r="I139" s="19"/>
      <c r="J139" s="19"/>
      <c r="K139" s="19"/>
      <c r="L139" s="19"/>
      <c r="M139" s="19"/>
      <c r="N139" s="14">
        <v>1.0</v>
      </c>
      <c r="O139" s="19"/>
      <c r="P139" s="19"/>
      <c r="Q139" s="14"/>
      <c r="R139" s="19"/>
      <c r="S139" s="19"/>
      <c r="T139" s="19"/>
      <c r="U139" s="19"/>
      <c r="V139" s="19"/>
      <c r="W139" s="14"/>
      <c r="X139" s="14" t="s">
        <v>31</v>
      </c>
      <c r="Y139" s="9" t="s">
        <v>32</v>
      </c>
      <c r="Z139" s="21"/>
    </row>
    <row r="140">
      <c r="A140" s="9">
        <v>139.0</v>
      </c>
      <c r="B140" s="10" t="s">
        <v>539</v>
      </c>
      <c r="C140" s="11" t="s">
        <v>540</v>
      </c>
      <c r="D140" s="10" t="s">
        <v>541</v>
      </c>
      <c r="E140" s="22" t="s">
        <v>62</v>
      </c>
      <c r="F140" s="22" t="s">
        <v>62</v>
      </c>
      <c r="G140" s="9"/>
      <c r="H140" s="13">
        <v>2019.0</v>
      </c>
      <c r="I140" s="19"/>
      <c r="J140" s="19"/>
      <c r="K140" s="19"/>
      <c r="L140" s="19"/>
      <c r="M140" s="19"/>
      <c r="N140" s="14"/>
      <c r="O140" s="14"/>
      <c r="P140" s="14"/>
      <c r="Q140" s="19"/>
      <c r="R140" s="19"/>
      <c r="S140" s="14">
        <v>1.0</v>
      </c>
      <c r="T140" s="19"/>
      <c r="U140" s="19"/>
      <c r="V140" s="19"/>
      <c r="W140" s="14"/>
      <c r="X140" s="14" t="s">
        <v>31</v>
      </c>
      <c r="Y140" s="9" t="s">
        <v>32</v>
      </c>
      <c r="Z140" s="9" t="s">
        <v>82</v>
      </c>
    </row>
    <row r="141">
      <c r="A141" s="9">
        <v>140.0</v>
      </c>
      <c r="B141" s="10" t="s">
        <v>542</v>
      </c>
      <c r="C141" s="11" t="s">
        <v>543</v>
      </c>
      <c r="D141" s="10" t="s">
        <v>544</v>
      </c>
      <c r="E141" s="22" t="s">
        <v>393</v>
      </c>
      <c r="F141" s="28" t="s">
        <v>394</v>
      </c>
      <c r="G141" s="9" t="s">
        <v>38</v>
      </c>
      <c r="H141" s="18">
        <v>2018.0</v>
      </c>
      <c r="I141" s="14">
        <v>1.0</v>
      </c>
      <c r="J141" s="14">
        <v>1.0</v>
      </c>
      <c r="K141" s="14">
        <v>1.0</v>
      </c>
      <c r="L141" s="14">
        <v>1.0</v>
      </c>
      <c r="M141" s="14">
        <v>1.0</v>
      </c>
      <c r="N141" s="14">
        <v>0.0</v>
      </c>
      <c r="O141" s="14">
        <v>1.0</v>
      </c>
      <c r="P141" s="14">
        <v>0.0</v>
      </c>
      <c r="Q141" s="14">
        <v>0.0</v>
      </c>
      <c r="R141" s="14">
        <v>0.0</v>
      </c>
      <c r="S141" s="14">
        <v>0.0</v>
      </c>
      <c r="T141" s="14">
        <v>0.0</v>
      </c>
      <c r="U141" s="14">
        <v>0.0</v>
      </c>
      <c r="V141" s="14">
        <v>0.0</v>
      </c>
      <c r="W141" s="14" t="s">
        <v>31</v>
      </c>
      <c r="X141" s="14" t="s">
        <v>39</v>
      </c>
      <c r="Y141" s="9" t="s">
        <v>412</v>
      </c>
      <c r="Z141" s="9" t="s">
        <v>545</v>
      </c>
    </row>
    <row r="142">
      <c r="A142" s="9">
        <v>141.0</v>
      </c>
      <c r="B142" s="10" t="s">
        <v>546</v>
      </c>
      <c r="C142" s="11" t="s">
        <v>547</v>
      </c>
      <c r="D142" s="15" t="s">
        <v>548</v>
      </c>
      <c r="E142" s="12" t="s">
        <v>36</v>
      </c>
      <c r="F142" s="12" t="s">
        <v>37</v>
      </c>
      <c r="G142" s="9" t="s">
        <v>38</v>
      </c>
      <c r="H142" s="18">
        <v>2018.0</v>
      </c>
      <c r="I142" s="14">
        <v>1.0</v>
      </c>
      <c r="J142" s="14">
        <v>1.0</v>
      </c>
      <c r="K142" s="14">
        <v>1.0</v>
      </c>
      <c r="L142" s="14">
        <v>1.0</v>
      </c>
      <c r="M142" s="14">
        <v>1.0</v>
      </c>
      <c r="N142" s="14">
        <v>0.0</v>
      </c>
      <c r="O142" s="14">
        <v>0.0</v>
      </c>
      <c r="P142" s="14">
        <v>0.0</v>
      </c>
      <c r="Q142" s="14">
        <v>0.0</v>
      </c>
      <c r="R142" s="14">
        <v>0.0</v>
      </c>
      <c r="S142" s="14">
        <v>0.0</v>
      </c>
      <c r="T142" s="14">
        <v>0.0</v>
      </c>
      <c r="U142" s="14">
        <v>0.0</v>
      </c>
      <c r="V142" s="14">
        <v>0.0</v>
      </c>
      <c r="W142" s="14" t="s">
        <v>39</v>
      </c>
      <c r="X142" s="14" t="s">
        <v>39</v>
      </c>
      <c r="Y142" s="9" t="s">
        <v>412</v>
      </c>
      <c r="Z142" s="9" t="s">
        <v>470</v>
      </c>
    </row>
    <row r="143">
      <c r="A143" s="9">
        <v>142.0</v>
      </c>
      <c r="B143" s="10" t="s">
        <v>549</v>
      </c>
      <c r="C143" s="11" t="s">
        <v>550</v>
      </c>
      <c r="D143" s="10" t="s">
        <v>551</v>
      </c>
      <c r="E143" s="12" t="s">
        <v>80</v>
      </c>
      <c r="F143" s="12" t="s">
        <v>81</v>
      </c>
      <c r="G143" s="9"/>
      <c r="H143" s="13">
        <v>2020.0</v>
      </c>
      <c r="I143" s="14"/>
      <c r="J143" s="14"/>
      <c r="K143" s="14"/>
      <c r="L143" s="14"/>
      <c r="M143" s="14"/>
      <c r="N143" s="19"/>
      <c r="O143" s="14">
        <v>1.0</v>
      </c>
      <c r="P143" s="14">
        <v>1.0</v>
      </c>
      <c r="Q143" s="19"/>
      <c r="R143" s="19"/>
      <c r="S143" s="19"/>
      <c r="T143" s="19"/>
      <c r="U143" s="19"/>
      <c r="V143" s="19"/>
      <c r="W143" s="14"/>
      <c r="X143" s="14" t="s">
        <v>31</v>
      </c>
      <c r="Y143" s="9" t="s">
        <v>32</v>
      </c>
      <c r="Z143" s="9"/>
    </row>
    <row r="144">
      <c r="A144" s="9">
        <v>143.0</v>
      </c>
      <c r="B144" s="10" t="s">
        <v>552</v>
      </c>
      <c r="C144" s="11" t="s">
        <v>553</v>
      </c>
      <c r="D144" s="10" t="s">
        <v>554</v>
      </c>
      <c r="E144" s="23" t="s">
        <v>555</v>
      </c>
      <c r="F144" s="23" t="s">
        <v>555</v>
      </c>
      <c r="G144" s="9"/>
      <c r="H144" s="13">
        <v>2019.0</v>
      </c>
      <c r="I144" s="14"/>
      <c r="J144" s="19"/>
      <c r="K144" s="19"/>
      <c r="L144" s="19"/>
      <c r="M144" s="19"/>
      <c r="N144" s="19"/>
      <c r="O144" s="19"/>
      <c r="P144" s="19"/>
      <c r="Q144" s="19"/>
      <c r="R144" s="14"/>
      <c r="S144" s="19"/>
      <c r="T144" s="14">
        <v>1.0</v>
      </c>
      <c r="U144" s="19"/>
      <c r="V144" s="19"/>
      <c r="W144" s="14"/>
      <c r="X144" s="14" t="s">
        <v>31</v>
      </c>
      <c r="Y144" s="9" t="s">
        <v>32</v>
      </c>
      <c r="Z144" s="9" t="s">
        <v>70</v>
      </c>
    </row>
    <row r="145">
      <c r="A145" s="9">
        <v>144.0</v>
      </c>
      <c r="B145" s="10" t="s">
        <v>556</v>
      </c>
      <c r="C145" s="11" t="s">
        <v>557</v>
      </c>
      <c r="D145" s="10" t="s">
        <v>558</v>
      </c>
      <c r="E145" s="12" t="s">
        <v>36</v>
      </c>
      <c r="F145" s="12" t="s">
        <v>37</v>
      </c>
      <c r="G145" s="9" t="s">
        <v>58</v>
      </c>
      <c r="H145" s="13">
        <v>2018.0</v>
      </c>
      <c r="I145" s="14">
        <v>0.0</v>
      </c>
      <c r="J145" s="14">
        <v>1.0</v>
      </c>
      <c r="K145" s="14">
        <v>1.0</v>
      </c>
      <c r="L145" s="14">
        <v>1.0</v>
      </c>
      <c r="M145" s="14">
        <v>1.0</v>
      </c>
      <c r="N145" s="14">
        <v>0.0</v>
      </c>
      <c r="O145" s="14">
        <v>0.0</v>
      </c>
      <c r="P145" s="14">
        <v>0.0</v>
      </c>
      <c r="Q145" s="14">
        <v>0.0</v>
      </c>
      <c r="R145" s="14">
        <v>0.0</v>
      </c>
      <c r="S145" s="14">
        <v>0.0</v>
      </c>
      <c r="T145" s="14">
        <v>0.0</v>
      </c>
      <c r="U145" s="14">
        <v>0.0</v>
      </c>
      <c r="V145" s="14">
        <v>0.0</v>
      </c>
      <c r="W145" s="14" t="s">
        <v>31</v>
      </c>
      <c r="X145" s="14" t="s">
        <v>39</v>
      </c>
      <c r="Y145" s="9" t="s">
        <v>412</v>
      </c>
      <c r="Z145" s="9" t="s">
        <v>559</v>
      </c>
    </row>
    <row r="146">
      <c r="A146" s="9">
        <v>145.0</v>
      </c>
      <c r="B146" s="10" t="s">
        <v>560</v>
      </c>
      <c r="C146" s="11" t="s">
        <v>561</v>
      </c>
      <c r="D146" s="10" t="s">
        <v>562</v>
      </c>
      <c r="E146" s="12" t="s">
        <v>80</v>
      </c>
      <c r="F146" s="12" t="s">
        <v>81</v>
      </c>
      <c r="G146" s="9"/>
      <c r="H146" s="13">
        <v>2019.0</v>
      </c>
      <c r="I146" s="19"/>
      <c r="J146" s="19"/>
      <c r="K146" s="19"/>
      <c r="L146" s="19"/>
      <c r="M146" s="19"/>
      <c r="N146" s="19"/>
      <c r="O146" s="14">
        <v>1.0</v>
      </c>
      <c r="P146" s="19"/>
      <c r="Q146" s="14"/>
      <c r="R146" s="19"/>
      <c r="S146" s="19"/>
      <c r="T146" s="19"/>
      <c r="U146" s="19"/>
      <c r="V146" s="19"/>
      <c r="W146" s="14"/>
      <c r="X146" s="14" t="s">
        <v>31</v>
      </c>
      <c r="Y146" s="9" t="s">
        <v>32</v>
      </c>
      <c r="Z146" s="21"/>
    </row>
    <row r="147">
      <c r="A147" s="9">
        <v>146.0</v>
      </c>
      <c r="B147" s="10" t="s">
        <v>563</v>
      </c>
      <c r="C147" s="11" t="s">
        <v>564</v>
      </c>
      <c r="D147" s="10" t="s">
        <v>565</v>
      </c>
      <c r="E147" s="23" t="s">
        <v>566</v>
      </c>
      <c r="F147" s="23" t="s">
        <v>566</v>
      </c>
      <c r="G147" s="9"/>
      <c r="H147" s="13">
        <v>2020.0</v>
      </c>
      <c r="I147" s="19"/>
      <c r="J147" s="19"/>
      <c r="K147" s="19"/>
      <c r="L147" s="19"/>
      <c r="M147" s="19"/>
      <c r="N147" s="19"/>
      <c r="O147" s="19"/>
      <c r="P147" s="19"/>
      <c r="Q147" s="19"/>
      <c r="R147" s="14">
        <v>1.0</v>
      </c>
      <c r="S147" s="19"/>
      <c r="T147" s="19"/>
      <c r="U147" s="19"/>
      <c r="V147" s="19"/>
      <c r="W147" s="14"/>
      <c r="X147" s="14" t="s">
        <v>31</v>
      </c>
      <c r="Y147" s="9" t="s">
        <v>32</v>
      </c>
      <c r="Z147" s="9" t="s">
        <v>193</v>
      </c>
    </row>
    <row r="148">
      <c r="A148" s="9">
        <v>147.0</v>
      </c>
      <c r="B148" s="10" t="s">
        <v>567</v>
      </c>
      <c r="C148" s="11" t="s">
        <v>568</v>
      </c>
      <c r="D148" s="15" t="s">
        <v>569</v>
      </c>
      <c r="E148" s="12" t="s">
        <v>36</v>
      </c>
      <c r="F148" s="12" t="s">
        <v>37</v>
      </c>
      <c r="G148" s="9" t="s">
        <v>38</v>
      </c>
      <c r="H148" s="13">
        <v>2019.0</v>
      </c>
      <c r="I148" s="14">
        <v>1.0</v>
      </c>
      <c r="J148" s="14">
        <v>1.0</v>
      </c>
      <c r="K148" s="14">
        <v>1.0</v>
      </c>
      <c r="L148" s="14">
        <v>1.0</v>
      </c>
      <c r="M148" s="14">
        <v>1.0</v>
      </c>
      <c r="N148" s="14">
        <v>0.0</v>
      </c>
      <c r="O148" s="14">
        <v>0.0</v>
      </c>
      <c r="P148" s="14">
        <v>0.0</v>
      </c>
      <c r="Q148" s="14">
        <v>0.0</v>
      </c>
      <c r="R148" s="14">
        <v>0.0</v>
      </c>
      <c r="S148" s="14">
        <v>0.0</v>
      </c>
      <c r="T148" s="14">
        <v>0.0</v>
      </c>
      <c r="U148" s="14">
        <v>0.0</v>
      </c>
      <c r="V148" s="14">
        <v>0.0</v>
      </c>
      <c r="W148" s="14" t="s">
        <v>39</v>
      </c>
      <c r="X148" s="14" t="s">
        <v>39</v>
      </c>
      <c r="Y148" s="9" t="s">
        <v>412</v>
      </c>
      <c r="Z148" s="9" t="s">
        <v>570</v>
      </c>
    </row>
    <row r="149">
      <c r="A149" s="9">
        <v>148.0</v>
      </c>
      <c r="B149" s="30" t="s">
        <v>571</v>
      </c>
      <c r="C149" s="11" t="s">
        <v>572</v>
      </c>
      <c r="D149" s="10" t="s">
        <v>573</v>
      </c>
      <c r="E149" s="17" t="s">
        <v>574</v>
      </c>
      <c r="F149" s="17" t="s">
        <v>574</v>
      </c>
      <c r="G149" s="9"/>
      <c r="H149" s="10"/>
      <c r="I149" s="19"/>
      <c r="J149" s="19"/>
      <c r="K149" s="19"/>
      <c r="L149" s="19"/>
      <c r="M149" s="19"/>
      <c r="N149" s="14">
        <v>1.0</v>
      </c>
      <c r="O149" s="14">
        <v>1.0</v>
      </c>
      <c r="P149" s="14">
        <v>1.0</v>
      </c>
      <c r="Q149" s="14"/>
      <c r="R149" s="19"/>
      <c r="S149" s="19"/>
      <c r="T149" s="19"/>
      <c r="U149" s="19"/>
      <c r="V149" s="19"/>
      <c r="W149" s="14"/>
      <c r="X149" s="14" t="s">
        <v>31</v>
      </c>
      <c r="Y149" s="9" t="s">
        <v>32</v>
      </c>
      <c r="Z149" s="9"/>
    </row>
    <row r="150">
      <c r="A150" s="9">
        <v>149.0</v>
      </c>
      <c r="B150" s="10" t="s">
        <v>575</v>
      </c>
      <c r="C150" s="11" t="s">
        <v>576</v>
      </c>
      <c r="D150" s="10" t="s">
        <v>577</v>
      </c>
      <c r="E150" s="12" t="s">
        <v>36</v>
      </c>
      <c r="F150" s="12" t="s">
        <v>37</v>
      </c>
      <c r="G150" s="9"/>
      <c r="H150" s="13">
        <v>2019.0</v>
      </c>
      <c r="I150" s="14">
        <v>0.0</v>
      </c>
      <c r="J150" s="19"/>
      <c r="K150" s="19"/>
      <c r="L150" s="19"/>
      <c r="M150" s="19"/>
      <c r="N150" s="19"/>
      <c r="O150" s="19"/>
      <c r="P150" s="19"/>
      <c r="Q150" s="14"/>
      <c r="R150" s="19"/>
      <c r="S150" s="19"/>
      <c r="T150" s="19"/>
      <c r="U150" s="19"/>
      <c r="V150" s="19"/>
      <c r="W150" s="14"/>
      <c r="X150" s="14" t="s">
        <v>31</v>
      </c>
      <c r="Y150" s="9" t="s">
        <v>32</v>
      </c>
      <c r="Z150" s="9" t="s">
        <v>93</v>
      </c>
    </row>
    <row r="151">
      <c r="A151" s="9">
        <v>150.0</v>
      </c>
      <c r="B151" s="10" t="s">
        <v>578</v>
      </c>
      <c r="C151" s="11" t="s">
        <v>579</v>
      </c>
      <c r="D151" s="10" t="s">
        <v>580</v>
      </c>
      <c r="E151" s="12" t="s">
        <v>36</v>
      </c>
      <c r="F151" s="12" t="s">
        <v>37</v>
      </c>
      <c r="G151" s="9" t="s">
        <v>58</v>
      </c>
      <c r="H151" s="13">
        <v>2019.0</v>
      </c>
      <c r="I151" s="14">
        <v>1.0</v>
      </c>
      <c r="J151" s="14">
        <v>1.0</v>
      </c>
      <c r="K151" s="14">
        <v>1.0</v>
      </c>
      <c r="L151" s="14">
        <v>1.0</v>
      </c>
      <c r="M151" s="14">
        <v>1.0</v>
      </c>
      <c r="N151" s="14">
        <v>0.0</v>
      </c>
      <c r="O151" s="14">
        <v>0.0</v>
      </c>
      <c r="P151" s="14">
        <v>0.0</v>
      </c>
      <c r="Q151" s="14">
        <v>0.0</v>
      </c>
      <c r="R151" s="14">
        <v>0.0</v>
      </c>
      <c r="S151" s="14">
        <v>0.0</v>
      </c>
      <c r="T151" s="14">
        <v>0.0</v>
      </c>
      <c r="U151" s="14">
        <v>0.0</v>
      </c>
      <c r="V151" s="14">
        <v>0.0</v>
      </c>
      <c r="W151" s="14" t="s">
        <v>39</v>
      </c>
      <c r="X151" s="14" t="s">
        <v>39</v>
      </c>
      <c r="Y151" s="9" t="s">
        <v>412</v>
      </c>
      <c r="Z151" s="9" t="s">
        <v>581</v>
      </c>
    </row>
    <row r="152">
      <c r="A152" s="9">
        <v>151.0</v>
      </c>
      <c r="B152" s="10" t="s">
        <v>582</v>
      </c>
      <c r="C152" s="16" t="s">
        <v>583</v>
      </c>
      <c r="D152" s="10" t="s">
        <v>584</v>
      </c>
      <c r="E152" s="23" t="s">
        <v>585</v>
      </c>
      <c r="F152" s="23" t="s">
        <v>585</v>
      </c>
      <c r="G152" s="9"/>
      <c r="H152" s="13">
        <v>2018.0</v>
      </c>
      <c r="I152" s="19"/>
      <c r="J152" s="14"/>
      <c r="K152" s="14"/>
      <c r="L152" s="14"/>
      <c r="M152" s="14"/>
      <c r="N152" s="19"/>
      <c r="O152" s="14">
        <v>1.0</v>
      </c>
      <c r="P152" s="19"/>
      <c r="Q152" s="19"/>
      <c r="R152" s="19"/>
      <c r="S152" s="19"/>
      <c r="T152" s="19"/>
      <c r="U152" s="19"/>
      <c r="V152" s="19"/>
      <c r="W152" s="14"/>
      <c r="X152" s="14" t="s">
        <v>31</v>
      </c>
      <c r="Y152" s="9" t="s">
        <v>32</v>
      </c>
      <c r="Z152" s="21"/>
    </row>
    <row r="153">
      <c r="A153" s="9">
        <v>152.0</v>
      </c>
      <c r="B153" s="10" t="s">
        <v>586</v>
      </c>
      <c r="C153" s="11" t="s">
        <v>587</v>
      </c>
      <c r="D153" s="10" t="s">
        <v>588</v>
      </c>
      <c r="E153" s="12" t="s">
        <v>589</v>
      </c>
      <c r="F153" s="12" t="s">
        <v>590</v>
      </c>
      <c r="G153" s="9" t="s">
        <v>38</v>
      </c>
      <c r="H153" s="13">
        <v>2019.0</v>
      </c>
      <c r="I153" s="14">
        <v>1.0</v>
      </c>
      <c r="J153" s="14">
        <v>1.0</v>
      </c>
      <c r="K153" s="14">
        <v>1.0</v>
      </c>
      <c r="L153" s="14">
        <v>1.0</v>
      </c>
      <c r="M153" s="14">
        <v>1.0</v>
      </c>
      <c r="N153" s="14">
        <v>0.0</v>
      </c>
      <c r="O153" s="14">
        <v>0.0</v>
      </c>
      <c r="P153" s="14">
        <v>0.0</v>
      </c>
      <c r="Q153" s="14">
        <v>0.0</v>
      </c>
      <c r="R153" s="14">
        <v>0.0</v>
      </c>
      <c r="S153" s="14">
        <v>0.0</v>
      </c>
      <c r="T153" s="14">
        <v>0.0</v>
      </c>
      <c r="U153" s="14">
        <v>0.0</v>
      </c>
      <c r="V153" s="14">
        <v>0.0</v>
      </c>
      <c r="W153" s="14" t="s">
        <v>39</v>
      </c>
      <c r="X153" s="14" t="s">
        <v>39</v>
      </c>
      <c r="Y153" s="9" t="s">
        <v>412</v>
      </c>
      <c r="Z153" s="9" t="s">
        <v>591</v>
      </c>
    </row>
    <row r="154">
      <c r="A154" s="9">
        <v>153.0</v>
      </c>
      <c r="B154" s="10" t="s">
        <v>592</v>
      </c>
      <c r="C154" s="11" t="s">
        <v>593</v>
      </c>
      <c r="D154" s="10" t="s">
        <v>594</v>
      </c>
      <c r="E154" s="23" t="s">
        <v>595</v>
      </c>
      <c r="F154" s="23" t="s">
        <v>595</v>
      </c>
      <c r="G154" s="9"/>
      <c r="H154" s="13">
        <v>2019.0</v>
      </c>
      <c r="I154" s="19"/>
      <c r="J154" s="19"/>
      <c r="K154" s="19"/>
      <c r="L154" s="19"/>
      <c r="M154" s="19"/>
      <c r="N154" s="19"/>
      <c r="O154" s="14">
        <v>1.0</v>
      </c>
      <c r="P154" s="19"/>
      <c r="Q154" s="14"/>
      <c r="R154" s="19"/>
      <c r="S154" s="19"/>
      <c r="T154" s="14"/>
      <c r="U154" s="19"/>
      <c r="V154" s="19"/>
      <c r="W154" s="14"/>
      <c r="X154" s="14" t="s">
        <v>31</v>
      </c>
      <c r="Y154" s="9" t="s">
        <v>32</v>
      </c>
      <c r="Z154" s="9"/>
    </row>
    <row r="155">
      <c r="A155" s="9">
        <v>154.0</v>
      </c>
      <c r="B155" s="10" t="s">
        <v>596</v>
      </c>
      <c r="C155" s="11" t="s">
        <v>597</v>
      </c>
      <c r="D155" s="10" t="s">
        <v>598</v>
      </c>
      <c r="E155" s="28" t="s">
        <v>599</v>
      </c>
      <c r="F155" s="28" t="s">
        <v>600</v>
      </c>
      <c r="G155" s="9" t="s">
        <v>38</v>
      </c>
      <c r="H155" s="15">
        <v>2019.0</v>
      </c>
      <c r="I155" s="14">
        <v>1.0</v>
      </c>
      <c r="J155" s="14">
        <v>1.0</v>
      </c>
      <c r="K155" s="14">
        <v>1.0</v>
      </c>
      <c r="L155" s="14">
        <v>1.0</v>
      </c>
      <c r="M155" s="14">
        <v>1.0</v>
      </c>
      <c r="N155" s="14">
        <v>0.0</v>
      </c>
      <c r="O155" s="14">
        <v>0.0</v>
      </c>
      <c r="P155" s="14">
        <v>0.0</v>
      </c>
      <c r="Q155" s="14">
        <v>0.0</v>
      </c>
      <c r="R155" s="14">
        <v>0.0</v>
      </c>
      <c r="S155" s="14">
        <v>0.0</v>
      </c>
      <c r="T155" s="14">
        <v>0.0</v>
      </c>
      <c r="U155" s="14">
        <v>0.0</v>
      </c>
      <c r="V155" s="14">
        <v>0.0</v>
      </c>
      <c r="W155" s="14" t="s">
        <v>39</v>
      </c>
      <c r="X155" s="14" t="s">
        <v>39</v>
      </c>
      <c r="Y155" s="9" t="s">
        <v>412</v>
      </c>
      <c r="Z155" s="9" t="s">
        <v>601</v>
      </c>
    </row>
    <row r="156">
      <c r="A156" s="9">
        <v>155.0</v>
      </c>
      <c r="B156" s="10" t="s">
        <v>602</v>
      </c>
      <c r="C156" s="11" t="s">
        <v>603</v>
      </c>
      <c r="D156" s="10" t="s">
        <v>604</v>
      </c>
      <c r="E156" s="23" t="s">
        <v>605</v>
      </c>
      <c r="F156" s="23" t="s">
        <v>605</v>
      </c>
      <c r="G156" s="9"/>
      <c r="H156" s="13">
        <v>2020.0</v>
      </c>
      <c r="I156" s="14"/>
      <c r="J156" s="14"/>
      <c r="K156" s="14"/>
      <c r="L156" s="14"/>
      <c r="M156" s="14"/>
      <c r="N156" s="19"/>
      <c r="O156" s="19"/>
      <c r="P156" s="19"/>
      <c r="Q156" s="14">
        <v>1.0</v>
      </c>
      <c r="R156" s="19"/>
      <c r="S156" s="19"/>
      <c r="T156" s="19"/>
      <c r="U156" s="19"/>
      <c r="V156" s="19"/>
      <c r="W156" s="14"/>
      <c r="X156" s="14" t="s">
        <v>31</v>
      </c>
      <c r="Y156" s="9" t="s">
        <v>32</v>
      </c>
      <c r="Z156" s="9"/>
    </row>
    <row r="157">
      <c r="A157" s="9">
        <v>156.0</v>
      </c>
      <c r="B157" s="10" t="s">
        <v>606</v>
      </c>
      <c r="C157" s="11" t="s">
        <v>607</v>
      </c>
      <c r="D157" s="10" t="s">
        <v>608</v>
      </c>
      <c r="E157" s="22" t="s">
        <v>62</v>
      </c>
      <c r="F157" s="22" t="s">
        <v>62</v>
      </c>
      <c r="G157" s="9" t="s">
        <v>38</v>
      </c>
      <c r="H157" s="13">
        <v>2018.0</v>
      </c>
      <c r="I157" s="14">
        <v>1.0</v>
      </c>
      <c r="J157" s="14">
        <v>1.0</v>
      </c>
      <c r="K157" s="14">
        <v>1.0</v>
      </c>
      <c r="L157" s="14">
        <v>1.0</v>
      </c>
      <c r="M157" s="14">
        <v>1.0</v>
      </c>
      <c r="N157" s="14">
        <v>0.0</v>
      </c>
      <c r="O157" s="14">
        <v>0.0</v>
      </c>
      <c r="P157" s="14">
        <v>0.0</v>
      </c>
      <c r="Q157" s="14">
        <v>0.0</v>
      </c>
      <c r="R157" s="14">
        <v>0.0</v>
      </c>
      <c r="S157" s="14">
        <v>0.0</v>
      </c>
      <c r="T157" s="14">
        <v>0.0</v>
      </c>
      <c r="U157" s="14">
        <v>0.0</v>
      </c>
      <c r="V157" s="14">
        <v>0.0</v>
      </c>
      <c r="W157" s="14" t="s">
        <v>39</v>
      </c>
      <c r="X157" s="14" t="s">
        <v>39</v>
      </c>
      <c r="Y157" s="21"/>
      <c r="Z157" s="21"/>
    </row>
    <row r="158">
      <c r="A158" s="9">
        <v>157.0</v>
      </c>
      <c r="B158" s="10" t="s">
        <v>609</v>
      </c>
      <c r="C158" s="16" t="s">
        <v>610</v>
      </c>
      <c r="D158" s="10" t="s">
        <v>611</v>
      </c>
      <c r="E158" s="25"/>
      <c r="F158" s="25"/>
      <c r="G158" s="9"/>
      <c r="H158" s="10"/>
      <c r="I158" s="19"/>
      <c r="J158" s="19"/>
      <c r="K158" s="19"/>
      <c r="L158" s="19"/>
      <c r="M158" s="19"/>
      <c r="N158" s="14">
        <v>1.0</v>
      </c>
      <c r="O158" s="19"/>
      <c r="P158" s="19"/>
      <c r="Q158" s="14"/>
      <c r="R158" s="14"/>
      <c r="S158" s="19"/>
      <c r="T158" s="19"/>
      <c r="U158" s="19"/>
      <c r="V158" s="19"/>
      <c r="W158" s="14"/>
      <c r="X158" s="14" t="s">
        <v>31</v>
      </c>
      <c r="Y158" s="9" t="s">
        <v>32</v>
      </c>
      <c r="Z158" s="9"/>
    </row>
    <row r="159">
      <c r="A159" s="9">
        <v>158.0</v>
      </c>
      <c r="B159" s="10" t="s">
        <v>612</v>
      </c>
      <c r="C159" s="16" t="s">
        <v>613</v>
      </c>
      <c r="D159" s="10" t="s">
        <v>614</v>
      </c>
      <c r="E159" s="23" t="s">
        <v>615</v>
      </c>
      <c r="F159" s="23" t="s">
        <v>615</v>
      </c>
      <c r="G159" s="9"/>
      <c r="H159" s="13">
        <v>2019.0</v>
      </c>
      <c r="I159" s="19"/>
      <c r="J159" s="19"/>
      <c r="K159" s="19"/>
      <c r="L159" s="19"/>
      <c r="M159" s="19"/>
      <c r="N159" s="19"/>
      <c r="O159" s="19"/>
      <c r="P159" s="19"/>
      <c r="Q159" s="14"/>
      <c r="R159" s="19"/>
      <c r="S159" s="14">
        <v>1.0</v>
      </c>
      <c r="T159" s="19"/>
      <c r="U159" s="19"/>
      <c r="V159" s="19"/>
      <c r="W159" s="14"/>
      <c r="X159" s="14" t="s">
        <v>31</v>
      </c>
      <c r="Y159" s="9" t="s">
        <v>32</v>
      </c>
      <c r="Z159" s="9"/>
    </row>
    <row r="160">
      <c r="A160" s="9">
        <v>159.0</v>
      </c>
      <c r="B160" s="10" t="s">
        <v>616</v>
      </c>
      <c r="C160" s="11" t="s">
        <v>617</v>
      </c>
      <c r="D160" s="10" t="s">
        <v>618</v>
      </c>
      <c r="E160" s="12" t="s">
        <v>29</v>
      </c>
      <c r="F160" s="12" t="s">
        <v>30</v>
      </c>
      <c r="G160" s="9"/>
      <c r="H160" s="13">
        <v>2020.0</v>
      </c>
      <c r="I160" s="14"/>
      <c r="J160" s="14"/>
      <c r="K160" s="14"/>
      <c r="L160" s="14"/>
      <c r="M160" s="14"/>
      <c r="N160" s="19"/>
      <c r="O160" s="14">
        <v>1.0</v>
      </c>
      <c r="P160" s="19"/>
      <c r="Q160" s="19"/>
      <c r="R160" s="19"/>
      <c r="S160" s="19"/>
      <c r="T160" s="19"/>
      <c r="U160" s="19"/>
      <c r="V160" s="19"/>
      <c r="W160" s="14"/>
      <c r="X160" s="14" t="s">
        <v>31</v>
      </c>
      <c r="Y160" s="9" t="s">
        <v>32</v>
      </c>
      <c r="Z160" s="21"/>
    </row>
    <row r="161">
      <c r="A161" s="9">
        <v>160.0</v>
      </c>
      <c r="B161" s="10" t="s">
        <v>619</v>
      </c>
      <c r="C161" s="11" t="s">
        <v>620</v>
      </c>
      <c r="D161" s="10" t="s">
        <v>621</v>
      </c>
      <c r="E161" s="12" t="s">
        <v>36</v>
      </c>
      <c r="F161" s="12" t="s">
        <v>37</v>
      </c>
      <c r="G161" s="9" t="s">
        <v>58</v>
      </c>
      <c r="H161" s="13">
        <v>2019.0</v>
      </c>
      <c r="I161" s="14">
        <v>0.0</v>
      </c>
      <c r="J161" s="14">
        <v>1.0</v>
      </c>
      <c r="K161" s="14">
        <v>1.0</v>
      </c>
      <c r="L161" s="14">
        <v>1.0</v>
      </c>
      <c r="M161" s="14">
        <v>1.0</v>
      </c>
      <c r="N161" s="14">
        <v>0.0</v>
      </c>
      <c r="O161" s="14">
        <v>0.0</v>
      </c>
      <c r="P161" s="14">
        <v>0.0</v>
      </c>
      <c r="Q161" s="14">
        <v>0.0</v>
      </c>
      <c r="R161" s="14">
        <v>0.0</v>
      </c>
      <c r="S161" s="14">
        <v>0.0</v>
      </c>
      <c r="T161" s="14">
        <v>0.0</v>
      </c>
      <c r="U161" s="14">
        <v>0.0</v>
      </c>
      <c r="V161" s="14">
        <v>0.0</v>
      </c>
      <c r="W161" s="14" t="s">
        <v>31</v>
      </c>
      <c r="X161" s="14" t="s">
        <v>39</v>
      </c>
      <c r="Y161" s="9" t="s">
        <v>412</v>
      </c>
      <c r="Z161" s="9" t="s">
        <v>622</v>
      </c>
    </row>
    <row r="162">
      <c r="A162" s="9">
        <v>161.0</v>
      </c>
      <c r="B162" s="10" t="s">
        <v>623</v>
      </c>
      <c r="C162" s="16" t="s">
        <v>624</v>
      </c>
      <c r="D162" s="10" t="s">
        <v>625</v>
      </c>
      <c r="E162" s="22" t="s">
        <v>62</v>
      </c>
      <c r="F162" s="22" t="s">
        <v>62</v>
      </c>
      <c r="G162" s="9" t="s">
        <v>38</v>
      </c>
      <c r="H162" s="13">
        <v>2018.0</v>
      </c>
      <c r="I162" s="14">
        <v>1.0</v>
      </c>
      <c r="J162" s="14">
        <v>1.0</v>
      </c>
      <c r="K162" s="14">
        <v>1.0</v>
      </c>
      <c r="L162" s="14">
        <v>1.0</v>
      </c>
      <c r="M162" s="14">
        <v>1.0</v>
      </c>
      <c r="N162" s="14">
        <v>0.0</v>
      </c>
      <c r="O162" s="14">
        <v>0.0</v>
      </c>
      <c r="P162" s="14">
        <v>0.0</v>
      </c>
      <c r="Q162" s="14">
        <v>0.0</v>
      </c>
      <c r="R162" s="14">
        <v>0.0</v>
      </c>
      <c r="S162" s="14">
        <v>1.0</v>
      </c>
      <c r="T162" s="14">
        <v>0.0</v>
      </c>
      <c r="U162" s="14">
        <v>0.0</v>
      </c>
      <c r="V162" s="14">
        <v>0.0</v>
      </c>
      <c r="W162" s="14" t="s">
        <v>31</v>
      </c>
      <c r="X162" s="14" t="s">
        <v>39</v>
      </c>
      <c r="Y162" s="9" t="s">
        <v>412</v>
      </c>
      <c r="Z162" s="9" t="s">
        <v>626</v>
      </c>
    </row>
    <row r="163">
      <c r="A163" s="9">
        <v>162.0</v>
      </c>
      <c r="B163" s="10" t="s">
        <v>627</v>
      </c>
      <c r="C163" s="16" t="s">
        <v>628</v>
      </c>
      <c r="D163" s="10" t="s">
        <v>629</v>
      </c>
      <c r="E163" s="25" t="s">
        <v>62</v>
      </c>
      <c r="F163" s="25" t="s">
        <v>62</v>
      </c>
      <c r="G163" s="9"/>
      <c r="H163" s="13">
        <v>2020.0</v>
      </c>
      <c r="I163" s="19"/>
      <c r="J163" s="19"/>
      <c r="K163" s="19"/>
      <c r="L163" s="19"/>
      <c r="M163" s="19"/>
      <c r="N163" s="19"/>
      <c r="O163" s="19"/>
      <c r="P163" s="19"/>
      <c r="Q163" s="14"/>
      <c r="R163" s="19"/>
      <c r="S163" s="14">
        <v>1.0</v>
      </c>
      <c r="T163" s="19"/>
      <c r="U163" s="19"/>
      <c r="V163" s="19"/>
      <c r="W163" s="14"/>
      <c r="X163" s="14" t="s">
        <v>31</v>
      </c>
      <c r="Y163" s="9" t="s">
        <v>32</v>
      </c>
      <c r="Z163" s="9"/>
    </row>
    <row r="164">
      <c r="A164" s="9">
        <v>163.0</v>
      </c>
      <c r="B164" s="10" t="s">
        <v>630</v>
      </c>
      <c r="C164" s="16" t="s">
        <v>631</v>
      </c>
      <c r="D164" s="10" t="s">
        <v>632</v>
      </c>
      <c r="E164" s="17" t="s">
        <v>633</v>
      </c>
      <c r="F164" s="17" t="s">
        <v>633</v>
      </c>
      <c r="G164" s="9"/>
      <c r="H164" s="13">
        <v>2018.0</v>
      </c>
      <c r="I164" s="19"/>
      <c r="J164" s="19"/>
      <c r="K164" s="19"/>
      <c r="L164" s="19"/>
      <c r="M164" s="19"/>
      <c r="N164" s="19"/>
      <c r="O164" s="19"/>
      <c r="P164" s="19"/>
      <c r="Q164" s="14"/>
      <c r="R164" s="14"/>
      <c r="S164" s="19"/>
      <c r="T164" s="19"/>
      <c r="U164" s="19"/>
      <c r="V164" s="14">
        <v>1.0</v>
      </c>
      <c r="W164" s="14"/>
      <c r="X164" s="14" t="s">
        <v>31</v>
      </c>
      <c r="Y164" s="9" t="s">
        <v>32</v>
      </c>
      <c r="Z164" s="9" t="s">
        <v>634</v>
      </c>
    </row>
    <row r="165">
      <c r="A165" s="9">
        <v>164.0</v>
      </c>
      <c r="B165" s="10" t="s">
        <v>635</v>
      </c>
      <c r="C165" s="11" t="s">
        <v>636</v>
      </c>
      <c r="D165" s="10" t="s">
        <v>637</v>
      </c>
      <c r="E165" s="23" t="s">
        <v>638</v>
      </c>
      <c r="F165" s="23" t="s">
        <v>638</v>
      </c>
      <c r="G165" s="9"/>
      <c r="H165" s="13">
        <v>2018.0</v>
      </c>
      <c r="I165" s="14"/>
      <c r="J165" s="14"/>
      <c r="K165" s="14"/>
      <c r="L165" s="14"/>
      <c r="M165" s="14"/>
      <c r="N165" s="19"/>
      <c r="O165" s="14">
        <v>1.0</v>
      </c>
      <c r="P165" s="19"/>
      <c r="Q165" s="19"/>
      <c r="R165" s="19"/>
      <c r="S165" s="19"/>
      <c r="T165" s="19"/>
      <c r="U165" s="19"/>
      <c r="V165" s="19"/>
      <c r="W165" s="14"/>
      <c r="X165" s="14" t="s">
        <v>31</v>
      </c>
      <c r="Y165" s="9" t="s">
        <v>32</v>
      </c>
      <c r="Z165" s="21"/>
    </row>
    <row r="166">
      <c r="A166" s="9">
        <v>165.0</v>
      </c>
      <c r="B166" s="10" t="s">
        <v>639</v>
      </c>
      <c r="C166" s="16" t="s">
        <v>640</v>
      </c>
      <c r="D166" s="10" t="s">
        <v>641</v>
      </c>
      <c r="E166" s="23" t="s">
        <v>638</v>
      </c>
      <c r="F166" s="23" t="s">
        <v>638</v>
      </c>
      <c r="G166" s="9"/>
      <c r="H166" s="13">
        <v>2020.0</v>
      </c>
      <c r="I166" s="14"/>
      <c r="J166" s="19"/>
      <c r="K166" s="19"/>
      <c r="L166" s="19"/>
      <c r="M166" s="19"/>
      <c r="N166" s="19"/>
      <c r="O166" s="14">
        <v>1.0</v>
      </c>
      <c r="P166" s="19"/>
      <c r="Q166" s="19"/>
      <c r="R166" s="19"/>
      <c r="S166" s="19"/>
      <c r="T166" s="19"/>
      <c r="U166" s="19"/>
      <c r="V166" s="19"/>
      <c r="W166" s="14"/>
      <c r="X166" s="14" t="s">
        <v>31</v>
      </c>
      <c r="Y166" s="9" t="s">
        <v>32</v>
      </c>
      <c r="Z166" s="9"/>
    </row>
    <row r="167">
      <c r="A167" s="9">
        <v>166.0</v>
      </c>
      <c r="B167" s="10" t="s">
        <v>642</v>
      </c>
      <c r="C167" s="11" t="s">
        <v>643</v>
      </c>
      <c r="D167" s="10" t="s">
        <v>644</v>
      </c>
      <c r="E167" s="12" t="s">
        <v>36</v>
      </c>
      <c r="F167" s="12" t="s">
        <v>37</v>
      </c>
      <c r="G167" s="9"/>
      <c r="H167" s="13">
        <v>2019.0</v>
      </c>
      <c r="I167" s="19"/>
      <c r="J167" s="19"/>
      <c r="K167" s="19"/>
      <c r="L167" s="19"/>
      <c r="M167" s="19"/>
      <c r="N167" s="14">
        <v>1.0</v>
      </c>
      <c r="O167" s="14">
        <v>1.0</v>
      </c>
      <c r="P167" s="19"/>
      <c r="Q167" s="14"/>
      <c r="R167" s="19"/>
      <c r="S167" s="19"/>
      <c r="T167" s="19"/>
      <c r="U167" s="19"/>
      <c r="V167" s="19"/>
      <c r="W167" s="14"/>
      <c r="X167" s="14" t="s">
        <v>31</v>
      </c>
      <c r="Y167" s="9" t="s">
        <v>32</v>
      </c>
      <c r="Z167" s="9"/>
    </row>
    <row r="168">
      <c r="A168" s="9">
        <v>167.0</v>
      </c>
      <c r="B168" s="10" t="s">
        <v>645</v>
      </c>
      <c r="C168" s="11" t="s">
        <v>646</v>
      </c>
      <c r="D168" s="10" t="s">
        <v>647</v>
      </c>
      <c r="E168" s="22" t="s">
        <v>62</v>
      </c>
      <c r="F168" s="22" t="s">
        <v>62</v>
      </c>
      <c r="G168" s="9"/>
      <c r="H168" s="13">
        <v>2019.0</v>
      </c>
      <c r="I168" s="19"/>
      <c r="J168" s="19"/>
      <c r="K168" s="19"/>
      <c r="L168" s="19"/>
      <c r="M168" s="19"/>
      <c r="N168" s="14"/>
      <c r="O168" s="14"/>
      <c r="P168" s="14"/>
      <c r="Q168" s="14"/>
      <c r="R168" s="19"/>
      <c r="S168" s="14">
        <v>1.0</v>
      </c>
      <c r="T168" s="19"/>
      <c r="U168" s="19"/>
      <c r="V168" s="19"/>
      <c r="W168" s="14"/>
      <c r="X168" s="14" t="s">
        <v>31</v>
      </c>
      <c r="Y168" s="9" t="s">
        <v>32</v>
      </c>
      <c r="Z168" s="9" t="s">
        <v>82</v>
      </c>
    </row>
    <row r="169">
      <c r="A169" s="9">
        <v>168.0</v>
      </c>
      <c r="B169" s="10" t="s">
        <v>648</v>
      </c>
      <c r="C169" s="16" t="s">
        <v>649</v>
      </c>
      <c r="D169" s="15" t="s">
        <v>650</v>
      </c>
      <c r="E169" s="31" t="s">
        <v>651</v>
      </c>
      <c r="F169" s="12" t="s">
        <v>652</v>
      </c>
      <c r="G169" s="9" t="s">
        <v>38</v>
      </c>
      <c r="H169" s="18">
        <v>2020.0</v>
      </c>
      <c r="I169" s="14">
        <v>1.0</v>
      </c>
      <c r="J169" s="14">
        <v>1.0</v>
      </c>
      <c r="K169" s="14">
        <v>1.0</v>
      </c>
      <c r="L169" s="14">
        <v>1.0</v>
      </c>
      <c r="M169" s="14">
        <v>1.0</v>
      </c>
      <c r="N169" s="14">
        <v>0.0</v>
      </c>
      <c r="O169" s="14">
        <v>0.0</v>
      </c>
      <c r="P169" s="14">
        <v>0.0</v>
      </c>
      <c r="Q169" s="14">
        <v>0.0</v>
      </c>
      <c r="R169" s="14">
        <v>0.0</v>
      </c>
      <c r="S169" s="14">
        <v>0.0</v>
      </c>
      <c r="T169" s="14">
        <v>0.0</v>
      </c>
      <c r="U169" s="14">
        <v>0.0</v>
      </c>
      <c r="V169" s="14">
        <v>0.0</v>
      </c>
      <c r="W169" s="14" t="s">
        <v>39</v>
      </c>
      <c r="X169" s="14" t="s">
        <v>39</v>
      </c>
      <c r="Y169" s="9" t="s">
        <v>412</v>
      </c>
      <c r="Z169" s="9" t="s">
        <v>653</v>
      </c>
    </row>
    <row r="170">
      <c r="A170" s="9">
        <v>169.0</v>
      </c>
      <c r="B170" s="10" t="s">
        <v>654</v>
      </c>
      <c r="C170" s="11" t="s">
        <v>655</v>
      </c>
      <c r="D170" s="10" t="s">
        <v>656</v>
      </c>
      <c r="E170" s="12" t="s">
        <v>29</v>
      </c>
      <c r="F170" s="12" t="s">
        <v>30</v>
      </c>
      <c r="G170" s="9" t="s">
        <v>38</v>
      </c>
      <c r="H170" s="13">
        <v>2019.0</v>
      </c>
      <c r="I170" s="14">
        <v>1.0</v>
      </c>
      <c r="J170" s="14">
        <v>1.0</v>
      </c>
      <c r="K170" s="14">
        <v>1.0</v>
      </c>
      <c r="L170" s="14">
        <v>1.0</v>
      </c>
      <c r="M170" s="14">
        <v>1.0</v>
      </c>
      <c r="N170" s="14">
        <v>0.0</v>
      </c>
      <c r="O170" s="14">
        <v>0.0</v>
      </c>
      <c r="P170" s="14">
        <v>0.0</v>
      </c>
      <c r="Q170" s="14">
        <v>0.0</v>
      </c>
      <c r="R170" s="14">
        <v>0.0</v>
      </c>
      <c r="S170" s="14">
        <v>0.0</v>
      </c>
      <c r="T170" s="14">
        <v>0.0</v>
      </c>
      <c r="U170" s="14">
        <v>0.0</v>
      </c>
      <c r="V170" s="14">
        <v>0.0</v>
      </c>
      <c r="W170" s="14" t="s">
        <v>39</v>
      </c>
      <c r="X170" s="14" t="s">
        <v>39</v>
      </c>
      <c r="Y170" s="9" t="s">
        <v>412</v>
      </c>
      <c r="Z170" s="9" t="s">
        <v>657</v>
      </c>
    </row>
    <row r="171">
      <c r="A171" s="9">
        <v>170.0</v>
      </c>
      <c r="B171" s="10" t="s">
        <v>658</v>
      </c>
      <c r="C171" s="11" t="s">
        <v>659</v>
      </c>
      <c r="D171" s="15" t="s">
        <v>660</v>
      </c>
      <c r="E171" s="12" t="s">
        <v>36</v>
      </c>
      <c r="F171" s="12" t="s">
        <v>37</v>
      </c>
      <c r="G171" s="9" t="s">
        <v>58</v>
      </c>
      <c r="H171" s="13">
        <v>2018.0</v>
      </c>
      <c r="I171" s="14">
        <v>1.0</v>
      </c>
      <c r="J171" s="14">
        <v>1.0</v>
      </c>
      <c r="K171" s="14">
        <v>1.0</v>
      </c>
      <c r="L171" s="14">
        <v>1.0</v>
      </c>
      <c r="M171" s="14">
        <v>1.0</v>
      </c>
      <c r="N171" s="14">
        <v>0.0</v>
      </c>
      <c r="O171" s="14">
        <v>0.0</v>
      </c>
      <c r="P171" s="14">
        <v>0.0</v>
      </c>
      <c r="Q171" s="14">
        <v>0.0</v>
      </c>
      <c r="R171" s="14">
        <v>0.0</v>
      </c>
      <c r="S171" s="14">
        <v>0.0</v>
      </c>
      <c r="T171" s="14">
        <v>0.0</v>
      </c>
      <c r="U171" s="14">
        <v>0.0</v>
      </c>
      <c r="V171" s="14">
        <v>0.0</v>
      </c>
      <c r="W171" s="14" t="s">
        <v>39</v>
      </c>
      <c r="X171" s="14" t="s">
        <v>39</v>
      </c>
      <c r="Y171" s="9" t="s">
        <v>412</v>
      </c>
      <c r="Z171" s="9" t="s">
        <v>661</v>
      </c>
    </row>
    <row r="172">
      <c r="A172" s="9">
        <v>171.0</v>
      </c>
      <c r="B172" s="10" t="s">
        <v>662</v>
      </c>
      <c r="C172" s="26" t="s">
        <v>663</v>
      </c>
      <c r="D172" s="10" t="s">
        <v>664</v>
      </c>
      <c r="E172" s="12" t="s">
        <v>80</v>
      </c>
      <c r="F172" s="12" t="s">
        <v>81</v>
      </c>
      <c r="G172" s="9" t="s">
        <v>58</v>
      </c>
      <c r="H172" s="13">
        <v>2019.0</v>
      </c>
      <c r="I172" s="14">
        <v>1.0</v>
      </c>
      <c r="J172" s="14">
        <v>1.0</v>
      </c>
      <c r="K172" s="14">
        <v>1.0</v>
      </c>
      <c r="L172" s="14">
        <v>1.0</v>
      </c>
      <c r="M172" s="14">
        <v>1.0</v>
      </c>
      <c r="N172" s="14">
        <v>0.0</v>
      </c>
      <c r="O172" s="14">
        <v>0.0</v>
      </c>
      <c r="P172" s="14">
        <v>0.0</v>
      </c>
      <c r="Q172" s="14">
        <v>0.0</v>
      </c>
      <c r="R172" s="14">
        <v>0.0</v>
      </c>
      <c r="S172" s="14">
        <v>0.0</v>
      </c>
      <c r="T172" s="14">
        <v>0.0</v>
      </c>
      <c r="U172" s="14">
        <v>0.0</v>
      </c>
      <c r="V172" s="14">
        <v>0.0</v>
      </c>
      <c r="W172" s="14" t="s">
        <v>39</v>
      </c>
      <c r="X172" s="14" t="s">
        <v>39</v>
      </c>
      <c r="Y172" s="9" t="s">
        <v>412</v>
      </c>
      <c r="Z172" s="9" t="s">
        <v>665</v>
      </c>
    </row>
    <row r="173">
      <c r="A173" s="9">
        <v>172.0</v>
      </c>
      <c r="B173" s="10" t="s">
        <v>666</v>
      </c>
      <c r="C173" s="11" t="s">
        <v>667</v>
      </c>
      <c r="D173" s="10" t="s">
        <v>668</v>
      </c>
      <c r="E173" s="22" t="s">
        <v>128</v>
      </c>
      <c r="F173" s="22" t="s">
        <v>128</v>
      </c>
      <c r="G173" s="9"/>
      <c r="H173" s="13">
        <v>2018.0</v>
      </c>
      <c r="I173" s="14"/>
      <c r="J173" s="14"/>
      <c r="K173" s="14"/>
      <c r="L173" s="14"/>
      <c r="M173" s="14"/>
      <c r="N173" s="19"/>
      <c r="O173" s="14">
        <v>1.0</v>
      </c>
      <c r="P173" s="19"/>
      <c r="Q173" s="19"/>
      <c r="R173" s="19"/>
      <c r="S173" s="19"/>
      <c r="T173" s="19"/>
      <c r="U173" s="19"/>
      <c r="V173" s="19"/>
      <c r="W173" s="14"/>
      <c r="X173" s="14" t="s">
        <v>31</v>
      </c>
      <c r="Y173" s="9" t="s">
        <v>32</v>
      </c>
      <c r="Z173" s="21"/>
    </row>
    <row r="174">
      <c r="A174" s="9">
        <v>173.0</v>
      </c>
      <c r="B174" s="10" t="s">
        <v>669</v>
      </c>
      <c r="C174" s="11" t="s">
        <v>670</v>
      </c>
      <c r="D174" s="10" t="s">
        <v>671</v>
      </c>
      <c r="E174" s="12" t="s">
        <v>36</v>
      </c>
      <c r="F174" s="12" t="s">
        <v>37</v>
      </c>
      <c r="G174" s="9" t="s">
        <v>58</v>
      </c>
      <c r="H174" s="13">
        <v>2018.0</v>
      </c>
      <c r="I174" s="14"/>
      <c r="J174" s="14"/>
      <c r="K174" s="14"/>
      <c r="L174" s="14"/>
      <c r="M174" s="14"/>
      <c r="N174" s="19"/>
      <c r="O174" s="19"/>
      <c r="P174" s="19"/>
      <c r="Q174" s="19"/>
      <c r="R174" s="19"/>
      <c r="S174" s="14">
        <v>1.0</v>
      </c>
      <c r="T174" s="19"/>
      <c r="U174" s="19"/>
      <c r="V174" s="19"/>
      <c r="W174" s="14"/>
      <c r="X174" s="14" t="s">
        <v>31</v>
      </c>
      <c r="Y174" s="9" t="s">
        <v>32</v>
      </c>
      <c r="Z174" s="9" t="s">
        <v>82</v>
      </c>
    </row>
    <row r="175">
      <c r="A175" s="9">
        <v>174.0</v>
      </c>
      <c r="B175" s="10" t="s">
        <v>672</v>
      </c>
      <c r="C175" s="11" t="s">
        <v>673</v>
      </c>
      <c r="D175" s="15" t="s">
        <v>674</v>
      </c>
      <c r="E175" s="22" t="s">
        <v>62</v>
      </c>
      <c r="F175" s="22" t="s">
        <v>62</v>
      </c>
      <c r="G175" s="9" t="s">
        <v>58</v>
      </c>
      <c r="H175" s="18">
        <v>2018.0</v>
      </c>
      <c r="I175" s="14">
        <v>1.0</v>
      </c>
      <c r="J175" s="14">
        <v>1.0</v>
      </c>
      <c r="K175" s="14">
        <v>1.0</v>
      </c>
      <c r="L175" s="14">
        <v>1.0</v>
      </c>
      <c r="M175" s="14">
        <v>1.0</v>
      </c>
      <c r="N175" s="14">
        <v>0.0</v>
      </c>
      <c r="O175" s="14">
        <v>0.0</v>
      </c>
      <c r="P175" s="14">
        <v>0.0</v>
      </c>
      <c r="Q175" s="14">
        <v>0.0</v>
      </c>
      <c r="R175" s="14">
        <v>0.0</v>
      </c>
      <c r="S175" s="14">
        <v>0.0</v>
      </c>
      <c r="T175" s="14">
        <v>0.0</v>
      </c>
      <c r="U175" s="14">
        <v>0.0</v>
      </c>
      <c r="V175" s="14">
        <v>0.0</v>
      </c>
      <c r="W175" s="14" t="s">
        <v>39</v>
      </c>
      <c r="X175" s="14" t="s">
        <v>39</v>
      </c>
      <c r="Y175" s="9" t="s">
        <v>412</v>
      </c>
      <c r="Z175" s="9" t="s">
        <v>675</v>
      </c>
    </row>
    <row r="176">
      <c r="A176" s="9">
        <v>175.0</v>
      </c>
      <c r="B176" s="10" t="s">
        <v>676</v>
      </c>
      <c r="C176" s="11" t="s">
        <v>677</v>
      </c>
      <c r="D176" s="10" t="s">
        <v>678</v>
      </c>
      <c r="E176" s="12" t="s">
        <v>36</v>
      </c>
      <c r="F176" s="12" t="s">
        <v>37</v>
      </c>
      <c r="G176" s="9"/>
      <c r="H176" s="13">
        <v>2020.0</v>
      </c>
      <c r="I176" s="14">
        <v>0.0</v>
      </c>
      <c r="J176" s="14">
        <v>1.0</v>
      </c>
      <c r="K176" s="14">
        <v>1.0</v>
      </c>
      <c r="L176" s="19"/>
      <c r="M176" s="19"/>
      <c r="N176" s="19"/>
      <c r="O176" s="19"/>
      <c r="P176" s="19"/>
      <c r="Q176" s="19"/>
      <c r="R176" s="19"/>
      <c r="S176" s="19"/>
      <c r="T176" s="19"/>
      <c r="U176" s="14"/>
      <c r="V176" s="14"/>
      <c r="W176" s="14" t="s">
        <v>31</v>
      </c>
      <c r="X176" s="14" t="s">
        <v>39</v>
      </c>
      <c r="Y176" s="9" t="s">
        <v>412</v>
      </c>
      <c r="Z176" s="27" t="s">
        <v>679</v>
      </c>
    </row>
    <row r="177">
      <c r="A177" s="9">
        <v>176.0</v>
      </c>
      <c r="B177" s="10" t="s">
        <v>680</v>
      </c>
      <c r="C177" s="11" t="s">
        <v>681</v>
      </c>
      <c r="D177" s="10" t="s">
        <v>682</v>
      </c>
      <c r="E177" s="12" t="s">
        <v>29</v>
      </c>
      <c r="F177" s="12" t="s">
        <v>30</v>
      </c>
      <c r="G177" s="9"/>
      <c r="H177" s="13">
        <v>2018.0</v>
      </c>
      <c r="I177" s="19"/>
      <c r="J177" s="19"/>
      <c r="K177" s="19"/>
      <c r="L177" s="19"/>
      <c r="M177" s="19"/>
      <c r="N177" s="19"/>
      <c r="O177" s="14">
        <v>1.0</v>
      </c>
      <c r="P177" s="19"/>
      <c r="Q177" s="14"/>
      <c r="R177" s="19"/>
      <c r="S177" s="19"/>
      <c r="T177" s="19"/>
      <c r="U177" s="19"/>
      <c r="V177" s="19"/>
      <c r="W177" s="14"/>
      <c r="X177" s="14" t="s">
        <v>31</v>
      </c>
      <c r="Y177" s="9" t="s">
        <v>32</v>
      </c>
      <c r="Z177" s="21"/>
    </row>
    <row r="178">
      <c r="A178" s="9">
        <v>177.0</v>
      </c>
      <c r="B178" s="10" t="s">
        <v>683</v>
      </c>
      <c r="C178" s="11" t="s">
        <v>684</v>
      </c>
      <c r="D178" s="10" t="s">
        <v>685</v>
      </c>
      <c r="E178" s="25" t="s">
        <v>393</v>
      </c>
      <c r="F178" s="28" t="s">
        <v>394</v>
      </c>
      <c r="G178" s="9" t="s">
        <v>38</v>
      </c>
      <c r="H178" s="13">
        <v>2018.0</v>
      </c>
      <c r="I178" s="14">
        <v>1.0</v>
      </c>
      <c r="J178" s="14">
        <v>1.0</v>
      </c>
      <c r="K178" s="14">
        <v>1.0</v>
      </c>
      <c r="L178" s="14">
        <v>1.0</v>
      </c>
      <c r="M178" s="14">
        <v>1.0</v>
      </c>
      <c r="N178" s="14">
        <v>0.0</v>
      </c>
      <c r="O178" s="14">
        <v>0.0</v>
      </c>
      <c r="P178" s="14">
        <v>0.0</v>
      </c>
      <c r="Q178" s="14">
        <v>0.0</v>
      </c>
      <c r="R178" s="14">
        <v>0.0</v>
      </c>
      <c r="S178" s="14">
        <v>0.0</v>
      </c>
      <c r="T178" s="14">
        <v>0.0</v>
      </c>
      <c r="U178" s="14">
        <v>0.0</v>
      </c>
      <c r="V178" s="14">
        <v>0.0</v>
      </c>
      <c r="W178" s="14" t="s">
        <v>39</v>
      </c>
      <c r="X178" s="14" t="s">
        <v>39</v>
      </c>
      <c r="Y178" s="9" t="s">
        <v>412</v>
      </c>
      <c r="Z178" s="9" t="s">
        <v>686</v>
      </c>
    </row>
    <row r="179">
      <c r="A179" s="9">
        <v>178.0</v>
      </c>
      <c r="B179" s="10" t="s">
        <v>687</v>
      </c>
      <c r="C179" s="11" t="s">
        <v>688</v>
      </c>
      <c r="D179" s="10" t="s">
        <v>689</v>
      </c>
      <c r="E179" s="23" t="s">
        <v>690</v>
      </c>
      <c r="F179" s="23" t="s">
        <v>690</v>
      </c>
      <c r="G179" s="9"/>
      <c r="H179" s="13">
        <v>2018.0</v>
      </c>
      <c r="I179" s="19"/>
      <c r="J179" s="19"/>
      <c r="K179" s="19"/>
      <c r="L179" s="19"/>
      <c r="M179" s="19"/>
      <c r="N179" s="19"/>
      <c r="O179" s="19"/>
      <c r="P179" s="19"/>
      <c r="Q179" s="14"/>
      <c r="R179" s="14"/>
      <c r="S179" s="19"/>
      <c r="T179" s="14">
        <v>1.0</v>
      </c>
      <c r="U179" s="19"/>
      <c r="V179" s="19"/>
      <c r="W179" s="14"/>
      <c r="X179" s="14" t="s">
        <v>31</v>
      </c>
      <c r="Y179" s="9" t="s">
        <v>32</v>
      </c>
      <c r="Z179" s="9" t="s">
        <v>70</v>
      </c>
    </row>
    <row r="180">
      <c r="A180" s="9">
        <v>179.0</v>
      </c>
      <c r="B180" s="10" t="s">
        <v>691</v>
      </c>
      <c r="C180" s="11" t="s">
        <v>692</v>
      </c>
      <c r="D180" s="10" t="s">
        <v>693</v>
      </c>
      <c r="E180" s="23" t="s">
        <v>466</v>
      </c>
      <c r="F180" s="23" t="s">
        <v>466</v>
      </c>
      <c r="G180" s="9" t="s">
        <v>58</v>
      </c>
      <c r="H180" s="13">
        <v>2019.0</v>
      </c>
      <c r="I180" s="14">
        <v>1.0</v>
      </c>
      <c r="J180" s="14">
        <v>1.0</v>
      </c>
      <c r="K180" s="14">
        <v>1.0</v>
      </c>
      <c r="L180" s="14">
        <v>1.0</v>
      </c>
      <c r="M180" s="14">
        <v>1.0</v>
      </c>
      <c r="N180" s="14">
        <v>0.0</v>
      </c>
      <c r="O180" s="14">
        <v>0.0</v>
      </c>
      <c r="P180" s="14">
        <v>0.0</v>
      </c>
      <c r="Q180" s="14">
        <v>0.0</v>
      </c>
      <c r="R180" s="14">
        <v>0.0</v>
      </c>
      <c r="S180" s="14">
        <v>0.0</v>
      </c>
      <c r="T180" s="14">
        <v>0.0</v>
      </c>
      <c r="U180" s="14">
        <v>0.0</v>
      </c>
      <c r="V180" s="14">
        <v>0.0</v>
      </c>
      <c r="W180" s="14" t="s">
        <v>39</v>
      </c>
      <c r="X180" s="14" t="s">
        <v>39</v>
      </c>
      <c r="Y180" s="9" t="s">
        <v>412</v>
      </c>
      <c r="Z180" s="9" t="s">
        <v>694</v>
      </c>
    </row>
    <row r="181">
      <c r="A181" s="9">
        <v>180.0</v>
      </c>
      <c r="B181" s="10" t="s">
        <v>695</v>
      </c>
      <c r="C181" s="11" t="s">
        <v>696</v>
      </c>
      <c r="D181" s="10" t="s">
        <v>697</v>
      </c>
      <c r="E181" s="22" t="s">
        <v>393</v>
      </c>
      <c r="F181" s="28" t="s">
        <v>394</v>
      </c>
      <c r="G181" s="9"/>
      <c r="H181" s="13">
        <v>2018.0</v>
      </c>
      <c r="I181" s="14">
        <v>1.0</v>
      </c>
      <c r="J181" s="14">
        <v>0.0</v>
      </c>
      <c r="K181" s="14"/>
      <c r="L181" s="14"/>
      <c r="M181" s="14"/>
      <c r="N181" s="14">
        <v>1.0</v>
      </c>
      <c r="O181" s="19"/>
      <c r="P181" s="19"/>
      <c r="Q181" s="19"/>
      <c r="R181" s="19"/>
      <c r="S181" s="19"/>
      <c r="T181" s="19"/>
      <c r="U181" s="19"/>
      <c r="V181" s="19"/>
      <c r="W181" s="14" t="s">
        <v>31</v>
      </c>
      <c r="X181" s="14" t="s">
        <v>39</v>
      </c>
      <c r="Y181" s="9" t="s">
        <v>412</v>
      </c>
      <c r="Z181" s="9" t="s">
        <v>698</v>
      </c>
    </row>
    <row r="182">
      <c r="A182" s="9">
        <v>181.0</v>
      </c>
      <c r="B182" s="10" t="s">
        <v>699</v>
      </c>
      <c r="C182" s="11" t="s">
        <v>700</v>
      </c>
      <c r="D182" s="10" t="s">
        <v>701</v>
      </c>
      <c r="E182" s="25" t="s">
        <v>128</v>
      </c>
      <c r="F182" s="25" t="s">
        <v>128</v>
      </c>
      <c r="G182" s="9" t="s">
        <v>38</v>
      </c>
      <c r="H182" s="13">
        <v>2020.0</v>
      </c>
      <c r="I182" s="14">
        <v>1.0</v>
      </c>
      <c r="J182" s="14">
        <v>1.0</v>
      </c>
      <c r="K182" s="14">
        <v>1.0</v>
      </c>
      <c r="L182" s="14">
        <v>1.0</v>
      </c>
      <c r="M182" s="14">
        <v>1.0</v>
      </c>
      <c r="N182" s="14">
        <v>0.0</v>
      </c>
      <c r="O182" s="14">
        <v>0.0</v>
      </c>
      <c r="P182" s="14">
        <v>0.0</v>
      </c>
      <c r="Q182" s="14">
        <v>0.0</v>
      </c>
      <c r="R182" s="14">
        <v>0.0</v>
      </c>
      <c r="S182" s="14">
        <v>0.0</v>
      </c>
      <c r="T182" s="14">
        <v>0.0</v>
      </c>
      <c r="U182" s="14">
        <v>0.0</v>
      </c>
      <c r="V182" s="14">
        <v>0.0</v>
      </c>
      <c r="W182" s="14" t="s">
        <v>39</v>
      </c>
      <c r="X182" s="14" t="s">
        <v>39</v>
      </c>
      <c r="Y182" s="21"/>
      <c r="Z182" s="9" t="s">
        <v>702</v>
      </c>
    </row>
    <row r="183">
      <c r="A183" s="9">
        <v>182.0</v>
      </c>
      <c r="B183" s="10" t="s">
        <v>703</v>
      </c>
      <c r="C183" s="11" t="s">
        <v>704</v>
      </c>
      <c r="D183" s="10" t="s">
        <v>705</v>
      </c>
      <c r="E183" s="23" t="s">
        <v>49</v>
      </c>
      <c r="F183" s="23" t="s">
        <v>49</v>
      </c>
      <c r="G183" s="9"/>
      <c r="H183" s="13">
        <v>2019.0</v>
      </c>
      <c r="I183" s="19"/>
      <c r="J183" s="19"/>
      <c r="K183" s="19"/>
      <c r="L183" s="19"/>
      <c r="M183" s="19"/>
      <c r="N183" s="19"/>
      <c r="O183" s="19"/>
      <c r="P183" s="19"/>
      <c r="Q183" s="14"/>
      <c r="R183" s="19"/>
      <c r="S183" s="19"/>
      <c r="T183" s="14">
        <v>1.0</v>
      </c>
      <c r="U183" s="19"/>
      <c r="V183" s="14"/>
      <c r="W183" s="14"/>
      <c r="X183" s="14" t="s">
        <v>31</v>
      </c>
      <c r="Y183" s="9" t="s">
        <v>32</v>
      </c>
      <c r="Z183" s="9" t="s">
        <v>50</v>
      </c>
    </row>
    <row r="184">
      <c r="A184" s="9">
        <v>183.0</v>
      </c>
      <c r="B184" s="10" t="s">
        <v>706</v>
      </c>
      <c r="C184" s="11" t="s">
        <v>707</v>
      </c>
      <c r="D184" s="15" t="s">
        <v>708</v>
      </c>
      <c r="E184" s="12" t="s">
        <v>80</v>
      </c>
      <c r="F184" s="12" t="s">
        <v>81</v>
      </c>
      <c r="G184" s="9" t="s">
        <v>58</v>
      </c>
      <c r="H184" s="13">
        <v>2019.0</v>
      </c>
      <c r="I184" s="14">
        <v>1.0</v>
      </c>
      <c r="J184" s="14">
        <v>1.0</v>
      </c>
      <c r="K184" s="14">
        <v>1.0</v>
      </c>
      <c r="L184" s="14">
        <v>1.0</v>
      </c>
      <c r="M184" s="14">
        <v>1.0</v>
      </c>
      <c r="N184" s="14">
        <v>0.0</v>
      </c>
      <c r="O184" s="14">
        <v>0.0</v>
      </c>
      <c r="P184" s="14">
        <v>0.0</v>
      </c>
      <c r="Q184" s="14">
        <v>0.0</v>
      </c>
      <c r="R184" s="14">
        <v>0.0</v>
      </c>
      <c r="S184" s="14">
        <v>0.0</v>
      </c>
      <c r="T184" s="14">
        <v>0.0</v>
      </c>
      <c r="U184" s="14">
        <v>0.0</v>
      </c>
      <c r="V184" s="14">
        <v>0.0</v>
      </c>
      <c r="W184" s="14" t="s">
        <v>39</v>
      </c>
      <c r="X184" s="14" t="s">
        <v>39</v>
      </c>
      <c r="Y184" s="9" t="s">
        <v>412</v>
      </c>
      <c r="Z184" s="9" t="s">
        <v>709</v>
      </c>
    </row>
    <row r="185">
      <c r="A185" s="9">
        <v>184.0</v>
      </c>
      <c r="B185" s="10" t="s">
        <v>710</v>
      </c>
      <c r="C185" s="11" t="s">
        <v>711</v>
      </c>
      <c r="D185" s="10" t="s">
        <v>712</v>
      </c>
      <c r="E185" s="22" t="s">
        <v>62</v>
      </c>
      <c r="F185" s="22" t="s">
        <v>62</v>
      </c>
      <c r="G185" s="9" t="s">
        <v>38</v>
      </c>
      <c r="H185" s="13">
        <v>2018.0</v>
      </c>
      <c r="I185" s="14">
        <v>1.0</v>
      </c>
      <c r="J185" s="14">
        <v>1.0</v>
      </c>
      <c r="K185" s="14">
        <v>1.0</v>
      </c>
      <c r="L185" s="14">
        <v>1.0</v>
      </c>
      <c r="M185" s="14">
        <v>1.0</v>
      </c>
      <c r="N185" s="14">
        <v>0.0</v>
      </c>
      <c r="O185" s="14">
        <v>0.0</v>
      </c>
      <c r="P185" s="14">
        <v>0.0</v>
      </c>
      <c r="Q185" s="14">
        <v>0.0</v>
      </c>
      <c r="R185" s="14">
        <v>0.0</v>
      </c>
      <c r="S185" s="14">
        <v>0.0</v>
      </c>
      <c r="T185" s="14">
        <v>0.0</v>
      </c>
      <c r="U185" s="14">
        <v>0.0</v>
      </c>
      <c r="V185" s="14">
        <v>0.0</v>
      </c>
      <c r="W185" s="14" t="s">
        <v>39</v>
      </c>
      <c r="X185" s="14" t="s">
        <v>39</v>
      </c>
      <c r="Y185" s="9" t="s">
        <v>412</v>
      </c>
      <c r="Z185" s="9" t="s">
        <v>713</v>
      </c>
    </row>
    <row r="186">
      <c r="A186" s="9">
        <v>185.0</v>
      </c>
      <c r="B186" s="10" t="s">
        <v>714</v>
      </c>
      <c r="C186" s="11" t="s">
        <v>715</v>
      </c>
      <c r="D186" s="10" t="s">
        <v>716</v>
      </c>
      <c r="E186" s="12" t="s">
        <v>36</v>
      </c>
      <c r="F186" s="12" t="s">
        <v>37</v>
      </c>
      <c r="G186" s="9"/>
      <c r="H186" s="18">
        <v>2018.0</v>
      </c>
      <c r="I186" s="14"/>
      <c r="J186" s="14"/>
      <c r="K186" s="14">
        <v>0.0</v>
      </c>
      <c r="L186" s="14"/>
      <c r="M186" s="14"/>
      <c r="N186" s="19"/>
      <c r="O186" s="19"/>
      <c r="P186" s="19"/>
      <c r="Q186" s="19"/>
      <c r="R186" s="19"/>
      <c r="S186" s="19"/>
      <c r="T186" s="19"/>
      <c r="U186" s="19"/>
      <c r="V186" s="19"/>
      <c r="W186" s="14"/>
      <c r="X186" s="14" t="s">
        <v>31</v>
      </c>
      <c r="Y186" s="9" t="s">
        <v>32</v>
      </c>
      <c r="Z186" s="9"/>
    </row>
    <row r="187">
      <c r="A187" s="9">
        <v>186.0</v>
      </c>
      <c r="B187" s="10" t="s">
        <v>717</v>
      </c>
      <c r="C187" s="11" t="s">
        <v>718</v>
      </c>
      <c r="D187" s="10" t="s">
        <v>240</v>
      </c>
      <c r="E187" s="22" t="s">
        <v>62</v>
      </c>
      <c r="F187" s="22" t="s">
        <v>62</v>
      </c>
      <c r="G187" s="9" t="s">
        <v>38</v>
      </c>
      <c r="H187" s="13">
        <v>2020.0</v>
      </c>
      <c r="I187" s="14">
        <v>1.0</v>
      </c>
      <c r="J187" s="14">
        <v>1.0</v>
      </c>
      <c r="K187" s="14">
        <v>1.0</v>
      </c>
      <c r="L187" s="14">
        <v>1.0</v>
      </c>
      <c r="M187" s="14">
        <v>1.0</v>
      </c>
      <c r="N187" s="14">
        <v>0.0</v>
      </c>
      <c r="O187" s="14">
        <v>0.0</v>
      </c>
      <c r="P187" s="14">
        <v>0.0</v>
      </c>
      <c r="Q187" s="14">
        <v>0.0</v>
      </c>
      <c r="R187" s="14">
        <v>0.0</v>
      </c>
      <c r="S187" s="14">
        <v>0.0</v>
      </c>
      <c r="T187" s="14">
        <v>0.0</v>
      </c>
      <c r="U187" s="14">
        <v>0.0</v>
      </c>
      <c r="V187" s="14">
        <v>0.0</v>
      </c>
      <c r="W187" s="14" t="s">
        <v>39</v>
      </c>
      <c r="X187" s="14" t="s">
        <v>39</v>
      </c>
      <c r="Y187" s="9" t="s">
        <v>412</v>
      </c>
      <c r="Z187" s="9" t="s">
        <v>719</v>
      </c>
    </row>
    <row r="188">
      <c r="A188" s="9">
        <v>187.0</v>
      </c>
      <c r="B188" s="10" t="s">
        <v>720</v>
      </c>
      <c r="C188" s="16" t="s">
        <v>721</v>
      </c>
      <c r="D188" s="10" t="s">
        <v>722</v>
      </c>
      <c r="E188" s="22" t="s">
        <v>62</v>
      </c>
      <c r="F188" s="22" t="s">
        <v>62</v>
      </c>
      <c r="G188" s="9"/>
      <c r="H188" s="13">
        <v>2019.0</v>
      </c>
      <c r="I188" s="19"/>
      <c r="J188" s="19"/>
      <c r="K188" s="19"/>
      <c r="L188" s="19"/>
      <c r="M188" s="19"/>
      <c r="N188" s="19"/>
      <c r="O188" s="14">
        <v>1.0</v>
      </c>
      <c r="P188" s="19"/>
      <c r="Q188" s="19"/>
      <c r="R188" s="19"/>
      <c r="S188" s="19"/>
      <c r="T188" s="19"/>
      <c r="U188" s="19"/>
      <c r="V188" s="19"/>
      <c r="W188" s="14"/>
      <c r="X188" s="14" t="s">
        <v>31</v>
      </c>
      <c r="Y188" s="9" t="s">
        <v>32</v>
      </c>
      <c r="Z188" s="9"/>
    </row>
    <row r="189">
      <c r="A189" s="9">
        <v>188.0</v>
      </c>
      <c r="B189" s="10" t="s">
        <v>723</v>
      </c>
      <c r="C189" s="11" t="s">
        <v>724</v>
      </c>
      <c r="D189" s="15" t="s">
        <v>725</v>
      </c>
      <c r="E189" s="12" t="s">
        <v>36</v>
      </c>
      <c r="F189" s="12" t="s">
        <v>37</v>
      </c>
      <c r="G189" s="9" t="s">
        <v>58</v>
      </c>
      <c r="H189" s="18">
        <v>2020.0</v>
      </c>
      <c r="I189" s="14">
        <v>1.0</v>
      </c>
      <c r="J189" s="14">
        <v>1.0</v>
      </c>
      <c r="K189" s="14">
        <v>1.0</v>
      </c>
      <c r="L189" s="14">
        <v>1.0</v>
      </c>
      <c r="M189" s="14">
        <v>1.0</v>
      </c>
      <c r="N189" s="14">
        <v>0.0</v>
      </c>
      <c r="O189" s="14">
        <v>0.0</v>
      </c>
      <c r="P189" s="14">
        <v>0.0</v>
      </c>
      <c r="Q189" s="14">
        <v>0.0</v>
      </c>
      <c r="R189" s="14">
        <v>0.0</v>
      </c>
      <c r="S189" s="14">
        <v>0.0</v>
      </c>
      <c r="T189" s="14">
        <v>0.0</v>
      </c>
      <c r="U189" s="14">
        <v>0.0</v>
      </c>
      <c r="V189" s="14">
        <v>0.0</v>
      </c>
      <c r="W189" s="14" t="s">
        <v>39</v>
      </c>
      <c r="X189" s="14" t="s">
        <v>39</v>
      </c>
      <c r="Y189" s="9" t="s">
        <v>412</v>
      </c>
      <c r="Z189" s="9" t="s">
        <v>726</v>
      </c>
    </row>
    <row r="190">
      <c r="A190" s="9">
        <v>189.0</v>
      </c>
      <c r="B190" s="10" t="s">
        <v>727</v>
      </c>
      <c r="C190" s="16" t="s">
        <v>728</v>
      </c>
      <c r="D190" s="15" t="s">
        <v>729</v>
      </c>
      <c r="E190" s="22" t="s">
        <v>62</v>
      </c>
      <c r="F190" s="22" t="s">
        <v>62</v>
      </c>
      <c r="G190" s="9" t="s">
        <v>58</v>
      </c>
      <c r="H190" s="13">
        <v>2020.0</v>
      </c>
      <c r="I190" s="14">
        <v>1.0</v>
      </c>
      <c r="J190" s="14">
        <v>1.0</v>
      </c>
      <c r="K190" s="14">
        <v>1.0</v>
      </c>
      <c r="L190" s="14">
        <v>1.0</v>
      </c>
      <c r="M190" s="14">
        <v>1.0</v>
      </c>
      <c r="N190" s="14">
        <v>0.0</v>
      </c>
      <c r="O190" s="14">
        <v>0.0</v>
      </c>
      <c r="P190" s="14">
        <v>0.0</v>
      </c>
      <c r="Q190" s="14">
        <v>0.0</v>
      </c>
      <c r="R190" s="14">
        <v>0.0</v>
      </c>
      <c r="S190" s="14">
        <v>0.0</v>
      </c>
      <c r="T190" s="14">
        <v>0.0</v>
      </c>
      <c r="U190" s="14">
        <v>0.0</v>
      </c>
      <c r="V190" s="14">
        <v>0.0</v>
      </c>
      <c r="W190" s="14" t="s">
        <v>39</v>
      </c>
      <c r="X190" s="14" t="s">
        <v>39</v>
      </c>
      <c r="Y190" s="9" t="s">
        <v>412</v>
      </c>
      <c r="Z190" s="9" t="s">
        <v>730</v>
      </c>
    </row>
    <row r="191">
      <c r="A191" s="9">
        <v>190.0</v>
      </c>
      <c r="B191" s="10" t="s">
        <v>731</v>
      </c>
      <c r="C191" s="11" t="s">
        <v>732</v>
      </c>
      <c r="D191" s="10" t="s">
        <v>733</v>
      </c>
      <c r="E191" s="12" t="s">
        <v>36</v>
      </c>
      <c r="F191" s="12" t="s">
        <v>37</v>
      </c>
      <c r="G191" s="9" t="s">
        <v>58</v>
      </c>
      <c r="H191" s="13">
        <v>2018.0</v>
      </c>
      <c r="I191" s="14">
        <v>1.0</v>
      </c>
      <c r="J191" s="14">
        <v>1.0</v>
      </c>
      <c r="K191" s="14">
        <v>1.0</v>
      </c>
      <c r="L191" s="14">
        <v>1.0</v>
      </c>
      <c r="M191" s="14">
        <v>1.0</v>
      </c>
      <c r="N191" s="14">
        <v>0.0</v>
      </c>
      <c r="O191" s="14">
        <v>0.0</v>
      </c>
      <c r="P191" s="14">
        <v>0.0</v>
      </c>
      <c r="Q191" s="14">
        <v>0.0</v>
      </c>
      <c r="R191" s="14">
        <v>0.0</v>
      </c>
      <c r="S191" s="14">
        <v>0.0</v>
      </c>
      <c r="T191" s="14">
        <v>0.0</v>
      </c>
      <c r="U191" s="14">
        <v>0.0</v>
      </c>
      <c r="V191" s="14">
        <v>0.0</v>
      </c>
      <c r="W191" s="14" t="s">
        <v>39</v>
      </c>
      <c r="X191" s="14" t="s">
        <v>39</v>
      </c>
      <c r="Y191" s="9" t="s">
        <v>412</v>
      </c>
      <c r="Z191" s="21"/>
    </row>
    <row r="192">
      <c r="A192" s="9">
        <v>191.0</v>
      </c>
      <c r="B192" s="10" t="s">
        <v>734</v>
      </c>
      <c r="C192" s="11" t="s">
        <v>735</v>
      </c>
      <c r="D192" s="10" t="s">
        <v>736</v>
      </c>
      <c r="E192" s="12" t="s">
        <v>36</v>
      </c>
      <c r="F192" s="12" t="s">
        <v>37</v>
      </c>
      <c r="G192" s="9"/>
      <c r="H192" s="13">
        <v>2019.0</v>
      </c>
      <c r="I192" s="14"/>
      <c r="J192" s="14"/>
      <c r="K192" s="14"/>
      <c r="L192" s="14"/>
      <c r="M192" s="14"/>
      <c r="N192" s="19"/>
      <c r="O192" s="14">
        <v>1.0</v>
      </c>
      <c r="P192" s="19"/>
      <c r="Q192" s="19"/>
      <c r="R192" s="19"/>
      <c r="S192" s="19"/>
      <c r="T192" s="19"/>
      <c r="U192" s="19"/>
      <c r="V192" s="19"/>
      <c r="W192" s="14"/>
      <c r="X192" s="14" t="s">
        <v>31</v>
      </c>
      <c r="Y192" s="9" t="s">
        <v>32</v>
      </c>
      <c r="Z192" s="9"/>
    </row>
    <row r="193">
      <c r="A193" s="9">
        <v>192.0</v>
      </c>
      <c r="B193" s="10" t="s">
        <v>737</v>
      </c>
      <c r="C193" s="11" t="s">
        <v>738</v>
      </c>
      <c r="D193" s="10" t="s">
        <v>739</v>
      </c>
      <c r="E193" s="25" t="s">
        <v>128</v>
      </c>
      <c r="F193" s="25" t="s">
        <v>128</v>
      </c>
      <c r="G193" s="9" t="s">
        <v>38</v>
      </c>
      <c r="H193" s="13">
        <v>2019.0</v>
      </c>
      <c r="I193" s="14">
        <v>1.0</v>
      </c>
      <c r="J193" s="14">
        <v>1.0</v>
      </c>
      <c r="K193" s="14">
        <v>1.0</v>
      </c>
      <c r="L193" s="14">
        <v>1.0</v>
      </c>
      <c r="M193" s="14">
        <v>1.0</v>
      </c>
      <c r="N193" s="14">
        <v>0.0</v>
      </c>
      <c r="O193" s="14">
        <v>0.0</v>
      </c>
      <c r="P193" s="14">
        <v>0.0</v>
      </c>
      <c r="Q193" s="14">
        <v>0.0</v>
      </c>
      <c r="R193" s="14">
        <v>0.0</v>
      </c>
      <c r="S193" s="14">
        <v>0.0</v>
      </c>
      <c r="T193" s="14">
        <v>0.0</v>
      </c>
      <c r="U193" s="14">
        <v>0.0</v>
      </c>
      <c r="V193" s="14">
        <v>0.0</v>
      </c>
      <c r="W193" s="14" t="s">
        <v>39</v>
      </c>
      <c r="X193" s="14" t="s">
        <v>39</v>
      </c>
      <c r="Y193" s="9" t="s">
        <v>412</v>
      </c>
      <c r="Z193" s="9" t="s">
        <v>740</v>
      </c>
    </row>
    <row r="194">
      <c r="A194" s="9">
        <v>193.0</v>
      </c>
      <c r="B194" s="10" t="s">
        <v>741</v>
      </c>
      <c r="C194" s="11" t="s">
        <v>742</v>
      </c>
      <c r="D194" s="10" t="s">
        <v>743</v>
      </c>
      <c r="E194" s="25" t="s">
        <v>128</v>
      </c>
      <c r="F194" s="25" t="s">
        <v>128</v>
      </c>
      <c r="G194" s="9" t="s">
        <v>38</v>
      </c>
      <c r="H194" s="13">
        <v>2019.0</v>
      </c>
      <c r="I194" s="14">
        <v>1.0</v>
      </c>
      <c r="J194" s="14">
        <v>1.0</v>
      </c>
      <c r="K194" s="14">
        <v>1.0</v>
      </c>
      <c r="L194" s="14">
        <v>1.0</v>
      </c>
      <c r="M194" s="14">
        <v>1.0</v>
      </c>
      <c r="N194" s="14">
        <v>0.0</v>
      </c>
      <c r="O194" s="14">
        <v>0.0</v>
      </c>
      <c r="P194" s="14">
        <v>0.0</v>
      </c>
      <c r="Q194" s="14">
        <v>0.0</v>
      </c>
      <c r="R194" s="14">
        <v>0.0</v>
      </c>
      <c r="S194" s="14">
        <v>0.0</v>
      </c>
      <c r="T194" s="14">
        <v>0.0</v>
      </c>
      <c r="U194" s="14">
        <v>0.0</v>
      </c>
      <c r="V194" s="14">
        <v>0.0</v>
      </c>
      <c r="W194" s="14" t="s">
        <v>39</v>
      </c>
      <c r="X194" s="14" t="s">
        <v>39</v>
      </c>
      <c r="Y194" s="9" t="s">
        <v>412</v>
      </c>
      <c r="Z194" s="9" t="s">
        <v>744</v>
      </c>
    </row>
    <row r="195">
      <c r="A195" s="9">
        <v>194.0</v>
      </c>
      <c r="B195" s="10" t="s">
        <v>745</v>
      </c>
      <c r="C195" s="11" t="s">
        <v>746</v>
      </c>
      <c r="D195" s="10" t="s">
        <v>747</v>
      </c>
      <c r="E195" s="22" t="s">
        <v>62</v>
      </c>
      <c r="F195" s="22" t="s">
        <v>62</v>
      </c>
      <c r="G195" s="9" t="s">
        <v>38</v>
      </c>
      <c r="H195" s="13">
        <v>2020.0</v>
      </c>
      <c r="I195" s="14">
        <v>1.0</v>
      </c>
      <c r="J195" s="14">
        <v>1.0</v>
      </c>
      <c r="K195" s="14">
        <v>1.0</v>
      </c>
      <c r="L195" s="14">
        <v>1.0</v>
      </c>
      <c r="M195" s="14">
        <v>1.0</v>
      </c>
      <c r="N195" s="14">
        <v>0.0</v>
      </c>
      <c r="O195" s="14">
        <v>0.0</v>
      </c>
      <c r="P195" s="14">
        <v>0.0</v>
      </c>
      <c r="Q195" s="14">
        <v>0.0</v>
      </c>
      <c r="R195" s="14">
        <v>0.0</v>
      </c>
      <c r="S195" s="14">
        <v>0.0</v>
      </c>
      <c r="T195" s="14">
        <v>0.0</v>
      </c>
      <c r="U195" s="14">
        <v>0.0</v>
      </c>
      <c r="V195" s="14">
        <v>0.0</v>
      </c>
      <c r="W195" s="14" t="s">
        <v>39</v>
      </c>
      <c r="X195" s="14" t="s">
        <v>39</v>
      </c>
      <c r="Y195" s="9" t="s">
        <v>412</v>
      </c>
      <c r="Z195" s="9" t="s">
        <v>748</v>
      </c>
    </row>
    <row r="196">
      <c r="A196" s="9">
        <v>195.0</v>
      </c>
      <c r="B196" s="10" t="s">
        <v>749</v>
      </c>
      <c r="C196" s="11" t="s">
        <v>750</v>
      </c>
      <c r="D196" s="15" t="s">
        <v>751</v>
      </c>
      <c r="E196" s="12" t="s">
        <v>36</v>
      </c>
      <c r="F196" s="12" t="s">
        <v>37</v>
      </c>
      <c r="G196" s="9" t="s">
        <v>58</v>
      </c>
      <c r="H196" s="13">
        <v>2020.0</v>
      </c>
      <c r="I196" s="14">
        <v>1.0</v>
      </c>
      <c r="J196" s="14">
        <v>1.0</v>
      </c>
      <c r="K196" s="14">
        <v>1.0</v>
      </c>
      <c r="L196" s="14">
        <v>1.0</v>
      </c>
      <c r="M196" s="14">
        <v>1.0</v>
      </c>
      <c r="N196" s="14">
        <v>0.0</v>
      </c>
      <c r="O196" s="14">
        <v>0.0</v>
      </c>
      <c r="P196" s="14">
        <v>0.0</v>
      </c>
      <c r="Q196" s="14">
        <v>0.0</v>
      </c>
      <c r="R196" s="14">
        <v>0.0</v>
      </c>
      <c r="S196" s="14">
        <v>0.0</v>
      </c>
      <c r="T196" s="14">
        <v>0.0</v>
      </c>
      <c r="U196" s="14">
        <v>0.0</v>
      </c>
      <c r="V196" s="14">
        <v>0.0</v>
      </c>
      <c r="W196" s="14" t="s">
        <v>39</v>
      </c>
      <c r="X196" s="14" t="s">
        <v>39</v>
      </c>
      <c r="Y196" s="9" t="s">
        <v>412</v>
      </c>
      <c r="Z196" s="9" t="s">
        <v>752</v>
      </c>
    </row>
    <row r="197">
      <c r="A197" s="9">
        <v>196.0</v>
      </c>
      <c r="B197" s="10" t="s">
        <v>753</v>
      </c>
      <c r="C197" s="11" t="s">
        <v>754</v>
      </c>
      <c r="D197" s="10" t="s">
        <v>755</v>
      </c>
      <c r="E197" s="23" t="s">
        <v>756</v>
      </c>
      <c r="F197" s="23" t="s">
        <v>756</v>
      </c>
      <c r="G197" s="9"/>
      <c r="H197" s="13">
        <v>2020.0</v>
      </c>
      <c r="I197" s="14">
        <v>0.0</v>
      </c>
      <c r="J197" s="19"/>
      <c r="K197" s="19"/>
      <c r="L197" s="19"/>
      <c r="M197" s="19"/>
      <c r="N197" s="19"/>
      <c r="O197" s="19"/>
      <c r="P197" s="19"/>
      <c r="Q197" s="19"/>
      <c r="R197" s="19"/>
      <c r="S197" s="19"/>
      <c r="T197" s="19"/>
      <c r="U197" s="19"/>
      <c r="V197" s="19"/>
      <c r="W197" s="14"/>
      <c r="X197" s="14" t="s">
        <v>31</v>
      </c>
      <c r="Y197" s="9" t="s">
        <v>32</v>
      </c>
      <c r="Z197" s="9" t="s">
        <v>757</v>
      </c>
    </row>
    <row r="198">
      <c r="A198" s="9">
        <v>197.0</v>
      </c>
      <c r="B198" s="10" t="s">
        <v>758</v>
      </c>
      <c r="C198" s="11" t="s">
        <v>759</v>
      </c>
      <c r="D198" s="10" t="s">
        <v>760</v>
      </c>
      <c r="E198" s="17" t="s">
        <v>466</v>
      </c>
      <c r="F198" s="17" t="s">
        <v>466</v>
      </c>
      <c r="G198" s="9"/>
      <c r="H198" s="18">
        <v>2018.0</v>
      </c>
      <c r="I198" s="19"/>
      <c r="J198" s="19"/>
      <c r="K198" s="19"/>
      <c r="L198" s="19"/>
      <c r="M198" s="19"/>
      <c r="N198" s="19"/>
      <c r="O198" s="19"/>
      <c r="P198" s="19"/>
      <c r="Q198" s="19"/>
      <c r="R198" s="19"/>
      <c r="S198" s="14">
        <v>1.0</v>
      </c>
      <c r="T198" s="14"/>
      <c r="U198" s="19"/>
      <c r="V198" s="19"/>
      <c r="W198" s="14"/>
      <c r="X198" s="14" t="s">
        <v>31</v>
      </c>
      <c r="Y198" s="9" t="s">
        <v>32</v>
      </c>
      <c r="Z198" s="9"/>
    </row>
    <row r="199">
      <c r="A199" s="9">
        <v>198.0</v>
      </c>
      <c r="B199" s="10" t="s">
        <v>761</v>
      </c>
      <c r="C199" s="16" t="s">
        <v>762</v>
      </c>
      <c r="D199" s="10" t="s">
        <v>763</v>
      </c>
      <c r="E199" s="17" t="s">
        <v>764</v>
      </c>
      <c r="F199" s="17" t="s">
        <v>764</v>
      </c>
      <c r="G199" s="9"/>
      <c r="H199" s="10"/>
      <c r="I199" s="19"/>
      <c r="J199" s="19"/>
      <c r="K199" s="19"/>
      <c r="L199" s="19"/>
      <c r="M199" s="19"/>
      <c r="N199" s="19"/>
      <c r="O199" s="19"/>
      <c r="P199" s="19"/>
      <c r="Q199" s="14"/>
      <c r="R199" s="19"/>
      <c r="S199" s="19"/>
      <c r="T199" s="14"/>
      <c r="U199" s="19"/>
      <c r="V199" s="14">
        <v>1.0</v>
      </c>
      <c r="W199" s="14"/>
      <c r="X199" s="14" t="s">
        <v>31</v>
      </c>
      <c r="Y199" s="9" t="s">
        <v>32</v>
      </c>
      <c r="Z199" s="9"/>
    </row>
    <row r="200">
      <c r="A200" s="9">
        <v>199.0</v>
      </c>
      <c r="B200" s="10" t="s">
        <v>765</v>
      </c>
      <c r="C200" s="11" t="s">
        <v>766</v>
      </c>
      <c r="D200" s="10" t="s">
        <v>767</v>
      </c>
      <c r="E200" s="12" t="s">
        <v>36</v>
      </c>
      <c r="F200" s="12" t="s">
        <v>37</v>
      </c>
      <c r="G200" s="9" t="s">
        <v>58</v>
      </c>
      <c r="H200" s="13">
        <v>2019.0</v>
      </c>
      <c r="I200" s="14">
        <v>1.0</v>
      </c>
      <c r="J200" s="14">
        <v>1.0</v>
      </c>
      <c r="K200" s="14">
        <v>1.0</v>
      </c>
      <c r="L200" s="14">
        <v>1.0</v>
      </c>
      <c r="M200" s="14">
        <v>1.0</v>
      </c>
      <c r="N200" s="14">
        <v>0.0</v>
      </c>
      <c r="O200" s="14">
        <v>0.0</v>
      </c>
      <c r="P200" s="14">
        <v>0.0</v>
      </c>
      <c r="Q200" s="14">
        <v>0.0</v>
      </c>
      <c r="R200" s="14">
        <v>0.0</v>
      </c>
      <c r="S200" s="14">
        <v>0.0</v>
      </c>
      <c r="T200" s="14">
        <v>0.0</v>
      </c>
      <c r="U200" s="14">
        <v>0.0</v>
      </c>
      <c r="V200" s="14">
        <v>0.0</v>
      </c>
      <c r="W200" s="14" t="s">
        <v>39</v>
      </c>
      <c r="X200" s="14" t="s">
        <v>39</v>
      </c>
      <c r="Y200" s="9" t="s">
        <v>412</v>
      </c>
      <c r="Z200" s="9" t="s">
        <v>768</v>
      </c>
    </row>
    <row r="201">
      <c r="A201" s="9">
        <v>200.0</v>
      </c>
      <c r="B201" s="10" t="s">
        <v>769</v>
      </c>
      <c r="C201" s="11" t="s">
        <v>770</v>
      </c>
      <c r="D201" s="10" t="s">
        <v>771</v>
      </c>
      <c r="E201" s="12" t="s">
        <v>772</v>
      </c>
      <c r="F201" s="12" t="s">
        <v>773</v>
      </c>
      <c r="G201" s="9" t="s">
        <v>38</v>
      </c>
      <c r="H201" s="13">
        <v>2020.0</v>
      </c>
      <c r="I201" s="14">
        <v>1.0</v>
      </c>
      <c r="J201" s="14">
        <v>1.0</v>
      </c>
      <c r="K201" s="14">
        <v>1.0</v>
      </c>
      <c r="L201" s="14">
        <v>1.0</v>
      </c>
      <c r="M201" s="14">
        <v>1.0</v>
      </c>
      <c r="N201" s="14">
        <v>0.0</v>
      </c>
      <c r="O201" s="14">
        <v>0.0</v>
      </c>
      <c r="P201" s="14">
        <v>0.0</v>
      </c>
      <c r="Q201" s="14">
        <v>0.0</v>
      </c>
      <c r="R201" s="14">
        <v>0.0</v>
      </c>
      <c r="S201" s="14">
        <v>0.0</v>
      </c>
      <c r="T201" s="14">
        <v>0.0</v>
      </c>
      <c r="U201" s="14">
        <v>0.0</v>
      </c>
      <c r="V201" s="14">
        <v>0.0</v>
      </c>
      <c r="W201" s="14" t="s">
        <v>39</v>
      </c>
      <c r="X201" s="14" t="s">
        <v>39</v>
      </c>
      <c r="Y201" s="9" t="s">
        <v>412</v>
      </c>
      <c r="Z201" s="9" t="s">
        <v>774</v>
      </c>
    </row>
    <row r="202">
      <c r="A202" s="9">
        <v>201.0</v>
      </c>
      <c r="B202" s="10" t="s">
        <v>775</v>
      </c>
      <c r="C202" s="16" t="s">
        <v>776</v>
      </c>
      <c r="D202" s="10" t="s">
        <v>777</v>
      </c>
      <c r="E202" s="28" t="s">
        <v>778</v>
      </c>
      <c r="F202" s="28" t="s">
        <v>779</v>
      </c>
      <c r="G202" s="9" t="s">
        <v>38</v>
      </c>
      <c r="H202" s="15">
        <v>2019.0</v>
      </c>
      <c r="I202" s="14">
        <v>1.0</v>
      </c>
      <c r="J202" s="14">
        <v>1.0</v>
      </c>
      <c r="K202" s="14">
        <v>1.0</v>
      </c>
      <c r="L202" s="14">
        <v>1.0</v>
      </c>
      <c r="M202" s="14">
        <v>1.0</v>
      </c>
      <c r="N202" s="14">
        <v>0.0</v>
      </c>
      <c r="O202" s="14">
        <v>0.0</v>
      </c>
      <c r="P202" s="14">
        <v>0.0</v>
      </c>
      <c r="Q202" s="14">
        <v>0.0</v>
      </c>
      <c r="R202" s="14">
        <v>0.0</v>
      </c>
      <c r="S202" s="14">
        <v>0.0</v>
      </c>
      <c r="T202" s="14">
        <v>0.0</v>
      </c>
      <c r="U202" s="14">
        <v>0.0</v>
      </c>
      <c r="V202" s="14">
        <v>0.0</v>
      </c>
      <c r="W202" s="14" t="s">
        <v>39</v>
      </c>
      <c r="X202" s="14" t="s">
        <v>39</v>
      </c>
      <c r="Y202" s="9" t="s">
        <v>412</v>
      </c>
      <c r="Z202" s="9" t="s">
        <v>780</v>
      </c>
    </row>
    <row r="203">
      <c r="A203" s="9">
        <v>202.0</v>
      </c>
      <c r="B203" s="10" t="s">
        <v>781</v>
      </c>
      <c r="C203" s="32" t="s">
        <v>782</v>
      </c>
      <c r="D203" s="10" t="s">
        <v>783</v>
      </c>
      <c r="E203" s="28" t="s">
        <v>784</v>
      </c>
      <c r="F203" s="28" t="s">
        <v>785</v>
      </c>
      <c r="G203" s="9" t="s">
        <v>38</v>
      </c>
      <c r="H203" s="15">
        <v>2019.0</v>
      </c>
      <c r="I203" s="14">
        <v>1.0</v>
      </c>
      <c r="J203" s="14">
        <v>1.0</v>
      </c>
      <c r="K203" s="14">
        <v>1.0</v>
      </c>
      <c r="L203" s="14">
        <v>0.0</v>
      </c>
      <c r="M203" s="14">
        <v>1.0</v>
      </c>
      <c r="N203" s="14">
        <v>0.0</v>
      </c>
      <c r="O203" s="14">
        <v>0.0</v>
      </c>
      <c r="P203" s="14">
        <v>0.0</v>
      </c>
      <c r="Q203" s="14">
        <v>0.0</v>
      </c>
      <c r="R203" s="14">
        <v>0.0</v>
      </c>
      <c r="S203" s="14">
        <v>0.0</v>
      </c>
      <c r="T203" s="14">
        <v>0.0</v>
      </c>
      <c r="U203" s="14">
        <v>0.0</v>
      </c>
      <c r="V203" s="14">
        <v>0.0</v>
      </c>
      <c r="W203" s="14" t="s">
        <v>31</v>
      </c>
      <c r="X203" s="14" t="s">
        <v>39</v>
      </c>
      <c r="Y203" s="9" t="s">
        <v>412</v>
      </c>
      <c r="Z203" s="9" t="s">
        <v>786</v>
      </c>
    </row>
    <row r="204">
      <c r="A204" s="9">
        <v>203.0</v>
      </c>
      <c r="B204" s="10" t="s">
        <v>787</v>
      </c>
      <c r="C204" s="11" t="s">
        <v>788</v>
      </c>
      <c r="D204" s="15" t="s">
        <v>789</v>
      </c>
      <c r="E204" s="12" t="s">
        <v>790</v>
      </c>
      <c r="F204" s="12" t="s">
        <v>791</v>
      </c>
      <c r="G204" s="9" t="s">
        <v>38</v>
      </c>
      <c r="H204" s="13">
        <v>2018.0</v>
      </c>
      <c r="I204" s="14">
        <v>1.0</v>
      </c>
      <c r="J204" s="14">
        <v>1.0</v>
      </c>
      <c r="K204" s="14">
        <v>1.0</v>
      </c>
      <c r="L204" s="14">
        <v>1.0</v>
      </c>
      <c r="M204" s="14">
        <v>1.0</v>
      </c>
      <c r="N204" s="14">
        <v>0.0</v>
      </c>
      <c r="O204" s="14">
        <v>0.0</v>
      </c>
      <c r="P204" s="14">
        <v>0.0</v>
      </c>
      <c r="Q204" s="14">
        <v>0.0</v>
      </c>
      <c r="R204" s="14">
        <v>0.0</v>
      </c>
      <c r="S204" s="14">
        <v>0.0</v>
      </c>
      <c r="T204" s="14">
        <v>0.0</v>
      </c>
      <c r="U204" s="14">
        <v>0.0</v>
      </c>
      <c r="V204" s="14">
        <v>0.0</v>
      </c>
      <c r="W204" s="14" t="s">
        <v>39</v>
      </c>
      <c r="X204" s="14" t="s">
        <v>39</v>
      </c>
      <c r="Y204" s="9" t="s">
        <v>412</v>
      </c>
      <c r="Z204" s="9" t="s">
        <v>792</v>
      </c>
    </row>
    <row r="205">
      <c r="A205" s="9">
        <v>204.0</v>
      </c>
      <c r="B205" s="10" t="s">
        <v>793</v>
      </c>
      <c r="C205" s="16" t="s">
        <v>794</v>
      </c>
      <c r="D205" s="10" t="s">
        <v>795</v>
      </c>
      <c r="E205" s="12" t="s">
        <v>796</v>
      </c>
      <c r="F205" s="12" t="s">
        <v>797</v>
      </c>
      <c r="G205" s="9" t="s">
        <v>58</v>
      </c>
      <c r="H205" s="13">
        <v>2018.0</v>
      </c>
      <c r="I205" s="14">
        <v>1.0</v>
      </c>
      <c r="J205" s="14">
        <v>1.0</v>
      </c>
      <c r="K205" s="14">
        <v>1.0</v>
      </c>
      <c r="L205" s="14">
        <v>1.0</v>
      </c>
      <c r="M205" s="14">
        <v>1.0</v>
      </c>
      <c r="N205" s="14">
        <v>0.0</v>
      </c>
      <c r="O205" s="14">
        <v>0.0</v>
      </c>
      <c r="P205" s="14">
        <v>0.0</v>
      </c>
      <c r="Q205" s="14">
        <v>0.0</v>
      </c>
      <c r="R205" s="14">
        <v>0.0</v>
      </c>
      <c r="S205" s="14">
        <v>0.0</v>
      </c>
      <c r="T205" s="14">
        <v>0.0</v>
      </c>
      <c r="U205" s="14">
        <v>0.0</v>
      </c>
      <c r="V205" s="14">
        <v>0.0</v>
      </c>
      <c r="W205" s="14" t="s">
        <v>39</v>
      </c>
      <c r="X205" s="14" t="s">
        <v>39</v>
      </c>
      <c r="Y205" s="9" t="s">
        <v>412</v>
      </c>
      <c r="Z205" s="9" t="s">
        <v>798</v>
      </c>
    </row>
    <row r="206">
      <c r="A206" s="9">
        <v>205.0</v>
      </c>
      <c r="B206" s="10" t="s">
        <v>799</v>
      </c>
      <c r="C206" s="11" t="s">
        <v>800</v>
      </c>
      <c r="D206" s="10" t="s">
        <v>801</v>
      </c>
      <c r="E206" s="12" t="s">
        <v>36</v>
      </c>
      <c r="F206" s="12" t="s">
        <v>37</v>
      </c>
      <c r="G206" s="9"/>
      <c r="H206" s="13">
        <v>2018.0</v>
      </c>
      <c r="I206" s="14"/>
      <c r="J206" s="14"/>
      <c r="K206" s="14"/>
      <c r="L206" s="14"/>
      <c r="M206" s="14"/>
      <c r="N206" s="19"/>
      <c r="O206" s="19"/>
      <c r="P206" s="19"/>
      <c r="Q206" s="19"/>
      <c r="R206" s="19"/>
      <c r="S206" s="19"/>
      <c r="T206" s="14">
        <v>1.0</v>
      </c>
      <c r="U206" s="19"/>
      <c r="V206" s="19"/>
      <c r="W206" s="14"/>
      <c r="X206" s="14" t="s">
        <v>31</v>
      </c>
      <c r="Y206" s="9" t="s">
        <v>32</v>
      </c>
      <c r="Z206" s="21"/>
    </row>
    <row r="207">
      <c r="A207" s="9">
        <v>206.0</v>
      </c>
      <c r="B207" s="10" t="s">
        <v>802</v>
      </c>
      <c r="C207" s="11" t="s">
        <v>803</v>
      </c>
      <c r="D207" s="10" t="s">
        <v>79</v>
      </c>
      <c r="E207" s="12" t="s">
        <v>804</v>
      </c>
      <c r="F207" s="12" t="s">
        <v>805</v>
      </c>
      <c r="G207" s="9" t="s">
        <v>38</v>
      </c>
      <c r="H207" s="18">
        <v>2019.0</v>
      </c>
      <c r="I207" s="14">
        <v>1.0</v>
      </c>
      <c r="J207" s="14">
        <v>1.0</v>
      </c>
      <c r="K207" s="14">
        <v>1.0</v>
      </c>
      <c r="L207" s="14">
        <v>1.0</v>
      </c>
      <c r="M207" s="14">
        <v>1.0</v>
      </c>
      <c r="N207" s="14">
        <v>0.0</v>
      </c>
      <c r="O207" s="14">
        <v>0.0</v>
      </c>
      <c r="P207" s="14">
        <v>0.0</v>
      </c>
      <c r="Q207" s="14">
        <v>0.0</v>
      </c>
      <c r="R207" s="14">
        <v>0.0</v>
      </c>
      <c r="S207" s="14">
        <v>0.0</v>
      </c>
      <c r="T207" s="14">
        <v>0.0</v>
      </c>
      <c r="U207" s="14">
        <v>0.0</v>
      </c>
      <c r="V207" s="14">
        <v>0.0</v>
      </c>
      <c r="W207" s="14" t="s">
        <v>39</v>
      </c>
      <c r="X207" s="14" t="s">
        <v>39</v>
      </c>
      <c r="Y207" s="9" t="s">
        <v>412</v>
      </c>
      <c r="Z207" s="9" t="s">
        <v>806</v>
      </c>
    </row>
    <row r="208">
      <c r="A208" s="9">
        <v>207.0</v>
      </c>
      <c r="B208" s="10" t="s">
        <v>807</v>
      </c>
      <c r="C208" s="11" t="s">
        <v>808</v>
      </c>
      <c r="D208" s="15" t="s">
        <v>809</v>
      </c>
      <c r="E208" s="22" t="s">
        <v>128</v>
      </c>
      <c r="F208" s="22" t="s">
        <v>128</v>
      </c>
      <c r="G208" s="9" t="s">
        <v>38</v>
      </c>
      <c r="H208" s="13">
        <v>2018.0</v>
      </c>
      <c r="I208" s="14">
        <v>1.0</v>
      </c>
      <c r="J208" s="14">
        <v>1.0</v>
      </c>
      <c r="K208" s="14">
        <v>1.0</v>
      </c>
      <c r="L208" s="14">
        <v>1.0</v>
      </c>
      <c r="M208" s="14">
        <v>1.0</v>
      </c>
      <c r="N208" s="14">
        <v>0.0</v>
      </c>
      <c r="O208" s="14">
        <v>0.0</v>
      </c>
      <c r="P208" s="14">
        <v>0.0</v>
      </c>
      <c r="Q208" s="14">
        <v>0.0</v>
      </c>
      <c r="R208" s="14">
        <v>0.0</v>
      </c>
      <c r="S208" s="14">
        <v>0.0</v>
      </c>
      <c r="T208" s="14">
        <v>0.0</v>
      </c>
      <c r="U208" s="14">
        <v>0.0</v>
      </c>
      <c r="V208" s="14">
        <v>0.0</v>
      </c>
      <c r="W208" s="14" t="s">
        <v>39</v>
      </c>
      <c r="X208" s="14" t="s">
        <v>39</v>
      </c>
      <c r="Y208" s="9" t="s">
        <v>412</v>
      </c>
      <c r="Z208" s="9" t="s">
        <v>810</v>
      </c>
    </row>
    <row r="209">
      <c r="A209" s="9">
        <v>208.0</v>
      </c>
      <c r="B209" s="10" t="s">
        <v>811</v>
      </c>
      <c r="C209" s="11" t="s">
        <v>812</v>
      </c>
      <c r="D209" s="10" t="s">
        <v>813</v>
      </c>
      <c r="E209" s="12" t="s">
        <v>36</v>
      </c>
      <c r="F209" s="12" t="s">
        <v>37</v>
      </c>
      <c r="G209" s="9"/>
      <c r="H209" s="13">
        <v>2018.0</v>
      </c>
      <c r="I209" s="14"/>
      <c r="J209" s="14"/>
      <c r="K209" s="14"/>
      <c r="L209" s="14"/>
      <c r="M209" s="14"/>
      <c r="N209" s="14">
        <v>1.0</v>
      </c>
      <c r="O209" s="19"/>
      <c r="P209" s="19"/>
      <c r="Q209" s="19"/>
      <c r="R209" s="19"/>
      <c r="S209" s="19"/>
      <c r="T209" s="19"/>
      <c r="U209" s="19"/>
      <c r="V209" s="19"/>
      <c r="W209" s="14"/>
      <c r="X209" s="14" t="s">
        <v>31</v>
      </c>
      <c r="Y209" s="9" t="s">
        <v>32</v>
      </c>
      <c r="Z209" s="21"/>
    </row>
    <row r="210">
      <c r="A210" s="9">
        <v>209.0</v>
      </c>
      <c r="B210" s="10" t="s">
        <v>814</v>
      </c>
      <c r="C210" s="11" t="s">
        <v>815</v>
      </c>
      <c r="D210" s="10" t="s">
        <v>816</v>
      </c>
      <c r="E210" s="22" t="s">
        <v>128</v>
      </c>
      <c r="F210" s="22" t="s">
        <v>128</v>
      </c>
      <c r="G210" s="9" t="s">
        <v>38</v>
      </c>
      <c r="H210" s="18">
        <v>2019.0</v>
      </c>
      <c r="I210" s="14">
        <v>0.0</v>
      </c>
      <c r="J210" s="14">
        <v>1.0</v>
      </c>
      <c r="K210" s="14">
        <v>1.0</v>
      </c>
      <c r="L210" s="14"/>
      <c r="M210" s="14">
        <v>1.0</v>
      </c>
      <c r="N210" s="14">
        <v>0.0</v>
      </c>
      <c r="O210" s="14">
        <v>0.0</v>
      </c>
      <c r="P210" s="14">
        <v>0.0</v>
      </c>
      <c r="Q210" s="14">
        <v>0.0</v>
      </c>
      <c r="R210" s="14">
        <v>0.0</v>
      </c>
      <c r="S210" s="14">
        <v>0.0</v>
      </c>
      <c r="T210" s="14">
        <v>0.0</v>
      </c>
      <c r="U210" s="14">
        <v>0.0</v>
      </c>
      <c r="V210" s="14">
        <v>0.0</v>
      </c>
      <c r="W210" s="14" t="s">
        <v>31</v>
      </c>
      <c r="X210" s="14" t="s">
        <v>39</v>
      </c>
      <c r="Y210" s="9" t="s">
        <v>412</v>
      </c>
      <c r="Z210" s="9" t="s">
        <v>817</v>
      </c>
    </row>
    <row r="211">
      <c r="A211" s="9">
        <v>210.0</v>
      </c>
      <c r="B211" s="10" t="s">
        <v>818</v>
      </c>
      <c r="C211" s="11" t="s">
        <v>819</v>
      </c>
      <c r="D211" s="10" t="s">
        <v>820</v>
      </c>
      <c r="E211" s="12" t="s">
        <v>36</v>
      </c>
      <c r="F211" s="12" t="s">
        <v>37</v>
      </c>
      <c r="G211" s="9"/>
      <c r="H211" s="13">
        <v>2020.0</v>
      </c>
      <c r="I211" s="14"/>
      <c r="J211" s="14"/>
      <c r="K211" s="14"/>
      <c r="L211" s="14"/>
      <c r="M211" s="14"/>
      <c r="N211" s="19"/>
      <c r="O211" s="19"/>
      <c r="P211" s="19"/>
      <c r="Q211" s="19"/>
      <c r="R211" s="19"/>
      <c r="S211" s="14">
        <v>1.0</v>
      </c>
      <c r="T211" s="19"/>
      <c r="U211" s="19"/>
      <c r="V211" s="19"/>
      <c r="W211" s="14"/>
      <c r="X211" s="14" t="s">
        <v>31</v>
      </c>
      <c r="Y211" s="9" t="s">
        <v>32</v>
      </c>
      <c r="Z211" s="9" t="s">
        <v>82</v>
      </c>
    </row>
    <row r="212">
      <c r="A212" s="9">
        <v>211.0</v>
      </c>
      <c r="B212" s="10" t="s">
        <v>821</v>
      </c>
      <c r="C212" s="11" t="s">
        <v>822</v>
      </c>
      <c r="D212" s="10" t="s">
        <v>823</v>
      </c>
      <c r="E212" s="12" t="s">
        <v>29</v>
      </c>
      <c r="F212" s="12" t="s">
        <v>30</v>
      </c>
      <c r="G212" s="9" t="s">
        <v>38</v>
      </c>
      <c r="H212" s="13">
        <v>2019.0</v>
      </c>
      <c r="I212" s="14">
        <v>1.0</v>
      </c>
      <c r="J212" s="14">
        <v>1.0</v>
      </c>
      <c r="K212" s="14">
        <v>1.0</v>
      </c>
      <c r="L212" s="14">
        <v>1.0</v>
      </c>
      <c r="M212" s="14">
        <v>1.0</v>
      </c>
      <c r="N212" s="14">
        <v>0.0</v>
      </c>
      <c r="O212" s="14">
        <v>0.0</v>
      </c>
      <c r="P212" s="14">
        <v>0.0</v>
      </c>
      <c r="Q212" s="14">
        <v>0.0</v>
      </c>
      <c r="R212" s="14">
        <v>0.0</v>
      </c>
      <c r="S212" s="14">
        <v>0.0</v>
      </c>
      <c r="T212" s="14">
        <v>0.0</v>
      </c>
      <c r="U212" s="14">
        <v>0.0</v>
      </c>
      <c r="V212" s="14">
        <v>0.0</v>
      </c>
      <c r="W212" s="14" t="s">
        <v>39</v>
      </c>
      <c r="X212" s="14" t="s">
        <v>39</v>
      </c>
      <c r="Y212" s="9" t="s">
        <v>412</v>
      </c>
      <c r="Z212" s="9" t="s">
        <v>824</v>
      </c>
    </row>
    <row r="213">
      <c r="A213" s="9">
        <v>212.0</v>
      </c>
      <c r="B213" s="10" t="s">
        <v>825</v>
      </c>
      <c r="C213" s="11" t="s">
        <v>826</v>
      </c>
      <c r="D213" s="10" t="s">
        <v>827</v>
      </c>
      <c r="E213" s="12" t="s">
        <v>36</v>
      </c>
      <c r="F213" s="12" t="s">
        <v>37</v>
      </c>
      <c r="G213" s="9"/>
      <c r="H213" s="13">
        <v>2018.0</v>
      </c>
      <c r="I213" s="19"/>
      <c r="J213" s="19"/>
      <c r="K213" s="19"/>
      <c r="L213" s="19"/>
      <c r="M213" s="19"/>
      <c r="N213" s="19"/>
      <c r="O213" s="14">
        <v>1.0</v>
      </c>
      <c r="P213" s="19"/>
      <c r="Q213" s="19"/>
      <c r="R213" s="19"/>
      <c r="S213" s="19"/>
      <c r="T213" s="19"/>
      <c r="U213" s="19"/>
      <c r="V213" s="19"/>
      <c r="W213" s="14"/>
      <c r="X213" s="14" t="s">
        <v>31</v>
      </c>
      <c r="Y213" s="9" t="s">
        <v>32</v>
      </c>
      <c r="Z213" s="21"/>
    </row>
    <row r="214">
      <c r="A214" s="9">
        <v>213.0</v>
      </c>
      <c r="B214" s="10" t="s">
        <v>828</v>
      </c>
      <c r="C214" s="11" t="s">
        <v>829</v>
      </c>
      <c r="D214" s="10" t="s">
        <v>830</v>
      </c>
      <c r="E214" s="12" t="s">
        <v>831</v>
      </c>
      <c r="F214" s="12" t="s">
        <v>832</v>
      </c>
      <c r="G214" s="9" t="s">
        <v>38</v>
      </c>
      <c r="H214" s="13">
        <v>2018.0</v>
      </c>
      <c r="I214" s="14">
        <v>1.0</v>
      </c>
      <c r="J214" s="14">
        <v>1.0</v>
      </c>
      <c r="K214" s="14">
        <v>1.0</v>
      </c>
      <c r="L214" s="14">
        <v>1.0</v>
      </c>
      <c r="M214" s="14">
        <v>1.0</v>
      </c>
      <c r="N214" s="14">
        <v>0.0</v>
      </c>
      <c r="O214" s="14">
        <v>0.0</v>
      </c>
      <c r="P214" s="14">
        <v>0.0</v>
      </c>
      <c r="Q214" s="14">
        <v>0.0</v>
      </c>
      <c r="R214" s="14">
        <v>0.0</v>
      </c>
      <c r="S214" s="14">
        <v>0.0</v>
      </c>
      <c r="T214" s="14">
        <v>0.0</v>
      </c>
      <c r="U214" s="14">
        <v>0.0</v>
      </c>
      <c r="V214" s="14">
        <v>0.0</v>
      </c>
      <c r="W214" s="14" t="s">
        <v>39</v>
      </c>
      <c r="X214" s="14" t="s">
        <v>39</v>
      </c>
      <c r="Y214" s="9" t="s">
        <v>58</v>
      </c>
      <c r="Z214" s="9" t="s">
        <v>833</v>
      </c>
    </row>
    <row r="215">
      <c r="A215" s="9">
        <v>214.0</v>
      </c>
      <c r="B215" s="10" t="s">
        <v>834</v>
      </c>
      <c r="C215" s="11" t="s">
        <v>835</v>
      </c>
      <c r="D215" s="10" t="s">
        <v>836</v>
      </c>
      <c r="E215" s="22" t="s">
        <v>62</v>
      </c>
      <c r="F215" s="22" t="s">
        <v>62</v>
      </c>
      <c r="G215" s="9" t="s">
        <v>38</v>
      </c>
      <c r="H215" s="13">
        <v>2019.0</v>
      </c>
      <c r="I215" s="14">
        <v>1.0</v>
      </c>
      <c r="J215" s="14">
        <v>1.0</v>
      </c>
      <c r="K215" s="14">
        <v>1.0</v>
      </c>
      <c r="L215" s="14">
        <v>1.0</v>
      </c>
      <c r="M215" s="14">
        <v>1.0</v>
      </c>
      <c r="N215" s="14">
        <v>0.0</v>
      </c>
      <c r="O215" s="14">
        <v>0.0</v>
      </c>
      <c r="P215" s="14">
        <v>0.0</v>
      </c>
      <c r="Q215" s="14">
        <v>0.0</v>
      </c>
      <c r="R215" s="14">
        <v>0.0</v>
      </c>
      <c r="S215" s="14">
        <v>0.0</v>
      </c>
      <c r="T215" s="14">
        <v>0.0</v>
      </c>
      <c r="U215" s="14">
        <v>0.0</v>
      </c>
      <c r="V215" s="14">
        <v>0.0</v>
      </c>
      <c r="W215" s="14" t="s">
        <v>39</v>
      </c>
      <c r="X215" s="14" t="s">
        <v>39</v>
      </c>
      <c r="Y215" s="9" t="s">
        <v>58</v>
      </c>
      <c r="Z215" s="9" t="s">
        <v>837</v>
      </c>
    </row>
    <row r="216">
      <c r="A216" s="9">
        <v>215.0</v>
      </c>
      <c r="B216" s="10" t="s">
        <v>838</v>
      </c>
      <c r="C216" s="11" t="s">
        <v>839</v>
      </c>
      <c r="D216" s="10" t="s">
        <v>840</v>
      </c>
      <c r="E216" s="12" t="s">
        <v>36</v>
      </c>
      <c r="F216" s="12" t="s">
        <v>37</v>
      </c>
      <c r="G216" s="9"/>
      <c r="H216" s="13">
        <v>2018.0</v>
      </c>
      <c r="I216" s="14"/>
      <c r="J216" s="14"/>
      <c r="K216" s="14"/>
      <c r="L216" s="14"/>
      <c r="M216" s="14"/>
      <c r="N216" s="14">
        <v>1.0</v>
      </c>
      <c r="O216" s="14">
        <v>1.0</v>
      </c>
      <c r="P216" s="19"/>
      <c r="Q216" s="19"/>
      <c r="R216" s="19"/>
      <c r="S216" s="14">
        <v>1.0</v>
      </c>
      <c r="T216" s="19"/>
      <c r="U216" s="19"/>
      <c r="V216" s="19"/>
      <c r="W216" s="14"/>
      <c r="X216" s="14" t="s">
        <v>31</v>
      </c>
      <c r="Y216" s="9" t="s">
        <v>32</v>
      </c>
      <c r="Z216" s="9" t="s">
        <v>841</v>
      </c>
    </row>
    <row r="217">
      <c r="A217" s="9">
        <v>216.0</v>
      </c>
      <c r="B217" s="10" t="s">
        <v>842</v>
      </c>
      <c r="C217" s="16" t="s">
        <v>843</v>
      </c>
      <c r="D217" s="10" t="s">
        <v>844</v>
      </c>
      <c r="E217" s="23" t="s">
        <v>845</v>
      </c>
      <c r="F217" s="23" t="s">
        <v>845</v>
      </c>
      <c r="G217" s="9"/>
      <c r="H217" s="13">
        <v>2020.0</v>
      </c>
      <c r="I217" s="14">
        <v>0.0</v>
      </c>
      <c r="J217" s="19"/>
      <c r="K217" s="19"/>
      <c r="L217" s="19"/>
      <c r="M217" s="19"/>
      <c r="N217" s="19"/>
      <c r="O217" s="19"/>
      <c r="P217" s="19"/>
      <c r="Q217" s="14"/>
      <c r="R217" s="19"/>
      <c r="S217" s="19"/>
      <c r="T217" s="19"/>
      <c r="U217" s="14"/>
      <c r="V217" s="14"/>
      <c r="W217" s="14"/>
      <c r="X217" s="14" t="s">
        <v>31</v>
      </c>
      <c r="Y217" s="9" t="s">
        <v>32</v>
      </c>
      <c r="Z217" s="9" t="s">
        <v>846</v>
      </c>
    </row>
    <row r="218">
      <c r="A218" s="9">
        <v>217.0</v>
      </c>
      <c r="B218" s="10" t="s">
        <v>847</v>
      </c>
      <c r="C218" s="11" t="s">
        <v>848</v>
      </c>
      <c r="D218" s="10" t="s">
        <v>849</v>
      </c>
      <c r="E218" s="23" t="s">
        <v>850</v>
      </c>
      <c r="F218" s="23" t="s">
        <v>850</v>
      </c>
      <c r="G218" s="9"/>
      <c r="H218" s="13">
        <v>2018.0</v>
      </c>
      <c r="I218" s="14"/>
      <c r="J218" s="14"/>
      <c r="K218" s="14"/>
      <c r="L218" s="14"/>
      <c r="M218" s="14"/>
      <c r="N218" s="19"/>
      <c r="O218" s="19"/>
      <c r="P218" s="19"/>
      <c r="Q218" s="14">
        <v>1.0</v>
      </c>
      <c r="R218" s="19"/>
      <c r="S218" s="19"/>
      <c r="T218" s="19"/>
      <c r="U218" s="19"/>
      <c r="V218" s="19"/>
      <c r="W218" s="14"/>
      <c r="X218" s="14" t="s">
        <v>31</v>
      </c>
      <c r="Y218" s="9" t="s">
        <v>32</v>
      </c>
      <c r="Z218" s="21"/>
    </row>
    <row r="219">
      <c r="A219" s="9">
        <v>218.0</v>
      </c>
      <c r="B219" s="10" t="s">
        <v>851</v>
      </c>
      <c r="C219" s="16" t="s">
        <v>852</v>
      </c>
      <c r="D219" s="10" t="s">
        <v>853</v>
      </c>
      <c r="E219" s="22" t="s">
        <v>62</v>
      </c>
      <c r="F219" s="22" t="s">
        <v>62</v>
      </c>
      <c r="G219" s="9"/>
      <c r="H219" s="13">
        <v>2019.0</v>
      </c>
      <c r="I219" s="14">
        <v>1.0</v>
      </c>
      <c r="J219" s="14"/>
      <c r="K219" s="14"/>
      <c r="L219" s="14">
        <v>1.0</v>
      </c>
      <c r="M219" s="14"/>
      <c r="N219" s="14">
        <v>1.0</v>
      </c>
      <c r="O219" s="19"/>
      <c r="P219" s="14">
        <v>0.0</v>
      </c>
      <c r="Q219" s="14">
        <v>0.0</v>
      </c>
      <c r="R219" s="14">
        <v>0.0</v>
      </c>
      <c r="S219" s="14">
        <v>0.0</v>
      </c>
      <c r="T219" s="14">
        <v>0.0</v>
      </c>
      <c r="U219" s="14">
        <v>0.0</v>
      </c>
      <c r="V219" s="14">
        <v>0.0</v>
      </c>
      <c r="W219" s="14" t="s">
        <v>31</v>
      </c>
      <c r="X219" s="14" t="s">
        <v>39</v>
      </c>
      <c r="Y219" s="9" t="s">
        <v>58</v>
      </c>
      <c r="Z219" s="9" t="s">
        <v>854</v>
      </c>
    </row>
    <row r="220">
      <c r="A220" s="9">
        <v>219.0</v>
      </c>
      <c r="B220" s="10" t="s">
        <v>855</v>
      </c>
      <c r="C220" s="11" t="s">
        <v>856</v>
      </c>
      <c r="D220" s="10" t="s">
        <v>857</v>
      </c>
      <c r="E220" s="22" t="s">
        <v>128</v>
      </c>
      <c r="F220" s="22" t="s">
        <v>128</v>
      </c>
      <c r="G220" s="9" t="s">
        <v>38</v>
      </c>
      <c r="H220" s="13">
        <v>2020.0</v>
      </c>
      <c r="I220" s="14">
        <v>1.0</v>
      </c>
      <c r="J220" s="14">
        <v>1.0</v>
      </c>
      <c r="K220" s="14">
        <v>1.0</v>
      </c>
      <c r="L220" s="14">
        <v>1.0</v>
      </c>
      <c r="M220" s="14">
        <v>1.0</v>
      </c>
      <c r="N220" s="14">
        <v>0.0</v>
      </c>
      <c r="O220" s="14">
        <v>0.0</v>
      </c>
      <c r="P220" s="14">
        <v>0.0</v>
      </c>
      <c r="Q220" s="14">
        <v>0.0</v>
      </c>
      <c r="R220" s="14">
        <v>0.0</v>
      </c>
      <c r="S220" s="14">
        <v>0.0</v>
      </c>
      <c r="T220" s="14">
        <v>0.0</v>
      </c>
      <c r="U220" s="14">
        <v>0.0</v>
      </c>
      <c r="V220" s="14">
        <v>0.0</v>
      </c>
      <c r="W220" s="14" t="s">
        <v>39</v>
      </c>
      <c r="X220" s="14" t="s">
        <v>39</v>
      </c>
      <c r="Y220" s="9" t="s">
        <v>58</v>
      </c>
      <c r="Z220" s="9" t="s">
        <v>858</v>
      </c>
    </row>
    <row r="221">
      <c r="A221" s="9">
        <v>220.0</v>
      </c>
      <c r="B221" s="10" t="s">
        <v>859</v>
      </c>
      <c r="C221" s="11" t="s">
        <v>860</v>
      </c>
      <c r="D221" s="10" t="s">
        <v>861</v>
      </c>
      <c r="E221" s="22" t="s">
        <v>62</v>
      </c>
      <c r="F221" s="22" t="s">
        <v>62</v>
      </c>
      <c r="G221" s="9" t="s">
        <v>38</v>
      </c>
      <c r="H221" s="13">
        <v>2019.0</v>
      </c>
      <c r="I221" s="14">
        <v>1.0</v>
      </c>
      <c r="J221" s="14">
        <v>1.0</v>
      </c>
      <c r="K221" s="14">
        <v>1.0</v>
      </c>
      <c r="L221" s="14">
        <v>1.0</v>
      </c>
      <c r="M221" s="14">
        <v>1.0</v>
      </c>
      <c r="N221" s="14">
        <v>0.0</v>
      </c>
      <c r="O221" s="14">
        <v>0.0</v>
      </c>
      <c r="P221" s="14">
        <v>0.0</v>
      </c>
      <c r="Q221" s="14">
        <v>0.0</v>
      </c>
      <c r="R221" s="14">
        <v>0.0</v>
      </c>
      <c r="S221" s="14">
        <v>0.0</v>
      </c>
      <c r="T221" s="14">
        <v>0.0</v>
      </c>
      <c r="U221" s="14">
        <v>0.0</v>
      </c>
      <c r="V221" s="14">
        <v>0.0</v>
      </c>
      <c r="W221" s="14" t="s">
        <v>39</v>
      </c>
      <c r="X221" s="14" t="s">
        <v>39</v>
      </c>
      <c r="Y221" s="9" t="s">
        <v>58</v>
      </c>
      <c r="Z221" s="9" t="s">
        <v>862</v>
      </c>
    </row>
    <row r="222">
      <c r="A222" s="9">
        <v>221.0</v>
      </c>
      <c r="B222" s="10" t="s">
        <v>863</v>
      </c>
      <c r="C222" s="16" t="s">
        <v>864</v>
      </c>
      <c r="D222" s="10" t="s">
        <v>865</v>
      </c>
      <c r="E222" s="25" t="s">
        <v>393</v>
      </c>
      <c r="F222" s="28" t="s">
        <v>394</v>
      </c>
      <c r="G222" s="9"/>
      <c r="H222" s="13">
        <v>2018.0</v>
      </c>
      <c r="I222" s="19"/>
      <c r="J222" s="19"/>
      <c r="K222" s="19"/>
      <c r="L222" s="19"/>
      <c r="M222" s="19"/>
      <c r="N222" s="19"/>
      <c r="O222" s="14">
        <v>1.0</v>
      </c>
      <c r="P222" s="19"/>
      <c r="Q222" s="14"/>
      <c r="R222" s="19"/>
      <c r="S222" s="19"/>
      <c r="T222" s="19"/>
      <c r="U222" s="19"/>
      <c r="V222" s="19"/>
      <c r="W222" s="14"/>
      <c r="X222" s="14" t="s">
        <v>31</v>
      </c>
      <c r="Y222" s="9" t="s">
        <v>32</v>
      </c>
      <c r="Z222" s="9"/>
    </row>
    <row r="223">
      <c r="A223" s="9">
        <v>222.0</v>
      </c>
      <c r="B223" s="10" t="s">
        <v>866</v>
      </c>
      <c r="C223" s="11" t="s">
        <v>867</v>
      </c>
      <c r="D223" s="10" t="s">
        <v>868</v>
      </c>
      <c r="E223" s="25" t="s">
        <v>393</v>
      </c>
      <c r="F223" s="28" t="s">
        <v>394</v>
      </c>
      <c r="G223" s="9" t="s">
        <v>38</v>
      </c>
      <c r="H223" s="13">
        <v>2019.0</v>
      </c>
      <c r="I223" s="14">
        <v>1.0</v>
      </c>
      <c r="J223" s="14">
        <v>1.0</v>
      </c>
      <c r="K223" s="14">
        <v>1.0</v>
      </c>
      <c r="L223" s="14">
        <v>1.0</v>
      </c>
      <c r="M223" s="14">
        <v>1.0</v>
      </c>
      <c r="N223" s="14">
        <v>0.0</v>
      </c>
      <c r="O223" s="14">
        <v>0.0</v>
      </c>
      <c r="P223" s="14">
        <v>0.0</v>
      </c>
      <c r="Q223" s="14">
        <v>0.0</v>
      </c>
      <c r="R223" s="14">
        <v>0.0</v>
      </c>
      <c r="S223" s="14">
        <v>0.0</v>
      </c>
      <c r="T223" s="14">
        <v>0.0</v>
      </c>
      <c r="U223" s="14">
        <v>0.0</v>
      </c>
      <c r="V223" s="14">
        <v>0.0</v>
      </c>
      <c r="W223" s="14" t="s">
        <v>39</v>
      </c>
      <c r="X223" s="14" t="s">
        <v>39</v>
      </c>
      <c r="Y223" s="9" t="s">
        <v>58</v>
      </c>
      <c r="Z223" s="9"/>
    </row>
    <row r="224">
      <c r="A224" s="9">
        <v>223.0</v>
      </c>
      <c r="B224" s="10" t="s">
        <v>869</v>
      </c>
      <c r="C224" s="11" t="s">
        <v>870</v>
      </c>
      <c r="D224" s="10" t="s">
        <v>871</v>
      </c>
      <c r="E224" s="17" t="s">
        <v>872</v>
      </c>
      <c r="F224" s="17" t="s">
        <v>872</v>
      </c>
      <c r="G224" s="9"/>
      <c r="H224" s="13">
        <v>2018.0</v>
      </c>
      <c r="I224" s="14">
        <v>1.0</v>
      </c>
      <c r="J224" s="14">
        <v>1.0</v>
      </c>
      <c r="K224" s="14">
        <v>1.0</v>
      </c>
      <c r="L224" s="14">
        <v>1.0</v>
      </c>
      <c r="M224" s="14">
        <v>1.0</v>
      </c>
      <c r="N224" s="14">
        <v>0.0</v>
      </c>
      <c r="O224" s="14">
        <v>0.0</v>
      </c>
      <c r="P224" s="14">
        <v>0.0</v>
      </c>
      <c r="Q224" s="14">
        <v>0.0</v>
      </c>
      <c r="R224" s="14">
        <v>0.0</v>
      </c>
      <c r="S224" s="14">
        <v>0.0</v>
      </c>
      <c r="T224" s="14">
        <v>0.0</v>
      </c>
      <c r="U224" s="14">
        <v>0.0</v>
      </c>
      <c r="V224" s="14">
        <v>0.0</v>
      </c>
      <c r="W224" s="14" t="s">
        <v>39</v>
      </c>
      <c r="X224" s="14" t="s">
        <v>39</v>
      </c>
      <c r="Y224" s="9" t="s">
        <v>58</v>
      </c>
      <c r="Z224" s="9" t="s">
        <v>837</v>
      </c>
    </row>
    <row r="225">
      <c r="A225" s="9">
        <v>224.0</v>
      </c>
      <c r="B225" s="10" t="s">
        <v>873</v>
      </c>
      <c r="C225" s="11" t="s">
        <v>874</v>
      </c>
      <c r="D225" s="10" t="s">
        <v>875</v>
      </c>
      <c r="E225" s="12" t="s">
        <v>36</v>
      </c>
      <c r="F225" s="12" t="s">
        <v>37</v>
      </c>
      <c r="G225" s="9" t="s">
        <v>58</v>
      </c>
      <c r="H225" s="13">
        <v>2019.0</v>
      </c>
      <c r="I225" s="14">
        <v>1.0</v>
      </c>
      <c r="J225" s="14">
        <v>1.0</v>
      </c>
      <c r="K225" s="19"/>
      <c r="L225" s="19"/>
      <c r="M225" s="14">
        <v>1.0</v>
      </c>
      <c r="N225" s="14">
        <v>1.0</v>
      </c>
      <c r="O225" s="14">
        <v>1.0</v>
      </c>
      <c r="P225" s="19"/>
      <c r="Q225" s="14">
        <v>0.0</v>
      </c>
      <c r="R225" s="14">
        <v>0.0</v>
      </c>
      <c r="S225" s="14">
        <v>0.0</v>
      </c>
      <c r="T225" s="14">
        <v>0.0</v>
      </c>
      <c r="U225" s="14">
        <v>0.0</v>
      </c>
      <c r="V225" s="14">
        <v>0.0</v>
      </c>
      <c r="W225" s="14" t="s">
        <v>31</v>
      </c>
      <c r="X225" s="14" t="s">
        <v>39</v>
      </c>
      <c r="Y225" s="9" t="s">
        <v>58</v>
      </c>
      <c r="Z225" s="9" t="s">
        <v>876</v>
      </c>
    </row>
    <row r="226">
      <c r="A226" s="9">
        <v>225.0</v>
      </c>
      <c r="B226" s="10" t="s">
        <v>877</v>
      </c>
      <c r="C226" s="11" t="s">
        <v>878</v>
      </c>
      <c r="D226" s="10" t="s">
        <v>79</v>
      </c>
      <c r="E226" s="22" t="s">
        <v>62</v>
      </c>
      <c r="F226" s="22" t="s">
        <v>62</v>
      </c>
      <c r="G226" s="9" t="s">
        <v>58</v>
      </c>
      <c r="H226" s="13">
        <v>2018.0</v>
      </c>
      <c r="I226" s="14">
        <v>1.0</v>
      </c>
      <c r="J226" s="14">
        <v>1.0</v>
      </c>
      <c r="K226" s="14">
        <v>1.0</v>
      </c>
      <c r="L226" s="14">
        <v>1.0</v>
      </c>
      <c r="M226" s="14">
        <v>1.0</v>
      </c>
      <c r="N226" s="14">
        <v>0.0</v>
      </c>
      <c r="O226" s="14">
        <v>0.0</v>
      </c>
      <c r="P226" s="14">
        <v>0.0</v>
      </c>
      <c r="Q226" s="14">
        <v>0.0</v>
      </c>
      <c r="R226" s="14">
        <v>0.0</v>
      </c>
      <c r="S226" s="14">
        <v>0.0</v>
      </c>
      <c r="T226" s="14">
        <v>0.0</v>
      </c>
      <c r="U226" s="14">
        <v>0.0</v>
      </c>
      <c r="V226" s="14">
        <v>0.0</v>
      </c>
      <c r="W226" s="14" t="s">
        <v>39</v>
      </c>
      <c r="X226" s="14" t="s">
        <v>39</v>
      </c>
      <c r="Y226" s="9" t="s">
        <v>58</v>
      </c>
      <c r="Z226" s="9"/>
    </row>
    <row r="227">
      <c r="A227" s="9">
        <v>226.0</v>
      </c>
      <c r="B227" s="10" t="s">
        <v>879</v>
      </c>
      <c r="C227" s="16" t="s">
        <v>880</v>
      </c>
      <c r="D227" s="10" t="s">
        <v>881</v>
      </c>
      <c r="E227" s="23" t="s">
        <v>882</v>
      </c>
      <c r="F227" s="23" t="s">
        <v>882</v>
      </c>
      <c r="G227" s="9"/>
      <c r="H227" s="13">
        <v>2019.0</v>
      </c>
      <c r="I227" s="19"/>
      <c r="J227" s="19"/>
      <c r="K227" s="19"/>
      <c r="L227" s="19"/>
      <c r="M227" s="19"/>
      <c r="N227" s="19"/>
      <c r="O227" s="19"/>
      <c r="P227" s="19"/>
      <c r="Q227" s="19"/>
      <c r="R227" s="19"/>
      <c r="S227" s="14">
        <v>1.0</v>
      </c>
      <c r="T227" s="19"/>
      <c r="U227" s="19"/>
      <c r="V227" s="19"/>
      <c r="W227" s="14"/>
      <c r="X227" s="14" t="s">
        <v>31</v>
      </c>
      <c r="Y227" s="9" t="s">
        <v>32</v>
      </c>
      <c r="Z227" s="21"/>
    </row>
    <row r="228">
      <c r="A228" s="9">
        <v>227.0</v>
      </c>
      <c r="B228" s="10" t="s">
        <v>883</v>
      </c>
      <c r="C228" s="11" t="s">
        <v>884</v>
      </c>
      <c r="D228" s="10" t="s">
        <v>885</v>
      </c>
      <c r="E228" s="23" t="s">
        <v>49</v>
      </c>
      <c r="F228" s="23" t="s">
        <v>49</v>
      </c>
      <c r="G228" s="9"/>
      <c r="H228" s="13">
        <v>2018.0</v>
      </c>
      <c r="I228" s="19"/>
      <c r="J228" s="19"/>
      <c r="K228" s="19"/>
      <c r="L228" s="19"/>
      <c r="M228" s="19"/>
      <c r="N228" s="19"/>
      <c r="O228" s="19"/>
      <c r="P228" s="19"/>
      <c r="Q228" s="14"/>
      <c r="R228" s="19"/>
      <c r="S228" s="19"/>
      <c r="T228" s="14">
        <v>1.0</v>
      </c>
      <c r="U228" s="19"/>
      <c r="V228" s="14"/>
      <c r="W228" s="14"/>
      <c r="X228" s="14" t="s">
        <v>31</v>
      </c>
      <c r="Y228" s="9" t="s">
        <v>32</v>
      </c>
      <c r="Z228" s="9" t="s">
        <v>50</v>
      </c>
    </row>
    <row r="229">
      <c r="A229" s="9">
        <v>228.0</v>
      </c>
      <c r="B229" s="10" t="s">
        <v>886</v>
      </c>
      <c r="C229" s="11" t="s">
        <v>887</v>
      </c>
      <c r="D229" s="10" t="s">
        <v>888</v>
      </c>
      <c r="E229" s="12" t="s">
        <v>36</v>
      </c>
      <c r="F229" s="12" t="s">
        <v>37</v>
      </c>
      <c r="G229" s="9"/>
      <c r="H229" s="13">
        <v>2019.0</v>
      </c>
      <c r="I229" s="14">
        <v>0.0</v>
      </c>
      <c r="J229" s="19"/>
      <c r="K229" s="19"/>
      <c r="L229" s="19"/>
      <c r="M229" s="19"/>
      <c r="N229" s="19"/>
      <c r="O229" s="19"/>
      <c r="P229" s="19"/>
      <c r="Q229" s="19"/>
      <c r="R229" s="19"/>
      <c r="S229" s="19"/>
      <c r="T229" s="19"/>
      <c r="U229" s="19"/>
      <c r="V229" s="19"/>
      <c r="W229" s="14"/>
      <c r="X229" s="14" t="s">
        <v>31</v>
      </c>
      <c r="Y229" s="9" t="s">
        <v>32</v>
      </c>
      <c r="Z229" s="9"/>
    </row>
    <row r="230">
      <c r="A230" s="9">
        <v>229.0</v>
      </c>
      <c r="B230" s="10" t="s">
        <v>889</v>
      </c>
      <c r="C230" s="11" t="s">
        <v>890</v>
      </c>
      <c r="D230" s="10" t="s">
        <v>891</v>
      </c>
      <c r="E230" s="12" t="s">
        <v>36</v>
      </c>
      <c r="F230" s="12" t="s">
        <v>37</v>
      </c>
      <c r="G230" s="9"/>
      <c r="H230" s="13">
        <v>2018.0</v>
      </c>
      <c r="I230" s="14">
        <v>1.0</v>
      </c>
      <c r="J230" s="14">
        <v>1.0</v>
      </c>
      <c r="K230" s="14"/>
      <c r="L230" s="14">
        <v>1.0</v>
      </c>
      <c r="M230" s="14">
        <v>1.0</v>
      </c>
      <c r="N230" s="19"/>
      <c r="O230" s="19"/>
      <c r="P230" s="14">
        <v>1.0</v>
      </c>
      <c r="Q230" s="14">
        <v>0.0</v>
      </c>
      <c r="R230" s="14">
        <v>0.0</v>
      </c>
      <c r="S230" s="14">
        <v>0.0</v>
      </c>
      <c r="T230" s="14">
        <v>0.0</v>
      </c>
      <c r="U230" s="14">
        <v>0.0</v>
      </c>
      <c r="V230" s="14">
        <v>0.0</v>
      </c>
      <c r="W230" s="14" t="s">
        <v>31</v>
      </c>
      <c r="X230" s="14" t="s">
        <v>39</v>
      </c>
      <c r="Y230" s="9" t="s">
        <v>58</v>
      </c>
      <c r="Z230" s="9" t="s">
        <v>892</v>
      </c>
    </row>
    <row r="231">
      <c r="A231" s="9">
        <v>230.0</v>
      </c>
      <c r="B231" s="10" t="s">
        <v>893</v>
      </c>
      <c r="C231" s="11" t="s">
        <v>894</v>
      </c>
      <c r="D231" s="10" t="s">
        <v>895</v>
      </c>
      <c r="E231" s="23" t="s">
        <v>896</v>
      </c>
      <c r="F231" s="23" t="s">
        <v>896</v>
      </c>
      <c r="G231" s="9" t="s">
        <v>38</v>
      </c>
      <c r="H231" s="13">
        <v>2018.0</v>
      </c>
      <c r="I231" s="14">
        <v>1.0</v>
      </c>
      <c r="J231" s="14">
        <v>1.0</v>
      </c>
      <c r="K231" s="14">
        <v>1.0</v>
      </c>
      <c r="L231" s="14">
        <v>1.0</v>
      </c>
      <c r="M231" s="14">
        <v>1.0</v>
      </c>
      <c r="N231" s="14">
        <v>0.0</v>
      </c>
      <c r="O231" s="14">
        <v>0.0</v>
      </c>
      <c r="P231" s="14">
        <v>0.0</v>
      </c>
      <c r="Q231" s="14">
        <v>0.0</v>
      </c>
      <c r="R231" s="14">
        <v>0.0</v>
      </c>
      <c r="S231" s="14">
        <v>0.0</v>
      </c>
      <c r="T231" s="14">
        <v>0.0</v>
      </c>
      <c r="U231" s="14">
        <v>0.0</v>
      </c>
      <c r="V231" s="14">
        <v>0.0</v>
      </c>
      <c r="W231" s="14" t="s">
        <v>39</v>
      </c>
      <c r="X231" s="14" t="s">
        <v>39</v>
      </c>
      <c r="Y231" s="9" t="s">
        <v>58</v>
      </c>
      <c r="Z231" s="9"/>
    </row>
    <row r="232">
      <c r="A232" s="9">
        <v>231.0</v>
      </c>
      <c r="B232" s="10" t="s">
        <v>897</v>
      </c>
      <c r="C232" s="11" t="s">
        <v>898</v>
      </c>
      <c r="D232" s="10" t="s">
        <v>899</v>
      </c>
      <c r="E232" s="12" t="s">
        <v>36</v>
      </c>
      <c r="F232" s="12" t="s">
        <v>37</v>
      </c>
      <c r="G232" s="9"/>
      <c r="H232" s="13">
        <v>2018.0</v>
      </c>
      <c r="I232" s="19"/>
      <c r="J232" s="19"/>
      <c r="K232" s="19"/>
      <c r="L232" s="19"/>
      <c r="M232" s="19"/>
      <c r="N232" s="14">
        <v>1.0</v>
      </c>
      <c r="O232" s="19"/>
      <c r="P232" s="19"/>
      <c r="Q232" s="14"/>
      <c r="R232" s="19"/>
      <c r="S232" s="19"/>
      <c r="T232" s="19"/>
      <c r="U232" s="19"/>
      <c r="V232" s="19"/>
      <c r="W232" s="14"/>
      <c r="X232" s="14" t="s">
        <v>31</v>
      </c>
      <c r="Y232" s="9" t="s">
        <v>32</v>
      </c>
      <c r="Z232" s="21"/>
    </row>
    <row r="233">
      <c r="A233" s="9">
        <v>232.0</v>
      </c>
      <c r="B233" s="10" t="s">
        <v>900</v>
      </c>
      <c r="C233" s="11" t="s">
        <v>901</v>
      </c>
      <c r="D233" s="10" t="s">
        <v>902</v>
      </c>
      <c r="E233" s="22" t="s">
        <v>128</v>
      </c>
      <c r="F233" s="22" t="s">
        <v>128</v>
      </c>
      <c r="G233" s="9"/>
      <c r="H233" s="13">
        <v>2020.0</v>
      </c>
      <c r="I233" s="14"/>
      <c r="J233" s="14"/>
      <c r="K233" s="14"/>
      <c r="L233" s="14"/>
      <c r="M233" s="14"/>
      <c r="N233" s="14"/>
      <c r="O233" s="14"/>
      <c r="P233" s="14">
        <v>1.0</v>
      </c>
      <c r="Q233" s="14"/>
      <c r="R233" s="14"/>
      <c r="S233" s="14"/>
      <c r="T233" s="14"/>
      <c r="U233" s="14"/>
      <c r="V233" s="14"/>
      <c r="W233" s="14" t="s">
        <v>31</v>
      </c>
      <c r="X233" s="14" t="s">
        <v>39</v>
      </c>
      <c r="Y233" s="9" t="s">
        <v>58</v>
      </c>
      <c r="Z233" s="9" t="s">
        <v>903</v>
      </c>
    </row>
    <row r="234">
      <c r="A234" s="9">
        <v>233.0</v>
      </c>
      <c r="B234" s="10" t="s">
        <v>904</v>
      </c>
      <c r="C234" s="11" t="s">
        <v>905</v>
      </c>
      <c r="D234" s="10" t="s">
        <v>906</v>
      </c>
      <c r="E234" s="22" t="s">
        <v>62</v>
      </c>
      <c r="F234" s="22" t="s">
        <v>62</v>
      </c>
      <c r="G234" s="9" t="s">
        <v>38</v>
      </c>
      <c r="H234" s="13">
        <v>2020.0</v>
      </c>
      <c r="I234" s="14">
        <v>1.0</v>
      </c>
      <c r="J234" s="14">
        <v>1.0</v>
      </c>
      <c r="K234" s="14">
        <v>1.0</v>
      </c>
      <c r="L234" s="14">
        <v>1.0</v>
      </c>
      <c r="M234" s="14">
        <v>1.0</v>
      </c>
      <c r="N234" s="14">
        <v>0.0</v>
      </c>
      <c r="O234" s="14">
        <v>0.0</v>
      </c>
      <c r="P234" s="14">
        <v>0.0</v>
      </c>
      <c r="Q234" s="14">
        <v>0.0</v>
      </c>
      <c r="R234" s="14">
        <v>0.0</v>
      </c>
      <c r="S234" s="14">
        <v>0.0</v>
      </c>
      <c r="T234" s="14">
        <v>0.0</v>
      </c>
      <c r="U234" s="14">
        <v>0.0</v>
      </c>
      <c r="V234" s="14">
        <v>0.0</v>
      </c>
      <c r="W234" s="14" t="s">
        <v>39</v>
      </c>
      <c r="X234" s="14" t="s">
        <v>39</v>
      </c>
      <c r="Y234" s="9" t="s">
        <v>58</v>
      </c>
      <c r="Z234" s="9" t="s">
        <v>907</v>
      </c>
    </row>
    <row r="235">
      <c r="A235" s="9">
        <v>234.0</v>
      </c>
      <c r="B235" s="10" t="s">
        <v>908</v>
      </c>
      <c r="C235" s="11" t="s">
        <v>909</v>
      </c>
      <c r="D235" s="10" t="s">
        <v>910</v>
      </c>
      <c r="E235" s="12" t="s">
        <v>36</v>
      </c>
      <c r="F235" s="12" t="s">
        <v>37</v>
      </c>
      <c r="G235" s="9"/>
      <c r="H235" s="13">
        <v>2020.0</v>
      </c>
      <c r="I235" s="14"/>
      <c r="J235" s="14"/>
      <c r="K235" s="14"/>
      <c r="L235" s="14"/>
      <c r="M235" s="14"/>
      <c r="N235" s="19"/>
      <c r="O235" s="14">
        <v>1.0</v>
      </c>
      <c r="P235" s="19"/>
      <c r="Q235" s="19"/>
      <c r="R235" s="19"/>
      <c r="S235" s="19"/>
      <c r="T235" s="14"/>
      <c r="U235" s="19"/>
      <c r="V235" s="19"/>
      <c r="W235" s="14"/>
      <c r="X235" s="14" t="s">
        <v>31</v>
      </c>
      <c r="Y235" s="9" t="s">
        <v>32</v>
      </c>
      <c r="Z235" s="9"/>
    </row>
    <row r="236">
      <c r="A236" s="9">
        <v>235.0</v>
      </c>
      <c r="B236" s="10" t="s">
        <v>911</v>
      </c>
      <c r="C236" s="16" t="s">
        <v>912</v>
      </c>
      <c r="D236" s="10" t="s">
        <v>913</v>
      </c>
      <c r="E236" s="12" t="s">
        <v>914</v>
      </c>
      <c r="F236" s="23" t="s">
        <v>915</v>
      </c>
      <c r="G236" s="9" t="s">
        <v>38</v>
      </c>
      <c r="H236" s="13">
        <v>2020.0</v>
      </c>
      <c r="I236" s="14">
        <v>1.0</v>
      </c>
      <c r="J236" s="14">
        <v>1.0</v>
      </c>
      <c r="K236" s="14">
        <v>1.0</v>
      </c>
      <c r="L236" s="14">
        <v>1.0</v>
      </c>
      <c r="M236" s="14">
        <v>1.0</v>
      </c>
      <c r="N236" s="14">
        <v>0.0</v>
      </c>
      <c r="O236" s="14">
        <v>0.0</v>
      </c>
      <c r="P236" s="14">
        <v>0.0</v>
      </c>
      <c r="Q236" s="14">
        <v>0.0</v>
      </c>
      <c r="R236" s="14">
        <v>0.0</v>
      </c>
      <c r="S236" s="14">
        <v>0.0</v>
      </c>
      <c r="T236" s="14">
        <v>0.0</v>
      </c>
      <c r="U236" s="14">
        <v>0.0</v>
      </c>
      <c r="V236" s="14">
        <v>0.0</v>
      </c>
      <c r="W236" s="14" t="s">
        <v>39</v>
      </c>
      <c r="X236" s="14" t="s">
        <v>39</v>
      </c>
      <c r="Y236" s="9" t="s">
        <v>58</v>
      </c>
      <c r="Z236" s="9" t="s">
        <v>916</v>
      </c>
    </row>
    <row r="237">
      <c r="A237" s="9">
        <v>236.0</v>
      </c>
      <c r="B237" s="10" t="s">
        <v>917</v>
      </c>
      <c r="C237" s="16" t="s">
        <v>918</v>
      </c>
      <c r="D237" s="10" t="s">
        <v>919</v>
      </c>
      <c r="E237" s="23" t="s">
        <v>920</v>
      </c>
      <c r="F237" s="23" t="s">
        <v>920</v>
      </c>
      <c r="G237" s="9"/>
      <c r="H237" s="13">
        <v>2020.0</v>
      </c>
      <c r="I237" s="14">
        <v>0.0</v>
      </c>
      <c r="J237" s="19"/>
      <c r="K237" s="19"/>
      <c r="L237" s="19"/>
      <c r="M237" s="19"/>
      <c r="N237" s="19"/>
      <c r="O237" s="19"/>
      <c r="P237" s="19"/>
      <c r="Q237" s="19"/>
      <c r="R237" s="14"/>
      <c r="S237" s="19"/>
      <c r="T237" s="19"/>
      <c r="U237" s="19"/>
      <c r="V237" s="19"/>
      <c r="W237" s="14" t="s">
        <v>31</v>
      </c>
      <c r="X237" s="14" t="s">
        <v>39</v>
      </c>
      <c r="Y237" s="9" t="s">
        <v>58</v>
      </c>
      <c r="Z237" s="9" t="s">
        <v>921</v>
      </c>
    </row>
    <row r="238">
      <c r="A238" s="9">
        <v>237.0</v>
      </c>
      <c r="B238" s="10" t="s">
        <v>922</v>
      </c>
      <c r="C238" s="16" t="s">
        <v>923</v>
      </c>
      <c r="D238" s="10" t="s">
        <v>924</v>
      </c>
      <c r="E238" s="22"/>
      <c r="F238" s="22"/>
      <c r="G238" s="9"/>
      <c r="H238" s="29"/>
      <c r="I238" s="14"/>
      <c r="J238" s="14"/>
      <c r="K238" s="14"/>
      <c r="L238" s="14"/>
      <c r="M238" s="14"/>
      <c r="N238" s="19"/>
      <c r="O238" s="19"/>
      <c r="P238" s="19"/>
      <c r="Q238" s="19"/>
      <c r="R238" s="19"/>
      <c r="S238" s="14">
        <v>1.0</v>
      </c>
      <c r="T238" s="19"/>
      <c r="U238" s="19"/>
      <c r="V238" s="19"/>
      <c r="W238" s="14"/>
      <c r="X238" s="14" t="s">
        <v>31</v>
      </c>
      <c r="Y238" s="9" t="s">
        <v>32</v>
      </c>
      <c r="Z238" s="9"/>
    </row>
    <row r="239">
      <c r="A239" s="9">
        <v>238.0</v>
      </c>
      <c r="B239" s="10" t="s">
        <v>925</v>
      </c>
      <c r="C239" s="11" t="s">
        <v>926</v>
      </c>
      <c r="D239" s="10" t="s">
        <v>927</v>
      </c>
      <c r="E239" s="12" t="s">
        <v>36</v>
      </c>
      <c r="F239" s="12" t="s">
        <v>37</v>
      </c>
      <c r="G239" s="9"/>
      <c r="H239" s="13">
        <v>2019.0</v>
      </c>
      <c r="I239" s="14">
        <v>0.0</v>
      </c>
      <c r="J239" s="19"/>
      <c r="K239" s="19"/>
      <c r="L239" s="19"/>
      <c r="M239" s="19"/>
      <c r="N239" s="19"/>
      <c r="O239" s="19"/>
      <c r="P239" s="19"/>
      <c r="Q239" s="19"/>
      <c r="R239" s="19"/>
      <c r="S239" s="19"/>
      <c r="T239" s="19"/>
      <c r="U239" s="19"/>
      <c r="V239" s="19"/>
      <c r="W239" s="14"/>
      <c r="X239" s="14" t="s">
        <v>31</v>
      </c>
      <c r="Y239" s="9" t="s">
        <v>32</v>
      </c>
      <c r="Z239" s="9" t="s">
        <v>93</v>
      </c>
    </row>
    <row r="240">
      <c r="A240" s="9">
        <v>239.0</v>
      </c>
      <c r="B240" s="10" t="s">
        <v>928</v>
      </c>
      <c r="C240" s="11" t="s">
        <v>929</v>
      </c>
      <c r="D240" s="10" t="s">
        <v>930</v>
      </c>
      <c r="E240" s="12" t="s">
        <v>29</v>
      </c>
      <c r="F240" s="12" t="s">
        <v>30</v>
      </c>
      <c r="G240" s="9" t="s">
        <v>38</v>
      </c>
      <c r="H240" s="18">
        <v>2020.0</v>
      </c>
      <c r="I240" s="14">
        <v>1.0</v>
      </c>
      <c r="J240" s="14">
        <v>1.0</v>
      </c>
      <c r="K240" s="14">
        <v>1.0</v>
      </c>
      <c r="L240" s="14">
        <v>1.0</v>
      </c>
      <c r="M240" s="14">
        <v>1.0</v>
      </c>
      <c r="N240" s="14">
        <v>0.0</v>
      </c>
      <c r="O240" s="14">
        <v>0.0</v>
      </c>
      <c r="P240" s="14">
        <v>0.0</v>
      </c>
      <c r="Q240" s="14">
        <v>0.0</v>
      </c>
      <c r="R240" s="14">
        <v>0.0</v>
      </c>
      <c r="S240" s="14">
        <v>0.0</v>
      </c>
      <c r="T240" s="14">
        <v>0.0</v>
      </c>
      <c r="U240" s="14">
        <v>0.0</v>
      </c>
      <c r="V240" s="14">
        <v>0.0</v>
      </c>
      <c r="W240" s="14" t="s">
        <v>39</v>
      </c>
      <c r="X240" s="14" t="s">
        <v>39</v>
      </c>
      <c r="Y240" s="9" t="s">
        <v>58</v>
      </c>
      <c r="Z240" s="9" t="s">
        <v>931</v>
      </c>
    </row>
    <row r="241">
      <c r="A241" s="9">
        <v>240.0</v>
      </c>
      <c r="B241" s="10" t="s">
        <v>932</v>
      </c>
      <c r="C241" s="11" t="s">
        <v>933</v>
      </c>
      <c r="D241" s="10" t="s">
        <v>934</v>
      </c>
      <c r="E241" s="23" t="s">
        <v>935</v>
      </c>
      <c r="F241" s="23" t="s">
        <v>935</v>
      </c>
      <c r="G241" s="9"/>
      <c r="H241" s="13">
        <v>2018.0</v>
      </c>
      <c r="I241" s="14"/>
      <c r="J241" s="14"/>
      <c r="K241" s="14"/>
      <c r="L241" s="14"/>
      <c r="M241" s="14"/>
      <c r="N241" s="19"/>
      <c r="O241" s="19"/>
      <c r="P241" s="19"/>
      <c r="Q241" s="19"/>
      <c r="R241" s="19"/>
      <c r="S241" s="14">
        <v>1.0</v>
      </c>
      <c r="T241" s="19"/>
      <c r="U241" s="19"/>
      <c r="V241" s="19"/>
      <c r="W241" s="14"/>
      <c r="X241" s="14" t="s">
        <v>31</v>
      </c>
      <c r="Y241" s="9" t="s">
        <v>32</v>
      </c>
      <c r="Z241" s="21"/>
    </row>
    <row r="242">
      <c r="A242" s="9">
        <v>241.0</v>
      </c>
      <c r="B242" s="10" t="s">
        <v>936</v>
      </c>
      <c r="C242" s="11" t="s">
        <v>937</v>
      </c>
      <c r="D242" s="10" t="s">
        <v>938</v>
      </c>
      <c r="E242" s="12" t="s">
        <v>36</v>
      </c>
      <c r="F242" s="12" t="s">
        <v>37</v>
      </c>
      <c r="G242" s="9"/>
      <c r="H242" s="13">
        <v>2018.0</v>
      </c>
      <c r="I242" s="14">
        <v>1.0</v>
      </c>
      <c r="J242" s="14">
        <v>1.0</v>
      </c>
      <c r="K242" s="14">
        <v>1.0</v>
      </c>
      <c r="L242" s="14">
        <v>1.0</v>
      </c>
      <c r="M242" s="14">
        <v>1.0</v>
      </c>
      <c r="N242" s="14">
        <v>0.0</v>
      </c>
      <c r="O242" s="14">
        <v>0.0</v>
      </c>
      <c r="P242" s="14">
        <v>0.0</v>
      </c>
      <c r="Q242" s="14">
        <v>0.0</v>
      </c>
      <c r="R242" s="14">
        <v>0.0</v>
      </c>
      <c r="S242" s="14">
        <v>0.0</v>
      </c>
      <c r="T242" s="14">
        <v>0.0</v>
      </c>
      <c r="U242" s="14">
        <v>0.0</v>
      </c>
      <c r="V242" s="14">
        <v>0.0</v>
      </c>
      <c r="W242" s="14" t="s">
        <v>39</v>
      </c>
      <c r="X242" s="14" t="s">
        <v>39</v>
      </c>
      <c r="Y242" s="9" t="s">
        <v>58</v>
      </c>
      <c r="Z242" s="9" t="s">
        <v>939</v>
      </c>
    </row>
    <row r="243">
      <c r="A243" s="9">
        <v>242.0</v>
      </c>
      <c r="B243" s="10" t="s">
        <v>940</v>
      </c>
      <c r="C243" s="16" t="s">
        <v>941</v>
      </c>
      <c r="D243" s="10" t="s">
        <v>942</v>
      </c>
      <c r="E243" s="23" t="s">
        <v>44</v>
      </c>
      <c r="F243" s="23" t="s">
        <v>44</v>
      </c>
      <c r="G243" s="9"/>
      <c r="H243" s="13">
        <v>2018.0</v>
      </c>
      <c r="I243" s="19"/>
      <c r="J243" s="19"/>
      <c r="K243" s="19"/>
      <c r="L243" s="19"/>
      <c r="M243" s="19"/>
      <c r="N243" s="19"/>
      <c r="O243" s="19"/>
      <c r="P243" s="19"/>
      <c r="Q243" s="14"/>
      <c r="R243" s="19"/>
      <c r="S243" s="19"/>
      <c r="T243" s="19"/>
      <c r="U243" s="19"/>
      <c r="V243" s="19"/>
      <c r="W243" s="14"/>
      <c r="X243" s="14" t="s">
        <v>31</v>
      </c>
      <c r="Y243" s="9" t="s">
        <v>32</v>
      </c>
      <c r="Z243" s="9" t="s">
        <v>943</v>
      </c>
    </row>
    <row r="244">
      <c r="A244" s="9">
        <v>243.0</v>
      </c>
      <c r="B244" s="10" t="s">
        <v>944</v>
      </c>
      <c r="C244" s="11" t="s">
        <v>945</v>
      </c>
      <c r="D244" s="10" t="s">
        <v>946</v>
      </c>
      <c r="E244" s="17" t="s">
        <v>947</v>
      </c>
      <c r="F244" s="17" t="s">
        <v>947</v>
      </c>
      <c r="G244" s="9"/>
      <c r="H244" s="13">
        <v>2019.0</v>
      </c>
      <c r="I244" s="19"/>
      <c r="J244" s="19"/>
      <c r="K244" s="19"/>
      <c r="L244" s="19"/>
      <c r="M244" s="19"/>
      <c r="N244" s="19"/>
      <c r="O244" s="19"/>
      <c r="P244" s="19"/>
      <c r="Q244" s="14"/>
      <c r="R244" s="14">
        <v>1.0</v>
      </c>
      <c r="S244" s="19"/>
      <c r="T244" s="19"/>
      <c r="U244" s="19"/>
      <c r="V244" s="19"/>
      <c r="W244" s="14"/>
      <c r="X244" s="14" t="s">
        <v>31</v>
      </c>
      <c r="Y244" s="9" t="s">
        <v>32</v>
      </c>
      <c r="Z244" s="9" t="s">
        <v>193</v>
      </c>
    </row>
    <row r="245">
      <c r="A245" s="9">
        <v>244.0</v>
      </c>
      <c r="B245" s="10" t="s">
        <v>948</v>
      </c>
      <c r="C245" s="11" t="s">
        <v>949</v>
      </c>
      <c r="D245" s="10" t="s">
        <v>950</v>
      </c>
      <c r="E245" s="23" t="s">
        <v>49</v>
      </c>
      <c r="F245" s="23" t="s">
        <v>49</v>
      </c>
      <c r="G245" s="9"/>
      <c r="H245" s="13">
        <v>2018.0</v>
      </c>
      <c r="I245" s="19"/>
      <c r="J245" s="19"/>
      <c r="K245" s="19"/>
      <c r="L245" s="19"/>
      <c r="M245" s="19"/>
      <c r="N245" s="19"/>
      <c r="O245" s="19"/>
      <c r="P245" s="19"/>
      <c r="Q245" s="14"/>
      <c r="R245" s="19"/>
      <c r="S245" s="19"/>
      <c r="T245" s="14">
        <v>1.0</v>
      </c>
      <c r="U245" s="19"/>
      <c r="V245" s="14"/>
      <c r="W245" s="14"/>
      <c r="X245" s="14" t="s">
        <v>31</v>
      </c>
      <c r="Y245" s="9" t="s">
        <v>32</v>
      </c>
      <c r="Z245" s="9" t="s">
        <v>50</v>
      </c>
    </row>
    <row r="246">
      <c r="A246" s="9">
        <v>245.0</v>
      </c>
      <c r="B246" s="10" t="s">
        <v>951</v>
      </c>
      <c r="C246" s="11" t="s">
        <v>952</v>
      </c>
      <c r="D246" s="10" t="s">
        <v>953</v>
      </c>
      <c r="E246" s="22" t="s">
        <v>62</v>
      </c>
      <c r="F246" s="22" t="s">
        <v>62</v>
      </c>
      <c r="G246" s="9"/>
      <c r="H246" s="13">
        <v>2019.0</v>
      </c>
      <c r="I246" s="19"/>
      <c r="J246" s="19"/>
      <c r="K246" s="19"/>
      <c r="L246" s="19"/>
      <c r="M246" s="19"/>
      <c r="N246" s="19"/>
      <c r="O246" s="19"/>
      <c r="P246" s="19"/>
      <c r="Q246" s="14"/>
      <c r="R246" s="19"/>
      <c r="S246" s="14">
        <v>1.0</v>
      </c>
      <c r="T246" s="19"/>
      <c r="U246" s="19"/>
      <c r="V246" s="19"/>
      <c r="W246" s="14"/>
      <c r="X246" s="14" t="s">
        <v>31</v>
      </c>
      <c r="Y246" s="9" t="s">
        <v>32</v>
      </c>
      <c r="Z246" s="9" t="s">
        <v>954</v>
      </c>
    </row>
    <row r="247">
      <c r="A247" s="9">
        <v>246.0</v>
      </c>
      <c r="B247" s="10" t="s">
        <v>955</v>
      </c>
      <c r="C247" s="11" t="s">
        <v>956</v>
      </c>
      <c r="D247" s="10" t="s">
        <v>957</v>
      </c>
      <c r="E247" s="12" t="s">
        <v>80</v>
      </c>
      <c r="F247" s="12" t="s">
        <v>81</v>
      </c>
      <c r="G247" s="9" t="s">
        <v>58</v>
      </c>
      <c r="H247" s="13">
        <v>2020.0</v>
      </c>
      <c r="I247" s="14">
        <v>0.0</v>
      </c>
      <c r="J247" s="14">
        <v>1.0</v>
      </c>
      <c r="K247" s="14">
        <v>1.0</v>
      </c>
      <c r="L247" s="14">
        <v>1.0</v>
      </c>
      <c r="M247" s="14">
        <v>1.0</v>
      </c>
      <c r="N247" s="14">
        <v>0.0</v>
      </c>
      <c r="O247" s="14">
        <v>0.0</v>
      </c>
      <c r="P247" s="14">
        <v>0.0</v>
      </c>
      <c r="Q247" s="14">
        <v>0.0</v>
      </c>
      <c r="R247" s="14">
        <v>0.0</v>
      </c>
      <c r="S247" s="14">
        <v>0.0</v>
      </c>
      <c r="T247" s="14">
        <v>0.0</v>
      </c>
      <c r="U247" s="14">
        <v>0.0</v>
      </c>
      <c r="V247" s="14">
        <v>0.0</v>
      </c>
      <c r="W247" s="14" t="s">
        <v>31</v>
      </c>
      <c r="X247" s="14" t="s">
        <v>39</v>
      </c>
      <c r="Y247" s="9" t="s">
        <v>58</v>
      </c>
      <c r="Z247" s="9" t="s">
        <v>921</v>
      </c>
    </row>
    <row r="248">
      <c r="A248" s="9">
        <v>247.0</v>
      </c>
      <c r="B248" s="10" t="s">
        <v>958</v>
      </c>
      <c r="C248" s="11" t="s">
        <v>959</v>
      </c>
      <c r="D248" s="10" t="s">
        <v>960</v>
      </c>
      <c r="E248" s="12" t="s">
        <v>36</v>
      </c>
      <c r="F248" s="12" t="s">
        <v>37</v>
      </c>
      <c r="G248" s="9"/>
      <c r="H248" s="13">
        <v>2018.0</v>
      </c>
      <c r="I248" s="14">
        <v>0.0</v>
      </c>
      <c r="J248" s="19"/>
      <c r="K248" s="19"/>
      <c r="L248" s="19"/>
      <c r="M248" s="19"/>
      <c r="N248" s="14"/>
      <c r="O248" s="14"/>
      <c r="P248" s="14"/>
      <c r="Q248" s="19"/>
      <c r="R248" s="19"/>
      <c r="S248" s="19"/>
      <c r="T248" s="19"/>
      <c r="U248" s="19"/>
      <c r="V248" s="19"/>
      <c r="W248" s="14"/>
      <c r="X248" s="14" t="s">
        <v>31</v>
      </c>
      <c r="Y248" s="9" t="s">
        <v>32</v>
      </c>
      <c r="Z248" s="9" t="s">
        <v>93</v>
      </c>
    </row>
    <row r="249">
      <c r="A249" s="9">
        <v>248.0</v>
      </c>
      <c r="B249" s="10" t="s">
        <v>961</v>
      </c>
      <c r="C249" s="11" t="s">
        <v>962</v>
      </c>
      <c r="D249" s="10" t="s">
        <v>963</v>
      </c>
      <c r="E249" s="12" t="s">
        <v>36</v>
      </c>
      <c r="F249" s="12" t="s">
        <v>37</v>
      </c>
      <c r="G249" s="9"/>
      <c r="H249" s="13">
        <v>2019.0</v>
      </c>
      <c r="I249" s="14">
        <v>1.0</v>
      </c>
      <c r="J249" s="14">
        <v>1.0</v>
      </c>
      <c r="K249" s="14">
        <v>1.0</v>
      </c>
      <c r="L249" s="14">
        <v>1.0</v>
      </c>
      <c r="M249" s="14">
        <v>1.0</v>
      </c>
      <c r="N249" s="14">
        <v>0.0</v>
      </c>
      <c r="O249" s="14">
        <v>0.0</v>
      </c>
      <c r="P249" s="14">
        <v>0.0</v>
      </c>
      <c r="Q249" s="14">
        <v>0.0</v>
      </c>
      <c r="R249" s="14">
        <v>0.0</v>
      </c>
      <c r="S249" s="14">
        <v>0.0</v>
      </c>
      <c r="T249" s="14">
        <v>0.0</v>
      </c>
      <c r="U249" s="14">
        <v>0.0</v>
      </c>
      <c r="V249" s="14">
        <v>0.0</v>
      </c>
      <c r="W249" s="14" t="s">
        <v>39</v>
      </c>
      <c r="X249" s="14" t="s">
        <v>39</v>
      </c>
      <c r="Y249" s="9" t="s">
        <v>58</v>
      </c>
      <c r="Z249" s="9" t="s">
        <v>964</v>
      </c>
    </row>
    <row r="250">
      <c r="A250" s="9">
        <v>249.0</v>
      </c>
      <c r="B250" s="10" t="s">
        <v>965</v>
      </c>
      <c r="C250" s="16" t="s">
        <v>966</v>
      </c>
      <c r="D250" s="10" t="s">
        <v>967</v>
      </c>
      <c r="E250" s="17" t="s">
        <v>968</v>
      </c>
      <c r="F250" s="17" t="s">
        <v>968</v>
      </c>
      <c r="G250" s="9"/>
      <c r="H250" s="13">
        <v>2018.0</v>
      </c>
      <c r="I250" s="19"/>
      <c r="J250" s="19"/>
      <c r="K250" s="19"/>
      <c r="L250" s="19"/>
      <c r="M250" s="19"/>
      <c r="N250" s="14"/>
      <c r="O250" s="14"/>
      <c r="P250" s="14"/>
      <c r="Q250" s="14"/>
      <c r="R250" s="19"/>
      <c r="S250" s="19"/>
      <c r="T250" s="14">
        <v>1.0</v>
      </c>
      <c r="U250" s="19"/>
      <c r="V250" s="19"/>
      <c r="W250" s="14"/>
      <c r="X250" s="14" t="s">
        <v>31</v>
      </c>
      <c r="Y250" s="9" t="s">
        <v>32</v>
      </c>
      <c r="Z250" s="21"/>
    </row>
    <row r="251">
      <c r="A251" s="9">
        <v>250.0</v>
      </c>
      <c r="B251" s="10" t="s">
        <v>969</v>
      </c>
      <c r="C251" s="11" t="s">
        <v>970</v>
      </c>
      <c r="D251" s="10" t="s">
        <v>971</v>
      </c>
      <c r="E251" s="23" t="s">
        <v>972</v>
      </c>
      <c r="F251" s="23" t="s">
        <v>972</v>
      </c>
      <c r="G251" s="9"/>
      <c r="H251" s="18">
        <v>2020.0</v>
      </c>
      <c r="I251" s="14"/>
      <c r="J251" s="14"/>
      <c r="K251" s="14"/>
      <c r="L251" s="14"/>
      <c r="M251" s="14"/>
      <c r="N251" s="19"/>
      <c r="O251" s="14">
        <v>1.0</v>
      </c>
      <c r="P251" s="19"/>
      <c r="Q251" s="19"/>
      <c r="R251" s="19"/>
      <c r="S251" s="19"/>
      <c r="T251" s="19"/>
      <c r="U251" s="19"/>
      <c r="V251" s="19"/>
      <c r="W251" s="14"/>
      <c r="X251" s="14" t="s">
        <v>31</v>
      </c>
      <c r="Y251" s="9" t="s">
        <v>32</v>
      </c>
      <c r="Z251" s="9"/>
    </row>
    <row r="252">
      <c r="A252" s="9">
        <v>251.0</v>
      </c>
      <c r="B252" s="10" t="s">
        <v>973</v>
      </c>
      <c r="C252" s="11" t="s">
        <v>974</v>
      </c>
      <c r="D252" s="10" t="s">
        <v>975</v>
      </c>
      <c r="E252" s="12" t="s">
        <v>36</v>
      </c>
      <c r="F252" s="12" t="s">
        <v>37</v>
      </c>
      <c r="G252" s="9"/>
      <c r="H252" s="18">
        <v>2019.0</v>
      </c>
      <c r="I252" s="14">
        <v>1.0</v>
      </c>
      <c r="J252" s="14"/>
      <c r="K252" s="14"/>
      <c r="L252" s="14">
        <v>0.0</v>
      </c>
      <c r="M252" s="14">
        <v>1.0</v>
      </c>
      <c r="N252" s="19"/>
      <c r="O252" s="14">
        <v>0.0</v>
      </c>
      <c r="P252" s="14">
        <v>0.0</v>
      </c>
      <c r="Q252" s="14">
        <v>0.0</v>
      </c>
      <c r="R252" s="14">
        <v>0.0</v>
      </c>
      <c r="S252" s="14">
        <v>0.0</v>
      </c>
      <c r="T252" s="14">
        <v>0.0</v>
      </c>
      <c r="U252" s="14">
        <v>0.0</v>
      </c>
      <c r="V252" s="14">
        <v>0.0</v>
      </c>
      <c r="W252" s="14" t="s">
        <v>31</v>
      </c>
      <c r="X252" s="14" t="s">
        <v>39</v>
      </c>
      <c r="Y252" s="9" t="s">
        <v>58</v>
      </c>
      <c r="Z252" s="9" t="s">
        <v>976</v>
      </c>
    </row>
    <row r="253">
      <c r="A253" s="9">
        <v>252.0</v>
      </c>
      <c r="B253" s="10" t="s">
        <v>977</v>
      </c>
      <c r="C253" s="11" t="s">
        <v>978</v>
      </c>
      <c r="D253" s="10" t="s">
        <v>979</v>
      </c>
      <c r="E253" s="25" t="s">
        <v>980</v>
      </c>
      <c r="F253" s="25" t="s">
        <v>980</v>
      </c>
      <c r="G253" s="9"/>
      <c r="H253" s="13">
        <v>2020.0</v>
      </c>
      <c r="I253" s="19"/>
      <c r="J253" s="19"/>
      <c r="K253" s="19"/>
      <c r="L253" s="19"/>
      <c r="M253" s="19"/>
      <c r="N253" s="19"/>
      <c r="O253" s="19"/>
      <c r="P253" s="19"/>
      <c r="Q253" s="14"/>
      <c r="R253" s="14"/>
      <c r="S253" s="19"/>
      <c r="T253" s="14">
        <v>1.0</v>
      </c>
      <c r="U253" s="19"/>
      <c r="V253" s="19"/>
      <c r="W253" s="14"/>
      <c r="X253" s="14" t="s">
        <v>31</v>
      </c>
      <c r="Y253" s="9" t="s">
        <v>32</v>
      </c>
      <c r="Z253" s="9" t="s">
        <v>70</v>
      </c>
    </row>
    <row r="254">
      <c r="A254" s="9">
        <v>253.0</v>
      </c>
      <c r="B254" s="10" t="s">
        <v>981</v>
      </c>
      <c r="C254" s="11" t="s">
        <v>982</v>
      </c>
      <c r="D254" s="10" t="s">
        <v>983</v>
      </c>
      <c r="E254" s="12" t="s">
        <v>36</v>
      </c>
      <c r="F254" s="12" t="s">
        <v>37</v>
      </c>
      <c r="G254" s="9"/>
      <c r="H254" s="13">
        <v>2020.0</v>
      </c>
      <c r="I254" s="14"/>
      <c r="J254" s="14"/>
      <c r="K254" s="14"/>
      <c r="L254" s="14"/>
      <c r="M254" s="14"/>
      <c r="N254" s="19"/>
      <c r="O254" s="14">
        <v>1.0</v>
      </c>
      <c r="P254" s="19"/>
      <c r="Q254" s="19"/>
      <c r="R254" s="19"/>
      <c r="S254" s="19"/>
      <c r="T254" s="19"/>
      <c r="U254" s="19"/>
      <c r="V254" s="19"/>
      <c r="W254" s="14"/>
      <c r="X254" s="14" t="s">
        <v>31</v>
      </c>
      <c r="Y254" s="9" t="s">
        <v>32</v>
      </c>
      <c r="Z254" s="21"/>
    </row>
    <row r="255">
      <c r="A255" s="9">
        <v>254.0</v>
      </c>
      <c r="B255" s="10" t="s">
        <v>984</v>
      </c>
      <c r="C255" s="16" t="s">
        <v>985</v>
      </c>
      <c r="D255" s="10" t="s">
        <v>986</v>
      </c>
      <c r="E255" s="23" t="s">
        <v>987</v>
      </c>
      <c r="F255" s="23" t="s">
        <v>987</v>
      </c>
      <c r="G255" s="9"/>
      <c r="H255" s="13">
        <v>2019.0</v>
      </c>
      <c r="I255" s="19"/>
      <c r="J255" s="19"/>
      <c r="K255" s="19"/>
      <c r="L255" s="19"/>
      <c r="M255" s="19"/>
      <c r="N255" s="19"/>
      <c r="O255" s="19"/>
      <c r="P255" s="19"/>
      <c r="Q255" s="19"/>
      <c r="R255" s="14"/>
      <c r="S255" s="19"/>
      <c r="T255" s="19"/>
      <c r="U255" s="19"/>
      <c r="V255" s="14">
        <v>1.0</v>
      </c>
      <c r="W255" s="14"/>
      <c r="X255" s="14" t="s">
        <v>31</v>
      </c>
      <c r="Y255" s="9" t="s">
        <v>32</v>
      </c>
      <c r="Z255" s="9" t="s">
        <v>988</v>
      </c>
    </row>
    <row r="256">
      <c r="A256" s="9">
        <v>255.0</v>
      </c>
      <c r="B256" s="10" t="s">
        <v>989</v>
      </c>
      <c r="C256" s="11" t="s">
        <v>990</v>
      </c>
      <c r="D256" s="10" t="s">
        <v>991</v>
      </c>
      <c r="E256" s="12" t="s">
        <v>36</v>
      </c>
      <c r="F256" s="12" t="s">
        <v>37</v>
      </c>
      <c r="G256" s="9"/>
      <c r="H256" s="13">
        <v>2020.0</v>
      </c>
      <c r="I256" s="19"/>
      <c r="J256" s="19"/>
      <c r="K256" s="19"/>
      <c r="L256" s="19"/>
      <c r="M256" s="19"/>
      <c r="N256" s="19"/>
      <c r="O256" s="14">
        <v>1.0</v>
      </c>
      <c r="P256" s="14">
        <v>1.0</v>
      </c>
      <c r="Q256" s="14"/>
      <c r="R256" s="19"/>
      <c r="S256" s="19"/>
      <c r="T256" s="19"/>
      <c r="U256" s="19"/>
      <c r="V256" s="19"/>
      <c r="W256" s="14"/>
      <c r="X256" s="14" t="s">
        <v>31</v>
      </c>
      <c r="Y256" s="9" t="s">
        <v>32</v>
      </c>
      <c r="Z256" s="21"/>
    </row>
    <row r="257">
      <c r="A257" s="9">
        <v>256.0</v>
      </c>
      <c r="B257" s="10" t="s">
        <v>992</v>
      </c>
      <c r="C257" s="16" t="s">
        <v>993</v>
      </c>
      <c r="D257" s="10" t="s">
        <v>994</v>
      </c>
      <c r="E257" s="22" t="s">
        <v>128</v>
      </c>
      <c r="F257" s="22" t="s">
        <v>128</v>
      </c>
      <c r="G257" s="9"/>
      <c r="H257" s="13">
        <v>2020.0</v>
      </c>
      <c r="I257" s="19"/>
      <c r="J257" s="19"/>
      <c r="K257" s="19"/>
      <c r="L257" s="19"/>
      <c r="M257" s="19"/>
      <c r="N257" s="19"/>
      <c r="O257" s="14">
        <v>1.0</v>
      </c>
      <c r="P257" s="19"/>
      <c r="Q257" s="19"/>
      <c r="R257" s="19"/>
      <c r="S257" s="19"/>
      <c r="T257" s="14"/>
      <c r="U257" s="19"/>
      <c r="V257" s="19"/>
      <c r="W257" s="14"/>
      <c r="X257" s="14" t="s">
        <v>31</v>
      </c>
      <c r="Y257" s="9" t="s">
        <v>32</v>
      </c>
      <c r="Z257" s="9"/>
    </row>
    <row r="258">
      <c r="A258" s="9">
        <v>257.0</v>
      </c>
      <c r="B258" s="10" t="s">
        <v>995</v>
      </c>
      <c r="C258" s="11" t="s">
        <v>996</v>
      </c>
      <c r="D258" s="10" t="s">
        <v>997</v>
      </c>
      <c r="E258" s="12" t="s">
        <v>36</v>
      </c>
      <c r="F258" s="12" t="s">
        <v>37</v>
      </c>
      <c r="G258" s="9" t="s">
        <v>58</v>
      </c>
      <c r="H258" s="13">
        <v>2019.0</v>
      </c>
      <c r="I258" s="14">
        <v>1.0</v>
      </c>
      <c r="J258" s="14">
        <v>1.0</v>
      </c>
      <c r="K258" s="14">
        <v>0.0</v>
      </c>
      <c r="L258" s="14">
        <v>1.0</v>
      </c>
      <c r="M258" s="14">
        <v>1.0</v>
      </c>
      <c r="N258" s="19"/>
      <c r="O258" s="14">
        <v>1.0</v>
      </c>
      <c r="P258" s="14">
        <v>0.0</v>
      </c>
      <c r="Q258" s="14">
        <v>0.0</v>
      </c>
      <c r="R258" s="14">
        <v>0.0</v>
      </c>
      <c r="S258" s="14">
        <v>0.0</v>
      </c>
      <c r="T258" s="14">
        <v>0.0</v>
      </c>
      <c r="U258" s="14">
        <v>0.0</v>
      </c>
      <c r="V258" s="14">
        <v>0.0</v>
      </c>
      <c r="W258" s="14" t="s">
        <v>31</v>
      </c>
      <c r="X258" s="14" t="s">
        <v>39</v>
      </c>
      <c r="Y258" s="9" t="s">
        <v>58</v>
      </c>
      <c r="Z258" s="9" t="s">
        <v>998</v>
      </c>
    </row>
    <row r="259">
      <c r="A259" s="9">
        <v>258.0</v>
      </c>
      <c r="B259" s="10" t="s">
        <v>999</v>
      </c>
      <c r="C259" s="16" t="s">
        <v>1000</v>
      </c>
      <c r="D259" s="10" t="s">
        <v>1001</v>
      </c>
      <c r="E259" s="25" t="s">
        <v>62</v>
      </c>
      <c r="F259" s="25" t="s">
        <v>62</v>
      </c>
      <c r="G259" s="9"/>
      <c r="H259" s="13">
        <v>2019.0</v>
      </c>
      <c r="I259" s="19"/>
      <c r="J259" s="19"/>
      <c r="K259" s="19"/>
      <c r="L259" s="19"/>
      <c r="M259" s="19"/>
      <c r="N259" s="19"/>
      <c r="O259" s="14">
        <v>1.0</v>
      </c>
      <c r="P259" s="19"/>
      <c r="Q259" s="14"/>
      <c r="R259" s="19"/>
      <c r="S259" s="19"/>
      <c r="T259" s="19"/>
      <c r="U259" s="19"/>
      <c r="V259" s="19"/>
      <c r="W259" s="14"/>
      <c r="X259" s="14" t="s">
        <v>31</v>
      </c>
      <c r="Y259" s="9" t="s">
        <v>32</v>
      </c>
      <c r="Z259" s="21"/>
    </row>
    <row r="260">
      <c r="A260" s="9">
        <v>259.0</v>
      </c>
      <c r="B260" s="10" t="s">
        <v>1002</v>
      </c>
      <c r="C260" s="16" t="s">
        <v>1003</v>
      </c>
      <c r="D260" s="10" t="s">
        <v>1004</v>
      </c>
      <c r="E260" s="23" t="s">
        <v>1005</v>
      </c>
      <c r="F260" s="23" t="s">
        <v>1005</v>
      </c>
      <c r="G260" s="9"/>
      <c r="H260" s="18">
        <v>2018.0</v>
      </c>
      <c r="I260" s="14"/>
      <c r="J260" s="14"/>
      <c r="K260" s="14"/>
      <c r="L260" s="14"/>
      <c r="M260" s="14"/>
      <c r="N260" s="19"/>
      <c r="O260" s="19"/>
      <c r="P260" s="19"/>
      <c r="Q260" s="19"/>
      <c r="R260" s="19"/>
      <c r="S260" s="19"/>
      <c r="T260" s="19"/>
      <c r="U260" s="19"/>
      <c r="V260" s="14">
        <v>1.0</v>
      </c>
      <c r="W260" s="14"/>
      <c r="X260" s="14" t="s">
        <v>31</v>
      </c>
      <c r="Y260" s="9" t="s">
        <v>32</v>
      </c>
      <c r="Z260" s="9" t="s">
        <v>988</v>
      </c>
    </row>
    <row r="261">
      <c r="A261" s="9">
        <v>260.0</v>
      </c>
      <c r="B261" s="10" t="s">
        <v>1006</v>
      </c>
      <c r="C261" s="11" t="s">
        <v>1007</v>
      </c>
      <c r="D261" s="10" t="s">
        <v>1008</v>
      </c>
      <c r="E261" s="22" t="s">
        <v>62</v>
      </c>
      <c r="F261" s="22" t="s">
        <v>62</v>
      </c>
      <c r="G261" s="9" t="s">
        <v>38</v>
      </c>
      <c r="H261" s="13">
        <v>2019.0</v>
      </c>
      <c r="I261" s="14">
        <v>1.0</v>
      </c>
      <c r="J261" s="14">
        <v>1.0</v>
      </c>
      <c r="K261" s="14">
        <v>1.0</v>
      </c>
      <c r="L261" s="14">
        <v>1.0</v>
      </c>
      <c r="M261" s="14">
        <v>1.0</v>
      </c>
      <c r="N261" s="14">
        <v>0.0</v>
      </c>
      <c r="O261" s="14">
        <v>0.0</v>
      </c>
      <c r="P261" s="14">
        <v>0.0</v>
      </c>
      <c r="Q261" s="14">
        <v>0.0</v>
      </c>
      <c r="R261" s="14">
        <v>0.0</v>
      </c>
      <c r="S261" s="14">
        <v>0.0</v>
      </c>
      <c r="T261" s="14">
        <v>0.0</v>
      </c>
      <c r="U261" s="14">
        <v>0.0</v>
      </c>
      <c r="V261" s="14">
        <v>0.0</v>
      </c>
      <c r="W261" s="14" t="s">
        <v>39</v>
      </c>
      <c r="X261" s="14" t="s">
        <v>39</v>
      </c>
      <c r="Y261" s="9" t="s">
        <v>58</v>
      </c>
      <c r="Z261" s="9" t="s">
        <v>1009</v>
      </c>
    </row>
    <row r="262">
      <c r="A262" s="9">
        <v>261.0</v>
      </c>
      <c r="B262" s="10" t="s">
        <v>1010</v>
      </c>
      <c r="C262" s="11" t="s">
        <v>1011</v>
      </c>
      <c r="D262" s="10" t="s">
        <v>1012</v>
      </c>
      <c r="E262" s="12" t="s">
        <v>36</v>
      </c>
      <c r="F262" s="12" t="s">
        <v>37</v>
      </c>
      <c r="G262" s="9" t="s">
        <v>38</v>
      </c>
      <c r="H262" s="13">
        <v>2019.0</v>
      </c>
      <c r="I262" s="14">
        <v>1.0</v>
      </c>
      <c r="J262" s="14">
        <v>1.0</v>
      </c>
      <c r="K262" s="14">
        <v>1.0</v>
      </c>
      <c r="L262" s="14">
        <v>1.0</v>
      </c>
      <c r="M262" s="14">
        <v>1.0</v>
      </c>
      <c r="N262" s="14">
        <v>0.0</v>
      </c>
      <c r="O262" s="14">
        <v>0.0</v>
      </c>
      <c r="P262" s="14">
        <v>0.0</v>
      </c>
      <c r="Q262" s="14">
        <v>0.0</v>
      </c>
      <c r="R262" s="14">
        <v>0.0</v>
      </c>
      <c r="S262" s="14">
        <v>0.0</v>
      </c>
      <c r="T262" s="14">
        <v>0.0</v>
      </c>
      <c r="U262" s="14">
        <v>0.0</v>
      </c>
      <c r="V262" s="14">
        <v>0.0</v>
      </c>
      <c r="W262" s="14" t="s">
        <v>39</v>
      </c>
      <c r="X262" s="14" t="s">
        <v>39</v>
      </c>
      <c r="Y262" s="9" t="s">
        <v>58</v>
      </c>
      <c r="Z262" s="9" t="s">
        <v>1013</v>
      </c>
    </row>
    <row r="263">
      <c r="A263" s="9">
        <v>262.0</v>
      </c>
      <c r="B263" s="10" t="s">
        <v>1014</v>
      </c>
      <c r="C263" s="11" t="s">
        <v>1015</v>
      </c>
      <c r="D263" s="10" t="s">
        <v>1016</v>
      </c>
      <c r="E263" s="23" t="s">
        <v>638</v>
      </c>
      <c r="F263" s="23" t="s">
        <v>638</v>
      </c>
      <c r="G263" s="9"/>
      <c r="H263" s="13">
        <v>2019.0</v>
      </c>
      <c r="I263" s="14"/>
      <c r="J263" s="14"/>
      <c r="K263" s="14"/>
      <c r="L263" s="14"/>
      <c r="M263" s="14"/>
      <c r="N263" s="19"/>
      <c r="O263" s="14">
        <v>1.0</v>
      </c>
      <c r="P263" s="19"/>
      <c r="Q263" s="19"/>
      <c r="R263" s="19"/>
      <c r="S263" s="19"/>
      <c r="T263" s="19"/>
      <c r="U263" s="19"/>
      <c r="V263" s="19"/>
      <c r="W263" s="14"/>
      <c r="X263" s="14" t="s">
        <v>31</v>
      </c>
      <c r="Y263" s="9" t="s">
        <v>32</v>
      </c>
      <c r="Z263" s="21"/>
    </row>
    <row r="264">
      <c r="A264" s="9">
        <v>263.0</v>
      </c>
      <c r="B264" s="10" t="s">
        <v>1017</v>
      </c>
      <c r="C264" s="11" t="s">
        <v>1018</v>
      </c>
      <c r="D264" s="10" t="s">
        <v>1019</v>
      </c>
      <c r="E264" s="12" t="s">
        <v>36</v>
      </c>
      <c r="F264" s="12" t="s">
        <v>37</v>
      </c>
      <c r="G264" s="9"/>
      <c r="H264" s="13">
        <v>2019.0</v>
      </c>
      <c r="I264" s="14"/>
      <c r="J264" s="14"/>
      <c r="K264" s="14"/>
      <c r="L264" s="14"/>
      <c r="M264" s="14"/>
      <c r="N264" s="19"/>
      <c r="O264" s="19"/>
      <c r="P264" s="19"/>
      <c r="Q264" s="19"/>
      <c r="R264" s="19"/>
      <c r="S264" s="14">
        <v>1.0</v>
      </c>
      <c r="T264" s="19"/>
      <c r="U264" s="19"/>
      <c r="V264" s="19"/>
      <c r="W264" s="14"/>
      <c r="X264" s="14" t="s">
        <v>31</v>
      </c>
      <c r="Y264" s="9" t="s">
        <v>32</v>
      </c>
      <c r="Z264" s="9" t="s">
        <v>1020</v>
      </c>
    </row>
    <row r="265">
      <c r="A265" s="9">
        <v>264.0</v>
      </c>
      <c r="B265" s="10" t="s">
        <v>1021</v>
      </c>
      <c r="C265" s="11" t="s">
        <v>1022</v>
      </c>
      <c r="D265" s="10" t="s">
        <v>1023</v>
      </c>
      <c r="E265" s="12" t="s">
        <v>36</v>
      </c>
      <c r="F265" s="12" t="s">
        <v>37</v>
      </c>
      <c r="G265" s="9"/>
      <c r="H265" s="18">
        <v>2018.0</v>
      </c>
      <c r="I265" s="14"/>
      <c r="J265" s="14"/>
      <c r="K265" s="14"/>
      <c r="L265" s="14"/>
      <c r="M265" s="14"/>
      <c r="N265" s="14">
        <v>1.0</v>
      </c>
      <c r="O265" s="19"/>
      <c r="P265" s="19"/>
      <c r="Q265" s="19"/>
      <c r="R265" s="19"/>
      <c r="S265" s="19"/>
      <c r="T265" s="19"/>
      <c r="U265" s="19"/>
      <c r="V265" s="19"/>
      <c r="W265" s="14"/>
      <c r="X265" s="14" t="s">
        <v>31</v>
      </c>
      <c r="Y265" s="9" t="s">
        <v>32</v>
      </c>
      <c r="Z265" s="9" t="s">
        <v>1024</v>
      </c>
    </row>
    <row r="266">
      <c r="A266" s="9">
        <v>265.0</v>
      </c>
      <c r="B266" s="10" t="s">
        <v>1025</v>
      </c>
      <c r="C266" s="16" t="s">
        <v>1026</v>
      </c>
      <c r="D266" s="10" t="s">
        <v>1027</v>
      </c>
      <c r="E266" s="28" t="s">
        <v>784</v>
      </c>
      <c r="F266" s="28" t="s">
        <v>785</v>
      </c>
      <c r="G266" s="9" t="s">
        <v>58</v>
      </c>
      <c r="H266" s="15">
        <v>2020.0</v>
      </c>
      <c r="I266" s="14">
        <v>1.0</v>
      </c>
      <c r="J266" s="14">
        <v>1.0</v>
      </c>
      <c r="K266" s="14">
        <v>1.0</v>
      </c>
      <c r="L266" s="14">
        <v>0.0</v>
      </c>
      <c r="M266" s="14">
        <v>1.0</v>
      </c>
      <c r="N266" s="14">
        <v>0.0</v>
      </c>
      <c r="O266" s="14">
        <v>0.0</v>
      </c>
      <c r="P266" s="14">
        <v>0.0</v>
      </c>
      <c r="Q266" s="14">
        <v>0.0</v>
      </c>
      <c r="R266" s="14">
        <v>0.0</v>
      </c>
      <c r="S266" s="14">
        <v>0.0</v>
      </c>
      <c r="T266" s="14">
        <v>0.0</v>
      </c>
      <c r="U266" s="14">
        <v>0.0</v>
      </c>
      <c r="V266" s="14">
        <v>0.0</v>
      </c>
      <c r="W266" s="14" t="s">
        <v>31</v>
      </c>
      <c r="X266" s="14" t="s">
        <v>39</v>
      </c>
      <c r="Y266" s="9" t="s">
        <v>58</v>
      </c>
      <c r="Z266" s="9" t="s">
        <v>1028</v>
      </c>
    </row>
    <row r="267">
      <c r="A267" s="9">
        <v>266.0</v>
      </c>
      <c r="B267" s="10" t="s">
        <v>1029</v>
      </c>
      <c r="C267" s="11" t="s">
        <v>1030</v>
      </c>
      <c r="D267" s="10" t="s">
        <v>1031</v>
      </c>
      <c r="E267" s="12" t="s">
        <v>1032</v>
      </c>
      <c r="F267" s="12" t="s">
        <v>1033</v>
      </c>
      <c r="G267" s="9" t="s">
        <v>38</v>
      </c>
      <c r="H267" s="18">
        <v>2018.0</v>
      </c>
      <c r="I267" s="14">
        <v>1.0</v>
      </c>
      <c r="J267" s="14">
        <v>1.0</v>
      </c>
      <c r="K267" s="14">
        <v>1.0</v>
      </c>
      <c r="L267" s="14">
        <v>1.0</v>
      </c>
      <c r="M267" s="14">
        <v>1.0</v>
      </c>
      <c r="N267" s="14">
        <v>0.0</v>
      </c>
      <c r="O267" s="14">
        <v>0.0</v>
      </c>
      <c r="P267" s="14">
        <v>0.0</v>
      </c>
      <c r="Q267" s="14">
        <v>0.0</v>
      </c>
      <c r="R267" s="14">
        <v>0.0</v>
      </c>
      <c r="S267" s="14">
        <v>0.0</v>
      </c>
      <c r="T267" s="14">
        <v>0.0</v>
      </c>
      <c r="U267" s="14">
        <v>0.0</v>
      </c>
      <c r="V267" s="14">
        <v>0.0</v>
      </c>
      <c r="W267" s="14" t="s">
        <v>39</v>
      </c>
      <c r="X267" s="14" t="s">
        <v>39</v>
      </c>
      <c r="Y267" s="9" t="s">
        <v>58</v>
      </c>
      <c r="Z267" s="9" t="s">
        <v>1034</v>
      </c>
    </row>
    <row r="268">
      <c r="A268" s="9">
        <v>267.0</v>
      </c>
      <c r="B268" s="10" t="s">
        <v>443</v>
      </c>
      <c r="C268" s="16" t="s">
        <v>1035</v>
      </c>
      <c r="D268" s="10" t="s">
        <v>1036</v>
      </c>
      <c r="E268" s="22"/>
      <c r="F268" s="22"/>
      <c r="G268" s="9"/>
      <c r="H268" s="10"/>
      <c r="I268" s="19"/>
      <c r="J268" s="19"/>
      <c r="K268" s="19"/>
      <c r="L268" s="19"/>
      <c r="M268" s="19"/>
      <c r="N268" s="14">
        <v>1.0</v>
      </c>
      <c r="O268" s="14"/>
      <c r="P268" s="14">
        <v>1.0</v>
      </c>
      <c r="Q268" s="19"/>
      <c r="R268" s="19"/>
      <c r="S268" s="19"/>
      <c r="T268" s="19"/>
      <c r="U268" s="19"/>
      <c r="V268" s="19"/>
      <c r="W268" s="14"/>
      <c r="X268" s="14" t="s">
        <v>31</v>
      </c>
      <c r="Y268" s="9" t="s">
        <v>32</v>
      </c>
      <c r="Z268" s="9"/>
    </row>
    <row r="269">
      <c r="A269" s="9">
        <v>268.0</v>
      </c>
      <c r="B269" s="10" t="s">
        <v>1037</v>
      </c>
      <c r="C269" s="11" t="s">
        <v>1038</v>
      </c>
      <c r="D269" s="10" t="s">
        <v>1039</v>
      </c>
      <c r="E269" s="23" t="s">
        <v>49</v>
      </c>
      <c r="F269" s="23" t="s">
        <v>49</v>
      </c>
      <c r="G269" s="9"/>
      <c r="H269" s="13">
        <v>2019.0</v>
      </c>
      <c r="I269" s="14"/>
      <c r="J269" s="19"/>
      <c r="K269" s="19"/>
      <c r="L269" s="19"/>
      <c r="M269" s="19"/>
      <c r="N269" s="19"/>
      <c r="O269" s="19"/>
      <c r="P269" s="19"/>
      <c r="Q269" s="14"/>
      <c r="R269" s="19"/>
      <c r="S269" s="19"/>
      <c r="T269" s="14">
        <v>1.0</v>
      </c>
      <c r="U269" s="19"/>
      <c r="V269" s="19"/>
      <c r="W269" s="14"/>
      <c r="X269" s="14" t="s">
        <v>31</v>
      </c>
      <c r="Y269" s="9" t="s">
        <v>32</v>
      </c>
      <c r="Z269" s="9" t="s">
        <v>50</v>
      </c>
    </row>
    <row r="270">
      <c r="A270" s="9">
        <v>269.0</v>
      </c>
      <c r="B270" s="10" t="s">
        <v>1040</v>
      </c>
      <c r="C270" s="11" t="s">
        <v>1041</v>
      </c>
      <c r="D270" s="10" t="s">
        <v>1042</v>
      </c>
      <c r="E270" s="12" t="s">
        <v>36</v>
      </c>
      <c r="F270" s="12" t="s">
        <v>37</v>
      </c>
      <c r="G270" s="9"/>
      <c r="H270" s="13">
        <v>2018.0</v>
      </c>
      <c r="I270" s="19"/>
      <c r="J270" s="19"/>
      <c r="K270" s="19"/>
      <c r="L270" s="19"/>
      <c r="M270" s="19"/>
      <c r="N270" s="19"/>
      <c r="O270" s="14">
        <v>1.0</v>
      </c>
      <c r="P270" s="19"/>
      <c r="Q270" s="14"/>
      <c r="R270" s="19"/>
      <c r="S270" s="19"/>
      <c r="T270" s="19"/>
      <c r="U270" s="19"/>
      <c r="V270" s="19"/>
      <c r="W270" s="14"/>
      <c r="X270" s="14" t="s">
        <v>31</v>
      </c>
      <c r="Y270" s="9" t="s">
        <v>32</v>
      </c>
      <c r="Z270" s="21"/>
    </row>
    <row r="271">
      <c r="A271" s="9">
        <v>270.0</v>
      </c>
      <c r="B271" s="10" t="s">
        <v>1043</v>
      </c>
      <c r="C271" s="11" t="s">
        <v>1044</v>
      </c>
      <c r="D271" s="10" t="s">
        <v>1045</v>
      </c>
      <c r="E271" s="12" t="s">
        <v>36</v>
      </c>
      <c r="F271" s="12" t="s">
        <v>37</v>
      </c>
      <c r="G271" s="9"/>
      <c r="H271" s="18">
        <v>2020.0</v>
      </c>
      <c r="I271" s="14"/>
      <c r="J271" s="14"/>
      <c r="K271" s="14"/>
      <c r="L271" s="14"/>
      <c r="M271" s="14"/>
      <c r="N271" s="14">
        <v>1.0</v>
      </c>
      <c r="O271" s="19"/>
      <c r="P271" s="19"/>
      <c r="Q271" s="19"/>
      <c r="R271" s="19"/>
      <c r="S271" s="19"/>
      <c r="T271" s="19"/>
      <c r="U271" s="19"/>
      <c r="V271" s="19"/>
      <c r="W271" s="14"/>
      <c r="X271" s="14" t="s">
        <v>31</v>
      </c>
      <c r="Y271" s="9" t="s">
        <v>32</v>
      </c>
      <c r="Z271" s="9" t="s">
        <v>1046</v>
      </c>
    </row>
    <row r="272">
      <c r="A272" s="9">
        <v>271.0</v>
      </c>
      <c r="B272" s="10" t="s">
        <v>1047</v>
      </c>
      <c r="C272" s="11" t="s">
        <v>1048</v>
      </c>
      <c r="D272" s="10" t="s">
        <v>1049</v>
      </c>
      <c r="E272" s="12" t="s">
        <v>80</v>
      </c>
      <c r="F272" s="12" t="s">
        <v>81</v>
      </c>
      <c r="G272" s="9"/>
      <c r="H272" s="13">
        <v>2018.0</v>
      </c>
      <c r="I272" s="14">
        <v>0.0</v>
      </c>
      <c r="J272" s="14"/>
      <c r="K272" s="14"/>
      <c r="L272" s="14"/>
      <c r="M272" s="14"/>
      <c r="N272" s="19"/>
      <c r="O272" s="19"/>
      <c r="P272" s="19"/>
      <c r="Q272" s="14"/>
      <c r="R272" s="19"/>
      <c r="S272" s="19"/>
      <c r="T272" s="19"/>
      <c r="U272" s="19"/>
      <c r="V272" s="19"/>
      <c r="W272" s="14"/>
      <c r="X272" s="14" t="s">
        <v>31</v>
      </c>
      <c r="Y272" s="9" t="s">
        <v>32</v>
      </c>
      <c r="Z272" s="9" t="s">
        <v>93</v>
      </c>
    </row>
    <row r="273">
      <c r="A273" s="9">
        <v>272.0</v>
      </c>
      <c r="B273" s="10" t="s">
        <v>1050</v>
      </c>
      <c r="C273" s="11" t="s">
        <v>1051</v>
      </c>
      <c r="D273" s="10" t="s">
        <v>1052</v>
      </c>
      <c r="E273" s="17" t="s">
        <v>1053</v>
      </c>
      <c r="F273" s="17" t="s">
        <v>1053</v>
      </c>
      <c r="G273" s="9"/>
      <c r="H273" s="13">
        <v>2020.0</v>
      </c>
      <c r="I273" s="19"/>
      <c r="J273" s="19"/>
      <c r="K273" s="19"/>
      <c r="L273" s="19"/>
      <c r="M273" s="19"/>
      <c r="N273" s="19"/>
      <c r="O273" s="19"/>
      <c r="P273" s="19"/>
      <c r="Q273" s="14"/>
      <c r="R273" s="14"/>
      <c r="S273" s="19"/>
      <c r="T273" s="14">
        <v>1.0</v>
      </c>
      <c r="U273" s="19"/>
      <c r="V273" s="19"/>
      <c r="W273" s="14"/>
      <c r="X273" s="14" t="s">
        <v>31</v>
      </c>
      <c r="Y273" s="9" t="s">
        <v>32</v>
      </c>
      <c r="Z273" s="9" t="s">
        <v>70</v>
      </c>
    </row>
    <row r="274">
      <c r="A274" s="9">
        <v>273.0</v>
      </c>
      <c r="B274" s="10" t="s">
        <v>1054</v>
      </c>
      <c r="C274" s="16" t="s">
        <v>1055</v>
      </c>
      <c r="D274" s="10" t="s">
        <v>1056</v>
      </c>
      <c r="E274" s="12" t="s">
        <v>1057</v>
      </c>
      <c r="F274" s="12" t="s">
        <v>1058</v>
      </c>
      <c r="G274" s="9" t="s">
        <v>58</v>
      </c>
      <c r="H274" s="13">
        <v>2018.0</v>
      </c>
      <c r="I274" s="19"/>
      <c r="J274" s="14">
        <v>1.0</v>
      </c>
      <c r="K274" s="14">
        <v>0.0</v>
      </c>
      <c r="L274" s="19"/>
      <c r="M274" s="14">
        <v>1.0</v>
      </c>
      <c r="N274" s="19"/>
      <c r="O274" s="19"/>
      <c r="P274" s="14">
        <v>0.0</v>
      </c>
      <c r="Q274" s="14">
        <v>0.0</v>
      </c>
      <c r="R274" s="14">
        <v>0.0</v>
      </c>
      <c r="S274" s="14">
        <v>0.0</v>
      </c>
      <c r="T274" s="14">
        <v>0.0</v>
      </c>
      <c r="U274" s="14">
        <v>0.0</v>
      </c>
      <c r="V274" s="14">
        <v>0.0</v>
      </c>
      <c r="W274" s="14" t="s">
        <v>31</v>
      </c>
      <c r="X274" s="14" t="s">
        <v>39</v>
      </c>
      <c r="Y274" s="9" t="s">
        <v>58</v>
      </c>
      <c r="Z274" s="9" t="s">
        <v>1059</v>
      </c>
    </row>
    <row r="275">
      <c r="A275" s="9">
        <v>274.0</v>
      </c>
      <c r="B275" s="10" t="s">
        <v>1060</v>
      </c>
      <c r="C275" s="11" t="s">
        <v>1061</v>
      </c>
      <c r="D275" s="10" t="s">
        <v>1062</v>
      </c>
      <c r="E275" s="12" t="s">
        <v>29</v>
      </c>
      <c r="F275" s="12" t="s">
        <v>30</v>
      </c>
      <c r="G275" s="9"/>
      <c r="H275" s="13">
        <v>2019.0</v>
      </c>
      <c r="I275" s="19"/>
      <c r="J275" s="19"/>
      <c r="K275" s="19"/>
      <c r="L275" s="19"/>
      <c r="M275" s="19"/>
      <c r="N275" s="19"/>
      <c r="O275" s="14">
        <v>1.0</v>
      </c>
      <c r="P275" s="19"/>
      <c r="Q275" s="19"/>
      <c r="R275" s="19"/>
      <c r="S275" s="19"/>
      <c r="T275" s="19"/>
      <c r="U275" s="19"/>
      <c r="V275" s="19"/>
      <c r="W275" s="14"/>
      <c r="X275" s="14" t="s">
        <v>31</v>
      </c>
      <c r="Y275" s="9" t="s">
        <v>32</v>
      </c>
      <c r="Z275" s="9"/>
    </row>
    <row r="276">
      <c r="A276" s="9">
        <v>275.0</v>
      </c>
      <c r="B276" s="10" t="s">
        <v>1063</v>
      </c>
      <c r="C276" s="11" t="s">
        <v>1064</v>
      </c>
      <c r="D276" s="10" t="s">
        <v>1065</v>
      </c>
      <c r="E276" s="22" t="s">
        <v>393</v>
      </c>
      <c r="F276" s="28" t="s">
        <v>394</v>
      </c>
      <c r="G276" s="9"/>
      <c r="H276" s="13">
        <v>2020.0</v>
      </c>
      <c r="I276" s="14">
        <v>1.0</v>
      </c>
      <c r="J276" s="14">
        <v>1.0</v>
      </c>
      <c r="K276" s="14">
        <v>1.0</v>
      </c>
      <c r="L276" s="14">
        <v>1.0</v>
      </c>
      <c r="M276" s="14">
        <v>1.0</v>
      </c>
      <c r="N276" s="14">
        <v>0.0</v>
      </c>
      <c r="O276" s="14">
        <v>0.0</v>
      </c>
      <c r="P276" s="14">
        <v>0.0</v>
      </c>
      <c r="Q276" s="14">
        <v>0.0</v>
      </c>
      <c r="R276" s="14">
        <v>0.0</v>
      </c>
      <c r="S276" s="14">
        <v>0.0</v>
      </c>
      <c r="T276" s="14">
        <v>0.0</v>
      </c>
      <c r="U276" s="14">
        <v>0.0</v>
      </c>
      <c r="V276" s="14">
        <v>0.0</v>
      </c>
      <c r="W276" s="14" t="s">
        <v>39</v>
      </c>
      <c r="X276" s="14" t="s">
        <v>39</v>
      </c>
      <c r="Y276" s="9" t="s">
        <v>58</v>
      </c>
      <c r="Z276" s="9" t="s">
        <v>1066</v>
      </c>
    </row>
    <row r="277">
      <c r="A277" s="9">
        <v>276.0</v>
      </c>
      <c r="B277" s="10" t="s">
        <v>1067</v>
      </c>
      <c r="C277" s="11" t="s">
        <v>1068</v>
      </c>
      <c r="D277" s="10" t="s">
        <v>1069</v>
      </c>
      <c r="E277" s="25" t="s">
        <v>128</v>
      </c>
      <c r="F277" s="25" t="s">
        <v>128</v>
      </c>
      <c r="G277" s="9" t="s">
        <v>38</v>
      </c>
      <c r="H277" s="13">
        <v>2019.0</v>
      </c>
      <c r="I277" s="14">
        <v>1.0</v>
      </c>
      <c r="J277" s="14">
        <v>1.0</v>
      </c>
      <c r="K277" s="14">
        <v>1.0</v>
      </c>
      <c r="L277" s="14">
        <v>1.0</v>
      </c>
      <c r="M277" s="14">
        <v>1.0</v>
      </c>
      <c r="N277" s="14">
        <v>0.0</v>
      </c>
      <c r="O277" s="14">
        <v>0.0</v>
      </c>
      <c r="P277" s="14">
        <v>0.0</v>
      </c>
      <c r="Q277" s="14">
        <v>0.0</v>
      </c>
      <c r="R277" s="14">
        <v>0.0</v>
      </c>
      <c r="S277" s="14">
        <v>0.0</v>
      </c>
      <c r="T277" s="14">
        <v>0.0</v>
      </c>
      <c r="U277" s="14">
        <v>0.0</v>
      </c>
      <c r="V277" s="14">
        <v>0.0</v>
      </c>
      <c r="W277" s="14" t="s">
        <v>39</v>
      </c>
      <c r="X277" s="14" t="s">
        <v>39</v>
      </c>
      <c r="Y277" s="9" t="s">
        <v>58</v>
      </c>
      <c r="Z277" s="9" t="s">
        <v>1070</v>
      </c>
    </row>
    <row r="278">
      <c r="A278" s="9">
        <v>277.0</v>
      </c>
      <c r="B278" s="10" t="s">
        <v>1071</v>
      </c>
      <c r="C278" s="11" t="s">
        <v>1072</v>
      </c>
      <c r="D278" s="10" t="s">
        <v>1073</v>
      </c>
      <c r="E278" s="17" t="s">
        <v>182</v>
      </c>
      <c r="F278" s="17" t="s">
        <v>182</v>
      </c>
      <c r="G278" s="9"/>
      <c r="H278" s="13">
        <v>2018.0</v>
      </c>
      <c r="I278" s="19"/>
      <c r="J278" s="19"/>
      <c r="K278" s="19"/>
      <c r="L278" s="19"/>
      <c r="M278" s="19"/>
      <c r="N278" s="19"/>
      <c r="O278" s="19"/>
      <c r="P278" s="19"/>
      <c r="Q278" s="14"/>
      <c r="R278" s="14"/>
      <c r="S278" s="19"/>
      <c r="T278" s="14">
        <v>1.0</v>
      </c>
      <c r="U278" s="19"/>
      <c r="V278" s="19"/>
      <c r="W278" s="14"/>
      <c r="X278" s="14" t="s">
        <v>31</v>
      </c>
      <c r="Y278" s="9" t="s">
        <v>32</v>
      </c>
      <c r="Z278" s="9" t="s">
        <v>70</v>
      </c>
    </row>
    <row r="279">
      <c r="A279" s="9">
        <v>278.0</v>
      </c>
      <c r="B279" s="10" t="s">
        <v>1074</v>
      </c>
      <c r="C279" s="11" t="s">
        <v>1075</v>
      </c>
      <c r="D279" s="10" t="s">
        <v>1076</v>
      </c>
      <c r="E279" s="12" t="s">
        <v>36</v>
      </c>
      <c r="F279" s="12" t="s">
        <v>37</v>
      </c>
      <c r="G279" s="9" t="s">
        <v>38</v>
      </c>
      <c r="H279" s="13">
        <v>2019.0</v>
      </c>
      <c r="I279" s="14">
        <v>1.0</v>
      </c>
      <c r="J279" s="14">
        <v>1.0</v>
      </c>
      <c r="K279" s="14">
        <v>1.0</v>
      </c>
      <c r="L279" s="14">
        <v>1.0</v>
      </c>
      <c r="M279" s="14">
        <v>1.0</v>
      </c>
      <c r="N279" s="14">
        <v>0.0</v>
      </c>
      <c r="O279" s="14">
        <v>0.0</v>
      </c>
      <c r="P279" s="14">
        <v>0.0</v>
      </c>
      <c r="Q279" s="14">
        <v>0.0</v>
      </c>
      <c r="R279" s="14">
        <v>0.0</v>
      </c>
      <c r="S279" s="14">
        <v>0.0</v>
      </c>
      <c r="T279" s="14">
        <v>0.0</v>
      </c>
      <c r="U279" s="14">
        <v>0.0</v>
      </c>
      <c r="V279" s="14">
        <v>0.0</v>
      </c>
      <c r="W279" s="14" t="s">
        <v>39</v>
      </c>
      <c r="X279" s="14" t="s">
        <v>39</v>
      </c>
      <c r="Y279" s="9" t="s">
        <v>58</v>
      </c>
      <c r="Z279" s="9" t="s">
        <v>1077</v>
      </c>
    </row>
    <row r="280">
      <c r="A280" s="9">
        <v>279.0</v>
      </c>
      <c r="B280" s="10" t="s">
        <v>1078</v>
      </c>
      <c r="C280" s="11" t="s">
        <v>1079</v>
      </c>
      <c r="D280" s="10" t="s">
        <v>1080</v>
      </c>
      <c r="E280" s="23" t="s">
        <v>882</v>
      </c>
      <c r="F280" s="23" t="s">
        <v>882</v>
      </c>
      <c r="G280" s="9"/>
      <c r="H280" s="13">
        <v>2018.0</v>
      </c>
      <c r="I280" s="19"/>
      <c r="J280" s="19"/>
      <c r="K280" s="19"/>
      <c r="L280" s="19"/>
      <c r="M280" s="19"/>
      <c r="N280" s="19"/>
      <c r="O280" s="19"/>
      <c r="P280" s="19"/>
      <c r="Q280" s="19"/>
      <c r="R280" s="14"/>
      <c r="S280" s="19"/>
      <c r="T280" s="14">
        <v>1.0</v>
      </c>
      <c r="U280" s="19"/>
      <c r="V280" s="19"/>
      <c r="W280" s="14"/>
      <c r="X280" s="14" t="s">
        <v>31</v>
      </c>
      <c r="Y280" s="9" t="s">
        <v>32</v>
      </c>
      <c r="Z280" s="9" t="s">
        <v>70</v>
      </c>
    </row>
    <row r="281">
      <c r="A281" s="9">
        <v>280.0</v>
      </c>
      <c r="B281" s="10" t="s">
        <v>1081</v>
      </c>
      <c r="C281" s="16" t="s">
        <v>1082</v>
      </c>
      <c r="D281" s="10" t="s">
        <v>1083</v>
      </c>
      <c r="E281" s="23" t="s">
        <v>1084</v>
      </c>
      <c r="F281" s="23" t="s">
        <v>1084</v>
      </c>
      <c r="G281" s="9"/>
      <c r="H281" s="13">
        <v>2018.0</v>
      </c>
      <c r="I281" s="19"/>
      <c r="J281" s="19"/>
      <c r="K281" s="19"/>
      <c r="L281" s="19"/>
      <c r="M281" s="19"/>
      <c r="N281" s="19"/>
      <c r="O281" s="14">
        <v>1.0</v>
      </c>
      <c r="P281" s="19"/>
      <c r="Q281" s="14"/>
      <c r="R281" s="19"/>
      <c r="S281" s="19"/>
      <c r="T281" s="19"/>
      <c r="U281" s="14"/>
      <c r="V281" s="14"/>
      <c r="W281" s="14"/>
      <c r="X281" s="14" t="s">
        <v>31</v>
      </c>
      <c r="Y281" s="9" t="s">
        <v>32</v>
      </c>
      <c r="Z281" s="9"/>
    </row>
    <row r="282">
      <c r="A282" s="9">
        <v>281.0</v>
      </c>
      <c r="B282" s="10" t="s">
        <v>1085</v>
      </c>
      <c r="C282" s="11" t="s">
        <v>1086</v>
      </c>
      <c r="D282" s="10" t="s">
        <v>1087</v>
      </c>
      <c r="E282" s="12" t="s">
        <v>36</v>
      </c>
      <c r="F282" s="12" t="s">
        <v>37</v>
      </c>
      <c r="G282" s="9" t="s">
        <v>58</v>
      </c>
      <c r="H282" s="13">
        <v>2018.0</v>
      </c>
      <c r="I282" s="14">
        <v>1.0</v>
      </c>
      <c r="J282" s="14">
        <v>1.0</v>
      </c>
      <c r="K282" s="14">
        <v>1.0</v>
      </c>
      <c r="L282" s="14">
        <v>0.0</v>
      </c>
      <c r="M282" s="14">
        <v>1.0</v>
      </c>
      <c r="N282" s="19"/>
      <c r="O282" s="19"/>
      <c r="P282" s="14">
        <v>0.0</v>
      </c>
      <c r="Q282" s="14">
        <v>0.0</v>
      </c>
      <c r="R282" s="14">
        <v>0.0</v>
      </c>
      <c r="S282" s="14">
        <v>0.0</v>
      </c>
      <c r="T282" s="14">
        <v>0.0</v>
      </c>
      <c r="U282" s="14">
        <v>0.0</v>
      </c>
      <c r="V282" s="14">
        <v>0.0</v>
      </c>
      <c r="W282" s="14" t="s">
        <v>31</v>
      </c>
      <c r="X282" s="14" t="s">
        <v>39</v>
      </c>
      <c r="Y282" s="9" t="s">
        <v>58</v>
      </c>
      <c r="Z282" s="9" t="s">
        <v>976</v>
      </c>
    </row>
    <row r="283">
      <c r="A283" s="9">
        <v>282.0</v>
      </c>
      <c r="B283" s="10" t="s">
        <v>1088</v>
      </c>
      <c r="C283" s="11" t="s">
        <v>1089</v>
      </c>
      <c r="D283" s="10" t="s">
        <v>1090</v>
      </c>
      <c r="E283" s="12" t="s">
        <v>80</v>
      </c>
      <c r="F283" s="12" t="s">
        <v>81</v>
      </c>
      <c r="G283" s="9"/>
      <c r="H283" s="13">
        <v>2019.0</v>
      </c>
      <c r="I283" s="14">
        <v>0.0</v>
      </c>
      <c r="J283" s="19"/>
      <c r="K283" s="19"/>
      <c r="L283" s="19"/>
      <c r="M283" s="19"/>
      <c r="N283" s="19"/>
      <c r="O283" s="19"/>
      <c r="P283" s="19"/>
      <c r="Q283" s="14"/>
      <c r="R283" s="19"/>
      <c r="S283" s="19"/>
      <c r="T283" s="19"/>
      <c r="U283" s="19"/>
      <c r="V283" s="19"/>
      <c r="W283" s="14"/>
      <c r="X283" s="14" t="s">
        <v>31</v>
      </c>
      <c r="Y283" s="9" t="s">
        <v>32</v>
      </c>
      <c r="Z283" s="9"/>
    </row>
    <row r="284">
      <c r="A284" s="9">
        <v>283.0</v>
      </c>
      <c r="B284" s="10" t="s">
        <v>1091</v>
      </c>
      <c r="C284" s="16" t="s">
        <v>1092</v>
      </c>
      <c r="D284" s="10" t="s">
        <v>1093</v>
      </c>
      <c r="E284" s="23" t="s">
        <v>1094</v>
      </c>
      <c r="F284" s="23" t="s">
        <v>1094</v>
      </c>
      <c r="G284" s="9"/>
      <c r="H284" s="13">
        <v>2019.0</v>
      </c>
      <c r="I284" s="19"/>
      <c r="J284" s="19"/>
      <c r="K284" s="19"/>
      <c r="L284" s="19"/>
      <c r="M284" s="19"/>
      <c r="N284" s="19"/>
      <c r="O284" s="19"/>
      <c r="P284" s="19"/>
      <c r="Q284" s="19"/>
      <c r="R284" s="14">
        <v>1.0</v>
      </c>
      <c r="S284" s="19"/>
      <c r="T284" s="19"/>
      <c r="U284" s="19"/>
      <c r="V284" s="19"/>
      <c r="W284" s="14"/>
      <c r="X284" s="14" t="s">
        <v>31</v>
      </c>
      <c r="Y284" s="9" t="s">
        <v>32</v>
      </c>
      <c r="Z284" s="9" t="s">
        <v>1095</v>
      </c>
    </row>
    <row r="285">
      <c r="A285" s="9">
        <v>284.0</v>
      </c>
      <c r="B285" s="10" t="s">
        <v>1096</v>
      </c>
      <c r="C285" s="11" t="s">
        <v>1097</v>
      </c>
      <c r="D285" s="10" t="s">
        <v>1098</v>
      </c>
      <c r="E285" s="22" t="s">
        <v>128</v>
      </c>
      <c r="F285" s="22" t="s">
        <v>128</v>
      </c>
      <c r="G285" s="9" t="s">
        <v>38</v>
      </c>
      <c r="H285" s="13">
        <v>2018.0</v>
      </c>
      <c r="I285" s="14">
        <v>1.0</v>
      </c>
      <c r="J285" s="14">
        <v>1.0</v>
      </c>
      <c r="K285" s="14">
        <v>1.0</v>
      </c>
      <c r="L285" s="14">
        <v>1.0</v>
      </c>
      <c r="M285" s="14">
        <v>1.0</v>
      </c>
      <c r="N285" s="14">
        <v>0.0</v>
      </c>
      <c r="O285" s="14">
        <v>0.0</v>
      </c>
      <c r="P285" s="14">
        <v>0.0</v>
      </c>
      <c r="Q285" s="14">
        <v>0.0</v>
      </c>
      <c r="R285" s="14">
        <v>0.0</v>
      </c>
      <c r="S285" s="14">
        <v>0.0</v>
      </c>
      <c r="T285" s="14">
        <v>0.0</v>
      </c>
      <c r="U285" s="14">
        <v>0.0</v>
      </c>
      <c r="V285" s="14">
        <v>0.0</v>
      </c>
      <c r="W285" s="14" t="s">
        <v>39</v>
      </c>
      <c r="X285" s="14" t="s">
        <v>39</v>
      </c>
      <c r="Y285" s="9" t="s">
        <v>58</v>
      </c>
      <c r="Z285" s="9" t="s">
        <v>1099</v>
      </c>
    </row>
    <row r="286">
      <c r="A286" s="9">
        <v>285.0</v>
      </c>
      <c r="B286" s="10" t="s">
        <v>1100</v>
      </c>
      <c r="C286" s="16" t="s">
        <v>1101</v>
      </c>
      <c r="D286" s="10" t="s">
        <v>1102</v>
      </c>
      <c r="E286" s="23" t="s">
        <v>1103</v>
      </c>
      <c r="F286" s="23" t="s">
        <v>1103</v>
      </c>
      <c r="G286" s="9"/>
      <c r="H286" s="13">
        <v>2020.0</v>
      </c>
      <c r="I286" s="14"/>
      <c r="J286" s="19"/>
      <c r="K286" s="19"/>
      <c r="L286" s="19"/>
      <c r="M286" s="19"/>
      <c r="N286" s="14"/>
      <c r="O286" s="14"/>
      <c r="P286" s="14"/>
      <c r="Q286" s="14"/>
      <c r="R286" s="14">
        <v>1.0</v>
      </c>
      <c r="S286" s="19"/>
      <c r="T286" s="19"/>
      <c r="U286" s="19"/>
      <c r="V286" s="19"/>
      <c r="W286" s="14"/>
      <c r="X286" s="14" t="s">
        <v>31</v>
      </c>
      <c r="Y286" s="9" t="s">
        <v>32</v>
      </c>
      <c r="Z286" s="21"/>
    </row>
    <row r="287">
      <c r="A287" s="9">
        <v>286.0</v>
      </c>
      <c r="B287" s="10" t="s">
        <v>1104</v>
      </c>
      <c r="C287" s="16" t="s">
        <v>1105</v>
      </c>
      <c r="D287" s="10" t="s">
        <v>1106</v>
      </c>
      <c r="E287" s="23" t="s">
        <v>1107</v>
      </c>
      <c r="F287" s="23" t="s">
        <v>1107</v>
      </c>
      <c r="G287" s="9"/>
      <c r="H287" s="13">
        <v>2018.0</v>
      </c>
      <c r="I287" s="19"/>
      <c r="J287" s="19"/>
      <c r="K287" s="19"/>
      <c r="L287" s="19"/>
      <c r="M287" s="19"/>
      <c r="N287" s="19"/>
      <c r="O287" s="14">
        <v>1.0</v>
      </c>
      <c r="P287" s="19"/>
      <c r="Q287" s="14"/>
      <c r="R287" s="19"/>
      <c r="S287" s="19"/>
      <c r="T287" s="19"/>
      <c r="U287" s="19"/>
      <c r="V287" s="19"/>
      <c r="W287" s="14"/>
      <c r="X287" s="14" t="s">
        <v>31</v>
      </c>
      <c r="Y287" s="9" t="s">
        <v>32</v>
      </c>
      <c r="Z287" s="9"/>
    </row>
    <row r="288">
      <c r="A288" s="9">
        <v>287.0</v>
      </c>
      <c r="B288" s="10" t="s">
        <v>1108</v>
      </c>
      <c r="C288" s="11" t="s">
        <v>1109</v>
      </c>
      <c r="D288" s="10" t="s">
        <v>1110</v>
      </c>
      <c r="E288" s="22" t="s">
        <v>62</v>
      </c>
      <c r="F288" s="22" t="s">
        <v>62</v>
      </c>
      <c r="G288" s="9" t="s">
        <v>58</v>
      </c>
      <c r="H288" s="13">
        <v>2019.0</v>
      </c>
      <c r="I288" s="14">
        <v>1.0</v>
      </c>
      <c r="J288" s="14">
        <v>1.0</v>
      </c>
      <c r="K288" s="14">
        <v>1.0</v>
      </c>
      <c r="L288" s="14">
        <v>1.0</v>
      </c>
      <c r="M288" s="14">
        <v>1.0</v>
      </c>
      <c r="N288" s="14">
        <v>0.0</v>
      </c>
      <c r="O288" s="14">
        <v>0.0</v>
      </c>
      <c r="P288" s="14">
        <v>0.0</v>
      </c>
      <c r="Q288" s="14">
        <v>0.0</v>
      </c>
      <c r="R288" s="14">
        <v>0.0</v>
      </c>
      <c r="S288" s="14">
        <v>0.0</v>
      </c>
      <c r="T288" s="14">
        <v>0.0</v>
      </c>
      <c r="U288" s="14">
        <v>0.0</v>
      </c>
      <c r="V288" s="14">
        <v>0.0</v>
      </c>
      <c r="W288" s="14" t="s">
        <v>39</v>
      </c>
      <c r="X288" s="14" t="s">
        <v>39</v>
      </c>
      <c r="Y288" s="9" t="s">
        <v>58</v>
      </c>
      <c r="Z288" s="9" t="s">
        <v>1111</v>
      </c>
    </row>
    <row r="289">
      <c r="A289" s="9">
        <v>288.0</v>
      </c>
      <c r="B289" s="10" t="s">
        <v>1112</v>
      </c>
      <c r="C289" s="16" t="s">
        <v>1113</v>
      </c>
      <c r="D289" s="10" t="s">
        <v>1114</v>
      </c>
      <c r="E289" s="23" t="s">
        <v>1115</v>
      </c>
      <c r="F289" s="23" t="s">
        <v>1115</v>
      </c>
      <c r="G289" s="9"/>
      <c r="H289" s="13">
        <v>2020.0</v>
      </c>
      <c r="I289" s="14"/>
      <c r="J289" s="14"/>
      <c r="K289" s="14"/>
      <c r="L289" s="14"/>
      <c r="M289" s="14"/>
      <c r="N289" s="19"/>
      <c r="O289" s="19"/>
      <c r="P289" s="19"/>
      <c r="Q289" s="14">
        <v>1.0</v>
      </c>
      <c r="R289" s="19"/>
      <c r="S289" s="19"/>
      <c r="T289" s="19"/>
      <c r="U289" s="19"/>
      <c r="V289" s="19"/>
      <c r="W289" s="14"/>
      <c r="X289" s="14" t="s">
        <v>31</v>
      </c>
      <c r="Y289" s="9" t="s">
        <v>32</v>
      </c>
      <c r="Z289" s="9"/>
    </row>
    <row r="290">
      <c r="A290" s="9">
        <v>289.0</v>
      </c>
      <c r="B290" s="10" t="s">
        <v>1116</v>
      </c>
      <c r="C290" s="11" t="s">
        <v>1117</v>
      </c>
      <c r="D290" s="10" t="s">
        <v>1118</v>
      </c>
      <c r="E290" s="12" t="s">
        <v>36</v>
      </c>
      <c r="F290" s="12" t="s">
        <v>37</v>
      </c>
      <c r="G290" s="9" t="s">
        <v>58</v>
      </c>
      <c r="H290" s="13">
        <v>2020.0</v>
      </c>
      <c r="I290" s="14">
        <v>1.0</v>
      </c>
      <c r="J290" s="14">
        <v>1.0</v>
      </c>
      <c r="K290" s="14">
        <v>1.0</v>
      </c>
      <c r="L290" s="14">
        <v>1.0</v>
      </c>
      <c r="M290" s="14">
        <v>1.0</v>
      </c>
      <c r="N290" s="14">
        <v>0.0</v>
      </c>
      <c r="O290" s="14">
        <v>0.0</v>
      </c>
      <c r="P290" s="14">
        <v>0.0</v>
      </c>
      <c r="Q290" s="14">
        <v>0.0</v>
      </c>
      <c r="R290" s="14">
        <v>0.0</v>
      </c>
      <c r="S290" s="14">
        <v>0.0</v>
      </c>
      <c r="T290" s="14">
        <v>0.0</v>
      </c>
      <c r="U290" s="14">
        <v>0.0</v>
      </c>
      <c r="V290" s="14">
        <v>0.0</v>
      </c>
      <c r="W290" s="14" t="s">
        <v>39</v>
      </c>
      <c r="X290" s="14" t="s">
        <v>39</v>
      </c>
      <c r="Y290" s="9" t="s">
        <v>58</v>
      </c>
      <c r="Z290" s="9" t="s">
        <v>1119</v>
      </c>
    </row>
    <row r="291">
      <c r="A291" s="9">
        <v>290.0</v>
      </c>
      <c r="B291" s="10" t="s">
        <v>1120</v>
      </c>
      <c r="C291" s="11" t="s">
        <v>1121</v>
      </c>
      <c r="D291" s="10" t="s">
        <v>1122</v>
      </c>
      <c r="E291" s="12" t="s">
        <v>36</v>
      </c>
      <c r="F291" s="12" t="s">
        <v>37</v>
      </c>
      <c r="G291" s="9"/>
      <c r="H291" s="13">
        <v>2018.0</v>
      </c>
      <c r="I291" s="14">
        <v>1.0</v>
      </c>
      <c r="J291" s="14">
        <v>1.0</v>
      </c>
      <c r="K291" s="14">
        <v>1.0</v>
      </c>
      <c r="L291" s="14">
        <v>1.0</v>
      </c>
      <c r="M291" s="14">
        <v>1.0</v>
      </c>
      <c r="N291" s="14">
        <v>0.0</v>
      </c>
      <c r="O291" s="14">
        <v>0.0</v>
      </c>
      <c r="P291" s="14">
        <v>0.0</v>
      </c>
      <c r="Q291" s="14">
        <v>0.0</v>
      </c>
      <c r="R291" s="14">
        <v>0.0</v>
      </c>
      <c r="S291" s="14">
        <v>0.0</v>
      </c>
      <c r="T291" s="14">
        <v>0.0</v>
      </c>
      <c r="U291" s="14">
        <v>0.0</v>
      </c>
      <c r="V291" s="14">
        <v>0.0</v>
      </c>
      <c r="W291" s="14" t="s">
        <v>39</v>
      </c>
      <c r="X291" s="14" t="s">
        <v>39</v>
      </c>
      <c r="Y291" s="9" t="s">
        <v>58</v>
      </c>
      <c r="Z291" s="9" t="s">
        <v>1123</v>
      </c>
    </row>
    <row r="292">
      <c r="A292" s="9">
        <v>291.0</v>
      </c>
      <c r="B292" s="10" t="s">
        <v>1124</v>
      </c>
      <c r="C292" s="11" t="s">
        <v>1125</v>
      </c>
      <c r="D292" s="10" t="s">
        <v>1126</v>
      </c>
      <c r="E292" s="25" t="s">
        <v>128</v>
      </c>
      <c r="F292" s="25" t="s">
        <v>128</v>
      </c>
      <c r="G292" s="9"/>
      <c r="H292" s="18">
        <v>2020.0</v>
      </c>
      <c r="I292" s="14"/>
      <c r="J292" s="14"/>
      <c r="K292" s="14"/>
      <c r="L292" s="14"/>
      <c r="M292" s="14"/>
      <c r="N292" s="19"/>
      <c r="O292" s="14">
        <v>1.0</v>
      </c>
      <c r="P292" s="19"/>
      <c r="Q292" s="14"/>
      <c r="R292" s="19"/>
      <c r="S292" s="19"/>
      <c r="T292" s="19"/>
      <c r="U292" s="19"/>
      <c r="V292" s="19"/>
      <c r="W292" s="14"/>
      <c r="X292" s="14" t="s">
        <v>31</v>
      </c>
      <c r="Y292" s="9" t="s">
        <v>32</v>
      </c>
      <c r="Z292" s="21"/>
    </row>
    <row r="293">
      <c r="A293" s="9">
        <v>292.0</v>
      </c>
      <c r="B293" s="10" t="s">
        <v>1127</v>
      </c>
      <c r="C293" s="16" t="s">
        <v>1128</v>
      </c>
      <c r="D293" s="10" t="s">
        <v>1129</v>
      </c>
      <c r="E293" s="23" t="s">
        <v>69</v>
      </c>
      <c r="F293" s="23" t="s">
        <v>69</v>
      </c>
      <c r="G293" s="9"/>
      <c r="H293" s="13">
        <v>2019.0</v>
      </c>
      <c r="I293" s="14"/>
      <c r="J293" s="14"/>
      <c r="K293" s="14"/>
      <c r="L293" s="14"/>
      <c r="M293" s="14"/>
      <c r="N293" s="19"/>
      <c r="O293" s="19"/>
      <c r="P293" s="19"/>
      <c r="Q293" s="14"/>
      <c r="R293" s="14"/>
      <c r="S293" s="19"/>
      <c r="T293" s="14">
        <v>1.0</v>
      </c>
      <c r="U293" s="19"/>
      <c r="V293" s="19"/>
      <c r="W293" s="14"/>
      <c r="X293" s="14" t="s">
        <v>31</v>
      </c>
      <c r="Y293" s="9" t="s">
        <v>32</v>
      </c>
      <c r="Z293" s="9" t="s">
        <v>70</v>
      </c>
    </row>
    <row r="294">
      <c r="A294" s="9">
        <v>293.0</v>
      </c>
      <c r="B294" s="10" t="s">
        <v>1130</v>
      </c>
      <c r="C294" s="11" t="s">
        <v>1131</v>
      </c>
      <c r="D294" s="10" t="s">
        <v>930</v>
      </c>
      <c r="E294" s="12" t="s">
        <v>29</v>
      </c>
      <c r="F294" s="12" t="s">
        <v>30</v>
      </c>
      <c r="G294" s="9" t="s">
        <v>38</v>
      </c>
      <c r="H294" s="13">
        <v>2020.0</v>
      </c>
      <c r="I294" s="14">
        <v>1.0</v>
      </c>
      <c r="J294" s="14">
        <v>1.0</v>
      </c>
      <c r="K294" s="14">
        <v>1.0</v>
      </c>
      <c r="L294" s="14">
        <v>1.0</v>
      </c>
      <c r="M294" s="14">
        <v>1.0</v>
      </c>
      <c r="N294" s="14">
        <v>0.0</v>
      </c>
      <c r="O294" s="14">
        <v>0.0</v>
      </c>
      <c r="P294" s="14">
        <v>0.0</v>
      </c>
      <c r="Q294" s="14">
        <v>0.0</v>
      </c>
      <c r="R294" s="14">
        <v>0.0</v>
      </c>
      <c r="S294" s="14">
        <v>0.0</v>
      </c>
      <c r="T294" s="14">
        <v>0.0</v>
      </c>
      <c r="U294" s="14">
        <v>0.0</v>
      </c>
      <c r="V294" s="14">
        <v>0.0</v>
      </c>
      <c r="W294" s="14" t="s">
        <v>39</v>
      </c>
      <c r="X294" s="14" t="s">
        <v>39</v>
      </c>
      <c r="Y294" s="9" t="s">
        <v>58</v>
      </c>
      <c r="Z294" s="9" t="s">
        <v>1132</v>
      </c>
    </row>
    <row r="295">
      <c r="A295" s="9">
        <v>294.0</v>
      </c>
      <c r="B295" s="10" t="s">
        <v>1133</v>
      </c>
      <c r="C295" s="11" t="s">
        <v>1134</v>
      </c>
      <c r="D295" s="10" t="s">
        <v>1135</v>
      </c>
      <c r="E295" s="12" t="s">
        <v>36</v>
      </c>
      <c r="F295" s="12" t="s">
        <v>37</v>
      </c>
      <c r="G295" s="9" t="s">
        <v>38</v>
      </c>
      <c r="H295" s="13">
        <v>2019.0</v>
      </c>
      <c r="I295" s="14">
        <v>1.0</v>
      </c>
      <c r="J295" s="14">
        <v>1.0</v>
      </c>
      <c r="K295" s="14">
        <v>1.0</v>
      </c>
      <c r="L295" s="14">
        <v>1.0</v>
      </c>
      <c r="M295" s="14">
        <v>1.0</v>
      </c>
      <c r="N295" s="14">
        <v>0.0</v>
      </c>
      <c r="O295" s="14">
        <v>0.0</v>
      </c>
      <c r="P295" s="14">
        <v>0.0</v>
      </c>
      <c r="Q295" s="14">
        <v>0.0</v>
      </c>
      <c r="R295" s="14">
        <v>0.0</v>
      </c>
      <c r="S295" s="14">
        <v>0.0</v>
      </c>
      <c r="T295" s="14">
        <v>0.0</v>
      </c>
      <c r="U295" s="14">
        <v>0.0</v>
      </c>
      <c r="V295" s="14">
        <v>0.0</v>
      </c>
      <c r="W295" s="14" t="s">
        <v>39</v>
      </c>
      <c r="X295" s="14" t="s">
        <v>39</v>
      </c>
      <c r="Y295" s="9" t="s">
        <v>58</v>
      </c>
      <c r="Z295" s="9" t="s">
        <v>1136</v>
      </c>
    </row>
    <row r="296">
      <c r="A296" s="9">
        <v>295.0</v>
      </c>
      <c r="B296" s="10" t="s">
        <v>1137</v>
      </c>
      <c r="C296" s="16" t="s">
        <v>1138</v>
      </c>
      <c r="D296" s="10" t="s">
        <v>1139</v>
      </c>
      <c r="E296" s="23" t="s">
        <v>882</v>
      </c>
      <c r="F296" s="23" t="s">
        <v>882</v>
      </c>
      <c r="G296" s="9"/>
      <c r="H296" s="13">
        <v>2018.0</v>
      </c>
      <c r="I296" s="19"/>
      <c r="J296" s="19"/>
      <c r="K296" s="19"/>
      <c r="L296" s="19"/>
      <c r="M296" s="19"/>
      <c r="N296" s="19"/>
      <c r="O296" s="19"/>
      <c r="P296" s="19"/>
      <c r="Q296" s="14"/>
      <c r="R296" s="14">
        <v>1.0</v>
      </c>
      <c r="S296" s="19"/>
      <c r="T296" s="19"/>
      <c r="U296" s="19"/>
      <c r="V296" s="19"/>
      <c r="W296" s="14"/>
      <c r="X296" s="14" t="s">
        <v>31</v>
      </c>
      <c r="Y296" s="9" t="s">
        <v>32</v>
      </c>
      <c r="Z296" s="9" t="s">
        <v>193</v>
      </c>
    </row>
    <row r="297">
      <c r="A297" s="9">
        <v>296.0</v>
      </c>
      <c r="B297" s="10" t="s">
        <v>1140</v>
      </c>
      <c r="C297" s="11" t="s">
        <v>1141</v>
      </c>
      <c r="D297" s="10" t="s">
        <v>1142</v>
      </c>
      <c r="E297" s="12" t="s">
        <v>29</v>
      </c>
      <c r="F297" s="12" t="s">
        <v>30</v>
      </c>
      <c r="G297" s="9"/>
      <c r="H297" s="13">
        <v>2020.0</v>
      </c>
      <c r="I297" s="14"/>
      <c r="J297" s="14"/>
      <c r="K297" s="14"/>
      <c r="L297" s="14"/>
      <c r="M297" s="14"/>
      <c r="N297" s="14">
        <v>1.0</v>
      </c>
      <c r="O297" s="14"/>
      <c r="P297" s="14"/>
      <c r="Q297" s="19"/>
      <c r="R297" s="19"/>
      <c r="S297" s="19"/>
      <c r="T297" s="19"/>
      <c r="U297" s="19"/>
      <c r="V297" s="19"/>
      <c r="W297" s="14" t="s">
        <v>31</v>
      </c>
      <c r="X297" s="14" t="s">
        <v>39</v>
      </c>
      <c r="Y297" s="9" t="s">
        <v>58</v>
      </c>
      <c r="Z297" s="9" t="s">
        <v>1143</v>
      </c>
    </row>
    <row r="298">
      <c r="A298" s="9">
        <v>297.0</v>
      </c>
      <c r="B298" s="15" t="s">
        <v>1144</v>
      </c>
      <c r="C298" s="11" t="s">
        <v>1145</v>
      </c>
      <c r="D298" s="10" t="s">
        <v>1146</v>
      </c>
      <c r="E298" s="12" t="s">
        <v>36</v>
      </c>
      <c r="F298" s="12" t="s">
        <v>37</v>
      </c>
      <c r="G298" s="9" t="s">
        <v>38</v>
      </c>
      <c r="H298" s="13">
        <v>2018.0</v>
      </c>
      <c r="I298" s="19"/>
      <c r="J298" s="19"/>
      <c r="K298" s="19"/>
      <c r="L298" s="19"/>
      <c r="M298" s="19"/>
      <c r="N298" s="19"/>
      <c r="O298" s="19"/>
      <c r="P298" s="14">
        <v>1.0</v>
      </c>
      <c r="Q298" s="19"/>
      <c r="R298" s="19"/>
      <c r="S298" s="19"/>
      <c r="T298" s="19"/>
      <c r="U298" s="19"/>
      <c r="V298" s="19"/>
      <c r="W298" s="14"/>
      <c r="X298" s="14" t="s">
        <v>31</v>
      </c>
      <c r="Y298" s="9" t="s">
        <v>32</v>
      </c>
      <c r="Z298" s="9"/>
    </row>
    <row r="299">
      <c r="A299" s="9">
        <v>298.0</v>
      </c>
      <c r="B299" s="10" t="s">
        <v>1147</v>
      </c>
      <c r="C299" s="11" t="s">
        <v>1148</v>
      </c>
      <c r="D299" s="10" t="s">
        <v>1149</v>
      </c>
      <c r="E299" s="12" t="s">
        <v>36</v>
      </c>
      <c r="F299" s="12" t="s">
        <v>37</v>
      </c>
      <c r="G299" s="9" t="s">
        <v>58</v>
      </c>
      <c r="H299" s="13">
        <v>2019.0</v>
      </c>
      <c r="I299" s="14">
        <v>1.0</v>
      </c>
      <c r="J299" s="14">
        <v>1.0</v>
      </c>
      <c r="K299" s="14">
        <v>1.0</v>
      </c>
      <c r="L299" s="14">
        <v>1.0</v>
      </c>
      <c r="M299" s="14">
        <v>1.0</v>
      </c>
      <c r="N299" s="14">
        <v>0.0</v>
      </c>
      <c r="O299" s="14">
        <v>0.0</v>
      </c>
      <c r="P299" s="14">
        <v>0.0</v>
      </c>
      <c r="Q299" s="14">
        <v>0.0</v>
      </c>
      <c r="R299" s="14">
        <v>0.0</v>
      </c>
      <c r="S299" s="14">
        <v>0.0</v>
      </c>
      <c r="T299" s="14">
        <v>0.0</v>
      </c>
      <c r="U299" s="14">
        <v>0.0</v>
      </c>
      <c r="V299" s="14">
        <v>0.0</v>
      </c>
      <c r="W299" s="14" t="s">
        <v>39</v>
      </c>
      <c r="X299" s="14" t="s">
        <v>39</v>
      </c>
      <c r="Y299" s="9" t="s">
        <v>58</v>
      </c>
      <c r="Z299" s="9" t="s">
        <v>1150</v>
      </c>
    </row>
    <row r="300">
      <c r="A300" s="9">
        <v>299.0</v>
      </c>
      <c r="B300" s="10" t="s">
        <v>1151</v>
      </c>
      <c r="C300" s="11" t="s">
        <v>1152</v>
      </c>
      <c r="D300" s="10" t="s">
        <v>1153</v>
      </c>
      <c r="E300" s="22" t="s">
        <v>62</v>
      </c>
      <c r="F300" s="22" t="s">
        <v>62</v>
      </c>
      <c r="G300" s="9" t="s">
        <v>38</v>
      </c>
      <c r="H300" s="13">
        <v>2018.0</v>
      </c>
      <c r="I300" s="14"/>
      <c r="J300" s="14">
        <v>1.0</v>
      </c>
      <c r="K300" s="14">
        <v>1.0</v>
      </c>
      <c r="L300" s="14">
        <v>1.0</v>
      </c>
      <c r="M300" s="14">
        <v>1.0</v>
      </c>
      <c r="N300" s="14">
        <v>0.0</v>
      </c>
      <c r="O300" s="14">
        <v>0.0</v>
      </c>
      <c r="P300" s="14">
        <v>0.0</v>
      </c>
      <c r="Q300" s="14">
        <v>0.0</v>
      </c>
      <c r="R300" s="14">
        <v>0.0</v>
      </c>
      <c r="S300" s="14">
        <v>0.0</v>
      </c>
      <c r="T300" s="14">
        <v>0.0</v>
      </c>
      <c r="U300" s="14">
        <v>1.0</v>
      </c>
      <c r="V300" s="14">
        <v>0.0</v>
      </c>
      <c r="W300" s="14" t="s">
        <v>31</v>
      </c>
      <c r="X300" s="14" t="s">
        <v>39</v>
      </c>
      <c r="Y300" s="9" t="s">
        <v>58</v>
      </c>
      <c r="Z300" s="9" t="s">
        <v>1154</v>
      </c>
    </row>
    <row r="301">
      <c r="A301" s="9">
        <v>300.0</v>
      </c>
      <c r="B301" s="10" t="s">
        <v>1155</v>
      </c>
      <c r="C301" s="11" t="s">
        <v>1156</v>
      </c>
      <c r="D301" s="10" t="s">
        <v>1157</v>
      </c>
      <c r="E301" s="22" t="s">
        <v>128</v>
      </c>
      <c r="F301" s="22" t="s">
        <v>128</v>
      </c>
      <c r="G301" s="9" t="s">
        <v>38</v>
      </c>
      <c r="H301" s="13">
        <v>2018.0</v>
      </c>
      <c r="I301" s="14">
        <v>1.0</v>
      </c>
      <c r="J301" s="14">
        <v>1.0</v>
      </c>
      <c r="K301" s="14">
        <v>0.0</v>
      </c>
      <c r="L301" s="19"/>
      <c r="M301" s="14">
        <v>1.0</v>
      </c>
      <c r="N301" s="14">
        <v>0.0</v>
      </c>
      <c r="O301" s="14">
        <v>0.0</v>
      </c>
      <c r="P301" s="14">
        <v>0.0</v>
      </c>
      <c r="Q301" s="14">
        <v>0.0</v>
      </c>
      <c r="R301" s="14">
        <v>0.0</v>
      </c>
      <c r="S301" s="14">
        <v>0.0</v>
      </c>
      <c r="T301" s="14">
        <v>0.0</v>
      </c>
      <c r="U301" s="14">
        <v>0.0</v>
      </c>
      <c r="V301" s="14">
        <v>0.0</v>
      </c>
      <c r="W301" s="14" t="s">
        <v>31</v>
      </c>
      <c r="X301" s="14" t="s">
        <v>39</v>
      </c>
      <c r="Y301" s="9" t="s">
        <v>58</v>
      </c>
      <c r="Z301" s="9" t="s">
        <v>1158</v>
      </c>
    </row>
    <row r="302">
      <c r="A302" s="9">
        <v>301.0</v>
      </c>
      <c r="B302" s="10" t="s">
        <v>1159</v>
      </c>
      <c r="C302" s="16" t="s">
        <v>1160</v>
      </c>
      <c r="D302" s="10" t="s">
        <v>1161</v>
      </c>
      <c r="E302" s="23" t="s">
        <v>466</v>
      </c>
      <c r="F302" s="23" t="s">
        <v>466</v>
      </c>
      <c r="G302" s="9"/>
      <c r="H302" s="18">
        <v>2018.0</v>
      </c>
      <c r="I302" s="14"/>
      <c r="J302" s="14"/>
      <c r="K302" s="14"/>
      <c r="L302" s="14"/>
      <c r="M302" s="14"/>
      <c r="N302" s="19"/>
      <c r="O302" s="14">
        <v>1.0</v>
      </c>
      <c r="P302" s="19"/>
      <c r="Q302" s="19"/>
      <c r="R302" s="19"/>
      <c r="S302" s="19"/>
      <c r="T302" s="19"/>
      <c r="U302" s="19"/>
      <c r="V302" s="19"/>
      <c r="W302" s="14"/>
      <c r="X302" s="14" t="s">
        <v>31</v>
      </c>
      <c r="Y302" s="9" t="s">
        <v>32</v>
      </c>
      <c r="Z302" s="9"/>
    </row>
    <row r="303">
      <c r="A303" s="9">
        <v>302.0</v>
      </c>
      <c r="B303" s="10" t="s">
        <v>1162</v>
      </c>
      <c r="C303" s="11" t="s">
        <v>1163</v>
      </c>
      <c r="D303" s="10" t="s">
        <v>1164</v>
      </c>
      <c r="E303" s="12" t="s">
        <v>36</v>
      </c>
      <c r="F303" s="12" t="s">
        <v>37</v>
      </c>
      <c r="G303" s="9"/>
      <c r="H303" s="13">
        <v>2020.0</v>
      </c>
      <c r="I303" s="19"/>
      <c r="J303" s="19"/>
      <c r="K303" s="19"/>
      <c r="L303" s="19"/>
      <c r="M303" s="19"/>
      <c r="N303" s="14"/>
      <c r="O303" s="14">
        <v>1.0</v>
      </c>
      <c r="P303" s="14">
        <v>1.0</v>
      </c>
      <c r="Q303" s="14"/>
      <c r="R303" s="19"/>
      <c r="S303" s="19"/>
      <c r="T303" s="19"/>
      <c r="U303" s="19"/>
      <c r="V303" s="19"/>
      <c r="W303" s="14"/>
      <c r="X303" s="14" t="s">
        <v>31</v>
      </c>
      <c r="Y303" s="9" t="s">
        <v>32</v>
      </c>
      <c r="Z303" s="21"/>
    </row>
    <row r="304">
      <c r="A304" s="9">
        <v>303.0</v>
      </c>
      <c r="B304" s="10" t="s">
        <v>1165</v>
      </c>
      <c r="C304" s="11" t="s">
        <v>1166</v>
      </c>
      <c r="D304" s="10" t="s">
        <v>1167</v>
      </c>
      <c r="E304" s="12" t="s">
        <v>29</v>
      </c>
      <c r="F304" s="12" t="s">
        <v>30</v>
      </c>
      <c r="G304" s="9"/>
      <c r="H304" s="13">
        <v>2020.0</v>
      </c>
      <c r="I304" s="14"/>
      <c r="J304" s="14"/>
      <c r="K304" s="14"/>
      <c r="L304" s="14"/>
      <c r="M304" s="14"/>
      <c r="N304" s="19"/>
      <c r="O304" s="14">
        <v>1.0</v>
      </c>
      <c r="P304" s="19"/>
      <c r="Q304" s="19"/>
      <c r="R304" s="19"/>
      <c r="S304" s="19"/>
      <c r="T304" s="19"/>
      <c r="U304" s="19"/>
      <c r="V304" s="19"/>
      <c r="W304" s="14"/>
      <c r="X304" s="14" t="s">
        <v>31</v>
      </c>
      <c r="Y304" s="9" t="s">
        <v>32</v>
      </c>
      <c r="Z304" s="21"/>
    </row>
    <row r="305">
      <c r="A305" s="9">
        <v>304.0</v>
      </c>
      <c r="B305" s="10" t="s">
        <v>1168</v>
      </c>
      <c r="C305" s="11" t="s">
        <v>1169</v>
      </c>
      <c r="D305" s="10" t="s">
        <v>1170</v>
      </c>
      <c r="E305" s="12" t="s">
        <v>36</v>
      </c>
      <c r="F305" s="12" t="s">
        <v>37</v>
      </c>
      <c r="G305" s="9"/>
      <c r="H305" s="18">
        <v>2020.0</v>
      </c>
      <c r="I305" s="19"/>
      <c r="J305" s="19"/>
      <c r="K305" s="19"/>
      <c r="L305" s="19"/>
      <c r="M305" s="19"/>
      <c r="N305" s="14">
        <v>1.0</v>
      </c>
      <c r="O305" s="19"/>
      <c r="P305" s="19"/>
      <c r="Q305" s="14"/>
      <c r="R305" s="19"/>
      <c r="S305" s="19"/>
      <c r="T305" s="19"/>
      <c r="U305" s="19"/>
      <c r="V305" s="19"/>
      <c r="W305" s="14"/>
      <c r="X305" s="14" t="s">
        <v>31</v>
      </c>
      <c r="Y305" s="9" t="s">
        <v>32</v>
      </c>
      <c r="Z305" s="21"/>
    </row>
    <row r="306">
      <c r="A306" s="9">
        <v>305.0</v>
      </c>
      <c r="B306" s="10" t="s">
        <v>1171</v>
      </c>
      <c r="C306" s="11" t="s">
        <v>1172</v>
      </c>
      <c r="D306" s="10" t="s">
        <v>1173</v>
      </c>
      <c r="E306" s="12" t="s">
        <v>1174</v>
      </c>
      <c r="F306" s="12" t="s">
        <v>1175</v>
      </c>
      <c r="G306" s="9" t="s">
        <v>38</v>
      </c>
      <c r="H306" s="13">
        <v>2018.0</v>
      </c>
      <c r="I306" s="14">
        <v>1.0</v>
      </c>
      <c r="J306" s="14">
        <v>1.0</v>
      </c>
      <c r="K306" s="14">
        <v>1.0</v>
      </c>
      <c r="L306" s="14">
        <v>1.0</v>
      </c>
      <c r="M306" s="14">
        <v>1.0</v>
      </c>
      <c r="N306" s="14">
        <v>0.0</v>
      </c>
      <c r="O306" s="14">
        <v>0.0</v>
      </c>
      <c r="P306" s="14">
        <v>0.0</v>
      </c>
      <c r="Q306" s="14">
        <v>0.0</v>
      </c>
      <c r="R306" s="14">
        <v>0.0</v>
      </c>
      <c r="S306" s="14">
        <v>0.0</v>
      </c>
      <c r="T306" s="14">
        <v>0.0</v>
      </c>
      <c r="U306" s="14">
        <v>0.0</v>
      </c>
      <c r="V306" s="14">
        <v>0.0</v>
      </c>
      <c r="W306" s="14" t="s">
        <v>39</v>
      </c>
      <c r="X306" s="14" t="s">
        <v>39</v>
      </c>
      <c r="Y306" s="9" t="s">
        <v>58</v>
      </c>
      <c r="Z306" s="9" t="s">
        <v>1077</v>
      </c>
    </row>
    <row r="307">
      <c r="A307" s="9">
        <v>306.0</v>
      </c>
      <c r="B307" s="10" t="s">
        <v>1176</v>
      </c>
      <c r="C307" s="16" t="s">
        <v>1177</v>
      </c>
      <c r="D307" s="10" t="s">
        <v>1178</v>
      </c>
      <c r="E307" s="25" t="s">
        <v>62</v>
      </c>
      <c r="F307" s="25" t="s">
        <v>62</v>
      </c>
      <c r="G307" s="9"/>
      <c r="H307" s="13">
        <v>2018.0</v>
      </c>
      <c r="I307" s="19"/>
      <c r="J307" s="19"/>
      <c r="K307" s="19"/>
      <c r="L307" s="19"/>
      <c r="M307" s="19"/>
      <c r="N307" s="14">
        <v>1.0</v>
      </c>
      <c r="O307" s="19"/>
      <c r="P307" s="19"/>
      <c r="Q307" s="14"/>
      <c r="R307" s="19"/>
      <c r="S307" s="19"/>
      <c r="T307" s="19"/>
      <c r="U307" s="19"/>
      <c r="V307" s="19"/>
      <c r="W307" s="14"/>
      <c r="X307" s="14" t="s">
        <v>31</v>
      </c>
      <c r="Y307" s="9" t="s">
        <v>32</v>
      </c>
      <c r="Z307" s="9"/>
    </row>
    <row r="308">
      <c r="A308" s="9">
        <v>307.0</v>
      </c>
      <c r="B308" s="10" t="s">
        <v>1179</v>
      </c>
      <c r="C308" s="16" t="s">
        <v>1180</v>
      </c>
      <c r="D308" s="10" t="s">
        <v>1181</v>
      </c>
      <c r="E308" s="12" t="s">
        <v>1182</v>
      </c>
      <c r="F308" s="12" t="s">
        <v>1183</v>
      </c>
      <c r="G308" s="9" t="s">
        <v>38</v>
      </c>
      <c r="H308" s="15">
        <v>2018.0</v>
      </c>
      <c r="I308" s="14">
        <v>1.0</v>
      </c>
      <c r="J308" s="14">
        <v>1.0</v>
      </c>
      <c r="K308" s="14">
        <v>1.0</v>
      </c>
      <c r="L308" s="14">
        <v>0.0</v>
      </c>
      <c r="M308" s="14">
        <v>1.0</v>
      </c>
      <c r="N308" s="14">
        <v>0.0</v>
      </c>
      <c r="O308" s="14">
        <v>0.0</v>
      </c>
      <c r="P308" s="14">
        <v>0.0</v>
      </c>
      <c r="Q308" s="14">
        <v>0.0</v>
      </c>
      <c r="R308" s="14">
        <v>0.0</v>
      </c>
      <c r="S308" s="14">
        <v>0.0</v>
      </c>
      <c r="T308" s="14">
        <v>0.0</v>
      </c>
      <c r="U308" s="14">
        <v>0.0</v>
      </c>
      <c r="V308" s="14">
        <v>0.0</v>
      </c>
      <c r="W308" s="14" t="s">
        <v>31</v>
      </c>
      <c r="X308" s="14" t="s">
        <v>39</v>
      </c>
      <c r="Y308" s="9" t="s">
        <v>58</v>
      </c>
      <c r="Z308" s="9" t="s">
        <v>976</v>
      </c>
    </row>
    <row r="309">
      <c r="A309" s="9">
        <v>308.0</v>
      </c>
      <c r="B309" s="10" t="s">
        <v>1184</v>
      </c>
      <c r="C309" s="11" t="s">
        <v>1185</v>
      </c>
      <c r="D309" s="10" t="s">
        <v>1186</v>
      </c>
      <c r="E309" s="12" t="s">
        <v>29</v>
      </c>
      <c r="F309" s="12" t="s">
        <v>30</v>
      </c>
      <c r="G309" s="9"/>
      <c r="H309" s="18">
        <v>2018.0</v>
      </c>
      <c r="I309" s="14"/>
      <c r="J309" s="14"/>
      <c r="K309" s="14"/>
      <c r="L309" s="14"/>
      <c r="M309" s="14"/>
      <c r="N309" s="19"/>
      <c r="O309" s="14">
        <v>1.0</v>
      </c>
      <c r="P309" s="19"/>
      <c r="Q309" s="19"/>
      <c r="R309" s="19"/>
      <c r="S309" s="19"/>
      <c r="T309" s="19"/>
      <c r="U309" s="19"/>
      <c r="V309" s="19"/>
      <c r="W309" s="14"/>
      <c r="X309" s="14" t="s">
        <v>31</v>
      </c>
      <c r="Y309" s="9" t="s">
        <v>32</v>
      </c>
      <c r="Z309" s="9"/>
    </row>
    <row r="310">
      <c r="A310" s="9">
        <v>309.0</v>
      </c>
      <c r="B310" s="10" t="s">
        <v>1187</v>
      </c>
      <c r="C310" s="11" t="s">
        <v>1188</v>
      </c>
      <c r="D310" s="10" t="s">
        <v>1189</v>
      </c>
      <c r="E310" s="25" t="s">
        <v>393</v>
      </c>
      <c r="F310" s="28" t="s">
        <v>394</v>
      </c>
      <c r="G310" s="9"/>
      <c r="H310" s="13">
        <v>2020.0</v>
      </c>
      <c r="I310" s="19"/>
      <c r="J310" s="19"/>
      <c r="K310" s="19"/>
      <c r="L310" s="19"/>
      <c r="M310" s="19"/>
      <c r="N310" s="19"/>
      <c r="O310" s="19"/>
      <c r="P310" s="19"/>
      <c r="Q310" s="14">
        <v>0.0</v>
      </c>
      <c r="R310" s="19"/>
      <c r="S310" s="14">
        <v>0.0</v>
      </c>
      <c r="T310" s="14">
        <v>0.0</v>
      </c>
      <c r="U310" s="14">
        <v>0.0</v>
      </c>
      <c r="V310" s="14">
        <v>0.0</v>
      </c>
      <c r="W310" s="14" t="s">
        <v>31</v>
      </c>
      <c r="X310" s="14" t="s">
        <v>39</v>
      </c>
      <c r="Y310" s="9" t="s">
        <v>58</v>
      </c>
      <c r="Z310" s="9" t="s">
        <v>1190</v>
      </c>
    </row>
    <row r="311">
      <c r="A311" s="9">
        <v>310.0</v>
      </c>
      <c r="B311" s="10" t="s">
        <v>1191</v>
      </c>
      <c r="C311" s="16" t="s">
        <v>1192</v>
      </c>
      <c r="D311" s="10" t="s">
        <v>1193</v>
      </c>
      <c r="E311" s="17" t="s">
        <v>270</v>
      </c>
      <c r="F311" s="17" t="s">
        <v>270</v>
      </c>
      <c r="G311" s="9"/>
      <c r="H311" s="13">
        <v>2020.0</v>
      </c>
      <c r="I311" s="14">
        <v>0.0</v>
      </c>
      <c r="J311" s="19"/>
      <c r="K311" s="19"/>
      <c r="L311" s="19"/>
      <c r="M311" s="19"/>
      <c r="N311" s="19"/>
      <c r="O311" s="19"/>
      <c r="P311" s="19"/>
      <c r="Q311" s="14"/>
      <c r="R311" s="19"/>
      <c r="S311" s="19"/>
      <c r="T311" s="19"/>
      <c r="U311" s="19"/>
      <c r="V311" s="19"/>
      <c r="W311" s="14"/>
      <c r="X311" s="14" t="s">
        <v>31</v>
      </c>
      <c r="Y311" s="9" t="s">
        <v>32</v>
      </c>
      <c r="Z311" s="21"/>
    </row>
    <row r="312">
      <c r="A312" s="9">
        <v>311.0</v>
      </c>
      <c r="B312" s="10" t="s">
        <v>1194</v>
      </c>
      <c r="C312" s="11" t="s">
        <v>1195</v>
      </c>
      <c r="D312" s="10" t="s">
        <v>1196</v>
      </c>
      <c r="E312" s="17" t="s">
        <v>1197</v>
      </c>
      <c r="F312" s="17" t="s">
        <v>1197</v>
      </c>
      <c r="G312" s="9"/>
      <c r="H312" s="18">
        <v>2018.0</v>
      </c>
      <c r="I312" s="14">
        <v>0.0</v>
      </c>
      <c r="J312" s="14"/>
      <c r="K312" s="14"/>
      <c r="L312" s="14"/>
      <c r="M312" s="14"/>
      <c r="N312" s="19"/>
      <c r="O312" s="19"/>
      <c r="P312" s="19"/>
      <c r="Q312" s="19"/>
      <c r="R312" s="19"/>
      <c r="S312" s="19"/>
      <c r="T312" s="19"/>
      <c r="U312" s="19"/>
      <c r="V312" s="19"/>
      <c r="W312" s="14"/>
      <c r="X312" s="14" t="s">
        <v>31</v>
      </c>
      <c r="Y312" s="9" t="s">
        <v>32</v>
      </c>
      <c r="Z312" s="9"/>
    </row>
    <row r="313">
      <c r="A313" s="9">
        <v>312.0</v>
      </c>
      <c r="B313" s="10" t="s">
        <v>1198</v>
      </c>
      <c r="C313" s="11" t="s">
        <v>1199</v>
      </c>
      <c r="D313" s="10" t="s">
        <v>1200</v>
      </c>
      <c r="E313" s="23" t="s">
        <v>135</v>
      </c>
      <c r="F313" s="23" t="s">
        <v>135</v>
      </c>
      <c r="G313" s="9"/>
      <c r="H313" s="13">
        <v>2019.0</v>
      </c>
      <c r="I313" s="14">
        <v>0.0</v>
      </c>
      <c r="J313" s="14"/>
      <c r="K313" s="14"/>
      <c r="L313" s="14"/>
      <c r="M313" s="14"/>
      <c r="N313" s="19"/>
      <c r="O313" s="19"/>
      <c r="P313" s="19"/>
      <c r="Q313" s="19"/>
      <c r="R313" s="19"/>
      <c r="S313" s="19"/>
      <c r="T313" s="19"/>
      <c r="U313" s="19"/>
      <c r="V313" s="19"/>
      <c r="W313" s="14"/>
      <c r="X313" s="14" t="s">
        <v>31</v>
      </c>
      <c r="Y313" s="9" t="s">
        <v>32</v>
      </c>
      <c r="Z313" s="9"/>
    </row>
    <row r="314">
      <c r="A314" s="9">
        <v>313.0</v>
      </c>
      <c r="B314" s="10" t="s">
        <v>1201</v>
      </c>
      <c r="C314" s="16" t="s">
        <v>1202</v>
      </c>
      <c r="D314" s="10" t="s">
        <v>1203</v>
      </c>
      <c r="E314" s="23" t="s">
        <v>1204</v>
      </c>
      <c r="F314" s="23" t="s">
        <v>1204</v>
      </c>
      <c r="G314" s="9"/>
      <c r="H314" s="13">
        <v>2018.0</v>
      </c>
      <c r="I314" s="19"/>
      <c r="J314" s="19"/>
      <c r="K314" s="19"/>
      <c r="L314" s="19"/>
      <c r="M314" s="19"/>
      <c r="N314" s="14">
        <v>1.0</v>
      </c>
      <c r="O314" s="14"/>
      <c r="P314" s="14"/>
      <c r="Q314" s="19"/>
      <c r="R314" s="19"/>
      <c r="S314" s="19"/>
      <c r="T314" s="19"/>
      <c r="U314" s="19"/>
      <c r="V314" s="19"/>
      <c r="W314" s="14"/>
      <c r="X314" s="14" t="s">
        <v>31</v>
      </c>
      <c r="Y314" s="9" t="s">
        <v>32</v>
      </c>
      <c r="Z314" s="21"/>
    </row>
    <row r="315">
      <c r="A315" s="9">
        <v>314.0</v>
      </c>
      <c r="B315" s="10" t="s">
        <v>1205</v>
      </c>
      <c r="C315" s="11" t="s">
        <v>1206</v>
      </c>
      <c r="D315" s="10" t="s">
        <v>1207</v>
      </c>
      <c r="E315" s="12" t="s">
        <v>36</v>
      </c>
      <c r="F315" s="12" t="s">
        <v>37</v>
      </c>
      <c r="G315" s="9"/>
      <c r="H315" s="13">
        <v>2019.0</v>
      </c>
      <c r="I315" s="14">
        <v>1.0</v>
      </c>
      <c r="J315" s="14">
        <v>1.0</v>
      </c>
      <c r="K315" s="14">
        <v>1.0</v>
      </c>
      <c r="L315" s="14">
        <v>1.0</v>
      </c>
      <c r="M315" s="14">
        <v>1.0</v>
      </c>
      <c r="N315" s="14">
        <v>0.0</v>
      </c>
      <c r="O315" s="14">
        <v>0.0</v>
      </c>
      <c r="P315" s="14">
        <v>0.0</v>
      </c>
      <c r="Q315" s="14">
        <v>0.0</v>
      </c>
      <c r="R315" s="14">
        <v>0.0</v>
      </c>
      <c r="S315" s="14">
        <v>0.0</v>
      </c>
      <c r="T315" s="14">
        <v>0.0</v>
      </c>
      <c r="U315" s="14">
        <v>0.0</v>
      </c>
      <c r="V315" s="14">
        <v>0.0</v>
      </c>
      <c r="W315" s="14" t="s">
        <v>39</v>
      </c>
      <c r="X315" s="14" t="s">
        <v>39</v>
      </c>
      <c r="Y315" s="9" t="s">
        <v>58</v>
      </c>
      <c r="Z315" s="9" t="s">
        <v>1208</v>
      </c>
    </row>
    <row r="316">
      <c r="A316" s="9">
        <v>315.0</v>
      </c>
      <c r="B316" s="10" t="s">
        <v>1209</v>
      </c>
      <c r="C316" s="11" t="s">
        <v>1210</v>
      </c>
      <c r="D316" s="10" t="s">
        <v>1211</v>
      </c>
      <c r="E316" s="22" t="s">
        <v>62</v>
      </c>
      <c r="F316" s="22" t="s">
        <v>62</v>
      </c>
      <c r="G316" s="9"/>
      <c r="H316" s="18">
        <v>2020.0</v>
      </c>
      <c r="I316" s="14">
        <v>1.0</v>
      </c>
      <c r="J316" s="14"/>
      <c r="K316" s="14">
        <v>1.0</v>
      </c>
      <c r="L316" s="14">
        <v>1.0</v>
      </c>
      <c r="M316" s="14"/>
      <c r="N316" s="14">
        <v>1.0</v>
      </c>
      <c r="O316" s="14">
        <v>0.0</v>
      </c>
      <c r="P316" s="14">
        <v>0.0</v>
      </c>
      <c r="Q316" s="14">
        <v>0.0</v>
      </c>
      <c r="R316" s="14">
        <v>0.0</v>
      </c>
      <c r="S316" s="14">
        <v>1.0</v>
      </c>
      <c r="T316" s="14">
        <v>0.0</v>
      </c>
      <c r="U316" s="14">
        <v>0.0</v>
      </c>
      <c r="V316" s="14">
        <v>0.0</v>
      </c>
      <c r="W316" s="14" t="s">
        <v>31</v>
      </c>
      <c r="X316" s="14" t="s">
        <v>39</v>
      </c>
      <c r="Y316" s="9" t="s">
        <v>58</v>
      </c>
      <c r="Z316" s="9" t="s">
        <v>1212</v>
      </c>
    </row>
    <row r="317">
      <c r="A317" s="9">
        <v>316.0</v>
      </c>
      <c r="B317" s="10" t="s">
        <v>1213</v>
      </c>
      <c r="C317" s="11" t="s">
        <v>1214</v>
      </c>
      <c r="D317" s="10" t="s">
        <v>1215</v>
      </c>
      <c r="E317" s="12" t="s">
        <v>29</v>
      </c>
      <c r="F317" s="12" t="s">
        <v>30</v>
      </c>
      <c r="G317" s="9" t="s">
        <v>38</v>
      </c>
      <c r="H317" s="13">
        <v>2019.0</v>
      </c>
      <c r="I317" s="14">
        <v>1.0</v>
      </c>
      <c r="J317" s="14">
        <v>1.0</v>
      </c>
      <c r="K317" s="14">
        <v>1.0</v>
      </c>
      <c r="L317" s="14">
        <v>1.0</v>
      </c>
      <c r="M317" s="14">
        <v>1.0</v>
      </c>
      <c r="N317" s="14">
        <v>0.0</v>
      </c>
      <c r="O317" s="14">
        <v>0.0</v>
      </c>
      <c r="P317" s="14">
        <v>0.0</v>
      </c>
      <c r="Q317" s="14">
        <v>0.0</v>
      </c>
      <c r="R317" s="14">
        <v>0.0</v>
      </c>
      <c r="S317" s="14">
        <v>0.0</v>
      </c>
      <c r="T317" s="14">
        <v>0.0</v>
      </c>
      <c r="U317" s="14">
        <v>0.0</v>
      </c>
      <c r="V317" s="14">
        <v>0.0</v>
      </c>
      <c r="W317" s="14" t="s">
        <v>39</v>
      </c>
      <c r="X317" s="14" t="s">
        <v>39</v>
      </c>
      <c r="Y317" s="9" t="s">
        <v>58</v>
      </c>
      <c r="Z317" s="9" t="s">
        <v>1216</v>
      </c>
    </row>
    <row r="318">
      <c r="A318" s="9">
        <v>317.0</v>
      </c>
      <c r="B318" s="10" t="s">
        <v>1217</v>
      </c>
      <c r="C318" s="16" t="s">
        <v>1218</v>
      </c>
      <c r="D318" s="10" t="s">
        <v>1219</v>
      </c>
      <c r="E318" s="22" t="s">
        <v>62</v>
      </c>
      <c r="F318" s="22" t="s">
        <v>62</v>
      </c>
      <c r="G318" s="9"/>
      <c r="H318" s="13">
        <v>2018.0</v>
      </c>
      <c r="I318" s="19"/>
      <c r="J318" s="19"/>
      <c r="K318" s="19"/>
      <c r="L318" s="19"/>
      <c r="M318" s="19"/>
      <c r="N318" s="19"/>
      <c r="O318" s="19"/>
      <c r="P318" s="14">
        <v>1.0</v>
      </c>
      <c r="Q318" s="19"/>
      <c r="R318" s="19"/>
      <c r="S318" s="19"/>
      <c r="T318" s="19"/>
      <c r="U318" s="19"/>
      <c r="V318" s="19"/>
      <c r="W318" s="14"/>
      <c r="X318" s="14" t="s">
        <v>31</v>
      </c>
      <c r="Y318" s="9" t="s">
        <v>32</v>
      </c>
      <c r="Z318" s="9"/>
    </row>
    <row r="319">
      <c r="A319" s="9">
        <v>318.0</v>
      </c>
      <c r="B319" s="10" t="s">
        <v>1220</v>
      </c>
      <c r="C319" s="11" t="s">
        <v>1221</v>
      </c>
      <c r="D319" s="10" t="s">
        <v>1222</v>
      </c>
      <c r="E319" s="12" t="s">
        <v>36</v>
      </c>
      <c r="F319" s="12" t="s">
        <v>37</v>
      </c>
      <c r="G319" s="9" t="s">
        <v>58</v>
      </c>
      <c r="H319" s="15">
        <v>2020.0</v>
      </c>
      <c r="I319" s="14">
        <v>1.0</v>
      </c>
      <c r="J319" s="14">
        <v>1.0</v>
      </c>
      <c r="K319" s="14">
        <v>1.0</v>
      </c>
      <c r="L319" s="19"/>
      <c r="M319" s="14">
        <v>1.0</v>
      </c>
      <c r="N319" s="14">
        <v>0.0</v>
      </c>
      <c r="O319" s="14">
        <v>0.0</v>
      </c>
      <c r="P319" s="14">
        <v>0.0</v>
      </c>
      <c r="Q319" s="14">
        <v>0.0</v>
      </c>
      <c r="R319" s="14">
        <v>0.0</v>
      </c>
      <c r="S319" s="14">
        <v>0.0</v>
      </c>
      <c r="T319" s="14">
        <v>0.0</v>
      </c>
      <c r="U319" s="14">
        <v>0.0</v>
      </c>
      <c r="V319" s="14">
        <v>0.0</v>
      </c>
      <c r="W319" s="14"/>
      <c r="X319" s="14" t="s">
        <v>39</v>
      </c>
      <c r="Y319" s="9" t="s">
        <v>58</v>
      </c>
      <c r="Z319" s="9" t="s">
        <v>1223</v>
      </c>
    </row>
    <row r="320">
      <c r="A320" s="9">
        <v>319.0</v>
      </c>
      <c r="B320" s="10" t="s">
        <v>1224</v>
      </c>
      <c r="C320" s="16" t="s">
        <v>1225</v>
      </c>
      <c r="D320" s="10" t="s">
        <v>1226</v>
      </c>
      <c r="E320" s="22" t="s">
        <v>62</v>
      </c>
      <c r="F320" s="22" t="s">
        <v>62</v>
      </c>
      <c r="G320" s="9"/>
      <c r="H320" s="13">
        <v>2018.0</v>
      </c>
      <c r="I320" s="19"/>
      <c r="J320" s="19"/>
      <c r="K320" s="19"/>
      <c r="L320" s="19"/>
      <c r="M320" s="19"/>
      <c r="N320" s="19"/>
      <c r="O320" s="19"/>
      <c r="P320" s="19"/>
      <c r="Q320" s="19"/>
      <c r="R320" s="19"/>
      <c r="S320" s="19"/>
      <c r="T320" s="19"/>
      <c r="U320" s="19"/>
      <c r="V320" s="19"/>
      <c r="W320" s="14"/>
      <c r="X320" s="14" t="s">
        <v>31</v>
      </c>
      <c r="Y320" s="9" t="s">
        <v>32</v>
      </c>
      <c r="Z320" s="9" t="s">
        <v>1227</v>
      </c>
    </row>
    <row r="321">
      <c r="A321" s="9">
        <v>320.0</v>
      </c>
      <c r="B321" s="10" t="s">
        <v>1228</v>
      </c>
      <c r="C321" s="16" t="s">
        <v>1229</v>
      </c>
      <c r="D321" s="10" t="s">
        <v>1230</v>
      </c>
      <c r="E321" s="25" t="s">
        <v>62</v>
      </c>
      <c r="F321" s="25" t="s">
        <v>62</v>
      </c>
      <c r="G321" s="9"/>
      <c r="H321" s="13">
        <v>2020.0</v>
      </c>
      <c r="I321" s="14">
        <v>1.0</v>
      </c>
      <c r="J321" s="14">
        <v>1.0</v>
      </c>
      <c r="K321" s="14">
        <v>1.0</v>
      </c>
      <c r="L321" s="14">
        <v>1.0</v>
      </c>
      <c r="M321" s="14">
        <v>1.0</v>
      </c>
      <c r="N321" s="14">
        <v>0.0</v>
      </c>
      <c r="O321" s="14">
        <v>0.0</v>
      </c>
      <c r="P321" s="14">
        <v>0.0</v>
      </c>
      <c r="Q321" s="14">
        <v>0.0</v>
      </c>
      <c r="R321" s="14">
        <v>0.0</v>
      </c>
      <c r="S321" s="14">
        <v>0.0</v>
      </c>
      <c r="T321" s="14">
        <v>0.0</v>
      </c>
      <c r="U321" s="14">
        <v>0.0</v>
      </c>
      <c r="V321" s="14">
        <v>0.0</v>
      </c>
      <c r="W321" s="14" t="s">
        <v>39</v>
      </c>
      <c r="X321" s="14" t="s">
        <v>39</v>
      </c>
      <c r="Y321" s="9" t="s">
        <v>58</v>
      </c>
      <c r="Z321" s="9" t="s">
        <v>1231</v>
      </c>
    </row>
    <row r="322">
      <c r="A322" s="9">
        <v>321.0</v>
      </c>
      <c r="B322" s="10" t="s">
        <v>1232</v>
      </c>
      <c r="C322" s="16" t="s">
        <v>1233</v>
      </c>
      <c r="D322" s="10" t="s">
        <v>1234</v>
      </c>
      <c r="E322" s="22"/>
      <c r="F322" s="22"/>
      <c r="G322" s="9"/>
      <c r="H322" s="29"/>
      <c r="I322" s="14"/>
      <c r="J322" s="14"/>
      <c r="K322" s="14"/>
      <c r="L322" s="14"/>
      <c r="M322" s="14"/>
      <c r="N322" s="19"/>
      <c r="O322" s="19"/>
      <c r="P322" s="19"/>
      <c r="Q322" s="19"/>
      <c r="R322" s="19"/>
      <c r="S322" s="19"/>
      <c r="T322" s="19"/>
      <c r="U322" s="19"/>
      <c r="V322" s="19"/>
      <c r="W322" s="14"/>
      <c r="X322" s="14" t="s">
        <v>39</v>
      </c>
      <c r="Y322" s="9" t="s">
        <v>58</v>
      </c>
      <c r="Z322" s="9" t="s">
        <v>1223</v>
      </c>
    </row>
    <row r="323">
      <c r="A323" s="9">
        <v>322.0</v>
      </c>
      <c r="B323" s="10" t="s">
        <v>1235</v>
      </c>
      <c r="C323" s="11" t="s">
        <v>1236</v>
      </c>
      <c r="D323" s="10" t="s">
        <v>1237</v>
      </c>
      <c r="E323" s="12" t="s">
        <v>36</v>
      </c>
      <c r="F323" s="12" t="s">
        <v>37</v>
      </c>
      <c r="G323" s="9"/>
      <c r="H323" s="13">
        <v>2020.0</v>
      </c>
      <c r="I323" s="14"/>
      <c r="J323" s="14"/>
      <c r="K323" s="14"/>
      <c r="L323" s="14"/>
      <c r="M323" s="14"/>
      <c r="N323" s="14">
        <v>1.0</v>
      </c>
      <c r="O323" s="19"/>
      <c r="P323" s="19"/>
      <c r="Q323" s="19"/>
      <c r="R323" s="19"/>
      <c r="S323" s="19"/>
      <c r="T323" s="19"/>
      <c r="U323" s="19"/>
      <c r="V323" s="19"/>
      <c r="W323" s="14"/>
      <c r="X323" s="14" t="s">
        <v>31</v>
      </c>
      <c r="Y323" s="9" t="s">
        <v>32</v>
      </c>
      <c r="Z323" s="9"/>
    </row>
    <row r="324">
      <c r="A324" s="9">
        <v>323.0</v>
      </c>
      <c r="B324" s="10" t="s">
        <v>1238</v>
      </c>
      <c r="C324" s="11" t="s">
        <v>1239</v>
      </c>
      <c r="D324" s="10" t="s">
        <v>1240</v>
      </c>
      <c r="E324" s="12" t="s">
        <v>36</v>
      </c>
      <c r="F324" s="12" t="s">
        <v>37</v>
      </c>
      <c r="G324" s="9"/>
      <c r="H324" s="13">
        <v>2018.0</v>
      </c>
      <c r="I324" s="14">
        <v>1.0</v>
      </c>
      <c r="J324" s="14">
        <v>1.0</v>
      </c>
      <c r="K324" s="14">
        <v>1.0</v>
      </c>
      <c r="L324" s="14">
        <v>1.0</v>
      </c>
      <c r="M324" s="14">
        <v>1.0</v>
      </c>
      <c r="N324" s="14">
        <v>0.0</v>
      </c>
      <c r="O324" s="14">
        <v>0.0</v>
      </c>
      <c r="P324" s="14">
        <v>0.0</v>
      </c>
      <c r="Q324" s="14">
        <v>0.0</v>
      </c>
      <c r="R324" s="14">
        <v>0.0</v>
      </c>
      <c r="S324" s="14">
        <v>0.0</v>
      </c>
      <c r="T324" s="14">
        <v>0.0</v>
      </c>
      <c r="U324" s="14">
        <v>0.0</v>
      </c>
      <c r="V324" s="14">
        <v>0.0</v>
      </c>
      <c r="W324" s="14" t="s">
        <v>39</v>
      </c>
      <c r="X324" s="14" t="s">
        <v>39</v>
      </c>
      <c r="Y324" s="9" t="s">
        <v>58</v>
      </c>
      <c r="Z324" s="9" t="s">
        <v>1241</v>
      </c>
    </row>
    <row r="325">
      <c r="A325" s="9">
        <v>324.0</v>
      </c>
      <c r="B325" s="10" t="s">
        <v>1242</v>
      </c>
      <c r="C325" s="11" t="s">
        <v>1243</v>
      </c>
      <c r="D325" s="10" t="s">
        <v>1244</v>
      </c>
      <c r="E325" s="23" t="s">
        <v>261</v>
      </c>
      <c r="F325" s="23" t="s">
        <v>261</v>
      </c>
      <c r="G325" s="9"/>
      <c r="H325" s="13">
        <v>2019.0</v>
      </c>
      <c r="I325" s="14">
        <v>1.0</v>
      </c>
      <c r="J325" s="14">
        <v>1.0</v>
      </c>
      <c r="K325" s="14">
        <v>0.0</v>
      </c>
      <c r="L325" s="14"/>
      <c r="M325" s="14">
        <v>1.0</v>
      </c>
      <c r="N325" s="14"/>
      <c r="O325" s="14">
        <v>0.0</v>
      </c>
      <c r="P325" s="14"/>
      <c r="Q325" s="14">
        <v>0.0</v>
      </c>
      <c r="R325" s="14">
        <v>0.0</v>
      </c>
      <c r="S325" s="14">
        <v>0.0</v>
      </c>
      <c r="T325" s="14">
        <v>0.0</v>
      </c>
      <c r="U325" s="14">
        <v>0.0</v>
      </c>
      <c r="V325" s="14">
        <v>0.0</v>
      </c>
      <c r="W325" s="14" t="s">
        <v>31</v>
      </c>
      <c r="X325" s="14" t="s">
        <v>39</v>
      </c>
      <c r="Y325" s="9" t="s">
        <v>58</v>
      </c>
      <c r="Z325" s="9" t="s">
        <v>1158</v>
      </c>
    </row>
    <row r="326">
      <c r="A326" s="9">
        <v>325.0</v>
      </c>
      <c r="B326" s="10" t="s">
        <v>1245</v>
      </c>
      <c r="C326" s="11" t="s">
        <v>1246</v>
      </c>
      <c r="D326" s="10" t="s">
        <v>1247</v>
      </c>
      <c r="E326" s="12" t="s">
        <v>36</v>
      </c>
      <c r="F326" s="12" t="s">
        <v>37</v>
      </c>
      <c r="G326" s="9"/>
      <c r="H326" s="13">
        <v>2020.0</v>
      </c>
      <c r="I326" s="14">
        <v>1.0</v>
      </c>
      <c r="J326" s="14">
        <v>1.0</v>
      </c>
      <c r="K326" s="14">
        <v>1.0</v>
      </c>
      <c r="L326" s="14">
        <v>1.0</v>
      </c>
      <c r="M326" s="14">
        <v>1.0</v>
      </c>
      <c r="N326" s="14">
        <v>0.0</v>
      </c>
      <c r="O326" s="14">
        <v>0.0</v>
      </c>
      <c r="P326" s="14">
        <v>0.0</v>
      </c>
      <c r="Q326" s="14">
        <v>0.0</v>
      </c>
      <c r="R326" s="14">
        <v>0.0</v>
      </c>
      <c r="S326" s="14">
        <v>0.0</v>
      </c>
      <c r="T326" s="14">
        <v>0.0</v>
      </c>
      <c r="U326" s="14">
        <v>0.0</v>
      </c>
      <c r="V326" s="14">
        <v>0.0</v>
      </c>
      <c r="W326" s="14" t="s">
        <v>39</v>
      </c>
      <c r="X326" s="14" t="s">
        <v>39</v>
      </c>
      <c r="Y326" s="9" t="s">
        <v>58</v>
      </c>
      <c r="Z326" s="9" t="s">
        <v>1248</v>
      </c>
    </row>
    <row r="327">
      <c r="A327" s="9">
        <v>326.0</v>
      </c>
      <c r="B327" s="10" t="s">
        <v>1249</v>
      </c>
      <c r="C327" s="16" t="s">
        <v>1250</v>
      </c>
      <c r="D327" s="10" t="s">
        <v>1251</v>
      </c>
      <c r="E327" s="25" t="s">
        <v>62</v>
      </c>
      <c r="F327" s="25" t="s">
        <v>62</v>
      </c>
      <c r="G327" s="9" t="s">
        <v>38</v>
      </c>
      <c r="H327" s="13">
        <v>2020.0</v>
      </c>
      <c r="I327" s="19"/>
      <c r="J327" s="14">
        <v>1.0</v>
      </c>
      <c r="K327" s="14">
        <v>1.0</v>
      </c>
      <c r="L327" s="19"/>
      <c r="M327" s="14">
        <v>1.0</v>
      </c>
      <c r="N327" s="14">
        <v>0.0</v>
      </c>
      <c r="O327" s="14">
        <v>0.0</v>
      </c>
      <c r="P327" s="14">
        <v>0.0</v>
      </c>
      <c r="Q327" s="14">
        <v>0.0</v>
      </c>
      <c r="R327" s="14">
        <v>0.0</v>
      </c>
      <c r="S327" s="14">
        <v>0.0</v>
      </c>
      <c r="T327" s="14">
        <v>0.0</v>
      </c>
      <c r="U327" s="14">
        <v>0.0</v>
      </c>
      <c r="V327" s="14">
        <v>0.0</v>
      </c>
      <c r="W327" s="14" t="s">
        <v>39</v>
      </c>
      <c r="X327" s="14" t="s">
        <v>39</v>
      </c>
      <c r="Y327" s="9" t="s">
        <v>58</v>
      </c>
      <c r="Z327" s="9" t="s">
        <v>1252</v>
      </c>
    </row>
    <row r="328">
      <c r="A328" s="9">
        <v>327.0</v>
      </c>
      <c r="B328" s="10" t="s">
        <v>1253</v>
      </c>
      <c r="C328" s="11" t="s">
        <v>1254</v>
      </c>
      <c r="D328" s="10" t="s">
        <v>1255</v>
      </c>
      <c r="E328" s="22" t="s">
        <v>128</v>
      </c>
      <c r="F328" s="22" t="s">
        <v>128</v>
      </c>
      <c r="G328" s="9" t="s">
        <v>38</v>
      </c>
      <c r="H328" s="13">
        <v>2018.0</v>
      </c>
      <c r="I328" s="14">
        <v>1.0</v>
      </c>
      <c r="J328" s="14">
        <v>1.0</v>
      </c>
      <c r="K328" s="14">
        <v>1.0</v>
      </c>
      <c r="L328" s="14">
        <v>1.0</v>
      </c>
      <c r="M328" s="14">
        <v>1.0</v>
      </c>
      <c r="N328" s="14">
        <v>0.0</v>
      </c>
      <c r="O328" s="14">
        <v>0.0</v>
      </c>
      <c r="P328" s="14">
        <v>0.0</v>
      </c>
      <c r="Q328" s="14">
        <v>0.0</v>
      </c>
      <c r="R328" s="14">
        <v>0.0</v>
      </c>
      <c r="S328" s="14">
        <v>0.0</v>
      </c>
      <c r="T328" s="14">
        <v>0.0</v>
      </c>
      <c r="U328" s="14">
        <v>0.0</v>
      </c>
      <c r="V328" s="14">
        <v>0.0</v>
      </c>
      <c r="W328" s="14" t="s">
        <v>39</v>
      </c>
      <c r="X328" s="14" t="s">
        <v>39</v>
      </c>
      <c r="Y328" s="9" t="s">
        <v>58</v>
      </c>
      <c r="Z328" s="9" t="s">
        <v>1256</v>
      </c>
    </row>
    <row r="329">
      <c r="A329" s="9">
        <v>328.0</v>
      </c>
      <c r="B329" s="10" t="s">
        <v>1257</v>
      </c>
      <c r="C329" s="16" t="s">
        <v>1258</v>
      </c>
      <c r="D329" s="10" t="s">
        <v>1259</v>
      </c>
      <c r="E329" s="23" t="s">
        <v>44</v>
      </c>
      <c r="F329" s="23" t="s">
        <v>44</v>
      </c>
      <c r="G329" s="9"/>
      <c r="H329" s="13">
        <v>2018.0</v>
      </c>
      <c r="I329" s="19"/>
      <c r="J329" s="19"/>
      <c r="K329" s="19"/>
      <c r="L329" s="19"/>
      <c r="M329" s="19"/>
      <c r="N329" s="19"/>
      <c r="O329" s="19"/>
      <c r="P329" s="19"/>
      <c r="Q329" s="19"/>
      <c r="R329" s="19"/>
      <c r="S329" s="19"/>
      <c r="T329" s="19"/>
      <c r="U329" s="14">
        <v>1.0</v>
      </c>
      <c r="V329" s="19"/>
      <c r="W329" s="14"/>
      <c r="X329" s="14" t="s">
        <v>31</v>
      </c>
      <c r="Y329" s="9" t="s">
        <v>32</v>
      </c>
      <c r="Z329" s="9" t="s">
        <v>1260</v>
      </c>
    </row>
    <row r="330">
      <c r="A330" s="9">
        <v>329.0</v>
      </c>
      <c r="B330" s="10" t="s">
        <v>1261</v>
      </c>
      <c r="C330" s="16" t="s">
        <v>1262</v>
      </c>
      <c r="D330" s="10" t="s">
        <v>1263</v>
      </c>
      <c r="E330" s="25" t="s">
        <v>128</v>
      </c>
      <c r="F330" s="25" t="s">
        <v>128</v>
      </c>
      <c r="G330" s="9"/>
      <c r="H330" s="29"/>
      <c r="I330" s="14"/>
      <c r="J330" s="19"/>
      <c r="K330" s="19"/>
      <c r="L330" s="19"/>
      <c r="M330" s="19"/>
      <c r="N330" s="19"/>
      <c r="O330" s="14">
        <v>1.0</v>
      </c>
      <c r="P330" s="19"/>
      <c r="Q330" s="14"/>
      <c r="R330" s="19"/>
      <c r="S330" s="19"/>
      <c r="T330" s="19"/>
      <c r="U330" s="19"/>
      <c r="V330" s="19"/>
      <c r="W330" s="14"/>
      <c r="X330" s="14" t="s">
        <v>31</v>
      </c>
      <c r="Y330" s="9" t="s">
        <v>32</v>
      </c>
      <c r="Z330" s="9"/>
    </row>
    <row r="331">
      <c r="A331" s="9">
        <v>330.0</v>
      </c>
      <c r="B331" s="10" t="s">
        <v>1264</v>
      </c>
      <c r="C331" s="16" t="s">
        <v>1265</v>
      </c>
      <c r="D331" s="10" t="s">
        <v>1266</v>
      </c>
      <c r="E331" s="23" t="s">
        <v>1084</v>
      </c>
      <c r="F331" s="23" t="s">
        <v>1084</v>
      </c>
      <c r="G331" s="9"/>
      <c r="H331" s="13">
        <v>2019.0</v>
      </c>
      <c r="I331" s="14">
        <v>1.0</v>
      </c>
      <c r="J331" s="14">
        <v>1.0</v>
      </c>
      <c r="K331" s="14">
        <v>1.0</v>
      </c>
      <c r="L331" s="14">
        <v>1.0</v>
      </c>
      <c r="M331" s="14">
        <v>1.0</v>
      </c>
      <c r="N331" s="14">
        <v>0.0</v>
      </c>
      <c r="O331" s="14">
        <v>0.0</v>
      </c>
      <c r="P331" s="14">
        <v>0.0</v>
      </c>
      <c r="Q331" s="14">
        <v>0.0</v>
      </c>
      <c r="R331" s="14">
        <v>0.0</v>
      </c>
      <c r="S331" s="14">
        <v>0.0</v>
      </c>
      <c r="T331" s="14">
        <v>0.0</v>
      </c>
      <c r="U331" s="14">
        <v>0.0</v>
      </c>
      <c r="V331" s="14">
        <v>0.0</v>
      </c>
      <c r="W331" s="14" t="s">
        <v>39</v>
      </c>
      <c r="X331" s="14" t="s">
        <v>39</v>
      </c>
      <c r="Y331" s="9" t="s">
        <v>58</v>
      </c>
      <c r="Z331" s="9" t="s">
        <v>837</v>
      </c>
    </row>
    <row r="332">
      <c r="A332" s="9">
        <v>331.0</v>
      </c>
      <c r="B332" s="10" t="s">
        <v>1267</v>
      </c>
      <c r="C332" s="11" t="s">
        <v>1268</v>
      </c>
      <c r="D332" s="10" t="s">
        <v>1269</v>
      </c>
      <c r="E332" s="23" t="s">
        <v>1270</v>
      </c>
      <c r="F332" s="23" t="s">
        <v>1270</v>
      </c>
      <c r="G332" s="9"/>
      <c r="H332" s="13">
        <v>2019.0</v>
      </c>
      <c r="I332" s="19"/>
      <c r="J332" s="19"/>
      <c r="K332" s="19"/>
      <c r="L332" s="19"/>
      <c r="M332" s="19"/>
      <c r="N332" s="19"/>
      <c r="O332" s="19"/>
      <c r="P332" s="19"/>
      <c r="Q332" s="19"/>
      <c r="R332" s="14"/>
      <c r="S332" s="19"/>
      <c r="T332" s="14">
        <v>1.0</v>
      </c>
      <c r="U332" s="19"/>
      <c r="V332" s="19"/>
      <c r="W332" s="14"/>
      <c r="X332" s="14" t="s">
        <v>31</v>
      </c>
      <c r="Y332" s="9" t="s">
        <v>32</v>
      </c>
      <c r="Z332" s="9" t="s">
        <v>1271</v>
      </c>
    </row>
    <row r="333">
      <c r="A333" s="9">
        <v>332.0</v>
      </c>
      <c r="B333" s="10" t="s">
        <v>1272</v>
      </c>
      <c r="C333" s="11" t="s">
        <v>1273</v>
      </c>
      <c r="D333" s="10" t="s">
        <v>1274</v>
      </c>
      <c r="E333" s="22" t="s">
        <v>62</v>
      </c>
      <c r="F333" s="22" t="s">
        <v>62</v>
      </c>
      <c r="G333" s="9" t="s">
        <v>38</v>
      </c>
      <c r="H333" s="13">
        <v>2018.0</v>
      </c>
      <c r="I333" s="14">
        <v>1.0</v>
      </c>
      <c r="J333" s="14">
        <v>1.0</v>
      </c>
      <c r="K333" s="14">
        <v>1.0</v>
      </c>
      <c r="L333" s="14">
        <v>0.0</v>
      </c>
      <c r="M333" s="14">
        <v>1.0</v>
      </c>
      <c r="N333" s="14">
        <v>0.0</v>
      </c>
      <c r="O333" s="14">
        <v>0.0</v>
      </c>
      <c r="P333" s="14">
        <v>0.0</v>
      </c>
      <c r="Q333" s="14">
        <v>0.0</v>
      </c>
      <c r="R333" s="14">
        <v>0.0</v>
      </c>
      <c r="S333" s="14">
        <v>0.0</v>
      </c>
      <c r="T333" s="14">
        <v>0.0</v>
      </c>
      <c r="U333" s="14">
        <v>0.0</v>
      </c>
      <c r="V333" s="14">
        <v>0.0</v>
      </c>
      <c r="W333" s="14" t="s">
        <v>31</v>
      </c>
      <c r="X333" s="14" t="s">
        <v>39</v>
      </c>
      <c r="Y333" s="9" t="s">
        <v>58</v>
      </c>
      <c r="Z333" s="9" t="s">
        <v>1275</v>
      </c>
    </row>
    <row r="334">
      <c r="A334" s="9">
        <v>333.0</v>
      </c>
      <c r="B334" s="10" t="s">
        <v>1276</v>
      </c>
      <c r="C334" s="11" t="s">
        <v>1277</v>
      </c>
      <c r="D334" s="10" t="s">
        <v>202</v>
      </c>
      <c r="E334" s="22" t="s">
        <v>62</v>
      </c>
      <c r="F334" s="22" t="s">
        <v>62</v>
      </c>
      <c r="G334" s="9"/>
      <c r="H334" s="13">
        <v>2018.0</v>
      </c>
      <c r="I334" s="14">
        <v>0.0</v>
      </c>
      <c r="J334" s="14">
        <v>1.0</v>
      </c>
      <c r="K334" s="14">
        <v>1.0</v>
      </c>
      <c r="L334" s="14">
        <v>1.0</v>
      </c>
      <c r="M334" s="14">
        <v>1.0</v>
      </c>
      <c r="N334" s="14">
        <v>0.0</v>
      </c>
      <c r="O334" s="14">
        <v>0.0</v>
      </c>
      <c r="P334" s="14">
        <v>0.0</v>
      </c>
      <c r="Q334" s="14">
        <v>0.0</v>
      </c>
      <c r="R334" s="14">
        <v>0.0</v>
      </c>
      <c r="S334" s="14">
        <v>0.0</v>
      </c>
      <c r="T334" s="14">
        <v>0.0</v>
      </c>
      <c r="U334" s="14">
        <v>0.0</v>
      </c>
      <c r="V334" s="14">
        <v>0.0</v>
      </c>
      <c r="W334" s="14" t="s">
        <v>31</v>
      </c>
      <c r="X334" s="14" t="s">
        <v>39</v>
      </c>
      <c r="Y334" s="9" t="s">
        <v>58</v>
      </c>
      <c r="Z334" s="9" t="s">
        <v>1278</v>
      </c>
    </row>
    <row r="335">
      <c r="A335" s="9">
        <v>334.0</v>
      </c>
      <c r="B335" s="10" t="s">
        <v>1279</v>
      </c>
      <c r="C335" s="11" t="s">
        <v>1280</v>
      </c>
      <c r="D335" s="10" t="s">
        <v>1281</v>
      </c>
      <c r="E335" s="12" t="s">
        <v>36</v>
      </c>
      <c r="F335" s="12" t="s">
        <v>37</v>
      </c>
      <c r="G335" s="9"/>
      <c r="H335" s="13">
        <v>2019.0</v>
      </c>
      <c r="I335" s="14">
        <v>1.0</v>
      </c>
      <c r="J335" s="14">
        <v>1.0</v>
      </c>
      <c r="K335" s="14">
        <v>1.0</v>
      </c>
      <c r="L335" s="14">
        <v>1.0</v>
      </c>
      <c r="M335" s="14">
        <v>1.0</v>
      </c>
      <c r="N335" s="14">
        <v>0.0</v>
      </c>
      <c r="O335" s="14">
        <v>0.0</v>
      </c>
      <c r="P335" s="14">
        <v>0.0</v>
      </c>
      <c r="Q335" s="14">
        <v>0.0</v>
      </c>
      <c r="R335" s="14">
        <v>0.0</v>
      </c>
      <c r="S335" s="14">
        <v>0.0</v>
      </c>
      <c r="T335" s="14">
        <v>0.0</v>
      </c>
      <c r="U335" s="14">
        <v>0.0</v>
      </c>
      <c r="V335" s="14">
        <v>0.0</v>
      </c>
      <c r="W335" s="14" t="s">
        <v>39</v>
      </c>
      <c r="X335" s="14" t="s">
        <v>39</v>
      </c>
      <c r="Y335" s="9" t="s">
        <v>58</v>
      </c>
      <c r="Z335" s="9" t="s">
        <v>1282</v>
      </c>
    </row>
    <row r="336">
      <c r="A336" s="9">
        <v>335.0</v>
      </c>
      <c r="B336" s="10" t="s">
        <v>1283</v>
      </c>
      <c r="C336" s="11" t="s">
        <v>1284</v>
      </c>
      <c r="D336" s="10" t="s">
        <v>1285</v>
      </c>
      <c r="E336" s="12" t="s">
        <v>36</v>
      </c>
      <c r="F336" s="12" t="s">
        <v>37</v>
      </c>
      <c r="G336" s="9" t="s">
        <v>58</v>
      </c>
      <c r="H336" s="13">
        <v>2020.0</v>
      </c>
      <c r="I336" s="14">
        <v>1.0</v>
      </c>
      <c r="J336" s="14">
        <v>1.0</v>
      </c>
      <c r="K336" s="14">
        <v>1.0</v>
      </c>
      <c r="L336" s="14">
        <v>1.0</v>
      </c>
      <c r="M336" s="14">
        <v>1.0</v>
      </c>
      <c r="N336" s="14">
        <v>0.0</v>
      </c>
      <c r="O336" s="14">
        <v>0.0</v>
      </c>
      <c r="P336" s="14">
        <v>0.0</v>
      </c>
      <c r="Q336" s="14">
        <v>0.0</v>
      </c>
      <c r="R336" s="14">
        <v>0.0</v>
      </c>
      <c r="S336" s="14">
        <v>0.0</v>
      </c>
      <c r="T336" s="14">
        <v>0.0</v>
      </c>
      <c r="U336" s="14">
        <v>0.0</v>
      </c>
      <c r="V336" s="14">
        <v>0.0</v>
      </c>
      <c r="W336" s="14" t="s">
        <v>39</v>
      </c>
      <c r="X336" s="14" t="s">
        <v>39</v>
      </c>
      <c r="Y336" s="9" t="s">
        <v>58</v>
      </c>
      <c r="Z336" s="9" t="s">
        <v>1231</v>
      </c>
    </row>
    <row r="337">
      <c r="A337" s="9">
        <v>336.0</v>
      </c>
      <c r="B337" s="10" t="s">
        <v>1286</v>
      </c>
      <c r="C337" s="11" t="s">
        <v>1287</v>
      </c>
      <c r="D337" s="10" t="s">
        <v>1288</v>
      </c>
      <c r="E337" s="23" t="s">
        <v>135</v>
      </c>
      <c r="F337" s="23" t="s">
        <v>135</v>
      </c>
      <c r="G337" s="9"/>
      <c r="H337" s="18">
        <v>2018.0</v>
      </c>
      <c r="I337" s="14"/>
      <c r="J337" s="14"/>
      <c r="K337" s="14"/>
      <c r="L337" s="14"/>
      <c r="M337" s="14"/>
      <c r="N337" s="19"/>
      <c r="O337" s="19"/>
      <c r="P337" s="19"/>
      <c r="Q337" s="19"/>
      <c r="R337" s="19"/>
      <c r="S337" s="19"/>
      <c r="T337" s="14">
        <v>1.0</v>
      </c>
      <c r="U337" s="19"/>
      <c r="V337" s="19"/>
      <c r="W337" s="14"/>
      <c r="X337" s="14" t="s">
        <v>31</v>
      </c>
      <c r="Y337" s="9" t="s">
        <v>32</v>
      </c>
      <c r="Z337" s="9"/>
    </row>
    <row r="338">
      <c r="A338" s="9">
        <v>337.0</v>
      </c>
      <c r="B338" s="10" t="s">
        <v>1289</v>
      </c>
      <c r="C338" s="16" t="s">
        <v>1290</v>
      </c>
      <c r="D338" s="10" t="s">
        <v>1291</v>
      </c>
      <c r="E338" s="22" t="s">
        <v>62</v>
      </c>
      <c r="F338" s="22" t="s">
        <v>62</v>
      </c>
      <c r="G338" s="9" t="s">
        <v>38</v>
      </c>
      <c r="H338" s="15">
        <v>2021.0</v>
      </c>
      <c r="I338" s="14">
        <v>1.0</v>
      </c>
      <c r="J338" s="19"/>
      <c r="K338" s="14">
        <v>0.0</v>
      </c>
      <c r="L338" s="14">
        <v>1.0</v>
      </c>
      <c r="M338" s="19"/>
      <c r="N338" s="19"/>
      <c r="O338" s="19"/>
      <c r="P338" s="14">
        <v>0.0</v>
      </c>
      <c r="Q338" s="14">
        <v>0.0</v>
      </c>
      <c r="R338" s="14">
        <v>0.0</v>
      </c>
      <c r="S338" s="14">
        <v>0.0</v>
      </c>
      <c r="T338" s="14">
        <v>0.0</v>
      </c>
      <c r="U338" s="14">
        <v>0.0</v>
      </c>
      <c r="V338" s="14">
        <v>0.0</v>
      </c>
      <c r="W338" s="14" t="s">
        <v>31</v>
      </c>
      <c r="X338" s="14" t="s">
        <v>39</v>
      </c>
      <c r="Y338" s="9" t="s">
        <v>58</v>
      </c>
      <c r="Z338" s="9" t="s">
        <v>1158</v>
      </c>
    </row>
    <row r="339">
      <c r="A339" s="9">
        <v>338.0</v>
      </c>
      <c r="B339" s="15" t="s">
        <v>1292</v>
      </c>
      <c r="C339" s="16" t="s">
        <v>1293</v>
      </c>
      <c r="D339" s="10" t="s">
        <v>1294</v>
      </c>
      <c r="E339" s="22" t="s">
        <v>62</v>
      </c>
      <c r="F339" s="22" t="s">
        <v>62</v>
      </c>
      <c r="G339" s="9" t="s">
        <v>58</v>
      </c>
      <c r="H339" s="13">
        <v>2020.0</v>
      </c>
      <c r="I339" s="14">
        <v>1.0</v>
      </c>
      <c r="J339" s="14">
        <v>1.0</v>
      </c>
      <c r="K339" s="14">
        <v>1.0</v>
      </c>
      <c r="L339" s="14">
        <v>0.0</v>
      </c>
      <c r="M339" s="14">
        <v>1.0</v>
      </c>
      <c r="N339" s="14">
        <v>0.0</v>
      </c>
      <c r="O339" s="14">
        <v>0.0</v>
      </c>
      <c r="P339" s="14">
        <v>0.0</v>
      </c>
      <c r="Q339" s="14">
        <v>0.0</v>
      </c>
      <c r="R339" s="14">
        <v>0.0</v>
      </c>
      <c r="S339" s="14">
        <v>0.0</v>
      </c>
      <c r="T339" s="14">
        <v>0.0</v>
      </c>
      <c r="U339" s="14">
        <v>0.0</v>
      </c>
      <c r="V339" s="14">
        <v>0.0</v>
      </c>
      <c r="W339" s="14" t="s">
        <v>31</v>
      </c>
      <c r="X339" s="14" t="s">
        <v>39</v>
      </c>
      <c r="Y339" s="9" t="s">
        <v>58</v>
      </c>
      <c r="Z339" s="9" t="s">
        <v>1295</v>
      </c>
    </row>
    <row r="340">
      <c r="A340" s="9">
        <v>339.0</v>
      </c>
      <c r="B340" s="10" t="s">
        <v>1296</v>
      </c>
      <c r="C340" s="11" t="s">
        <v>1297</v>
      </c>
      <c r="D340" s="10" t="s">
        <v>1298</v>
      </c>
      <c r="E340" s="23" t="s">
        <v>896</v>
      </c>
      <c r="F340" s="23" t="s">
        <v>896</v>
      </c>
      <c r="G340" s="9"/>
      <c r="H340" s="13">
        <v>2019.0</v>
      </c>
      <c r="I340" s="19"/>
      <c r="J340" s="19"/>
      <c r="K340" s="19"/>
      <c r="L340" s="19"/>
      <c r="M340" s="19"/>
      <c r="N340" s="19"/>
      <c r="O340" s="19"/>
      <c r="P340" s="19"/>
      <c r="Q340" s="14">
        <v>1.0</v>
      </c>
      <c r="R340" s="19"/>
      <c r="S340" s="19"/>
      <c r="T340" s="19"/>
      <c r="U340" s="19"/>
      <c r="V340" s="19"/>
      <c r="W340" s="14"/>
      <c r="X340" s="14" t="s">
        <v>31</v>
      </c>
      <c r="Y340" s="9" t="s">
        <v>32</v>
      </c>
      <c r="Z340" s="9"/>
    </row>
    <row r="341">
      <c r="A341" s="9">
        <v>340.0</v>
      </c>
      <c r="B341" s="10" t="s">
        <v>1299</v>
      </c>
      <c r="C341" s="11" t="s">
        <v>1300</v>
      </c>
      <c r="D341" s="10" t="s">
        <v>1301</v>
      </c>
      <c r="E341" s="22" t="s">
        <v>62</v>
      </c>
      <c r="F341" s="22" t="s">
        <v>62</v>
      </c>
      <c r="G341" s="9" t="s">
        <v>58</v>
      </c>
      <c r="H341" s="13">
        <v>2018.0</v>
      </c>
      <c r="I341" s="14">
        <v>1.0</v>
      </c>
      <c r="J341" s="14">
        <v>1.0</v>
      </c>
      <c r="K341" s="14">
        <v>1.0</v>
      </c>
      <c r="L341" s="14">
        <v>1.0</v>
      </c>
      <c r="M341" s="14">
        <v>1.0</v>
      </c>
      <c r="N341" s="14">
        <v>0.0</v>
      </c>
      <c r="O341" s="14">
        <v>0.0</v>
      </c>
      <c r="P341" s="14">
        <v>0.0</v>
      </c>
      <c r="Q341" s="14">
        <v>0.0</v>
      </c>
      <c r="R341" s="14">
        <v>0.0</v>
      </c>
      <c r="S341" s="14">
        <v>0.0</v>
      </c>
      <c r="T341" s="14">
        <v>0.0</v>
      </c>
      <c r="U341" s="14">
        <v>0.0</v>
      </c>
      <c r="V341" s="14">
        <v>0.0</v>
      </c>
      <c r="W341" s="14" t="s">
        <v>39</v>
      </c>
      <c r="X341" s="14" t="s">
        <v>39</v>
      </c>
      <c r="Y341" s="9" t="s">
        <v>58</v>
      </c>
      <c r="Z341" s="9" t="s">
        <v>1231</v>
      </c>
    </row>
    <row r="342">
      <c r="A342" s="9">
        <v>341.0</v>
      </c>
      <c r="B342" s="10" t="s">
        <v>1302</v>
      </c>
      <c r="C342" s="11" t="s">
        <v>1303</v>
      </c>
      <c r="D342" s="10" t="s">
        <v>1304</v>
      </c>
      <c r="E342" s="12" t="s">
        <v>36</v>
      </c>
      <c r="F342" s="12" t="s">
        <v>37</v>
      </c>
      <c r="G342" s="9"/>
      <c r="H342" s="13">
        <v>2020.0</v>
      </c>
      <c r="I342" s="14">
        <v>0.0</v>
      </c>
      <c r="J342" s="14"/>
      <c r="K342" s="14"/>
      <c r="L342" s="14"/>
      <c r="M342" s="14"/>
      <c r="N342" s="19"/>
      <c r="O342" s="19"/>
      <c r="P342" s="19"/>
      <c r="Q342" s="19"/>
      <c r="R342" s="19"/>
      <c r="S342" s="19"/>
      <c r="T342" s="19"/>
      <c r="U342" s="14">
        <v>1.0</v>
      </c>
      <c r="V342" s="19"/>
      <c r="W342" s="14" t="s">
        <v>31</v>
      </c>
      <c r="X342" s="14" t="s">
        <v>39</v>
      </c>
      <c r="Y342" s="9" t="s">
        <v>58</v>
      </c>
      <c r="Z342" s="9" t="s">
        <v>1305</v>
      </c>
    </row>
    <row r="343">
      <c r="A343" s="9">
        <v>342.0</v>
      </c>
      <c r="B343" s="10" t="s">
        <v>1306</v>
      </c>
      <c r="C343" s="11" t="s">
        <v>1307</v>
      </c>
      <c r="D343" s="10" t="s">
        <v>611</v>
      </c>
      <c r="E343" s="22"/>
      <c r="F343" s="22"/>
      <c r="G343" s="9"/>
      <c r="H343" s="10"/>
      <c r="I343" s="14">
        <v>0.0</v>
      </c>
      <c r="J343" s="14"/>
      <c r="K343" s="14"/>
      <c r="L343" s="14"/>
      <c r="M343" s="14"/>
      <c r="N343" s="19"/>
      <c r="O343" s="19"/>
      <c r="P343" s="19"/>
      <c r="Q343" s="14"/>
      <c r="R343" s="19"/>
      <c r="S343" s="19"/>
      <c r="T343" s="19"/>
      <c r="U343" s="19"/>
      <c r="V343" s="19"/>
      <c r="W343" s="14"/>
      <c r="X343" s="14" t="s">
        <v>31</v>
      </c>
      <c r="Y343" s="9" t="s">
        <v>32</v>
      </c>
      <c r="Z343" s="9" t="s">
        <v>1308</v>
      </c>
    </row>
    <row r="344">
      <c r="A344" s="9">
        <v>343.0</v>
      </c>
      <c r="B344" s="10" t="s">
        <v>1309</v>
      </c>
      <c r="C344" s="11" t="s">
        <v>1310</v>
      </c>
      <c r="D344" s="10" t="s">
        <v>1311</v>
      </c>
      <c r="E344" s="12" t="s">
        <v>36</v>
      </c>
      <c r="F344" s="12" t="s">
        <v>37</v>
      </c>
      <c r="G344" s="9"/>
      <c r="H344" s="13">
        <v>2019.0</v>
      </c>
      <c r="I344" s="19"/>
      <c r="J344" s="19"/>
      <c r="K344" s="19"/>
      <c r="L344" s="19"/>
      <c r="M344" s="19"/>
      <c r="N344" s="19"/>
      <c r="O344" s="19"/>
      <c r="P344" s="14">
        <v>1.0</v>
      </c>
      <c r="Q344" s="14"/>
      <c r="R344" s="19"/>
      <c r="S344" s="19"/>
      <c r="T344" s="19"/>
      <c r="U344" s="19"/>
      <c r="V344" s="19"/>
      <c r="W344" s="14"/>
      <c r="X344" s="14" t="s">
        <v>31</v>
      </c>
      <c r="Y344" s="9" t="s">
        <v>32</v>
      </c>
      <c r="Z344" s="9"/>
    </row>
    <row r="345">
      <c r="A345" s="9">
        <v>344.0</v>
      </c>
      <c r="B345" s="10" t="s">
        <v>1312</v>
      </c>
      <c r="C345" s="16" t="s">
        <v>1313</v>
      </c>
      <c r="D345" s="10" t="s">
        <v>1314</v>
      </c>
      <c r="E345" s="22"/>
      <c r="F345" s="22"/>
      <c r="G345" s="9"/>
      <c r="H345" s="10"/>
      <c r="I345" s="19"/>
      <c r="J345" s="19"/>
      <c r="K345" s="19"/>
      <c r="L345" s="19"/>
      <c r="M345" s="19"/>
      <c r="N345" s="19"/>
      <c r="O345" s="19"/>
      <c r="P345" s="19"/>
      <c r="Q345" s="14"/>
      <c r="R345" s="19"/>
      <c r="S345" s="19"/>
      <c r="T345" s="14">
        <v>1.0</v>
      </c>
      <c r="U345" s="19"/>
      <c r="V345" s="19"/>
      <c r="W345" s="14"/>
      <c r="X345" s="14" t="s">
        <v>31</v>
      </c>
      <c r="Y345" s="9" t="s">
        <v>32</v>
      </c>
      <c r="Z345" s="9"/>
    </row>
    <row r="346">
      <c r="A346" s="9">
        <v>345.0</v>
      </c>
      <c r="B346" s="10" t="s">
        <v>1315</v>
      </c>
      <c r="C346" s="11" t="s">
        <v>1316</v>
      </c>
      <c r="D346" s="10" t="s">
        <v>1317</v>
      </c>
      <c r="E346" s="22" t="s">
        <v>62</v>
      </c>
      <c r="F346" s="22" t="s">
        <v>62</v>
      </c>
      <c r="G346" s="9"/>
      <c r="H346" s="13">
        <v>2019.0</v>
      </c>
      <c r="I346" s="14">
        <v>0.0</v>
      </c>
      <c r="J346" s="19"/>
      <c r="K346" s="19"/>
      <c r="L346" s="19"/>
      <c r="M346" s="19"/>
      <c r="N346" s="19"/>
      <c r="O346" s="19"/>
      <c r="P346" s="19"/>
      <c r="Q346" s="14"/>
      <c r="R346" s="19"/>
      <c r="S346" s="19"/>
      <c r="T346" s="19"/>
      <c r="U346" s="19"/>
      <c r="V346" s="19"/>
      <c r="W346" s="14"/>
      <c r="X346" s="14" t="s">
        <v>31</v>
      </c>
      <c r="Y346" s="9" t="s">
        <v>32</v>
      </c>
      <c r="Z346" s="9"/>
    </row>
    <row r="347">
      <c r="A347" s="9">
        <v>346.0</v>
      </c>
      <c r="B347" s="10" t="s">
        <v>1318</v>
      </c>
      <c r="C347" s="11" t="s">
        <v>1319</v>
      </c>
      <c r="D347" s="10" t="s">
        <v>1320</v>
      </c>
      <c r="E347" s="17" t="s">
        <v>1321</v>
      </c>
      <c r="F347" s="17" t="s">
        <v>1321</v>
      </c>
      <c r="G347" s="9"/>
      <c r="H347" s="18">
        <v>2018.0</v>
      </c>
      <c r="I347" s="19"/>
      <c r="J347" s="19"/>
      <c r="K347" s="19"/>
      <c r="L347" s="19"/>
      <c r="M347" s="19"/>
      <c r="N347" s="19"/>
      <c r="O347" s="19"/>
      <c r="P347" s="14">
        <v>1.0</v>
      </c>
      <c r="Q347" s="14"/>
      <c r="R347" s="14"/>
      <c r="S347" s="19"/>
      <c r="T347" s="19"/>
      <c r="U347" s="19"/>
      <c r="V347" s="19"/>
      <c r="W347" s="14"/>
      <c r="X347" s="14" t="s">
        <v>31</v>
      </c>
      <c r="Y347" s="9" t="s">
        <v>32</v>
      </c>
      <c r="Z347" s="9"/>
    </row>
    <row r="348">
      <c r="A348" s="9">
        <v>347.0</v>
      </c>
      <c r="B348" s="10" t="s">
        <v>1322</v>
      </c>
      <c r="C348" s="11" t="s">
        <v>1323</v>
      </c>
      <c r="D348" s="10" t="s">
        <v>1324</v>
      </c>
      <c r="E348" s="22" t="s">
        <v>62</v>
      </c>
      <c r="F348" s="22" t="s">
        <v>62</v>
      </c>
      <c r="G348" s="9"/>
      <c r="H348" s="13">
        <v>2019.0</v>
      </c>
      <c r="I348" s="14">
        <v>0.0</v>
      </c>
      <c r="J348" s="19"/>
      <c r="K348" s="19"/>
      <c r="L348" s="19"/>
      <c r="M348" s="19"/>
      <c r="N348" s="19"/>
      <c r="O348" s="19"/>
      <c r="P348" s="19"/>
      <c r="Q348" s="19"/>
      <c r="R348" s="19"/>
      <c r="S348" s="19"/>
      <c r="T348" s="19"/>
      <c r="U348" s="19"/>
      <c r="V348" s="19"/>
      <c r="W348" s="14"/>
      <c r="X348" s="14" t="s">
        <v>31</v>
      </c>
      <c r="Y348" s="9" t="s">
        <v>32</v>
      </c>
      <c r="Z348" s="9"/>
    </row>
    <row r="349">
      <c r="A349" s="9">
        <v>348.0</v>
      </c>
      <c r="B349" s="10" t="s">
        <v>1325</v>
      </c>
      <c r="C349" s="11" t="s">
        <v>1326</v>
      </c>
      <c r="D349" s="10" t="s">
        <v>1327</v>
      </c>
      <c r="E349" s="12" t="s">
        <v>36</v>
      </c>
      <c r="F349" s="12" t="s">
        <v>37</v>
      </c>
      <c r="G349" s="9" t="s">
        <v>38</v>
      </c>
      <c r="H349" s="13">
        <v>2020.0</v>
      </c>
      <c r="I349" s="14">
        <v>1.0</v>
      </c>
      <c r="J349" s="19"/>
      <c r="K349" s="14">
        <v>1.0</v>
      </c>
      <c r="L349" s="14"/>
      <c r="M349" s="14">
        <v>1.0</v>
      </c>
      <c r="N349" s="14">
        <v>0.0</v>
      </c>
      <c r="O349" s="19"/>
      <c r="P349" s="14">
        <v>0.0</v>
      </c>
      <c r="Q349" s="14">
        <v>0.0</v>
      </c>
      <c r="R349" s="14">
        <v>0.0</v>
      </c>
      <c r="S349" s="14">
        <v>0.0</v>
      </c>
      <c r="T349" s="14">
        <v>0.0</v>
      </c>
      <c r="U349" s="14">
        <v>0.0</v>
      </c>
      <c r="V349" s="14">
        <v>0.0</v>
      </c>
      <c r="W349" s="14"/>
      <c r="X349" s="14" t="s">
        <v>39</v>
      </c>
      <c r="Y349" s="9"/>
      <c r="Z349" s="9" t="s">
        <v>1223</v>
      </c>
    </row>
    <row r="350">
      <c r="A350" s="9">
        <v>349.0</v>
      </c>
      <c r="B350" s="10" t="s">
        <v>1328</v>
      </c>
      <c r="C350" s="33" t="s">
        <v>1329</v>
      </c>
      <c r="D350" s="10" t="s">
        <v>1330</v>
      </c>
      <c r="E350" s="12" t="s">
        <v>36</v>
      </c>
      <c r="F350" s="12" t="s">
        <v>37</v>
      </c>
      <c r="G350" s="9" t="s">
        <v>58</v>
      </c>
      <c r="H350" s="18">
        <v>2019.0</v>
      </c>
      <c r="I350" s="14">
        <v>1.0</v>
      </c>
      <c r="J350" s="14">
        <v>1.0</v>
      </c>
      <c r="K350" s="14">
        <v>1.0</v>
      </c>
      <c r="L350" s="14">
        <v>1.0</v>
      </c>
      <c r="M350" s="14">
        <v>1.0</v>
      </c>
      <c r="N350" s="14">
        <v>0.0</v>
      </c>
      <c r="O350" s="14">
        <v>0.0</v>
      </c>
      <c r="P350" s="14">
        <v>0.0</v>
      </c>
      <c r="Q350" s="14">
        <v>0.0</v>
      </c>
      <c r="R350" s="14">
        <v>0.0</v>
      </c>
      <c r="S350" s="14">
        <v>0.0</v>
      </c>
      <c r="T350" s="14">
        <v>0.0</v>
      </c>
      <c r="U350" s="14">
        <v>0.0</v>
      </c>
      <c r="V350" s="14">
        <v>0.0</v>
      </c>
      <c r="W350" s="14"/>
      <c r="X350" s="14" t="s">
        <v>39</v>
      </c>
      <c r="Y350" s="9"/>
      <c r="Z350" s="9" t="s">
        <v>1223</v>
      </c>
    </row>
    <row r="351">
      <c r="A351" s="9">
        <v>350.0</v>
      </c>
      <c r="B351" s="29" t="s">
        <v>1331</v>
      </c>
      <c r="C351" s="34" t="s">
        <v>1332</v>
      </c>
      <c r="D351" s="29" t="s">
        <v>1333</v>
      </c>
      <c r="E351" s="12" t="s">
        <v>36</v>
      </c>
      <c r="F351" s="12" t="s">
        <v>37</v>
      </c>
      <c r="G351" s="9" t="s">
        <v>58</v>
      </c>
      <c r="H351" s="18">
        <v>2019.0</v>
      </c>
      <c r="I351" s="14">
        <v>1.0</v>
      </c>
      <c r="J351" s="14">
        <v>1.0</v>
      </c>
      <c r="K351" s="14">
        <v>1.0</v>
      </c>
      <c r="L351" s="14">
        <v>1.0</v>
      </c>
      <c r="M351" s="14">
        <v>1.0</v>
      </c>
      <c r="N351" s="14">
        <v>0.0</v>
      </c>
      <c r="O351" s="14">
        <v>0.0</v>
      </c>
      <c r="P351" s="14">
        <v>0.0</v>
      </c>
      <c r="Q351" s="14">
        <v>0.0</v>
      </c>
      <c r="R351" s="14">
        <v>0.0</v>
      </c>
      <c r="S351" s="14">
        <v>0.0</v>
      </c>
      <c r="T351" s="14">
        <v>0.0</v>
      </c>
      <c r="U351" s="14">
        <v>0.0</v>
      </c>
      <c r="V351" s="14">
        <v>0.0</v>
      </c>
      <c r="W351" s="14" t="s">
        <v>39</v>
      </c>
      <c r="X351" s="14" t="s">
        <v>39</v>
      </c>
      <c r="Y351" s="9" t="s">
        <v>58</v>
      </c>
      <c r="Z351" s="9" t="s">
        <v>837</v>
      </c>
    </row>
    <row r="352">
      <c r="A352" s="9">
        <v>351.0</v>
      </c>
      <c r="B352" s="29" t="s">
        <v>1334</v>
      </c>
      <c r="C352" s="34" t="s">
        <v>1335</v>
      </c>
      <c r="D352" s="29" t="s">
        <v>1336</v>
      </c>
      <c r="E352" s="25" t="s">
        <v>128</v>
      </c>
      <c r="F352" s="25" t="s">
        <v>128</v>
      </c>
      <c r="G352" s="9" t="s">
        <v>38</v>
      </c>
      <c r="H352" s="18">
        <v>2018.0</v>
      </c>
      <c r="I352" s="14">
        <v>1.0</v>
      </c>
      <c r="J352" s="14">
        <v>1.0</v>
      </c>
      <c r="K352" s="14">
        <v>1.0</v>
      </c>
      <c r="L352" s="14">
        <v>1.0</v>
      </c>
      <c r="M352" s="14">
        <v>1.0</v>
      </c>
      <c r="N352" s="14">
        <v>0.0</v>
      </c>
      <c r="O352" s="14">
        <v>0.0</v>
      </c>
      <c r="P352" s="14">
        <v>0.0</v>
      </c>
      <c r="Q352" s="14">
        <v>0.0</v>
      </c>
      <c r="R352" s="14">
        <v>0.0</v>
      </c>
      <c r="S352" s="14">
        <v>0.0</v>
      </c>
      <c r="T352" s="14">
        <v>0.0</v>
      </c>
      <c r="U352" s="14">
        <v>0.0</v>
      </c>
      <c r="V352" s="14">
        <v>0.0</v>
      </c>
      <c r="W352" s="14" t="s">
        <v>39</v>
      </c>
      <c r="X352" s="14" t="s">
        <v>39</v>
      </c>
      <c r="Y352" s="9" t="s">
        <v>58</v>
      </c>
      <c r="Z352" s="9" t="s">
        <v>1337</v>
      </c>
    </row>
    <row r="353">
      <c r="A353" s="9">
        <v>352.0</v>
      </c>
      <c r="B353" s="10" t="s">
        <v>1338</v>
      </c>
      <c r="C353" s="11" t="s">
        <v>1339</v>
      </c>
      <c r="D353" s="10" t="s">
        <v>1340</v>
      </c>
      <c r="E353" s="12" t="s">
        <v>36</v>
      </c>
      <c r="F353" s="12" t="s">
        <v>37</v>
      </c>
      <c r="G353" s="9"/>
      <c r="H353" s="13">
        <v>2018.0</v>
      </c>
      <c r="I353" s="19"/>
      <c r="J353" s="19"/>
      <c r="K353" s="19"/>
      <c r="L353" s="19"/>
      <c r="M353" s="19"/>
      <c r="N353" s="19"/>
      <c r="O353" s="19"/>
      <c r="P353" s="14">
        <v>1.0</v>
      </c>
      <c r="Q353" s="14"/>
      <c r="R353" s="19"/>
      <c r="S353" s="19"/>
      <c r="T353" s="19"/>
      <c r="U353" s="19"/>
      <c r="V353" s="19"/>
      <c r="W353" s="14"/>
      <c r="X353" s="14" t="s">
        <v>31</v>
      </c>
      <c r="Y353" s="9" t="s">
        <v>32</v>
      </c>
      <c r="Z353" s="21"/>
    </row>
    <row r="354">
      <c r="A354" s="9">
        <v>353.0</v>
      </c>
      <c r="B354" s="10" t="s">
        <v>1341</v>
      </c>
      <c r="C354" s="16" t="s">
        <v>1342</v>
      </c>
      <c r="D354" s="10" t="s">
        <v>1343</v>
      </c>
      <c r="E354" s="23" t="s">
        <v>265</v>
      </c>
      <c r="F354" s="23" t="s">
        <v>265</v>
      </c>
      <c r="G354" s="9"/>
      <c r="H354" s="13">
        <v>2020.0</v>
      </c>
      <c r="I354" s="19"/>
      <c r="J354" s="19"/>
      <c r="K354" s="19"/>
      <c r="L354" s="19"/>
      <c r="M354" s="19"/>
      <c r="N354" s="14">
        <v>1.0</v>
      </c>
      <c r="O354" s="19"/>
      <c r="P354" s="19"/>
      <c r="Q354" s="14"/>
      <c r="R354" s="19"/>
      <c r="S354" s="19"/>
      <c r="T354" s="14">
        <v>1.0</v>
      </c>
      <c r="U354" s="19"/>
      <c r="V354" s="19"/>
      <c r="W354" s="14"/>
      <c r="X354" s="14" t="s">
        <v>31</v>
      </c>
      <c r="Y354" s="9" t="s">
        <v>32</v>
      </c>
      <c r="Z354" s="9"/>
    </row>
    <row r="355">
      <c r="A355" s="9">
        <v>354.0</v>
      </c>
      <c r="B355" s="10" t="s">
        <v>1344</v>
      </c>
      <c r="C355" s="11" t="s">
        <v>1345</v>
      </c>
      <c r="D355" s="10" t="s">
        <v>1346</v>
      </c>
      <c r="E355" s="12" t="s">
        <v>36</v>
      </c>
      <c r="F355" s="12" t="s">
        <v>37</v>
      </c>
      <c r="G355" s="9"/>
      <c r="H355" s="13">
        <v>2020.0</v>
      </c>
      <c r="I355" s="14"/>
      <c r="J355" s="19"/>
      <c r="K355" s="19"/>
      <c r="L355" s="19"/>
      <c r="M355" s="19"/>
      <c r="N355" s="19"/>
      <c r="O355" s="19"/>
      <c r="P355" s="19"/>
      <c r="Q355" s="19"/>
      <c r="R355" s="19"/>
      <c r="S355" s="19"/>
      <c r="T355" s="19"/>
      <c r="U355" s="19"/>
      <c r="V355" s="19"/>
      <c r="W355" s="14"/>
      <c r="X355" s="14" t="s">
        <v>39</v>
      </c>
      <c r="Y355" s="21"/>
      <c r="Z355" s="9" t="s">
        <v>1223</v>
      </c>
    </row>
    <row r="356">
      <c r="A356" s="9">
        <v>355.0</v>
      </c>
      <c r="B356" s="10" t="s">
        <v>1347</v>
      </c>
      <c r="C356" s="11" t="s">
        <v>1348</v>
      </c>
      <c r="D356" s="10" t="s">
        <v>1349</v>
      </c>
      <c r="E356" s="25" t="s">
        <v>128</v>
      </c>
      <c r="F356" s="25" t="s">
        <v>128</v>
      </c>
      <c r="G356" s="9"/>
      <c r="H356" s="13">
        <v>2020.0</v>
      </c>
      <c r="I356" s="19"/>
      <c r="J356" s="14"/>
      <c r="K356" s="14"/>
      <c r="L356" s="14"/>
      <c r="M356" s="14"/>
      <c r="N356" s="19"/>
      <c r="O356" s="14">
        <v>1.0</v>
      </c>
      <c r="P356" s="14">
        <v>1.0</v>
      </c>
      <c r="Q356" s="14"/>
      <c r="R356" s="19"/>
      <c r="S356" s="19"/>
      <c r="T356" s="19"/>
      <c r="U356" s="19"/>
      <c r="V356" s="19"/>
      <c r="W356" s="14"/>
      <c r="X356" s="14" t="s">
        <v>31</v>
      </c>
      <c r="Y356" s="9" t="s">
        <v>32</v>
      </c>
      <c r="Z356" s="9"/>
    </row>
    <row r="357">
      <c r="A357" s="9">
        <v>356.0</v>
      </c>
      <c r="B357" s="10" t="s">
        <v>1350</v>
      </c>
      <c r="C357" s="11" t="s">
        <v>1351</v>
      </c>
      <c r="D357" s="10" t="s">
        <v>1352</v>
      </c>
      <c r="E357" s="23" t="s">
        <v>1353</v>
      </c>
      <c r="F357" s="23" t="s">
        <v>1353</v>
      </c>
      <c r="G357" s="9"/>
      <c r="H357" s="13">
        <v>2018.0</v>
      </c>
      <c r="I357" s="14"/>
      <c r="J357" s="14"/>
      <c r="K357" s="14"/>
      <c r="L357" s="14"/>
      <c r="M357" s="14"/>
      <c r="N357" s="19"/>
      <c r="O357" s="14">
        <v>1.0</v>
      </c>
      <c r="P357" s="14">
        <v>1.0</v>
      </c>
      <c r="Q357" s="19"/>
      <c r="R357" s="19"/>
      <c r="S357" s="19"/>
      <c r="T357" s="19"/>
      <c r="U357" s="19"/>
      <c r="V357" s="19"/>
      <c r="W357" s="14"/>
      <c r="X357" s="14" t="s">
        <v>31</v>
      </c>
      <c r="Y357" s="9" t="s">
        <v>32</v>
      </c>
      <c r="Z357" s="9"/>
    </row>
    <row r="358">
      <c r="A358" s="9">
        <v>357.0</v>
      </c>
      <c r="B358" s="10" t="s">
        <v>1354</v>
      </c>
      <c r="C358" s="11" t="s">
        <v>1355</v>
      </c>
      <c r="D358" s="10" t="s">
        <v>1356</v>
      </c>
      <c r="E358" s="12" t="s">
        <v>36</v>
      </c>
      <c r="F358" s="12" t="s">
        <v>37</v>
      </c>
      <c r="G358" s="9"/>
      <c r="H358" s="13">
        <v>2019.0</v>
      </c>
      <c r="I358" s="19"/>
      <c r="J358" s="19"/>
      <c r="K358" s="19"/>
      <c r="L358" s="19"/>
      <c r="M358" s="19"/>
      <c r="N358" s="14"/>
      <c r="O358" s="14"/>
      <c r="P358" s="14">
        <v>1.0</v>
      </c>
      <c r="Q358" s="19"/>
      <c r="R358" s="19"/>
      <c r="S358" s="19"/>
      <c r="T358" s="19"/>
      <c r="U358" s="19"/>
      <c r="V358" s="19"/>
      <c r="W358" s="14"/>
      <c r="X358" s="14" t="s">
        <v>31</v>
      </c>
      <c r="Y358" s="9" t="s">
        <v>32</v>
      </c>
      <c r="Z358" s="21"/>
    </row>
    <row r="359">
      <c r="A359" s="9">
        <v>358.0</v>
      </c>
      <c r="B359" s="10" t="s">
        <v>1357</v>
      </c>
      <c r="C359" s="11" t="s">
        <v>1358</v>
      </c>
      <c r="D359" s="10" t="s">
        <v>1359</v>
      </c>
      <c r="E359" s="12" t="s">
        <v>29</v>
      </c>
      <c r="F359" s="12" t="s">
        <v>30</v>
      </c>
      <c r="G359" s="9"/>
      <c r="H359" s="13">
        <v>2020.0</v>
      </c>
      <c r="I359" s="14"/>
      <c r="J359" s="19"/>
      <c r="K359" s="19"/>
      <c r="L359" s="19"/>
      <c r="M359" s="19"/>
      <c r="N359" s="19"/>
      <c r="O359" s="19"/>
      <c r="P359" s="14">
        <v>1.0</v>
      </c>
      <c r="Q359" s="19"/>
      <c r="R359" s="19"/>
      <c r="S359" s="19"/>
      <c r="T359" s="19"/>
      <c r="U359" s="19"/>
      <c r="V359" s="19"/>
      <c r="W359" s="14" t="s">
        <v>31</v>
      </c>
      <c r="X359" s="14" t="s">
        <v>39</v>
      </c>
      <c r="Y359" s="9" t="s">
        <v>58</v>
      </c>
      <c r="Z359" s="9" t="s">
        <v>1360</v>
      </c>
    </row>
    <row r="360">
      <c r="A360" s="9">
        <v>359.0</v>
      </c>
      <c r="B360" s="10" t="s">
        <v>1361</v>
      </c>
      <c r="C360" s="11" t="s">
        <v>1362</v>
      </c>
      <c r="D360" s="10" t="s">
        <v>118</v>
      </c>
      <c r="E360" s="12" t="s">
        <v>80</v>
      </c>
      <c r="F360" s="12" t="s">
        <v>81</v>
      </c>
      <c r="G360" s="9"/>
      <c r="H360" s="13">
        <v>2020.0</v>
      </c>
      <c r="I360" s="14">
        <v>1.0</v>
      </c>
      <c r="J360" s="14">
        <v>1.0</v>
      </c>
      <c r="K360" s="14">
        <v>1.0</v>
      </c>
      <c r="L360" s="14">
        <v>1.0</v>
      </c>
      <c r="M360" s="14">
        <v>1.0</v>
      </c>
      <c r="N360" s="14">
        <v>0.0</v>
      </c>
      <c r="O360" s="14">
        <v>0.0</v>
      </c>
      <c r="P360" s="14">
        <v>0.0</v>
      </c>
      <c r="Q360" s="14">
        <v>0.0</v>
      </c>
      <c r="R360" s="14">
        <v>0.0</v>
      </c>
      <c r="S360" s="14">
        <v>0.0</v>
      </c>
      <c r="T360" s="14">
        <v>0.0</v>
      </c>
      <c r="U360" s="14">
        <v>0.0</v>
      </c>
      <c r="V360" s="14">
        <v>0.0</v>
      </c>
      <c r="W360" s="14" t="s">
        <v>39</v>
      </c>
      <c r="X360" s="14" t="s">
        <v>39</v>
      </c>
      <c r="Y360" s="9" t="s">
        <v>58</v>
      </c>
      <c r="Z360" s="9" t="s">
        <v>837</v>
      </c>
    </row>
    <row r="361">
      <c r="A361" s="9">
        <v>360.0</v>
      </c>
      <c r="B361" s="10" t="s">
        <v>1363</v>
      </c>
      <c r="C361" s="11" t="s">
        <v>1364</v>
      </c>
      <c r="D361" s="10" t="s">
        <v>1365</v>
      </c>
      <c r="E361" s="23" t="s">
        <v>1366</v>
      </c>
      <c r="F361" s="23" t="s">
        <v>1366</v>
      </c>
      <c r="G361" s="9"/>
      <c r="H361" s="13">
        <v>2019.0</v>
      </c>
      <c r="I361" s="19"/>
      <c r="J361" s="19"/>
      <c r="K361" s="19"/>
      <c r="L361" s="19"/>
      <c r="M361" s="19"/>
      <c r="N361" s="19"/>
      <c r="O361" s="14">
        <v>1.0</v>
      </c>
      <c r="P361" s="19"/>
      <c r="Q361" s="14"/>
      <c r="R361" s="19"/>
      <c r="S361" s="19"/>
      <c r="T361" s="19"/>
      <c r="U361" s="19"/>
      <c r="V361" s="19"/>
      <c r="W361" s="14"/>
      <c r="X361" s="14" t="s">
        <v>31</v>
      </c>
      <c r="Y361" s="9" t="s">
        <v>32</v>
      </c>
      <c r="Z361" s="9"/>
    </row>
    <row r="362">
      <c r="A362" s="9">
        <v>361.0</v>
      </c>
      <c r="B362" s="10" t="s">
        <v>1367</v>
      </c>
      <c r="C362" s="11" t="s">
        <v>1368</v>
      </c>
      <c r="D362" s="10" t="s">
        <v>1369</v>
      </c>
      <c r="E362" s="12" t="s">
        <v>36</v>
      </c>
      <c r="F362" s="12" t="s">
        <v>37</v>
      </c>
      <c r="G362" s="9"/>
      <c r="H362" s="13">
        <v>2018.0</v>
      </c>
      <c r="I362" s="19"/>
      <c r="J362" s="19"/>
      <c r="K362" s="19"/>
      <c r="L362" s="19"/>
      <c r="M362" s="19"/>
      <c r="N362" s="14">
        <v>1.0</v>
      </c>
      <c r="O362" s="19"/>
      <c r="P362" s="19"/>
      <c r="Q362" s="14"/>
      <c r="R362" s="19"/>
      <c r="S362" s="19"/>
      <c r="T362" s="19"/>
      <c r="U362" s="19"/>
      <c r="V362" s="19"/>
      <c r="W362" s="14"/>
      <c r="X362" s="14" t="s">
        <v>31</v>
      </c>
      <c r="Y362" s="9" t="s">
        <v>32</v>
      </c>
      <c r="Z362" s="9"/>
    </row>
    <row r="363">
      <c r="A363" s="9">
        <v>362.0</v>
      </c>
      <c r="B363" s="10" t="s">
        <v>1370</v>
      </c>
      <c r="C363" s="11" t="s">
        <v>1371</v>
      </c>
      <c r="D363" s="10" t="s">
        <v>1372</v>
      </c>
      <c r="E363" s="12" t="s">
        <v>36</v>
      </c>
      <c r="F363" s="12" t="s">
        <v>37</v>
      </c>
      <c r="G363" s="9"/>
      <c r="H363" s="13">
        <v>2018.0</v>
      </c>
      <c r="I363" s="14">
        <v>1.0</v>
      </c>
      <c r="J363" s="14">
        <v>1.0</v>
      </c>
      <c r="K363" s="14">
        <v>1.0</v>
      </c>
      <c r="L363" s="14">
        <v>1.0</v>
      </c>
      <c r="M363" s="14">
        <v>1.0</v>
      </c>
      <c r="N363" s="14">
        <v>0.0</v>
      </c>
      <c r="O363" s="14">
        <v>0.0</v>
      </c>
      <c r="P363" s="14">
        <v>0.0</v>
      </c>
      <c r="Q363" s="14">
        <v>0.0</v>
      </c>
      <c r="R363" s="14">
        <v>0.0</v>
      </c>
      <c r="S363" s="14">
        <v>0.0</v>
      </c>
      <c r="T363" s="14">
        <v>0.0</v>
      </c>
      <c r="U363" s="14">
        <v>0.0</v>
      </c>
      <c r="V363" s="14">
        <v>0.0</v>
      </c>
      <c r="W363" s="14" t="s">
        <v>39</v>
      </c>
      <c r="X363" s="14" t="s">
        <v>39</v>
      </c>
      <c r="Y363" s="9" t="s">
        <v>58</v>
      </c>
      <c r="Z363" s="9" t="s">
        <v>1009</v>
      </c>
    </row>
    <row r="364">
      <c r="A364" s="9">
        <v>363.0</v>
      </c>
      <c r="B364" s="10" t="s">
        <v>1373</v>
      </c>
      <c r="C364" s="16" t="s">
        <v>1374</v>
      </c>
      <c r="D364" s="10" t="s">
        <v>1375</v>
      </c>
      <c r="E364" s="23" t="s">
        <v>1376</v>
      </c>
      <c r="F364" s="23" t="s">
        <v>1376</v>
      </c>
      <c r="G364" s="9"/>
      <c r="H364" s="13">
        <v>2020.0</v>
      </c>
      <c r="I364" s="14"/>
      <c r="J364" s="14"/>
      <c r="K364" s="14"/>
      <c r="L364" s="14"/>
      <c r="M364" s="14"/>
      <c r="N364" s="19"/>
      <c r="O364" s="19"/>
      <c r="P364" s="19"/>
      <c r="Q364" s="14">
        <v>1.0</v>
      </c>
      <c r="R364" s="19"/>
      <c r="S364" s="19"/>
      <c r="T364" s="19"/>
      <c r="U364" s="19"/>
      <c r="V364" s="19"/>
      <c r="W364" s="14"/>
      <c r="X364" s="14" t="s">
        <v>31</v>
      </c>
      <c r="Y364" s="9" t="s">
        <v>32</v>
      </c>
      <c r="Z364" s="9"/>
    </row>
    <row r="365">
      <c r="A365" s="9">
        <v>364.0</v>
      </c>
      <c r="B365" s="10" t="s">
        <v>1377</v>
      </c>
      <c r="C365" s="11" t="s">
        <v>1378</v>
      </c>
      <c r="D365" s="10" t="s">
        <v>1379</v>
      </c>
      <c r="E365" s="17" t="s">
        <v>1380</v>
      </c>
      <c r="F365" s="17" t="s">
        <v>1380</v>
      </c>
      <c r="G365" s="9"/>
      <c r="H365" s="18">
        <v>2018.0</v>
      </c>
      <c r="I365" s="19"/>
      <c r="J365" s="19"/>
      <c r="K365" s="19"/>
      <c r="L365" s="19"/>
      <c r="M365" s="19"/>
      <c r="N365" s="14"/>
      <c r="O365" s="19"/>
      <c r="P365" s="14">
        <v>1.0</v>
      </c>
      <c r="Q365" s="14"/>
      <c r="R365" s="19"/>
      <c r="S365" s="19"/>
      <c r="T365" s="19"/>
      <c r="U365" s="19"/>
      <c r="V365" s="19"/>
      <c r="W365" s="14"/>
      <c r="X365" s="14" t="s">
        <v>31</v>
      </c>
      <c r="Y365" s="9" t="s">
        <v>32</v>
      </c>
      <c r="Z365" s="21"/>
    </row>
    <row r="366">
      <c r="A366" s="9">
        <v>365.0</v>
      </c>
      <c r="B366" s="10" t="s">
        <v>1381</v>
      </c>
      <c r="C366" s="11" t="s">
        <v>1382</v>
      </c>
      <c r="D366" s="10" t="s">
        <v>1383</v>
      </c>
      <c r="E366" s="12" t="s">
        <v>36</v>
      </c>
      <c r="F366" s="12" t="s">
        <v>37</v>
      </c>
      <c r="G366" s="9"/>
      <c r="H366" s="13">
        <v>2020.0</v>
      </c>
      <c r="I366" s="19"/>
      <c r="J366" s="19"/>
      <c r="K366" s="19"/>
      <c r="L366" s="19"/>
      <c r="M366" s="19"/>
      <c r="N366" s="19"/>
      <c r="O366" s="14">
        <v>1.0</v>
      </c>
      <c r="P366" s="19"/>
      <c r="Q366" s="19"/>
      <c r="R366" s="19"/>
      <c r="S366" s="19"/>
      <c r="T366" s="19"/>
      <c r="U366" s="19"/>
      <c r="V366" s="19"/>
      <c r="W366" s="14"/>
      <c r="X366" s="14" t="s">
        <v>31</v>
      </c>
      <c r="Y366" s="9" t="s">
        <v>32</v>
      </c>
      <c r="Z366" s="9"/>
    </row>
    <row r="367">
      <c r="A367" s="9">
        <v>366.0</v>
      </c>
      <c r="B367" s="10" t="s">
        <v>1384</v>
      </c>
      <c r="C367" s="11" t="s">
        <v>1385</v>
      </c>
      <c r="D367" s="10" t="s">
        <v>1386</v>
      </c>
      <c r="E367" s="25" t="s">
        <v>62</v>
      </c>
      <c r="F367" s="25" t="s">
        <v>62</v>
      </c>
      <c r="G367" s="9"/>
      <c r="H367" s="18">
        <v>2019.0</v>
      </c>
      <c r="I367" s="14">
        <v>1.0</v>
      </c>
      <c r="J367" s="19"/>
      <c r="K367" s="14">
        <v>1.0</v>
      </c>
      <c r="L367" s="19"/>
      <c r="M367" s="14">
        <v>1.0</v>
      </c>
      <c r="N367" s="19"/>
      <c r="O367" s="14">
        <v>0.0</v>
      </c>
      <c r="P367" s="14">
        <v>0.0</v>
      </c>
      <c r="Q367" s="14">
        <v>0.0</v>
      </c>
      <c r="R367" s="14">
        <v>0.0</v>
      </c>
      <c r="S367" s="14">
        <v>0.0</v>
      </c>
      <c r="T367" s="14">
        <v>0.0</v>
      </c>
      <c r="U367" s="14">
        <v>0.0</v>
      </c>
      <c r="V367" s="14">
        <v>0.0</v>
      </c>
      <c r="W367" s="14" t="s">
        <v>31</v>
      </c>
      <c r="X367" s="14" t="s">
        <v>39</v>
      </c>
      <c r="Y367" s="9" t="s">
        <v>58</v>
      </c>
      <c r="Z367" s="9" t="s">
        <v>1387</v>
      </c>
    </row>
    <row r="368">
      <c r="A368" s="9">
        <v>367.0</v>
      </c>
      <c r="B368" s="10" t="s">
        <v>1388</v>
      </c>
      <c r="C368" s="11" t="s">
        <v>1389</v>
      </c>
      <c r="D368" s="10" t="s">
        <v>1390</v>
      </c>
      <c r="E368" s="12" t="s">
        <v>80</v>
      </c>
      <c r="F368" s="12" t="s">
        <v>81</v>
      </c>
      <c r="G368" s="9"/>
      <c r="H368" s="18">
        <v>2018.0</v>
      </c>
      <c r="I368" s="14">
        <v>1.0</v>
      </c>
      <c r="J368" s="19"/>
      <c r="K368" s="14">
        <v>1.0</v>
      </c>
      <c r="L368" s="19"/>
      <c r="M368" s="14">
        <v>1.0</v>
      </c>
      <c r="N368" s="14">
        <v>1.0</v>
      </c>
      <c r="O368" s="14">
        <v>0.0</v>
      </c>
      <c r="P368" s="14">
        <v>0.0</v>
      </c>
      <c r="Q368" s="14">
        <v>0.0</v>
      </c>
      <c r="R368" s="14">
        <v>0.0</v>
      </c>
      <c r="S368" s="14">
        <v>0.0</v>
      </c>
      <c r="T368" s="14">
        <v>0.0</v>
      </c>
      <c r="U368" s="14">
        <v>0.0</v>
      </c>
      <c r="V368" s="14">
        <v>0.0</v>
      </c>
      <c r="W368" s="14" t="s">
        <v>31</v>
      </c>
      <c r="X368" s="14" t="s">
        <v>39</v>
      </c>
      <c r="Y368" s="9" t="s">
        <v>58</v>
      </c>
      <c r="Z368" s="9" t="s">
        <v>1391</v>
      </c>
    </row>
    <row r="369">
      <c r="A369" s="9">
        <v>368.0</v>
      </c>
      <c r="B369" s="10" t="s">
        <v>1392</v>
      </c>
      <c r="C369" s="11" t="s">
        <v>1393</v>
      </c>
      <c r="D369" s="10" t="s">
        <v>1394</v>
      </c>
      <c r="E369" s="23" t="s">
        <v>555</v>
      </c>
      <c r="F369" s="23" t="s">
        <v>555</v>
      </c>
      <c r="G369" s="9"/>
      <c r="H369" s="13">
        <v>2020.0</v>
      </c>
      <c r="I369" s="19"/>
      <c r="J369" s="19"/>
      <c r="K369" s="19"/>
      <c r="L369" s="19"/>
      <c r="M369" s="19"/>
      <c r="N369" s="19"/>
      <c r="O369" s="19"/>
      <c r="P369" s="19"/>
      <c r="Q369" s="14"/>
      <c r="R369" s="19"/>
      <c r="S369" s="19"/>
      <c r="T369" s="19"/>
      <c r="U369" s="19"/>
      <c r="V369" s="14">
        <v>1.0</v>
      </c>
      <c r="W369" s="14"/>
      <c r="X369" s="14" t="s">
        <v>31</v>
      </c>
      <c r="Y369" s="9" t="s">
        <v>32</v>
      </c>
      <c r="Z369" s="9" t="s">
        <v>1395</v>
      </c>
    </row>
    <row r="370">
      <c r="A370" s="9">
        <v>369.0</v>
      </c>
      <c r="B370" s="10" t="s">
        <v>1396</v>
      </c>
      <c r="C370" s="11" t="s">
        <v>1397</v>
      </c>
      <c r="D370" s="10" t="s">
        <v>1398</v>
      </c>
      <c r="E370" s="12" t="s">
        <v>36</v>
      </c>
      <c r="F370" s="12" t="s">
        <v>37</v>
      </c>
      <c r="G370" s="9"/>
      <c r="H370" s="13">
        <v>2019.0</v>
      </c>
      <c r="I370" s="19"/>
      <c r="J370" s="19"/>
      <c r="K370" s="19"/>
      <c r="L370" s="19"/>
      <c r="M370" s="19"/>
      <c r="N370" s="19"/>
      <c r="O370" s="14">
        <v>1.0</v>
      </c>
      <c r="P370" s="19"/>
      <c r="Q370" s="14"/>
      <c r="R370" s="19"/>
      <c r="S370" s="19"/>
      <c r="T370" s="19"/>
      <c r="U370" s="19"/>
      <c r="V370" s="19"/>
      <c r="W370" s="14"/>
      <c r="X370" s="14" t="s">
        <v>31</v>
      </c>
      <c r="Y370" s="9" t="s">
        <v>32</v>
      </c>
      <c r="Z370" s="9"/>
    </row>
    <row r="371">
      <c r="A371" s="9">
        <v>370.0</v>
      </c>
      <c r="B371" s="10" t="s">
        <v>1399</v>
      </c>
      <c r="C371" s="11" t="s">
        <v>1400</v>
      </c>
      <c r="D371" s="10" t="s">
        <v>1401</v>
      </c>
      <c r="E371" s="12" t="s">
        <v>36</v>
      </c>
      <c r="F371" s="12" t="s">
        <v>37</v>
      </c>
      <c r="G371" s="9"/>
      <c r="H371" s="13">
        <v>2018.0</v>
      </c>
      <c r="I371" s="19"/>
      <c r="J371" s="19"/>
      <c r="K371" s="19"/>
      <c r="L371" s="19"/>
      <c r="M371" s="19"/>
      <c r="N371" s="14">
        <v>1.0</v>
      </c>
      <c r="O371" s="19"/>
      <c r="P371" s="19"/>
      <c r="Q371" s="14"/>
      <c r="R371" s="19"/>
      <c r="S371" s="19"/>
      <c r="T371" s="19"/>
      <c r="U371" s="19"/>
      <c r="V371" s="19"/>
      <c r="W371" s="14"/>
      <c r="X371" s="14" t="s">
        <v>31</v>
      </c>
      <c r="Y371" s="9" t="s">
        <v>32</v>
      </c>
      <c r="Z371" s="9"/>
    </row>
    <row r="372">
      <c r="A372" s="9">
        <v>371.0</v>
      </c>
      <c r="B372" s="10" t="s">
        <v>1402</v>
      </c>
      <c r="C372" s="11" t="s">
        <v>1403</v>
      </c>
      <c r="D372" s="10" t="s">
        <v>1404</v>
      </c>
      <c r="E372" s="12" t="s">
        <v>36</v>
      </c>
      <c r="F372" s="12" t="s">
        <v>37</v>
      </c>
      <c r="G372" s="9"/>
      <c r="H372" s="18">
        <v>2019.0</v>
      </c>
      <c r="I372" s="14">
        <v>1.0</v>
      </c>
      <c r="J372" s="14">
        <v>1.0</v>
      </c>
      <c r="K372" s="14">
        <v>1.0</v>
      </c>
      <c r="L372" s="14">
        <v>1.0</v>
      </c>
      <c r="M372" s="14">
        <v>1.0</v>
      </c>
      <c r="N372" s="14">
        <v>0.0</v>
      </c>
      <c r="O372" s="14">
        <v>0.0</v>
      </c>
      <c r="P372" s="14">
        <v>0.0</v>
      </c>
      <c r="Q372" s="14">
        <v>0.0</v>
      </c>
      <c r="R372" s="14">
        <v>0.0</v>
      </c>
      <c r="S372" s="14">
        <v>0.0</v>
      </c>
      <c r="T372" s="14">
        <v>0.0</v>
      </c>
      <c r="U372" s="14">
        <v>0.0</v>
      </c>
      <c r="V372" s="14">
        <v>0.0</v>
      </c>
      <c r="W372" s="14" t="s">
        <v>39</v>
      </c>
      <c r="X372" s="14" t="s">
        <v>39</v>
      </c>
      <c r="Y372" s="9" t="s">
        <v>58</v>
      </c>
      <c r="Z372" s="9" t="s">
        <v>1405</v>
      </c>
    </row>
    <row r="373">
      <c r="A373" s="9">
        <v>372.0</v>
      </c>
      <c r="B373" s="10" t="s">
        <v>1406</v>
      </c>
      <c r="C373" s="16" t="s">
        <v>1407</v>
      </c>
      <c r="D373" s="10" t="s">
        <v>1408</v>
      </c>
      <c r="E373" s="23" t="s">
        <v>1409</v>
      </c>
      <c r="F373" s="23" t="s">
        <v>1409</v>
      </c>
      <c r="G373" s="9"/>
      <c r="H373" s="13">
        <v>2018.0</v>
      </c>
      <c r="I373" s="19"/>
      <c r="J373" s="19"/>
      <c r="K373" s="19"/>
      <c r="L373" s="19"/>
      <c r="M373" s="19"/>
      <c r="N373" s="14">
        <v>1.0</v>
      </c>
      <c r="O373" s="14">
        <v>1.0</v>
      </c>
      <c r="P373" s="19"/>
      <c r="Q373" s="19"/>
      <c r="R373" s="19"/>
      <c r="S373" s="19"/>
      <c r="T373" s="19"/>
      <c r="U373" s="19"/>
      <c r="V373" s="19"/>
      <c r="W373" s="14"/>
      <c r="X373" s="14" t="s">
        <v>31</v>
      </c>
      <c r="Y373" s="9" t="s">
        <v>32</v>
      </c>
      <c r="Z373" s="9"/>
    </row>
    <row r="374">
      <c r="A374" s="9">
        <v>373.0</v>
      </c>
      <c r="B374" s="10" t="s">
        <v>1410</v>
      </c>
      <c r="C374" s="11" t="s">
        <v>1411</v>
      </c>
      <c r="D374" s="10" t="s">
        <v>1412</v>
      </c>
      <c r="E374" s="12" t="s">
        <v>36</v>
      </c>
      <c r="F374" s="12" t="s">
        <v>37</v>
      </c>
      <c r="G374" s="9" t="s">
        <v>58</v>
      </c>
      <c r="H374" s="13">
        <v>2019.0</v>
      </c>
      <c r="I374" s="14">
        <v>1.0</v>
      </c>
      <c r="J374" s="14">
        <v>1.0</v>
      </c>
      <c r="K374" s="14">
        <v>1.0</v>
      </c>
      <c r="L374" s="14">
        <v>1.0</v>
      </c>
      <c r="M374" s="14">
        <v>1.0</v>
      </c>
      <c r="N374" s="14">
        <v>0.0</v>
      </c>
      <c r="O374" s="14">
        <v>0.0</v>
      </c>
      <c r="P374" s="14">
        <v>0.0</v>
      </c>
      <c r="Q374" s="14">
        <v>0.0</v>
      </c>
      <c r="R374" s="14">
        <v>0.0</v>
      </c>
      <c r="S374" s="14">
        <v>0.0</v>
      </c>
      <c r="T374" s="14">
        <v>0.0</v>
      </c>
      <c r="U374" s="14">
        <v>0.0</v>
      </c>
      <c r="V374" s="14">
        <v>0.0</v>
      </c>
      <c r="W374" s="14" t="s">
        <v>39</v>
      </c>
      <c r="X374" s="14" t="s">
        <v>39</v>
      </c>
      <c r="Y374" s="9" t="s">
        <v>58</v>
      </c>
      <c r="Z374" s="9" t="s">
        <v>1405</v>
      </c>
    </row>
    <row r="375">
      <c r="A375" s="9">
        <v>374.0</v>
      </c>
      <c r="B375" s="10" t="s">
        <v>1413</v>
      </c>
      <c r="C375" s="16" t="s">
        <v>1414</v>
      </c>
      <c r="D375" s="10" t="s">
        <v>1415</v>
      </c>
      <c r="E375" s="22"/>
      <c r="F375" s="22"/>
      <c r="G375" s="9"/>
      <c r="H375" s="10"/>
      <c r="I375" s="19"/>
      <c r="J375" s="19"/>
      <c r="K375" s="19"/>
      <c r="L375" s="19"/>
      <c r="M375" s="19"/>
      <c r="N375" s="19"/>
      <c r="O375" s="14">
        <v>1.0</v>
      </c>
      <c r="P375" s="19"/>
      <c r="Q375" s="19"/>
      <c r="R375" s="19"/>
      <c r="S375" s="19"/>
      <c r="T375" s="19"/>
      <c r="U375" s="19"/>
      <c r="V375" s="19"/>
      <c r="W375" s="14"/>
      <c r="X375" s="14" t="s">
        <v>31</v>
      </c>
      <c r="Y375" s="9" t="s">
        <v>32</v>
      </c>
      <c r="Z375" s="9"/>
    </row>
    <row r="376">
      <c r="A376" s="9">
        <v>375.0</v>
      </c>
      <c r="B376" s="10" t="s">
        <v>1416</v>
      </c>
      <c r="C376" s="11" t="s">
        <v>1417</v>
      </c>
      <c r="D376" s="10" t="s">
        <v>53</v>
      </c>
      <c r="E376" s="12" t="s">
        <v>80</v>
      </c>
      <c r="F376" s="12" t="s">
        <v>81</v>
      </c>
      <c r="G376" s="9"/>
      <c r="H376" s="18">
        <v>2018.0</v>
      </c>
      <c r="I376" s="19"/>
      <c r="J376" s="19"/>
      <c r="K376" s="19"/>
      <c r="L376" s="19"/>
      <c r="M376" s="19"/>
      <c r="N376" s="19"/>
      <c r="O376" s="19"/>
      <c r="P376" s="14">
        <v>1.0</v>
      </c>
      <c r="Q376" s="19"/>
      <c r="R376" s="19"/>
      <c r="S376" s="19"/>
      <c r="T376" s="19"/>
      <c r="U376" s="19"/>
      <c r="V376" s="19"/>
      <c r="W376" s="14"/>
      <c r="X376" s="14" t="s">
        <v>31</v>
      </c>
      <c r="Y376" s="9" t="s">
        <v>58</v>
      </c>
      <c r="Z376" s="9" t="s">
        <v>1418</v>
      </c>
    </row>
    <row r="377">
      <c r="A377" s="9">
        <v>376.0</v>
      </c>
      <c r="B377" s="10" t="s">
        <v>1419</v>
      </c>
      <c r="C377" s="16" t="s">
        <v>1420</v>
      </c>
      <c r="D377" s="10" t="s">
        <v>1421</v>
      </c>
      <c r="E377" s="22" t="s">
        <v>62</v>
      </c>
      <c r="F377" s="22" t="s">
        <v>62</v>
      </c>
      <c r="G377" s="9" t="s">
        <v>58</v>
      </c>
      <c r="H377" s="13">
        <v>2018.0</v>
      </c>
      <c r="I377" s="14">
        <v>1.0</v>
      </c>
      <c r="J377" s="14">
        <v>1.0</v>
      </c>
      <c r="K377" s="14">
        <v>1.0</v>
      </c>
      <c r="L377" s="14">
        <v>1.0</v>
      </c>
      <c r="M377" s="14">
        <v>1.0</v>
      </c>
      <c r="N377" s="14">
        <v>0.0</v>
      </c>
      <c r="O377" s="14">
        <v>0.0</v>
      </c>
      <c r="P377" s="14">
        <v>0.0</v>
      </c>
      <c r="Q377" s="14">
        <v>0.0</v>
      </c>
      <c r="R377" s="14">
        <v>0.0</v>
      </c>
      <c r="S377" s="14">
        <v>0.0</v>
      </c>
      <c r="T377" s="14">
        <v>0.0</v>
      </c>
      <c r="U377" s="14">
        <v>0.0</v>
      </c>
      <c r="V377" s="14">
        <v>0.0</v>
      </c>
      <c r="W377" s="14" t="s">
        <v>39</v>
      </c>
      <c r="X377" s="14" t="s">
        <v>39</v>
      </c>
      <c r="Y377" s="9" t="s">
        <v>58</v>
      </c>
      <c r="Z377" s="9" t="s">
        <v>1009</v>
      </c>
    </row>
    <row r="378">
      <c r="A378" s="9">
        <v>377.0</v>
      </c>
      <c r="B378" s="10" t="s">
        <v>1422</v>
      </c>
      <c r="C378" s="11" t="s">
        <v>1423</v>
      </c>
      <c r="D378" s="10" t="s">
        <v>1157</v>
      </c>
      <c r="E378" s="22" t="s">
        <v>128</v>
      </c>
      <c r="F378" s="22" t="s">
        <v>128</v>
      </c>
      <c r="G378" s="9"/>
      <c r="H378" s="13">
        <v>2018.0</v>
      </c>
      <c r="I378" s="14">
        <v>1.0</v>
      </c>
      <c r="J378" s="14">
        <v>1.0</v>
      </c>
      <c r="K378" s="14">
        <v>1.0</v>
      </c>
      <c r="L378" s="14">
        <v>1.0</v>
      </c>
      <c r="M378" s="14">
        <v>1.0</v>
      </c>
      <c r="N378" s="14">
        <v>0.0</v>
      </c>
      <c r="O378" s="14">
        <v>0.0</v>
      </c>
      <c r="P378" s="14">
        <v>0.0</v>
      </c>
      <c r="Q378" s="14">
        <v>0.0</v>
      </c>
      <c r="R378" s="14">
        <v>0.0</v>
      </c>
      <c r="S378" s="14">
        <v>0.0</v>
      </c>
      <c r="T378" s="14">
        <v>0.0</v>
      </c>
      <c r="U378" s="14">
        <v>0.0</v>
      </c>
      <c r="V378" s="14">
        <v>0.0</v>
      </c>
      <c r="W378" s="14" t="s">
        <v>39</v>
      </c>
      <c r="X378" s="14" t="s">
        <v>39</v>
      </c>
      <c r="Y378" s="9" t="s">
        <v>58</v>
      </c>
      <c r="Z378" s="9" t="s">
        <v>1424</v>
      </c>
    </row>
    <row r="379">
      <c r="A379" s="9">
        <v>378.0</v>
      </c>
      <c r="B379" s="10" t="s">
        <v>1425</v>
      </c>
      <c r="C379" s="11" t="s">
        <v>1426</v>
      </c>
      <c r="D379" s="10" t="s">
        <v>1427</v>
      </c>
      <c r="E379" s="25" t="s">
        <v>128</v>
      </c>
      <c r="F379" s="25" t="s">
        <v>128</v>
      </c>
      <c r="G379" s="9" t="s">
        <v>38</v>
      </c>
      <c r="H379" s="18">
        <v>2019.0</v>
      </c>
      <c r="I379" s="14">
        <v>1.0</v>
      </c>
      <c r="J379" s="14">
        <v>1.0</v>
      </c>
      <c r="K379" s="14">
        <v>1.0</v>
      </c>
      <c r="L379" s="14">
        <v>1.0</v>
      </c>
      <c r="M379" s="14">
        <v>1.0</v>
      </c>
      <c r="N379" s="14">
        <v>0.0</v>
      </c>
      <c r="O379" s="14">
        <v>0.0</v>
      </c>
      <c r="P379" s="14">
        <v>0.0</v>
      </c>
      <c r="Q379" s="14">
        <v>0.0</v>
      </c>
      <c r="R379" s="14">
        <v>0.0</v>
      </c>
      <c r="S379" s="14">
        <v>0.0</v>
      </c>
      <c r="T379" s="14">
        <v>0.0</v>
      </c>
      <c r="U379" s="14">
        <v>0.0</v>
      </c>
      <c r="V379" s="14">
        <v>0.0</v>
      </c>
      <c r="W379" s="14" t="s">
        <v>39</v>
      </c>
      <c r="X379" s="14" t="s">
        <v>39</v>
      </c>
      <c r="Y379" s="9" t="s">
        <v>58</v>
      </c>
      <c r="Z379" s="9" t="s">
        <v>1428</v>
      </c>
    </row>
    <row r="380">
      <c r="A380" s="9">
        <v>379.0</v>
      </c>
      <c r="B380" s="10" t="s">
        <v>1429</v>
      </c>
      <c r="C380" s="11" t="s">
        <v>1430</v>
      </c>
      <c r="D380" s="10" t="s">
        <v>1431</v>
      </c>
      <c r="E380" s="12" t="s">
        <v>36</v>
      </c>
      <c r="F380" s="12" t="s">
        <v>37</v>
      </c>
      <c r="G380" s="9"/>
      <c r="H380" s="18">
        <v>2019.0</v>
      </c>
      <c r="I380" s="14"/>
      <c r="J380" s="14"/>
      <c r="K380" s="14"/>
      <c r="L380" s="14"/>
      <c r="M380" s="14"/>
      <c r="N380" s="14">
        <v>1.0</v>
      </c>
      <c r="O380" s="19"/>
      <c r="P380" s="19"/>
      <c r="Q380" s="19"/>
      <c r="R380" s="19"/>
      <c r="S380" s="19"/>
      <c r="T380" s="19"/>
      <c r="U380" s="19"/>
      <c r="V380" s="19"/>
      <c r="W380" s="14"/>
      <c r="X380" s="14" t="s">
        <v>31</v>
      </c>
      <c r="Y380" s="9" t="s">
        <v>32</v>
      </c>
      <c r="Z380" s="9"/>
    </row>
    <row r="381">
      <c r="A381" s="9">
        <v>380.0</v>
      </c>
      <c r="B381" s="10" t="s">
        <v>1432</v>
      </c>
      <c r="C381" s="11" t="s">
        <v>1433</v>
      </c>
      <c r="D381" s="10" t="s">
        <v>1434</v>
      </c>
      <c r="E381" s="12" t="s">
        <v>29</v>
      </c>
      <c r="F381" s="12" t="s">
        <v>30</v>
      </c>
      <c r="G381" s="9"/>
      <c r="H381" s="13">
        <v>2020.0</v>
      </c>
      <c r="I381" s="19"/>
      <c r="J381" s="19"/>
      <c r="K381" s="19"/>
      <c r="L381" s="19"/>
      <c r="M381" s="19"/>
      <c r="N381" s="19"/>
      <c r="O381" s="19"/>
      <c r="P381" s="14">
        <v>1.0</v>
      </c>
      <c r="Q381" s="14"/>
      <c r="R381" s="19"/>
      <c r="S381" s="19"/>
      <c r="T381" s="19"/>
      <c r="U381" s="19"/>
      <c r="V381" s="19"/>
      <c r="W381" s="14"/>
      <c r="X381" s="14" t="s">
        <v>31</v>
      </c>
      <c r="Y381" s="9" t="s">
        <v>32</v>
      </c>
      <c r="Z381" s="21"/>
    </row>
    <row r="382">
      <c r="A382" s="9">
        <v>381.0</v>
      </c>
      <c r="B382" s="10" t="s">
        <v>1435</v>
      </c>
      <c r="C382" s="11" t="s">
        <v>1436</v>
      </c>
      <c r="D382" s="10" t="s">
        <v>1437</v>
      </c>
      <c r="E382" s="12" t="s">
        <v>36</v>
      </c>
      <c r="F382" s="12" t="s">
        <v>37</v>
      </c>
      <c r="G382" s="9"/>
      <c r="H382" s="13">
        <v>2018.0</v>
      </c>
      <c r="I382" s="19"/>
      <c r="J382" s="19"/>
      <c r="K382" s="19"/>
      <c r="L382" s="19"/>
      <c r="M382" s="19"/>
      <c r="N382" s="19"/>
      <c r="O382" s="14">
        <v>1.0</v>
      </c>
      <c r="P382" s="14"/>
      <c r="Q382" s="14"/>
      <c r="R382" s="19"/>
      <c r="S382" s="19"/>
      <c r="T382" s="19"/>
      <c r="U382" s="19"/>
      <c r="V382" s="19"/>
      <c r="W382" s="14"/>
      <c r="X382" s="14" t="s">
        <v>31</v>
      </c>
      <c r="Y382" s="9" t="s">
        <v>32</v>
      </c>
      <c r="Z382" s="21"/>
    </row>
    <row r="383">
      <c r="A383" s="9">
        <v>382.0</v>
      </c>
      <c r="B383" s="10" t="s">
        <v>1438</v>
      </c>
      <c r="C383" s="11" t="s">
        <v>1439</v>
      </c>
      <c r="D383" s="10" t="s">
        <v>1440</v>
      </c>
      <c r="E383" s="12" t="s">
        <v>36</v>
      </c>
      <c r="F383" s="12" t="s">
        <v>37</v>
      </c>
      <c r="G383" s="9" t="s">
        <v>58</v>
      </c>
      <c r="H383" s="13">
        <v>2018.0</v>
      </c>
      <c r="I383" s="14">
        <v>1.0</v>
      </c>
      <c r="J383" s="14">
        <v>1.0</v>
      </c>
      <c r="K383" s="14">
        <v>1.0</v>
      </c>
      <c r="L383" s="14">
        <v>1.0</v>
      </c>
      <c r="M383" s="14">
        <v>1.0</v>
      </c>
      <c r="N383" s="14">
        <v>0.0</v>
      </c>
      <c r="O383" s="14">
        <v>0.0</v>
      </c>
      <c r="P383" s="14">
        <v>0.0</v>
      </c>
      <c r="Q383" s="14">
        <v>0.0</v>
      </c>
      <c r="R383" s="14">
        <v>0.0</v>
      </c>
      <c r="S383" s="14">
        <v>0.0</v>
      </c>
      <c r="T383" s="14">
        <v>0.0</v>
      </c>
      <c r="U383" s="14">
        <v>0.0</v>
      </c>
      <c r="V383" s="14">
        <v>0.0</v>
      </c>
      <c r="W383" s="14" t="s">
        <v>39</v>
      </c>
      <c r="X383" s="14" t="s">
        <v>39</v>
      </c>
      <c r="Y383" s="9" t="s">
        <v>58</v>
      </c>
      <c r="Z383" s="9"/>
    </row>
    <row r="384">
      <c r="A384" s="9">
        <v>383.0</v>
      </c>
      <c r="B384" s="10" t="s">
        <v>1441</v>
      </c>
      <c r="C384" s="11" t="s">
        <v>1442</v>
      </c>
      <c r="D384" s="10" t="s">
        <v>1443</v>
      </c>
      <c r="E384" s="12" t="s">
        <v>29</v>
      </c>
      <c r="F384" s="12" t="s">
        <v>30</v>
      </c>
      <c r="G384" s="9"/>
      <c r="H384" s="13">
        <v>2018.0</v>
      </c>
      <c r="I384" s="14"/>
      <c r="J384" s="14"/>
      <c r="K384" s="14"/>
      <c r="L384" s="14"/>
      <c r="M384" s="14"/>
      <c r="N384" s="14">
        <v>1.0</v>
      </c>
      <c r="O384" s="19"/>
      <c r="P384" s="19"/>
      <c r="Q384" s="19"/>
      <c r="R384" s="19"/>
      <c r="S384" s="19"/>
      <c r="T384" s="19"/>
      <c r="U384" s="19"/>
      <c r="V384" s="19"/>
      <c r="W384" s="14"/>
      <c r="X384" s="14" t="s">
        <v>31</v>
      </c>
      <c r="Y384" s="9" t="s">
        <v>32</v>
      </c>
      <c r="Z384" s="21"/>
    </row>
    <row r="385">
      <c r="A385" s="9">
        <v>384.0</v>
      </c>
      <c r="B385" s="10" t="s">
        <v>1444</v>
      </c>
      <c r="C385" s="11" t="s">
        <v>1445</v>
      </c>
      <c r="D385" s="10" t="s">
        <v>1446</v>
      </c>
      <c r="E385" s="22" t="s">
        <v>128</v>
      </c>
      <c r="F385" s="22" t="s">
        <v>128</v>
      </c>
      <c r="G385" s="9"/>
      <c r="H385" s="13">
        <v>2018.0</v>
      </c>
      <c r="I385" s="14">
        <v>1.0</v>
      </c>
      <c r="J385" s="14">
        <v>1.0</v>
      </c>
      <c r="K385" s="14">
        <v>1.0</v>
      </c>
      <c r="L385" s="14">
        <v>1.0</v>
      </c>
      <c r="M385" s="14">
        <v>1.0</v>
      </c>
      <c r="N385" s="14">
        <v>0.0</v>
      </c>
      <c r="O385" s="14">
        <v>0.0</v>
      </c>
      <c r="P385" s="14">
        <v>0.0</v>
      </c>
      <c r="Q385" s="14">
        <v>0.0</v>
      </c>
      <c r="R385" s="14">
        <v>0.0</v>
      </c>
      <c r="S385" s="14">
        <v>0.0</v>
      </c>
      <c r="T385" s="14">
        <v>0.0</v>
      </c>
      <c r="U385" s="14">
        <v>0.0</v>
      </c>
      <c r="V385" s="14">
        <v>0.0</v>
      </c>
      <c r="W385" s="14" t="s">
        <v>39</v>
      </c>
      <c r="X385" s="14" t="s">
        <v>39</v>
      </c>
      <c r="Y385" s="9" t="s">
        <v>58</v>
      </c>
      <c r="Z385" s="9" t="s">
        <v>1447</v>
      </c>
    </row>
    <row r="386">
      <c r="A386" s="9">
        <v>385.0</v>
      </c>
      <c r="B386" s="10" t="s">
        <v>1448</v>
      </c>
      <c r="C386" s="11" t="s">
        <v>1449</v>
      </c>
      <c r="D386" s="10" t="s">
        <v>1450</v>
      </c>
      <c r="E386" s="12" t="s">
        <v>36</v>
      </c>
      <c r="F386" s="12" t="s">
        <v>37</v>
      </c>
      <c r="G386" s="9" t="s">
        <v>38</v>
      </c>
      <c r="H386" s="13">
        <v>2019.0</v>
      </c>
      <c r="I386" s="14">
        <v>1.0</v>
      </c>
      <c r="J386" s="14">
        <v>1.0</v>
      </c>
      <c r="K386" s="14">
        <v>1.0</v>
      </c>
      <c r="L386" s="14">
        <v>1.0</v>
      </c>
      <c r="M386" s="14">
        <v>1.0</v>
      </c>
      <c r="N386" s="14">
        <v>0.0</v>
      </c>
      <c r="O386" s="14">
        <v>0.0</v>
      </c>
      <c r="P386" s="14">
        <v>0.0</v>
      </c>
      <c r="Q386" s="14">
        <v>0.0</v>
      </c>
      <c r="R386" s="14">
        <v>0.0</v>
      </c>
      <c r="S386" s="14">
        <v>0.0</v>
      </c>
      <c r="T386" s="14">
        <v>0.0</v>
      </c>
      <c r="U386" s="14">
        <v>0.0</v>
      </c>
      <c r="V386" s="14">
        <v>0.0</v>
      </c>
      <c r="W386" s="14" t="s">
        <v>39</v>
      </c>
      <c r="X386" s="14" t="s">
        <v>39</v>
      </c>
      <c r="Y386" s="9" t="s">
        <v>58</v>
      </c>
      <c r="Z386" s="9" t="s">
        <v>1451</v>
      </c>
    </row>
    <row r="387">
      <c r="A387" s="9">
        <v>386.0</v>
      </c>
      <c r="B387" s="10" t="s">
        <v>1452</v>
      </c>
      <c r="C387" s="11" t="s">
        <v>1453</v>
      </c>
      <c r="D387" s="10" t="s">
        <v>1454</v>
      </c>
      <c r="E387" s="22" t="s">
        <v>128</v>
      </c>
      <c r="F387" s="22" t="s">
        <v>128</v>
      </c>
      <c r="G387" s="9"/>
      <c r="H387" s="13">
        <v>2020.0</v>
      </c>
      <c r="I387" s="14">
        <v>1.0</v>
      </c>
      <c r="J387" s="19"/>
      <c r="K387" s="19"/>
      <c r="L387" s="19"/>
      <c r="M387" s="14">
        <v>1.0</v>
      </c>
      <c r="N387" s="19"/>
      <c r="O387" s="14">
        <v>1.0</v>
      </c>
      <c r="P387" s="14">
        <v>0.0</v>
      </c>
      <c r="Q387" s="14">
        <v>0.0</v>
      </c>
      <c r="R387" s="14">
        <v>0.0</v>
      </c>
      <c r="S387" s="14">
        <v>0.0</v>
      </c>
      <c r="T387" s="14">
        <v>0.0</v>
      </c>
      <c r="U387" s="14">
        <v>0.0</v>
      </c>
      <c r="V387" s="14">
        <v>0.0</v>
      </c>
      <c r="W387" s="14" t="s">
        <v>31</v>
      </c>
      <c r="X387" s="14" t="s">
        <v>39</v>
      </c>
      <c r="Y387" s="9" t="s">
        <v>58</v>
      </c>
      <c r="Z387" s="9" t="s">
        <v>1455</v>
      </c>
    </row>
    <row r="388">
      <c r="A388" s="9">
        <v>387.0</v>
      </c>
      <c r="B388" s="10" t="s">
        <v>1456</v>
      </c>
      <c r="C388" s="11" t="s">
        <v>1457</v>
      </c>
      <c r="D388" s="10" t="s">
        <v>1458</v>
      </c>
      <c r="E388" s="25" t="s">
        <v>62</v>
      </c>
      <c r="F388" s="25" t="s">
        <v>62</v>
      </c>
      <c r="G388" s="9"/>
      <c r="H388" s="18">
        <v>2018.0</v>
      </c>
      <c r="I388" s="19"/>
      <c r="J388" s="19"/>
      <c r="K388" s="19"/>
      <c r="L388" s="19"/>
      <c r="M388" s="19"/>
      <c r="N388" s="19"/>
      <c r="O388" s="19"/>
      <c r="P388" s="19"/>
      <c r="Q388" s="19"/>
      <c r="R388" s="19"/>
      <c r="S388" s="14"/>
      <c r="T388" s="14">
        <v>1.0</v>
      </c>
      <c r="U388" s="19"/>
      <c r="V388" s="19"/>
      <c r="W388" s="14"/>
      <c r="X388" s="14" t="s">
        <v>31</v>
      </c>
      <c r="Y388" s="9" t="s">
        <v>32</v>
      </c>
      <c r="Z388" s="9"/>
    </row>
    <row r="389">
      <c r="A389" s="9">
        <v>388.0</v>
      </c>
      <c r="B389" s="10" t="s">
        <v>1459</v>
      </c>
      <c r="C389" s="11" t="s">
        <v>1460</v>
      </c>
      <c r="D389" s="10" t="s">
        <v>1461</v>
      </c>
      <c r="E389" s="23" t="s">
        <v>1462</v>
      </c>
      <c r="F389" s="23" t="s">
        <v>1462</v>
      </c>
      <c r="G389" s="9"/>
      <c r="H389" s="13">
        <v>2018.0</v>
      </c>
      <c r="I389" s="14">
        <v>0.0</v>
      </c>
      <c r="J389" s="19"/>
      <c r="K389" s="19"/>
      <c r="L389" s="19"/>
      <c r="M389" s="19"/>
      <c r="N389" s="19"/>
      <c r="O389" s="19"/>
      <c r="P389" s="19"/>
      <c r="Q389" s="14"/>
      <c r="R389" s="14"/>
      <c r="S389" s="19"/>
      <c r="T389" s="19"/>
      <c r="U389" s="19"/>
      <c r="V389" s="19"/>
      <c r="W389" s="14" t="s">
        <v>31</v>
      </c>
      <c r="X389" s="14" t="s">
        <v>39</v>
      </c>
      <c r="Y389" s="9" t="s">
        <v>58</v>
      </c>
      <c r="Z389" s="9" t="s">
        <v>1463</v>
      </c>
    </row>
    <row r="390">
      <c r="A390" s="9">
        <v>389.0</v>
      </c>
      <c r="B390" s="10" t="s">
        <v>1464</v>
      </c>
      <c r="C390" s="11" t="s">
        <v>1465</v>
      </c>
      <c r="D390" s="10" t="s">
        <v>1466</v>
      </c>
      <c r="E390" s="23" t="s">
        <v>182</v>
      </c>
      <c r="F390" s="23" t="s">
        <v>182</v>
      </c>
      <c r="G390" s="9"/>
      <c r="H390" s="13">
        <v>2018.0</v>
      </c>
      <c r="I390" s="14"/>
      <c r="J390" s="14"/>
      <c r="K390" s="14"/>
      <c r="L390" s="14"/>
      <c r="M390" s="14"/>
      <c r="N390" s="19"/>
      <c r="O390" s="19"/>
      <c r="P390" s="19"/>
      <c r="Q390" s="19"/>
      <c r="R390" s="14"/>
      <c r="S390" s="19"/>
      <c r="T390" s="19"/>
      <c r="U390" s="14">
        <v>1.0</v>
      </c>
      <c r="V390" s="19"/>
      <c r="W390" s="14" t="s">
        <v>31</v>
      </c>
      <c r="X390" s="14" t="s">
        <v>39</v>
      </c>
      <c r="Y390" s="9" t="s">
        <v>58</v>
      </c>
      <c r="Z390" s="9" t="s">
        <v>1467</v>
      </c>
    </row>
    <row r="391">
      <c r="A391" s="9">
        <v>390.0</v>
      </c>
      <c r="B391" s="10" t="s">
        <v>1468</v>
      </c>
      <c r="C391" s="11" t="s">
        <v>1469</v>
      </c>
      <c r="D391" s="10" t="s">
        <v>1470</v>
      </c>
      <c r="E391" s="12" t="s">
        <v>36</v>
      </c>
      <c r="F391" s="12" t="s">
        <v>37</v>
      </c>
      <c r="G391" s="9"/>
      <c r="H391" s="13">
        <v>2019.0</v>
      </c>
      <c r="I391" s="14">
        <v>0.0</v>
      </c>
      <c r="J391" s="19"/>
      <c r="K391" s="19"/>
      <c r="L391" s="19"/>
      <c r="M391" s="19"/>
      <c r="N391" s="19"/>
      <c r="O391" s="19"/>
      <c r="P391" s="19"/>
      <c r="Q391" s="14"/>
      <c r="R391" s="19"/>
      <c r="S391" s="19"/>
      <c r="T391" s="19"/>
      <c r="U391" s="19"/>
      <c r="V391" s="19"/>
      <c r="W391" s="14"/>
      <c r="X391" s="14" t="s">
        <v>31</v>
      </c>
      <c r="Y391" s="9" t="s">
        <v>32</v>
      </c>
      <c r="Z391" s="9"/>
    </row>
    <row r="392">
      <c r="A392" s="9">
        <v>391.0</v>
      </c>
      <c r="B392" s="10" t="s">
        <v>1471</v>
      </c>
      <c r="C392" s="11" t="s">
        <v>1472</v>
      </c>
      <c r="D392" s="10" t="s">
        <v>1473</v>
      </c>
      <c r="E392" s="12" t="s">
        <v>36</v>
      </c>
      <c r="F392" s="12" t="s">
        <v>37</v>
      </c>
      <c r="G392" s="9"/>
      <c r="H392" s="13">
        <v>2019.0</v>
      </c>
      <c r="I392" s="14">
        <v>0.0</v>
      </c>
      <c r="J392" s="19"/>
      <c r="K392" s="19"/>
      <c r="L392" s="19"/>
      <c r="M392" s="19"/>
      <c r="N392" s="19"/>
      <c r="O392" s="19"/>
      <c r="P392" s="19"/>
      <c r="Q392" s="14"/>
      <c r="R392" s="19"/>
      <c r="S392" s="19"/>
      <c r="T392" s="19"/>
      <c r="U392" s="19"/>
      <c r="V392" s="19"/>
      <c r="W392" s="14"/>
      <c r="X392" s="14" t="s">
        <v>31</v>
      </c>
      <c r="Y392" s="9" t="s">
        <v>32</v>
      </c>
      <c r="Z392" s="9"/>
    </row>
    <row r="393">
      <c r="A393" s="9">
        <v>392.0</v>
      </c>
      <c r="B393" s="10" t="s">
        <v>1474</v>
      </c>
      <c r="C393" s="11" t="s">
        <v>1475</v>
      </c>
      <c r="D393" s="10" t="s">
        <v>1476</v>
      </c>
      <c r="E393" s="17" t="s">
        <v>1270</v>
      </c>
      <c r="F393" s="17" t="s">
        <v>1270</v>
      </c>
      <c r="G393" s="9"/>
      <c r="H393" s="13">
        <v>2020.0</v>
      </c>
      <c r="I393" s="19"/>
      <c r="J393" s="19"/>
      <c r="K393" s="19"/>
      <c r="L393" s="19"/>
      <c r="M393" s="19"/>
      <c r="N393" s="19"/>
      <c r="O393" s="19"/>
      <c r="P393" s="19"/>
      <c r="Q393" s="14"/>
      <c r="R393" s="14"/>
      <c r="S393" s="14">
        <v>1.0</v>
      </c>
      <c r="T393" s="19"/>
      <c r="U393" s="19"/>
      <c r="V393" s="19"/>
      <c r="W393" s="14" t="s">
        <v>31</v>
      </c>
      <c r="X393" s="14" t="s">
        <v>39</v>
      </c>
      <c r="Y393" s="9" t="s">
        <v>58</v>
      </c>
      <c r="Z393" s="9" t="s">
        <v>1212</v>
      </c>
    </row>
    <row r="394">
      <c r="A394" s="9">
        <v>393.0</v>
      </c>
      <c r="B394" s="10" t="s">
        <v>1477</v>
      </c>
      <c r="C394" s="11" t="s">
        <v>1478</v>
      </c>
      <c r="D394" s="10" t="s">
        <v>1479</v>
      </c>
      <c r="E394" s="23" t="s">
        <v>49</v>
      </c>
      <c r="F394" s="23" t="s">
        <v>49</v>
      </c>
      <c r="G394" s="9"/>
      <c r="H394" s="13">
        <v>2019.0</v>
      </c>
      <c r="I394" s="19"/>
      <c r="J394" s="19"/>
      <c r="K394" s="19"/>
      <c r="L394" s="19"/>
      <c r="M394" s="19"/>
      <c r="N394" s="19"/>
      <c r="O394" s="19"/>
      <c r="P394" s="19"/>
      <c r="Q394" s="19"/>
      <c r="R394" s="19"/>
      <c r="S394" s="19"/>
      <c r="T394" s="14">
        <v>1.0</v>
      </c>
      <c r="U394" s="19"/>
      <c r="V394" s="14"/>
      <c r="W394" s="14"/>
      <c r="X394" s="14" t="s">
        <v>31</v>
      </c>
      <c r="Y394" s="9" t="s">
        <v>32</v>
      </c>
      <c r="Z394" s="9" t="s">
        <v>50</v>
      </c>
    </row>
    <row r="395">
      <c r="A395" s="9">
        <v>394.0</v>
      </c>
      <c r="B395" s="10" t="s">
        <v>1480</v>
      </c>
      <c r="C395" s="11" t="s">
        <v>1481</v>
      </c>
      <c r="D395" s="10" t="s">
        <v>1482</v>
      </c>
      <c r="E395" s="12" t="s">
        <v>36</v>
      </c>
      <c r="F395" s="12" t="s">
        <v>37</v>
      </c>
      <c r="G395" s="9"/>
      <c r="H395" s="13">
        <v>2018.0</v>
      </c>
      <c r="I395" s="14">
        <v>0.0</v>
      </c>
      <c r="J395" s="14"/>
      <c r="K395" s="14"/>
      <c r="L395" s="14"/>
      <c r="M395" s="14"/>
      <c r="N395" s="19"/>
      <c r="O395" s="19"/>
      <c r="P395" s="19"/>
      <c r="Q395" s="19"/>
      <c r="R395" s="19"/>
      <c r="S395" s="19"/>
      <c r="T395" s="19"/>
      <c r="U395" s="19"/>
      <c r="V395" s="19"/>
      <c r="W395" s="14"/>
      <c r="X395" s="14" t="s">
        <v>31</v>
      </c>
      <c r="Y395" s="9" t="s">
        <v>32</v>
      </c>
      <c r="Z395" s="9" t="s">
        <v>93</v>
      </c>
    </row>
    <row r="396">
      <c r="A396" s="9">
        <v>395.0</v>
      </c>
      <c r="B396" s="10" t="s">
        <v>1483</v>
      </c>
      <c r="C396" s="16" t="s">
        <v>1484</v>
      </c>
      <c r="D396" s="10" t="s">
        <v>1485</v>
      </c>
      <c r="E396" s="25" t="s">
        <v>62</v>
      </c>
      <c r="F396" s="25" t="s">
        <v>62</v>
      </c>
      <c r="G396" s="9"/>
      <c r="H396" s="13">
        <v>2020.0</v>
      </c>
      <c r="I396" s="14">
        <v>1.0</v>
      </c>
      <c r="J396" s="14">
        <v>1.0</v>
      </c>
      <c r="K396" s="14">
        <v>1.0</v>
      </c>
      <c r="L396" s="14">
        <v>1.0</v>
      </c>
      <c r="M396" s="14">
        <v>1.0</v>
      </c>
      <c r="N396" s="14">
        <v>0.0</v>
      </c>
      <c r="O396" s="14">
        <v>0.0</v>
      </c>
      <c r="P396" s="14">
        <v>0.0</v>
      </c>
      <c r="Q396" s="14">
        <v>0.0</v>
      </c>
      <c r="R396" s="14">
        <v>0.0</v>
      </c>
      <c r="S396" s="14">
        <v>0.0</v>
      </c>
      <c r="T396" s="14">
        <v>0.0</v>
      </c>
      <c r="U396" s="14">
        <v>0.0</v>
      </c>
      <c r="V396" s="14">
        <v>0.0</v>
      </c>
      <c r="W396" s="14" t="s">
        <v>39</v>
      </c>
      <c r="X396" s="14" t="s">
        <v>39</v>
      </c>
      <c r="Y396" s="9" t="s">
        <v>58</v>
      </c>
      <c r="Z396" s="9" t="s">
        <v>1486</v>
      </c>
    </row>
    <row r="397">
      <c r="A397" s="9">
        <v>396.0</v>
      </c>
      <c r="B397" s="10" t="s">
        <v>1487</v>
      </c>
      <c r="C397" s="11" t="s">
        <v>1488</v>
      </c>
      <c r="D397" s="10" t="s">
        <v>1489</v>
      </c>
      <c r="E397" s="12" t="s">
        <v>36</v>
      </c>
      <c r="F397" s="12" t="s">
        <v>37</v>
      </c>
      <c r="G397" s="9"/>
      <c r="H397" s="13">
        <v>2018.0</v>
      </c>
      <c r="I397" s="19"/>
      <c r="J397" s="19"/>
      <c r="K397" s="19"/>
      <c r="L397" s="19"/>
      <c r="M397" s="19"/>
      <c r="N397" s="19"/>
      <c r="O397" s="14">
        <v>1.0</v>
      </c>
      <c r="P397" s="14">
        <v>1.0</v>
      </c>
      <c r="Q397" s="14"/>
      <c r="R397" s="19"/>
      <c r="S397" s="19"/>
      <c r="T397" s="19"/>
      <c r="U397" s="14"/>
      <c r="V397" s="14"/>
      <c r="W397" s="14"/>
      <c r="X397" s="14" t="s">
        <v>31</v>
      </c>
      <c r="Y397" s="9" t="s">
        <v>32</v>
      </c>
      <c r="Z397" s="9"/>
    </row>
    <row r="398">
      <c r="A398" s="9">
        <v>397.0</v>
      </c>
      <c r="B398" s="10" t="s">
        <v>1490</v>
      </c>
      <c r="C398" s="11" t="s">
        <v>1491</v>
      </c>
      <c r="D398" s="10" t="s">
        <v>340</v>
      </c>
      <c r="E398" s="23" t="s">
        <v>633</v>
      </c>
      <c r="F398" s="23" t="s">
        <v>633</v>
      </c>
      <c r="G398" s="9"/>
      <c r="H398" s="18">
        <v>2019.0</v>
      </c>
      <c r="I398" s="14"/>
      <c r="J398" s="14"/>
      <c r="K398" s="14"/>
      <c r="L398" s="14"/>
      <c r="M398" s="14"/>
      <c r="N398" s="19"/>
      <c r="O398" s="19"/>
      <c r="P398" s="19"/>
      <c r="Q398" s="19"/>
      <c r="R398" s="19"/>
      <c r="S398" s="19"/>
      <c r="T398" s="19"/>
      <c r="U398" s="19"/>
      <c r="V398" s="14">
        <v>1.0</v>
      </c>
      <c r="W398" s="14"/>
      <c r="X398" s="14" t="s">
        <v>31</v>
      </c>
      <c r="Y398" s="9" t="s">
        <v>32</v>
      </c>
      <c r="Z398" s="9" t="s">
        <v>1492</v>
      </c>
    </row>
    <row r="399">
      <c r="A399" s="9">
        <v>398.0</v>
      </c>
      <c r="B399" s="10" t="s">
        <v>1493</v>
      </c>
      <c r="C399" s="11" t="s">
        <v>1494</v>
      </c>
      <c r="D399" s="10" t="s">
        <v>1495</v>
      </c>
      <c r="E399" s="12" t="s">
        <v>36</v>
      </c>
      <c r="F399" s="12" t="s">
        <v>37</v>
      </c>
      <c r="G399" s="9"/>
      <c r="H399" s="13">
        <v>2020.0</v>
      </c>
      <c r="I399" s="14"/>
      <c r="J399" s="14"/>
      <c r="K399" s="14"/>
      <c r="L399" s="14"/>
      <c r="M399" s="14"/>
      <c r="N399" s="19"/>
      <c r="O399" s="19"/>
      <c r="P399" s="14">
        <v>1.0</v>
      </c>
      <c r="Q399" s="14"/>
      <c r="R399" s="19"/>
      <c r="S399" s="19"/>
      <c r="T399" s="19"/>
      <c r="U399" s="19"/>
      <c r="V399" s="19"/>
      <c r="W399" s="14"/>
      <c r="X399" s="14" t="s">
        <v>31</v>
      </c>
      <c r="Y399" s="9" t="s">
        <v>32</v>
      </c>
      <c r="Z399" s="21"/>
    </row>
    <row r="400">
      <c r="A400" s="9">
        <v>399.0</v>
      </c>
      <c r="B400" s="10" t="s">
        <v>1496</v>
      </c>
      <c r="C400" s="11" t="s">
        <v>1497</v>
      </c>
      <c r="D400" s="10" t="s">
        <v>1498</v>
      </c>
      <c r="E400" s="12" t="s">
        <v>36</v>
      </c>
      <c r="F400" s="12" t="s">
        <v>37</v>
      </c>
      <c r="G400" s="9"/>
      <c r="H400" s="18">
        <v>2018.0</v>
      </c>
      <c r="I400" s="14">
        <v>1.0</v>
      </c>
      <c r="J400" s="14">
        <v>0.0</v>
      </c>
      <c r="K400" s="14"/>
      <c r="L400" s="14"/>
      <c r="M400" s="14">
        <v>1.0</v>
      </c>
      <c r="N400" s="19"/>
      <c r="O400" s="19"/>
      <c r="P400" s="14">
        <v>0.0</v>
      </c>
      <c r="Q400" s="14">
        <v>0.0</v>
      </c>
      <c r="R400" s="14">
        <v>0.0</v>
      </c>
      <c r="S400" s="14">
        <v>0.0</v>
      </c>
      <c r="T400" s="14">
        <v>0.0</v>
      </c>
      <c r="U400" s="14">
        <v>0.0</v>
      </c>
      <c r="V400" s="14">
        <v>0.0</v>
      </c>
      <c r="W400" s="14" t="s">
        <v>31</v>
      </c>
      <c r="X400" s="14" t="s">
        <v>39</v>
      </c>
      <c r="Y400" s="9" t="s">
        <v>58</v>
      </c>
      <c r="Z400" s="9" t="s">
        <v>1499</v>
      </c>
    </row>
    <row r="401">
      <c r="A401" s="9">
        <v>400.0</v>
      </c>
      <c r="B401" s="10" t="s">
        <v>1500</v>
      </c>
      <c r="C401" s="11" t="s">
        <v>1501</v>
      </c>
      <c r="D401" s="10" t="s">
        <v>1502</v>
      </c>
      <c r="E401" s="22" t="s">
        <v>128</v>
      </c>
      <c r="F401" s="22" t="s">
        <v>128</v>
      </c>
      <c r="G401" s="9"/>
      <c r="H401" s="13">
        <v>2018.0</v>
      </c>
      <c r="I401" s="14"/>
      <c r="J401" s="14"/>
      <c r="K401" s="14"/>
      <c r="L401" s="14"/>
      <c r="M401" s="14"/>
      <c r="N401" s="19"/>
      <c r="O401" s="19"/>
      <c r="P401" s="19"/>
      <c r="Q401" s="19"/>
      <c r="R401" s="19"/>
      <c r="S401" s="14">
        <v>1.0</v>
      </c>
      <c r="T401" s="19"/>
      <c r="U401" s="19"/>
      <c r="V401" s="19"/>
      <c r="W401" s="14"/>
      <c r="X401" s="14" t="s">
        <v>31</v>
      </c>
      <c r="Y401" s="9" t="s">
        <v>32</v>
      </c>
      <c r="Z401" s="9" t="s">
        <v>82</v>
      </c>
    </row>
    <row r="402">
      <c r="A402" s="9">
        <v>401.0</v>
      </c>
      <c r="B402" s="10" t="s">
        <v>1503</v>
      </c>
      <c r="C402" s="11" t="s">
        <v>1504</v>
      </c>
      <c r="D402" s="10" t="s">
        <v>1505</v>
      </c>
      <c r="E402" s="12" t="s">
        <v>36</v>
      </c>
      <c r="F402" s="12" t="s">
        <v>37</v>
      </c>
      <c r="G402" s="9"/>
      <c r="H402" s="13">
        <v>2019.0</v>
      </c>
      <c r="I402" s="14">
        <v>1.0</v>
      </c>
      <c r="J402" s="14">
        <v>1.0</v>
      </c>
      <c r="K402" s="14">
        <v>1.0</v>
      </c>
      <c r="L402" s="14">
        <v>1.0</v>
      </c>
      <c r="M402" s="14">
        <v>1.0</v>
      </c>
      <c r="N402" s="14">
        <v>0.0</v>
      </c>
      <c r="O402" s="14">
        <v>0.0</v>
      </c>
      <c r="P402" s="14">
        <v>0.0</v>
      </c>
      <c r="Q402" s="14">
        <v>0.0</v>
      </c>
      <c r="R402" s="14">
        <v>0.0</v>
      </c>
      <c r="S402" s="14">
        <v>0.0</v>
      </c>
      <c r="T402" s="14">
        <v>0.0</v>
      </c>
      <c r="U402" s="14">
        <v>0.0</v>
      </c>
      <c r="V402" s="14">
        <v>0.0</v>
      </c>
      <c r="W402" s="14" t="s">
        <v>39</v>
      </c>
      <c r="X402" s="14" t="s">
        <v>39</v>
      </c>
      <c r="Y402" s="9" t="s">
        <v>58</v>
      </c>
      <c r="Z402" s="9" t="s">
        <v>837</v>
      </c>
    </row>
    <row r="403">
      <c r="A403" s="9">
        <v>402.0</v>
      </c>
      <c r="B403" s="10" t="s">
        <v>1506</v>
      </c>
      <c r="C403" s="11" t="s">
        <v>1507</v>
      </c>
      <c r="D403" s="10" t="s">
        <v>1508</v>
      </c>
      <c r="E403" s="22" t="s">
        <v>128</v>
      </c>
      <c r="F403" s="22" t="s">
        <v>128</v>
      </c>
      <c r="G403" s="9" t="s">
        <v>38</v>
      </c>
      <c r="H403" s="13">
        <v>2020.0</v>
      </c>
      <c r="I403" s="14">
        <v>1.0</v>
      </c>
      <c r="J403" s="14">
        <v>0.0</v>
      </c>
      <c r="K403" s="19"/>
      <c r="L403" s="19"/>
      <c r="M403" s="14">
        <v>1.0</v>
      </c>
      <c r="N403" s="14"/>
      <c r="O403" s="14"/>
      <c r="P403" s="14"/>
      <c r="Q403" s="14">
        <v>0.0</v>
      </c>
      <c r="R403" s="14">
        <v>0.0</v>
      </c>
      <c r="S403" s="14">
        <v>0.0</v>
      </c>
      <c r="T403" s="14">
        <v>0.0</v>
      </c>
      <c r="U403" s="14">
        <v>0.0</v>
      </c>
      <c r="V403" s="14">
        <v>0.0</v>
      </c>
      <c r="W403" s="14" t="s">
        <v>31</v>
      </c>
      <c r="X403" s="14" t="s">
        <v>39</v>
      </c>
      <c r="Y403" s="9" t="s">
        <v>58</v>
      </c>
      <c r="Z403" s="9" t="s">
        <v>1509</v>
      </c>
    </row>
    <row r="404">
      <c r="A404" s="9">
        <v>403.0</v>
      </c>
      <c r="B404" s="10" t="s">
        <v>1510</v>
      </c>
      <c r="C404" s="16" t="s">
        <v>1511</v>
      </c>
      <c r="D404" s="10" t="s">
        <v>1512</v>
      </c>
      <c r="E404" s="22"/>
      <c r="F404" s="22"/>
      <c r="G404" s="9"/>
      <c r="H404" s="10"/>
      <c r="I404" s="19"/>
      <c r="J404" s="19"/>
      <c r="K404" s="19"/>
      <c r="L404" s="19"/>
      <c r="M404" s="19"/>
      <c r="N404" s="14"/>
      <c r="O404" s="14">
        <v>1.0</v>
      </c>
      <c r="P404" s="14"/>
      <c r="Q404" s="14"/>
      <c r="R404" s="19"/>
      <c r="S404" s="19"/>
      <c r="T404" s="19"/>
      <c r="U404" s="19"/>
      <c r="V404" s="19"/>
      <c r="W404" s="14"/>
      <c r="X404" s="14" t="s">
        <v>31</v>
      </c>
      <c r="Y404" s="9" t="s">
        <v>32</v>
      </c>
      <c r="Z404" s="9" t="s">
        <v>1513</v>
      </c>
    </row>
    <row r="405">
      <c r="A405" s="9">
        <v>404.0</v>
      </c>
      <c r="B405" s="10" t="s">
        <v>1514</v>
      </c>
      <c r="C405" s="11" t="s">
        <v>1515</v>
      </c>
      <c r="D405" s="10" t="s">
        <v>1516</v>
      </c>
      <c r="E405" s="12" t="s">
        <v>36</v>
      </c>
      <c r="F405" s="12" t="s">
        <v>37</v>
      </c>
      <c r="G405" s="9"/>
      <c r="H405" s="13">
        <v>2018.0</v>
      </c>
      <c r="I405" s="14">
        <v>1.0</v>
      </c>
      <c r="J405" s="19"/>
      <c r="K405" s="19"/>
      <c r="L405" s="19"/>
      <c r="M405" s="14">
        <v>1.0</v>
      </c>
      <c r="N405" s="14">
        <v>0.0</v>
      </c>
      <c r="O405" s="14">
        <v>0.0</v>
      </c>
      <c r="P405" s="14">
        <v>1.0</v>
      </c>
      <c r="Q405" s="14">
        <v>0.0</v>
      </c>
      <c r="R405" s="14">
        <v>0.0</v>
      </c>
      <c r="S405" s="14">
        <v>0.0</v>
      </c>
      <c r="T405" s="14">
        <v>0.0</v>
      </c>
      <c r="U405" s="14">
        <v>0.0</v>
      </c>
      <c r="V405" s="14">
        <v>0.0</v>
      </c>
      <c r="W405" s="14" t="s">
        <v>31</v>
      </c>
      <c r="X405" s="14" t="s">
        <v>39</v>
      </c>
      <c r="Y405" s="9" t="s">
        <v>58</v>
      </c>
      <c r="Z405" s="9" t="s">
        <v>1517</v>
      </c>
    </row>
    <row r="406">
      <c r="A406" s="9">
        <v>405.0</v>
      </c>
      <c r="B406" s="10" t="s">
        <v>1518</v>
      </c>
      <c r="C406" s="11" t="s">
        <v>1519</v>
      </c>
      <c r="D406" s="10" t="s">
        <v>1520</v>
      </c>
      <c r="E406" s="22" t="s">
        <v>128</v>
      </c>
      <c r="F406" s="22" t="s">
        <v>128</v>
      </c>
      <c r="G406" s="9"/>
      <c r="H406" s="13">
        <v>2020.0</v>
      </c>
      <c r="I406" s="14">
        <v>0.0</v>
      </c>
      <c r="J406" s="19"/>
      <c r="K406" s="19"/>
      <c r="L406" s="19"/>
      <c r="M406" s="19"/>
      <c r="N406" s="19"/>
      <c r="O406" s="19"/>
      <c r="P406" s="19"/>
      <c r="Q406" s="14"/>
      <c r="R406" s="19"/>
      <c r="S406" s="19"/>
      <c r="T406" s="14"/>
      <c r="U406" s="19"/>
      <c r="V406" s="19"/>
      <c r="W406" s="14"/>
      <c r="X406" s="14" t="s">
        <v>31</v>
      </c>
      <c r="Y406" s="9" t="s">
        <v>32</v>
      </c>
      <c r="Z406" s="9"/>
    </row>
    <row r="407">
      <c r="A407" s="9">
        <v>406.0</v>
      </c>
      <c r="B407" s="10" t="s">
        <v>1521</v>
      </c>
      <c r="C407" s="11" t="s">
        <v>1522</v>
      </c>
      <c r="D407" s="10" t="s">
        <v>1523</v>
      </c>
      <c r="E407" s="12" t="s">
        <v>36</v>
      </c>
      <c r="F407" s="12" t="s">
        <v>37</v>
      </c>
      <c r="G407" s="9"/>
      <c r="H407" s="13">
        <v>2020.0</v>
      </c>
      <c r="I407" s="14">
        <v>1.0</v>
      </c>
      <c r="J407" s="14">
        <v>1.0</v>
      </c>
      <c r="K407" s="14">
        <v>1.0</v>
      </c>
      <c r="L407" s="14">
        <v>1.0</v>
      </c>
      <c r="M407" s="14">
        <v>1.0</v>
      </c>
      <c r="N407" s="14">
        <v>0.0</v>
      </c>
      <c r="O407" s="14">
        <v>0.0</v>
      </c>
      <c r="P407" s="14">
        <v>0.0</v>
      </c>
      <c r="Q407" s="14">
        <v>0.0</v>
      </c>
      <c r="R407" s="14">
        <v>0.0</v>
      </c>
      <c r="S407" s="14">
        <v>0.0</v>
      </c>
      <c r="T407" s="14">
        <v>0.0</v>
      </c>
      <c r="U407" s="14">
        <v>0.0</v>
      </c>
      <c r="V407" s="14">
        <v>0.0</v>
      </c>
      <c r="W407" s="14" t="s">
        <v>39</v>
      </c>
      <c r="X407" s="14" t="s">
        <v>39</v>
      </c>
      <c r="Y407" s="9" t="s">
        <v>58</v>
      </c>
      <c r="Z407" s="9" t="s">
        <v>1524</v>
      </c>
    </row>
    <row r="408">
      <c r="A408" s="9">
        <v>407.0</v>
      </c>
      <c r="B408" s="10" t="s">
        <v>1525</v>
      </c>
      <c r="C408" s="11" t="s">
        <v>1526</v>
      </c>
      <c r="D408" s="10" t="s">
        <v>1527</v>
      </c>
      <c r="E408" s="12" t="s">
        <v>36</v>
      </c>
      <c r="F408" s="12" t="s">
        <v>37</v>
      </c>
      <c r="G408" s="9"/>
      <c r="H408" s="13">
        <v>2020.0</v>
      </c>
      <c r="I408" s="19"/>
      <c r="J408" s="19"/>
      <c r="K408" s="19"/>
      <c r="L408" s="19"/>
      <c r="M408" s="19"/>
      <c r="N408" s="19"/>
      <c r="O408" s="14">
        <v>1.0</v>
      </c>
      <c r="P408" s="19"/>
      <c r="Q408" s="14"/>
      <c r="R408" s="19"/>
      <c r="S408" s="19"/>
      <c r="T408" s="19"/>
      <c r="U408" s="19"/>
      <c r="V408" s="19"/>
      <c r="W408" s="14"/>
      <c r="X408" s="14" t="s">
        <v>31</v>
      </c>
      <c r="Y408" s="9" t="s">
        <v>32</v>
      </c>
      <c r="Z408" s="21"/>
    </row>
    <row r="409">
      <c r="A409" s="9">
        <v>408.0</v>
      </c>
      <c r="B409" s="10" t="s">
        <v>1528</v>
      </c>
      <c r="C409" s="11" t="s">
        <v>1529</v>
      </c>
      <c r="D409" s="10" t="s">
        <v>1530</v>
      </c>
      <c r="E409" s="22" t="s">
        <v>128</v>
      </c>
      <c r="F409" s="22" t="s">
        <v>128</v>
      </c>
      <c r="G409" s="9"/>
      <c r="H409" s="13">
        <v>2018.0</v>
      </c>
      <c r="I409" s="14">
        <v>1.0</v>
      </c>
      <c r="J409" s="14">
        <v>1.0</v>
      </c>
      <c r="K409" s="14">
        <v>1.0</v>
      </c>
      <c r="L409" s="14">
        <v>1.0</v>
      </c>
      <c r="M409" s="14">
        <v>1.0</v>
      </c>
      <c r="N409" s="14">
        <v>0.0</v>
      </c>
      <c r="O409" s="14">
        <v>0.0</v>
      </c>
      <c r="P409" s="14">
        <v>0.0</v>
      </c>
      <c r="Q409" s="14">
        <v>0.0</v>
      </c>
      <c r="R409" s="14">
        <v>0.0</v>
      </c>
      <c r="S409" s="14">
        <v>0.0</v>
      </c>
      <c r="T409" s="14">
        <v>0.0</v>
      </c>
      <c r="U409" s="14">
        <v>0.0</v>
      </c>
      <c r="V409" s="14">
        <v>0.0</v>
      </c>
      <c r="W409" s="14" t="s">
        <v>39</v>
      </c>
      <c r="X409" s="14" t="s">
        <v>39</v>
      </c>
      <c r="Y409" s="9" t="s">
        <v>58</v>
      </c>
      <c r="Z409" s="9" t="s">
        <v>1231</v>
      </c>
    </row>
    <row r="410">
      <c r="A410" s="9">
        <v>409.0</v>
      </c>
      <c r="B410" s="10" t="s">
        <v>1531</v>
      </c>
      <c r="C410" s="16" t="s">
        <v>1532</v>
      </c>
      <c r="D410" s="10" t="s">
        <v>1533</v>
      </c>
      <c r="E410" s="22"/>
      <c r="F410" s="22"/>
      <c r="G410" s="9"/>
      <c r="H410" s="10"/>
      <c r="I410" s="19"/>
      <c r="J410" s="19"/>
      <c r="K410" s="19"/>
      <c r="L410" s="19"/>
      <c r="M410" s="19"/>
      <c r="N410" s="19"/>
      <c r="O410" s="19"/>
      <c r="P410" s="19"/>
      <c r="Q410" s="19"/>
      <c r="R410" s="14">
        <v>1.0</v>
      </c>
      <c r="S410" s="19"/>
      <c r="T410" s="19"/>
      <c r="U410" s="19"/>
      <c r="V410" s="19"/>
      <c r="W410" s="14"/>
      <c r="X410" s="14" t="s">
        <v>31</v>
      </c>
      <c r="Y410" s="9" t="s">
        <v>32</v>
      </c>
      <c r="Z410" s="9"/>
    </row>
    <row r="411">
      <c r="A411" s="9">
        <v>410.0</v>
      </c>
      <c r="B411" s="10" t="s">
        <v>1534</v>
      </c>
      <c r="C411" s="11" t="s">
        <v>1535</v>
      </c>
      <c r="D411" s="10" t="s">
        <v>1536</v>
      </c>
      <c r="E411" s="25" t="s">
        <v>128</v>
      </c>
      <c r="F411" s="25" t="s">
        <v>128</v>
      </c>
      <c r="G411" s="9"/>
      <c r="H411" s="13">
        <v>2018.0</v>
      </c>
      <c r="I411" s="14">
        <v>1.0</v>
      </c>
      <c r="J411" s="14">
        <v>1.0</v>
      </c>
      <c r="K411" s="14">
        <v>1.0</v>
      </c>
      <c r="L411" s="14">
        <v>1.0</v>
      </c>
      <c r="M411" s="14">
        <v>1.0</v>
      </c>
      <c r="N411" s="14">
        <v>0.0</v>
      </c>
      <c r="O411" s="14">
        <v>0.0</v>
      </c>
      <c r="P411" s="14">
        <v>0.0</v>
      </c>
      <c r="Q411" s="14">
        <v>0.0</v>
      </c>
      <c r="R411" s="14">
        <v>0.0</v>
      </c>
      <c r="S411" s="14">
        <v>0.0</v>
      </c>
      <c r="T411" s="14">
        <v>0.0</v>
      </c>
      <c r="U411" s="14">
        <v>0.0</v>
      </c>
      <c r="V411" s="14">
        <v>0.0</v>
      </c>
      <c r="W411" s="14" t="s">
        <v>39</v>
      </c>
      <c r="X411" s="14" t="s">
        <v>39</v>
      </c>
      <c r="Y411" s="9" t="s">
        <v>58</v>
      </c>
      <c r="Z411" s="9" t="s">
        <v>1537</v>
      </c>
    </row>
    <row r="412">
      <c r="A412" s="9">
        <v>411.0</v>
      </c>
      <c r="B412" s="10" t="s">
        <v>1538</v>
      </c>
      <c r="C412" s="11" t="s">
        <v>1539</v>
      </c>
      <c r="D412" s="10" t="s">
        <v>1540</v>
      </c>
      <c r="E412" s="12" t="s">
        <v>29</v>
      </c>
      <c r="F412" s="12" t="s">
        <v>30</v>
      </c>
      <c r="G412" s="9"/>
      <c r="H412" s="13">
        <v>2020.0</v>
      </c>
      <c r="I412" s="19"/>
      <c r="J412" s="19"/>
      <c r="K412" s="19"/>
      <c r="L412" s="19"/>
      <c r="M412" s="19"/>
      <c r="N412" s="19"/>
      <c r="O412" s="19"/>
      <c r="P412" s="14">
        <v>1.0</v>
      </c>
      <c r="Q412" s="14"/>
      <c r="R412" s="19"/>
      <c r="S412" s="19"/>
      <c r="T412" s="19"/>
      <c r="U412" s="19"/>
      <c r="V412" s="19"/>
      <c r="W412" s="14"/>
      <c r="X412" s="14" t="s">
        <v>31</v>
      </c>
      <c r="Y412" s="9" t="s">
        <v>32</v>
      </c>
      <c r="Z412" s="9"/>
    </row>
    <row r="413">
      <c r="A413" s="9">
        <v>412.0</v>
      </c>
      <c r="B413" s="10" t="s">
        <v>1541</v>
      </c>
      <c r="C413" s="11" t="s">
        <v>1542</v>
      </c>
      <c r="D413" s="10" t="s">
        <v>1543</v>
      </c>
      <c r="E413" s="23" t="s">
        <v>1544</v>
      </c>
      <c r="F413" s="23" t="s">
        <v>1544</v>
      </c>
      <c r="G413" s="9"/>
      <c r="H413" s="13">
        <v>2019.0</v>
      </c>
      <c r="I413" s="14"/>
      <c r="J413" s="14"/>
      <c r="K413" s="14"/>
      <c r="L413" s="14"/>
      <c r="M413" s="14"/>
      <c r="N413" s="19"/>
      <c r="O413" s="19"/>
      <c r="P413" s="19"/>
      <c r="Q413" s="14">
        <v>1.0</v>
      </c>
      <c r="R413" s="19"/>
      <c r="S413" s="19"/>
      <c r="T413" s="19"/>
      <c r="U413" s="19"/>
      <c r="V413" s="19"/>
      <c r="W413" s="14"/>
      <c r="X413" s="14" t="s">
        <v>31</v>
      </c>
      <c r="Y413" s="9" t="s">
        <v>32</v>
      </c>
      <c r="Z413" s="21"/>
    </row>
    <row r="414">
      <c r="A414" s="9">
        <v>413.0</v>
      </c>
      <c r="B414" s="10" t="s">
        <v>1545</v>
      </c>
      <c r="C414" s="16" t="s">
        <v>1546</v>
      </c>
      <c r="D414" s="10" t="s">
        <v>1547</v>
      </c>
      <c r="E414" s="23" t="s">
        <v>466</v>
      </c>
      <c r="F414" s="23" t="s">
        <v>466</v>
      </c>
      <c r="G414" s="9"/>
      <c r="H414" s="13">
        <v>2020.0</v>
      </c>
      <c r="I414" s="14">
        <v>0.0</v>
      </c>
      <c r="J414" s="19"/>
      <c r="K414" s="19"/>
      <c r="L414" s="19"/>
      <c r="M414" s="19"/>
      <c r="N414" s="19"/>
      <c r="O414" s="19"/>
      <c r="P414" s="19"/>
      <c r="Q414" s="19"/>
      <c r="R414" s="19"/>
      <c r="S414" s="19"/>
      <c r="T414" s="19"/>
      <c r="U414" s="19"/>
      <c r="V414" s="19"/>
      <c r="W414" s="14"/>
      <c r="X414" s="14" t="s">
        <v>31</v>
      </c>
      <c r="Y414" s="9" t="s">
        <v>32</v>
      </c>
      <c r="Z414" s="9"/>
    </row>
    <row r="415">
      <c r="A415" s="9">
        <v>414.0</v>
      </c>
      <c r="B415" s="10" t="s">
        <v>1548</v>
      </c>
      <c r="C415" s="11" t="s">
        <v>1549</v>
      </c>
      <c r="D415" s="10" t="s">
        <v>1550</v>
      </c>
      <c r="E415" s="22" t="s">
        <v>128</v>
      </c>
      <c r="F415" s="22" t="s">
        <v>128</v>
      </c>
      <c r="G415" s="9"/>
      <c r="H415" s="18">
        <v>2020.0</v>
      </c>
      <c r="I415" s="14">
        <v>1.0</v>
      </c>
      <c r="J415" s="14">
        <v>1.0</v>
      </c>
      <c r="K415" s="14">
        <v>1.0</v>
      </c>
      <c r="L415" s="14">
        <v>1.0</v>
      </c>
      <c r="M415" s="14">
        <v>1.0</v>
      </c>
      <c r="N415" s="14">
        <v>0.0</v>
      </c>
      <c r="O415" s="14">
        <v>0.0</v>
      </c>
      <c r="P415" s="14">
        <v>0.0</v>
      </c>
      <c r="Q415" s="14">
        <v>0.0</v>
      </c>
      <c r="R415" s="14">
        <v>0.0</v>
      </c>
      <c r="S415" s="14">
        <v>0.0</v>
      </c>
      <c r="T415" s="14">
        <v>0.0</v>
      </c>
      <c r="U415" s="14">
        <v>0.0</v>
      </c>
      <c r="V415" s="14">
        <v>0.0</v>
      </c>
      <c r="W415" s="14" t="s">
        <v>39</v>
      </c>
      <c r="X415" s="14" t="s">
        <v>39</v>
      </c>
      <c r="Y415" s="9" t="s">
        <v>58</v>
      </c>
      <c r="Z415" s="9" t="s">
        <v>837</v>
      </c>
    </row>
    <row r="416">
      <c r="A416" s="9">
        <v>415.0</v>
      </c>
      <c r="B416" s="10" t="s">
        <v>1551</v>
      </c>
      <c r="C416" s="11" t="s">
        <v>1552</v>
      </c>
      <c r="D416" s="10" t="s">
        <v>199</v>
      </c>
      <c r="E416" s="22" t="s">
        <v>62</v>
      </c>
      <c r="F416" s="22" t="s">
        <v>62</v>
      </c>
      <c r="G416" s="9"/>
      <c r="H416" s="13">
        <v>2019.0</v>
      </c>
      <c r="I416" s="14">
        <v>1.0</v>
      </c>
      <c r="J416" s="14">
        <v>1.0</v>
      </c>
      <c r="K416" s="14">
        <v>1.0</v>
      </c>
      <c r="L416" s="14">
        <v>1.0</v>
      </c>
      <c r="M416" s="14">
        <v>1.0</v>
      </c>
      <c r="N416" s="14">
        <v>0.0</v>
      </c>
      <c r="O416" s="14">
        <v>0.0</v>
      </c>
      <c r="P416" s="14">
        <v>0.0</v>
      </c>
      <c r="Q416" s="14">
        <v>0.0</v>
      </c>
      <c r="R416" s="14">
        <v>0.0</v>
      </c>
      <c r="S416" s="14">
        <v>0.0</v>
      </c>
      <c r="T416" s="14">
        <v>0.0</v>
      </c>
      <c r="U416" s="14">
        <v>0.0</v>
      </c>
      <c r="V416" s="14">
        <v>0.0</v>
      </c>
      <c r="W416" s="14" t="s">
        <v>39</v>
      </c>
      <c r="X416" s="14" t="s">
        <v>39</v>
      </c>
      <c r="Y416" s="9" t="s">
        <v>58</v>
      </c>
      <c r="Z416" s="9" t="s">
        <v>837</v>
      </c>
    </row>
    <row r="417">
      <c r="A417" s="9">
        <v>416.0</v>
      </c>
      <c r="B417" s="10" t="s">
        <v>1553</v>
      </c>
      <c r="C417" s="11" t="s">
        <v>1554</v>
      </c>
      <c r="D417" s="10" t="s">
        <v>1555</v>
      </c>
      <c r="E417" s="12" t="s">
        <v>29</v>
      </c>
      <c r="F417" s="12" t="s">
        <v>30</v>
      </c>
      <c r="G417" s="9"/>
      <c r="H417" s="13">
        <v>2020.0</v>
      </c>
      <c r="I417" s="19"/>
      <c r="J417" s="19"/>
      <c r="K417" s="19"/>
      <c r="L417" s="19"/>
      <c r="M417" s="19"/>
      <c r="N417" s="14">
        <v>1.0</v>
      </c>
      <c r="O417" s="19"/>
      <c r="P417" s="14">
        <v>1.0</v>
      </c>
      <c r="Q417" s="14"/>
      <c r="R417" s="19"/>
      <c r="S417" s="19"/>
      <c r="T417" s="19"/>
      <c r="U417" s="19"/>
      <c r="V417" s="19"/>
      <c r="W417" s="14"/>
      <c r="X417" s="14" t="s">
        <v>31</v>
      </c>
      <c r="Y417" s="9" t="s">
        <v>32</v>
      </c>
      <c r="Z417" s="21"/>
    </row>
    <row r="418">
      <c r="A418" s="9">
        <v>417.0</v>
      </c>
      <c r="B418" s="10" t="s">
        <v>1556</v>
      </c>
      <c r="C418" s="11" t="s">
        <v>1557</v>
      </c>
      <c r="D418" s="10" t="s">
        <v>1558</v>
      </c>
      <c r="E418" s="12" t="s">
        <v>36</v>
      </c>
      <c r="F418" s="12" t="s">
        <v>37</v>
      </c>
      <c r="G418" s="9"/>
      <c r="H418" s="13">
        <v>2020.0</v>
      </c>
      <c r="I418" s="19"/>
      <c r="J418" s="19"/>
      <c r="K418" s="19"/>
      <c r="L418" s="19"/>
      <c r="M418" s="19"/>
      <c r="N418" s="19"/>
      <c r="O418" s="19"/>
      <c r="P418" s="14">
        <v>1.0</v>
      </c>
      <c r="Q418" s="14"/>
      <c r="R418" s="19"/>
      <c r="S418" s="19"/>
      <c r="T418" s="19"/>
      <c r="U418" s="19"/>
      <c r="V418" s="19"/>
      <c r="W418" s="14" t="s">
        <v>31</v>
      </c>
      <c r="X418" s="14" t="s">
        <v>39</v>
      </c>
      <c r="Y418" s="9" t="s">
        <v>58</v>
      </c>
      <c r="Z418" s="9" t="s">
        <v>1517</v>
      </c>
    </row>
    <row r="419">
      <c r="A419" s="9">
        <v>418.0</v>
      </c>
      <c r="B419" s="10" t="s">
        <v>1559</v>
      </c>
      <c r="C419" s="11" t="s">
        <v>1560</v>
      </c>
      <c r="D419" s="10" t="s">
        <v>1561</v>
      </c>
      <c r="E419" s="12" t="s">
        <v>36</v>
      </c>
      <c r="F419" s="12" t="s">
        <v>37</v>
      </c>
      <c r="G419" s="9"/>
      <c r="H419" s="13">
        <v>2019.0</v>
      </c>
      <c r="I419" s="14">
        <v>1.0</v>
      </c>
      <c r="J419" s="14">
        <v>1.0</v>
      </c>
      <c r="K419" s="14">
        <v>1.0</v>
      </c>
      <c r="L419" s="14">
        <v>1.0</v>
      </c>
      <c r="M419" s="14">
        <v>1.0</v>
      </c>
      <c r="N419" s="14">
        <v>0.0</v>
      </c>
      <c r="O419" s="14">
        <v>0.0</v>
      </c>
      <c r="P419" s="14">
        <v>0.0</v>
      </c>
      <c r="Q419" s="14">
        <v>0.0</v>
      </c>
      <c r="R419" s="14">
        <v>0.0</v>
      </c>
      <c r="S419" s="14">
        <v>0.0</v>
      </c>
      <c r="T419" s="14">
        <v>0.0</v>
      </c>
      <c r="U419" s="14">
        <v>0.0</v>
      </c>
      <c r="V419" s="14">
        <v>0.0</v>
      </c>
      <c r="W419" s="14" t="s">
        <v>39</v>
      </c>
      <c r="X419" s="14" t="s">
        <v>39</v>
      </c>
      <c r="Y419" s="9" t="s">
        <v>58</v>
      </c>
      <c r="Z419" s="9" t="s">
        <v>1562</v>
      </c>
    </row>
    <row r="420">
      <c r="A420" s="9">
        <v>419.0</v>
      </c>
      <c r="B420" s="10" t="s">
        <v>1563</v>
      </c>
      <c r="C420" s="11" t="s">
        <v>1564</v>
      </c>
      <c r="D420" s="10" t="s">
        <v>1565</v>
      </c>
      <c r="E420" s="23" t="s">
        <v>1566</v>
      </c>
      <c r="F420" s="23" t="s">
        <v>1566</v>
      </c>
      <c r="G420" s="9"/>
      <c r="H420" s="13">
        <v>2020.0</v>
      </c>
      <c r="I420" s="14">
        <v>1.0</v>
      </c>
      <c r="J420" s="14">
        <v>1.0</v>
      </c>
      <c r="K420" s="14">
        <v>1.0</v>
      </c>
      <c r="L420" s="14">
        <v>1.0</v>
      </c>
      <c r="M420" s="14">
        <v>1.0</v>
      </c>
      <c r="N420" s="14">
        <v>0.0</v>
      </c>
      <c r="O420" s="14">
        <v>0.0</v>
      </c>
      <c r="P420" s="14">
        <v>0.0</v>
      </c>
      <c r="Q420" s="14">
        <v>0.0</v>
      </c>
      <c r="R420" s="14">
        <v>0.0</v>
      </c>
      <c r="S420" s="14">
        <v>0.0</v>
      </c>
      <c r="T420" s="14">
        <v>0.0</v>
      </c>
      <c r="U420" s="14">
        <v>0.0</v>
      </c>
      <c r="V420" s="14">
        <v>0.0</v>
      </c>
      <c r="W420" s="14" t="s">
        <v>39</v>
      </c>
      <c r="X420" s="14" t="s">
        <v>39</v>
      </c>
      <c r="Y420" s="9" t="s">
        <v>58</v>
      </c>
      <c r="Z420" s="9" t="s">
        <v>1405</v>
      </c>
    </row>
    <row r="421">
      <c r="A421" s="9">
        <v>420.0</v>
      </c>
      <c r="B421" s="10" t="s">
        <v>1567</v>
      </c>
      <c r="C421" s="11" t="s">
        <v>1568</v>
      </c>
      <c r="D421" s="10" t="s">
        <v>1569</v>
      </c>
      <c r="E421" s="22" t="s">
        <v>128</v>
      </c>
      <c r="F421" s="22" t="s">
        <v>128</v>
      </c>
      <c r="G421" s="9"/>
      <c r="H421" s="13">
        <v>2020.0</v>
      </c>
      <c r="I421" s="14">
        <v>1.0</v>
      </c>
      <c r="J421" s="14">
        <v>1.0</v>
      </c>
      <c r="K421" s="14">
        <v>1.0</v>
      </c>
      <c r="L421" s="14">
        <v>1.0</v>
      </c>
      <c r="M421" s="14">
        <v>1.0</v>
      </c>
      <c r="N421" s="14">
        <v>0.0</v>
      </c>
      <c r="O421" s="14">
        <v>0.0</v>
      </c>
      <c r="P421" s="14">
        <v>0.0</v>
      </c>
      <c r="Q421" s="14">
        <v>0.0</v>
      </c>
      <c r="R421" s="14">
        <v>0.0</v>
      </c>
      <c r="S421" s="14">
        <v>0.0</v>
      </c>
      <c r="T421" s="14">
        <v>0.0</v>
      </c>
      <c r="U421" s="14">
        <v>0.0</v>
      </c>
      <c r="V421" s="14">
        <v>0.0</v>
      </c>
      <c r="W421" s="14" t="s">
        <v>39</v>
      </c>
      <c r="X421" s="14" t="s">
        <v>39</v>
      </c>
      <c r="Y421" s="9" t="s">
        <v>58</v>
      </c>
      <c r="Z421" s="9" t="s">
        <v>1337</v>
      </c>
    </row>
    <row r="422">
      <c r="A422" s="9">
        <v>421.0</v>
      </c>
      <c r="B422" s="10" t="s">
        <v>1570</v>
      </c>
      <c r="C422" s="11" t="s">
        <v>1571</v>
      </c>
      <c r="D422" s="10" t="s">
        <v>1572</v>
      </c>
      <c r="E422" s="25" t="s">
        <v>62</v>
      </c>
      <c r="F422" s="25" t="s">
        <v>62</v>
      </c>
      <c r="G422" s="9"/>
      <c r="H422" s="18">
        <v>2020.0</v>
      </c>
      <c r="I422" s="19"/>
      <c r="J422" s="19"/>
      <c r="K422" s="19"/>
      <c r="L422" s="19"/>
      <c r="M422" s="19"/>
      <c r="N422" s="19"/>
      <c r="O422" s="19"/>
      <c r="P422" s="14">
        <v>1.0</v>
      </c>
      <c r="Q422" s="19"/>
      <c r="R422" s="19"/>
      <c r="S422" s="19"/>
      <c r="T422" s="19"/>
      <c r="U422" s="19"/>
      <c r="V422" s="19"/>
      <c r="W422" s="14"/>
      <c r="X422" s="14" t="s">
        <v>31</v>
      </c>
      <c r="Y422" s="9" t="s">
        <v>32</v>
      </c>
      <c r="Z422" s="9"/>
    </row>
    <row r="423">
      <c r="A423" s="9">
        <v>422.0</v>
      </c>
      <c r="B423" s="10" t="s">
        <v>1573</v>
      </c>
      <c r="C423" s="11" t="s">
        <v>1574</v>
      </c>
      <c r="D423" s="10" t="s">
        <v>1575</v>
      </c>
      <c r="E423" s="12" t="s">
        <v>36</v>
      </c>
      <c r="F423" s="12" t="s">
        <v>37</v>
      </c>
      <c r="G423" s="9" t="s">
        <v>58</v>
      </c>
      <c r="H423" s="13">
        <v>2018.0</v>
      </c>
      <c r="I423" s="14">
        <v>1.0</v>
      </c>
      <c r="J423" s="14">
        <v>1.0</v>
      </c>
      <c r="K423" s="14">
        <v>1.0</v>
      </c>
      <c r="L423" s="14">
        <v>1.0</v>
      </c>
      <c r="M423" s="14">
        <v>1.0</v>
      </c>
      <c r="N423" s="14">
        <v>0.0</v>
      </c>
      <c r="O423" s="14">
        <v>0.0</v>
      </c>
      <c r="P423" s="14">
        <v>0.0</v>
      </c>
      <c r="Q423" s="14">
        <v>0.0</v>
      </c>
      <c r="R423" s="14">
        <v>0.0</v>
      </c>
      <c r="S423" s="14">
        <v>0.0</v>
      </c>
      <c r="T423" s="14">
        <v>0.0</v>
      </c>
      <c r="U423" s="14">
        <v>0.0</v>
      </c>
      <c r="V423" s="14">
        <v>0.0</v>
      </c>
      <c r="W423" s="14" t="s">
        <v>39</v>
      </c>
      <c r="X423" s="14" t="s">
        <v>39</v>
      </c>
      <c r="Y423" s="9" t="s">
        <v>412</v>
      </c>
      <c r="Z423" s="9" t="s">
        <v>1576</v>
      </c>
    </row>
    <row r="424">
      <c r="A424" s="9">
        <v>423.0</v>
      </c>
      <c r="B424" s="10" t="s">
        <v>1577</v>
      </c>
      <c r="C424" s="11" t="s">
        <v>1578</v>
      </c>
      <c r="D424" s="10" t="s">
        <v>1579</v>
      </c>
      <c r="E424" s="22" t="s">
        <v>62</v>
      </c>
      <c r="F424" s="22" t="s">
        <v>62</v>
      </c>
      <c r="G424" s="9"/>
      <c r="H424" s="13">
        <v>2019.0</v>
      </c>
      <c r="I424" s="14">
        <v>1.0</v>
      </c>
      <c r="J424" s="14">
        <v>1.0</v>
      </c>
      <c r="K424" s="14">
        <v>1.0</v>
      </c>
      <c r="L424" s="14"/>
      <c r="M424" s="14">
        <v>1.0</v>
      </c>
      <c r="N424" s="14">
        <v>0.0</v>
      </c>
      <c r="O424" s="14">
        <v>1.0</v>
      </c>
      <c r="P424" s="14">
        <v>0.0</v>
      </c>
      <c r="Q424" s="14">
        <v>0.0</v>
      </c>
      <c r="R424" s="14">
        <v>0.0</v>
      </c>
      <c r="S424" s="14">
        <v>0.0</v>
      </c>
      <c r="T424" s="14">
        <v>0.0</v>
      </c>
      <c r="U424" s="14">
        <v>0.0</v>
      </c>
      <c r="V424" s="14">
        <v>0.0</v>
      </c>
      <c r="W424" s="14" t="s">
        <v>31</v>
      </c>
      <c r="X424" s="14" t="s">
        <v>39</v>
      </c>
      <c r="Y424" s="9" t="s">
        <v>412</v>
      </c>
      <c r="Z424" s="9" t="s">
        <v>1580</v>
      </c>
    </row>
    <row r="425">
      <c r="A425" s="9">
        <v>424.0</v>
      </c>
      <c r="B425" s="10" t="s">
        <v>1581</v>
      </c>
      <c r="C425" s="16" t="s">
        <v>1582</v>
      </c>
      <c r="D425" s="10" t="s">
        <v>1583</v>
      </c>
      <c r="E425" s="17" t="s">
        <v>1584</v>
      </c>
      <c r="F425" s="17" t="s">
        <v>1584</v>
      </c>
      <c r="G425" s="9"/>
      <c r="H425" s="13">
        <v>2019.0</v>
      </c>
      <c r="I425" s="19"/>
      <c r="J425" s="19"/>
      <c r="K425" s="19"/>
      <c r="L425" s="19"/>
      <c r="M425" s="19"/>
      <c r="N425" s="14"/>
      <c r="O425" s="14"/>
      <c r="P425" s="14"/>
      <c r="Q425" s="14"/>
      <c r="R425" s="14"/>
      <c r="S425" s="19"/>
      <c r="T425" s="14">
        <v>1.0</v>
      </c>
      <c r="U425" s="19"/>
      <c r="V425" s="19"/>
      <c r="W425" s="14"/>
      <c r="X425" s="14" t="s">
        <v>31</v>
      </c>
      <c r="Y425" s="9" t="s">
        <v>32</v>
      </c>
      <c r="Z425" s="9" t="s">
        <v>70</v>
      </c>
    </row>
    <row r="426">
      <c r="A426" s="9">
        <v>425.0</v>
      </c>
      <c r="B426" s="10" t="s">
        <v>1585</v>
      </c>
      <c r="C426" s="11" t="s">
        <v>1586</v>
      </c>
      <c r="D426" s="10" t="s">
        <v>1587</v>
      </c>
      <c r="E426" s="12" t="s">
        <v>29</v>
      </c>
      <c r="F426" s="12" t="s">
        <v>30</v>
      </c>
      <c r="G426" s="9"/>
      <c r="H426" s="13">
        <v>2018.0</v>
      </c>
      <c r="I426" s="14"/>
      <c r="J426" s="14"/>
      <c r="K426" s="14"/>
      <c r="L426" s="14"/>
      <c r="M426" s="14"/>
      <c r="N426" s="19"/>
      <c r="O426" s="19"/>
      <c r="P426" s="19"/>
      <c r="Q426" s="19"/>
      <c r="R426" s="19"/>
      <c r="S426" s="14">
        <v>1.0</v>
      </c>
      <c r="T426" s="19"/>
      <c r="U426" s="19"/>
      <c r="V426" s="19"/>
      <c r="W426" s="14"/>
      <c r="X426" s="14" t="s">
        <v>31</v>
      </c>
      <c r="Y426" s="9" t="s">
        <v>32</v>
      </c>
      <c r="Z426" s="21"/>
    </row>
    <row r="427">
      <c r="A427" s="9">
        <v>426.0</v>
      </c>
      <c r="B427" s="10" t="s">
        <v>1588</v>
      </c>
      <c r="C427" s="11" t="s">
        <v>1589</v>
      </c>
      <c r="D427" s="10" t="s">
        <v>1590</v>
      </c>
      <c r="E427" s="22" t="s">
        <v>62</v>
      </c>
      <c r="F427" s="22" t="s">
        <v>62</v>
      </c>
      <c r="G427" s="9" t="s">
        <v>38</v>
      </c>
      <c r="H427" s="13">
        <v>2018.0</v>
      </c>
      <c r="I427" s="14">
        <v>1.0</v>
      </c>
      <c r="J427" s="14">
        <v>1.0</v>
      </c>
      <c r="K427" s="14">
        <v>1.0</v>
      </c>
      <c r="L427" s="14">
        <v>1.0</v>
      </c>
      <c r="M427" s="14">
        <v>1.0</v>
      </c>
      <c r="N427" s="14">
        <v>0.0</v>
      </c>
      <c r="O427" s="14">
        <v>0.0</v>
      </c>
      <c r="P427" s="14">
        <v>0.0</v>
      </c>
      <c r="Q427" s="14">
        <v>0.0</v>
      </c>
      <c r="R427" s="14">
        <v>0.0</v>
      </c>
      <c r="S427" s="14">
        <v>0.0</v>
      </c>
      <c r="T427" s="14">
        <v>0.0</v>
      </c>
      <c r="U427" s="14">
        <v>0.0</v>
      </c>
      <c r="V427" s="14">
        <v>0.0</v>
      </c>
      <c r="W427" s="14" t="s">
        <v>39</v>
      </c>
      <c r="X427" s="14" t="s">
        <v>39</v>
      </c>
      <c r="Y427" s="9" t="s">
        <v>412</v>
      </c>
      <c r="Z427" s="9" t="s">
        <v>1591</v>
      </c>
    </row>
    <row r="428">
      <c r="A428" s="9">
        <v>427.0</v>
      </c>
      <c r="B428" s="10" t="s">
        <v>1592</v>
      </c>
      <c r="C428" s="11" t="s">
        <v>1593</v>
      </c>
      <c r="D428" s="10" t="s">
        <v>1594</v>
      </c>
      <c r="E428" s="22" t="s">
        <v>62</v>
      </c>
      <c r="F428" s="22" t="s">
        <v>62</v>
      </c>
      <c r="G428" s="9" t="s">
        <v>38</v>
      </c>
      <c r="H428" s="13">
        <v>2019.0</v>
      </c>
      <c r="I428" s="14">
        <v>1.0</v>
      </c>
      <c r="J428" s="14">
        <v>1.0</v>
      </c>
      <c r="K428" s="14">
        <v>1.0</v>
      </c>
      <c r="L428" s="14">
        <v>1.0</v>
      </c>
      <c r="M428" s="14">
        <v>1.0</v>
      </c>
      <c r="N428" s="14">
        <v>0.0</v>
      </c>
      <c r="O428" s="14">
        <v>0.0</v>
      </c>
      <c r="P428" s="14">
        <v>0.0</v>
      </c>
      <c r="Q428" s="14">
        <v>0.0</v>
      </c>
      <c r="R428" s="14">
        <v>0.0</v>
      </c>
      <c r="S428" s="14">
        <v>0.0</v>
      </c>
      <c r="T428" s="14">
        <v>0.0</v>
      </c>
      <c r="U428" s="14">
        <v>0.0</v>
      </c>
      <c r="V428" s="14">
        <v>0.0</v>
      </c>
      <c r="W428" s="14" t="s">
        <v>39</v>
      </c>
      <c r="X428" s="14" t="s">
        <v>39</v>
      </c>
      <c r="Y428" s="9" t="s">
        <v>412</v>
      </c>
      <c r="Z428" s="9" t="s">
        <v>1595</v>
      </c>
    </row>
    <row r="429">
      <c r="A429" s="9">
        <v>428.0</v>
      </c>
      <c r="B429" s="10" t="s">
        <v>1596</v>
      </c>
      <c r="C429" s="11" t="s">
        <v>1597</v>
      </c>
      <c r="D429" s="15" t="s">
        <v>1598</v>
      </c>
      <c r="E429" s="12" t="s">
        <v>36</v>
      </c>
      <c r="F429" s="12" t="s">
        <v>37</v>
      </c>
      <c r="G429" s="9" t="s">
        <v>58</v>
      </c>
      <c r="H429" s="13">
        <v>2018.0</v>
      </c>
      <c r="I429" s="14">
        <v>1.0</v>
      </c>
      <c r="J429" s="14">
        <v>1.0</v>
      </c>
      <c r="K429" s="14">
        <v>1.0</v>
      </c>
      <c r="L429" s="14">
        <v>1.0</v>
      </c>
      <c r="M429" s="14">
        <v>1.0</v>
      </c>
      <c r="N429" s="14">
        <v>0.0</v>
      </c>
      <c r="O429" s="14">
        <v>0.0</v>
      </c>
      <c r="P429" s="14">
        <v>0.0</v>
      </c>
      <c r="Q429" s="14">
        <v>0.0</v>
      </c>
      <c r="R429" s="14">
        <v>0.0</v>
      </c>
      <c r="S429" s="14">
        <v>0.0</v>
      </c>
      <c r="T429" s="14">
        <v>0.0</v>
      </c>
      <c r="U429" s="14">
        <v>0.0</v>
      </c>
      <c r="V429" s="14">
        <v>0.0</v>
      </c>
      <c r="W429" s="14" t="s">
        <v>39</v>
      </c>
      <c r="X429" s="14" t="s">
        <v>39</v>
      </c>
      <c r="Y429" s="9" t="s">
        <v>412</v>
      </c>
      <c r="Z429" s="9" t="s">
        <v>1599</v>
      </c>
    </row>
    <row r="430">
      <c r="A430" s="9">
        <v>429.0</v>
      </c>
      <c r="B430" s="10" t="s">
        <v>1600</v>
      </c>
      <c r="C430" s="11" t="s">
        <v>1601</v>
      </c>
      <c r="D430" s="15" t="s">
        <v>1602</v>
      </c>
      <c r="E430" s="12" t="s">
        <v>36</v>
      </c>
      <c r="F430" s="12" t="s">
        <v>37</v>
      </c>
      <c r="G430" s="9" t="s">
        <v>58</v>
      </c>
      <c r="H430" s="13">
        <v>2018.0</v>
      </c>
      <c r="I430" s="14">
        <v>1.0</v>
      </c>
      <c r="J430" s="14">
        <v>1.0</v>
      </c>
      <c r="K430" s="14">
        <v>1.0</v>
      </c>
      <c r="L430" s="14">
        <v>1.0</v>
      </c>
      <c r="M430" s="14">
        <v>1.0</v>
      </c>
      <c r="N430" s="14">
        <v>0.0</v>
      </c>
      <c r="O430" s="14">
        <v>0.0</v>
      </c>
      <c r="P430" s="14">
        <v>0.0</v>
      </c>
      <c r="Q430" s="14">
        <v>0.0</v>
      </c>
      <c r="R430" s="14">
        <v>0.0</v>
      </c>
      <c r="S430" s="14">
        <v>0.0</v>
      </c>
      <c r="T430" s="14">
        <v>0.0</v>
      </c>
      <c r="U430" s="14">
        <v>0.0</v>
      </c>
      <c r="V430" s="14">
        <v>0.0</v>
      </c>
      <c r="W430" s="14" t="s">
        <v>39</v>
      </c>
      <c r="X430" s="14" t="s">
        <v>39</v>
      </c>
      <c r="Y430" s="9" t="s">
        <v>412</v>
      </c>
      <c r="Z430" s="9" t="s">
        <v>1405</v>
      </c>
    </row>
    <row r="431">
      <c r="A431" s="9">
        <v>430.0</v>
      </c>
      <c r="B431" s="10" t="s">
        <v>1603</v>
      </c>
      <c r="C431" s="11" t="s">
        <v>1604</v>
      </c>
      <c r="D431" s="10" t="s">
        <v>1605</v>
      </c>
      <c r="E431" s="23" t="s">
        <v>466</v>
      </c>
      <c r="F431" s="23" t="s">
        <v>466</v>
      </c>
      <c r="G431" s="9"/>
      <c r="H431" s="13">
        <v>2019.0</v>
      </c>
      <c r="I431" s="14"/>
      <c r="J431" s="19"/>
      <c r="K431" s="19"/>
      <c r="L431" s="19"/>
      <c r="M431" s="19"/>
      <c r="N431" s="14">
        <v>1.0</v>
      </c>
      <c r="O431" s="19"/>
      <c r="P431" s="14">
        <v>1.0</v>
      </c>
      <c r="Q431" s="14"/>
      <c r="R431" s="19"/>
      <c r="S431" s="19"/>
      <c r="T431" s="19"/>
      <c r="U431" s="19"/>
      <c r="V431" s="19"/>
      <c r="W431" s="14"/>
      <c r="X431" s="14" t="s">
        <v>31</v>
      </c>
      <c r="Y431" s="9" t="s">
        <v>32</v>
      </c>
      <c r="Z431" s="21"/>
    </row>
    <row r="432">
      <c r="A432" s="9">
        <v>431.0</v>
      </c>
      <c r="B432" s="10" t="s">
        <v>1606</v>
      </c>
      <c r="C432" s="16" t="s">
        <v>1607</v>
      </c>
      <c r="D432" s="10" t="s">
        <v>1608</v>
      </c>
      <c r="E432" s="12" t="s">
        <v>1609</v>
      </c>
      <c r="F432" s="12" t="s">
        <v>1610</v>
      </c>
      <c r="G432" s="9" t="s">
        <v>58</v>
      </c>
      <c r="H432" s="13">
        <v>2019.0</v>
      </c>
      <c r="I432" s="14">
        <v>1.0</v>
      </c>
      <c r="J432" s="14">
        <v>1.0</v>
      </c>
      <c r="K432" s="14">
        <v>1.0</v>
      </c>
      <c r="L432" s="14">
        <v>1.0</v>
      </c>
      <c r="M432" s="14">
        <v>1.0</v>
      </c>
      <c r="N432" s="14">
        <v>0.0</v>
      </c>
      <c r="O432" s="14">
        <v>0.0</v>
      </c>
      <c r="P432" s="14">
        <v>0.0</v>
      </c>
      <c r="Q432" s="14">
        <v>0.0</v>
      </c>
      <c r="R432" s="14">
        <v>0.0</v>
      </c>
      <c r="S432" s="14">
        <v>0.0</v>
      </c>
      <c r="T432" s="14">
        <v>0.0</v>
      </c>
      <c r="U432" s="14">
        <v>0.0</v>
      </c>
      <c r="V432" s="14">
        <v>0.0</v>
      </c>
      <c r="W432" s="14" t="s">
        <v>39</v>
      </c>
      <c r="X432" s="14" t="s">
        <v>39</v>
      </c>
      <c r="Y432" s="9" t="s">
        <v>412</v>
      </c>
      <c r="Z432" s="9" t="s">
        <v>1611</v>
      </c>
    </row>
    <row r="433">
      <c r="A433" s="9">
        <v>432.0</v>
      </c>
      <c r="B433" s="10" t="s">
        <v>1612</v>
      </c>
      <c r="C433" s="11" t="s">
        <v>1613</v>
      </c>
      <c r="D433" s="10" t="s">
        <v>1614</v>
      </c>
      <c r="E433" s="23" t="s">
        <v>265</v>
      </c>
      <c r="F433" s="23" t="s">
        <v>265</v>
      </c>
      <c r="G433" s="9"/>
      <c r="H433" s="13">
        <v>2019.0</v>
      </c>
      <c r="I433" s="19"/>
      <c r="J433" s="19"/>
      <c r="K433" s="19"/>
      <c r="L433" s="19"/>
      <c r="M433" s="19"/>
      <c r="N433" s="14">
        <v>1.0</v>
      </c>
      <c r="O433" s="19"/>
      <c r="P433" s="19"/>
      <c r="Q433" s="14"/>
      <c r="R433" s="19"/>
      <c r="S433" s="19"/>
      <c r="T433" s="19"/>
      <c r="U433" s="19"/>
      <c r="V433" s="19"/>
      <c r="W433" s="14"/>
      <c r="X433" s="14" t="s">
        <v>31</v>
      </c>
      <c r="Y433" s="9" t="s">
        <v>32</v>
      </c>
      <c r="Z433" s="9"/>
    </row>
    <row r="434">
      <c r="A434" s="9">
        <v>433.0</v>
      </c>
      <c r="B434" s="10" t="s">
        <v>1615</v>
      </c>
      <c r="C434" s="11" t="s">
        <v>1616</v>
      </c>
      <c r="D434" s="15" t="s">
        <v>1617</v>
      </c>
      <c r="E434" s="22" t="s">
        <v>62</v>
      </c>
      <c r="F434" s="22" t="s">
        <v>62</v>
      </c>
      <c r="G434" s="9" t="s">
        <v>38</v>
      </c>
      <c r="H434" s="13">
        <v>2019.0</v>
      </c>
      <c r="I434" s="14">
        <v>1.0</v>
      </c>
      <c r="J434" s="14">
        <v>1.0</v>
      </c>
      <c r="K434" s="14">
        <v>1.0</v>
      </c>
      <c r="L434" s="14">
        <v>1.0</v>
      </c>
      <c r="M434" s="14">
        <v>1.0</v>
      </c>
      <c r="N434" s="14">
        <v>0.0</v>
      </c>
      <c r="O434" s="14">
        <v>0.0</v>
      </c>
      <c r="P434" s="14">
        <v>0.0</v>
      </c>
      <c r="Q434" s="14">
        <v>0.0</v>
      </c>
      <c r="R434" s="14">
        <v>0.0</v>
      </c>
      <c r="S434" s="14">
        <v>0.0</v>
      </c>
      <c r="T434" s="14">
        <v>0.0</v>
      </c>
      <c r="U434" s="14">
        <v>0.0</v>
      </c>
      <c r="V434" s="14">
        <v>0.0</v>
      </c>
      <c r="W434" s="14" t="s">
        <v>39</v>
      </c>
      <c r="X434" s="14" t="s">
        <v>39</v>
      </c>
      <c r="Y434" s="9" t="s">
        <v>412</v>
      </c>
      <c r="Z434" s="9" t="s">
        <v>1618</v>
      </c>
    </row>
    <row r="435">
      <c r="A435" s="9">
        <v>434.0</v>
      </c>
      <c r="B435" s="10" t="s">
        <v>1619</v>
      </c>
      <c r="C435" s="11" t="s">
        <v>1620</v>
      </c>
      <c r="D435" s="10" t="s">
        <v>1621</v>
      </c>
      <c r="E435" s="25" t="s">
        <v>62</v>
      </c>
      <c r="F435" s="25" t="s">
        <v>62</v>
      </c>
      <c r="G435" s="9"/>
      <c r="H435" s="13">
        <v>2020.0</v>
      </c>
      <c r="I435" s="19"/>
      <c r="J435" s="19"/>
      <c r="K435" s="19"/>
      <c r="L435" s="19"/>
      <c r="M435" s="19"/>
      <c r="N435" s="19"/>
      <c r="O435" s="14">
        <v>1.0</v>
      </c>
      <c r="P435" s="14">
        <v>1.0</v>
      </c>
      <c r="Q435" s="14"/>
      <c r="R435" s="19"/>
      <c r="S435" s="19"/>
      <c r="T435" s="19"/>
      <c r="U435" s="19"/>
      <c r="V435" s="19"/>
      <c r="W435" s="14"/>
      <c r="X435" s="14" t="s">
        <v>31</v>
      </c>
      <c r="Y435" s="9" t="s">
        <v>32</v>
      </c>
      <c r="Z435" s="21"/>
    </row>
    <row r="436">
      <c r="A436" s="9">
        <v>435.0</v>
      </c>
      <c r="B436" s="10" t="s">
        <v>1622</v>
      </c>
      <c r="C436" s="11" t="s">
        <v>1623</v>
      </c>
      <c r="D436" s="10" t="s">
        <v>1624</v>
      </c>
      <c r="E436" s="22" t="s">
        <v>62</v>
      </c>
      <c r="F436" s="22" t="s">
        <v>62</v>
      </c>
      <c r="G436" s="9"/>
      <c r="H436" s="13">
        <v>2018.0</v>
      </c>
      <c r="I436" s="14"/>
      <c r="J436" s="19"/>
      <c r="K436" s="19"/>
      <c r="L436" s="19"/>
      <c r="M436" s="19"/>
      <c r="N436" s="19"/>
      <c r="O436" s="19"/>
      <c r="P436" s="14">
        <v>1.0</v>
      </c>
      <c r="Q436" s="14"/>
      <c r="R436" s="19"/>
      <c r="S436" s="19"/>
      <c r="T436" s="19"/>
      <c r="U436" s="19"/>
      <c r="V436" s="19"/>
      <c r="W436" s="14" t="s">
        <v>31</v>
      </c>
      <c r="X436" s="14" t="s">
        <v>39</v>
      </c>
      <c r="Y436" s="9" t="s">
        <v>412</v>
      </c>
      <c r="Z436" s="9" t="s">
        <v>1625</v>
      </c>
    </row>
    <row r="437">
      <c r="A437" s="9">
        <v>436.0</v>
      </c>
      <c r="B437" s="10" t="s">
        <v>1626</v>
      </c>
      <c r="C437" s="11" t="s">
        <v>1627</v>
      </c>
      <c r="D437" s="10" t="s">
        <v>1628</v>
      </c>
      <c r="E437" s="12" t="s">
        <v>1629</v>
      </c>
      <c r="F437" s="12" t="s">
        <v>1630</v>
      </c>
      <c r="G437" s="9" t="s">
        <v>38</v>
      </c>
      <c r="H437" s="13">
        <v>2019.0</v>
      </c>
      <c r="I437" s="14">
        <v>1.0</v>
      </c>
      <c r="J437" s="14">
        <v>1.0</v>
      </c>
      <c r="K437" s="14">
        <v>1.0</v>
      </c>
      <c r="L437" s="14">
        <v>1.0</v>
      </c>
      <c r="M437" s="14">
        <v>1.0</v>
      </c>
      <c r="N437" s="14">
        <v>0.0</v>
      </c>
      <c r="O437" s="14">
        <v>0.0</v>
      </c>
      <c r="P437" s="14">
        <v>0.0</v>
      </c>
      <c r="Q437" s="14">
        <v>0.0</v>
      </c>
      <c r="R437" s="14">
        <v>0.0</v>
      </c>
      <c r="S437" s="14">
        <v>0.0</v>
      </c>
      <c r="T437" s="14">
        <v>0.0</v>
      </c>
      <c r="U437" s="14">
        <v>0.0</v>
      </c>
      <c r="V437" s="14">
        <v>0.0</v>
      </c>
      <c r="W437" s="14" t="s">
        <v>39</v>
      </c>
      <c r="X437" s="14" t="s">
        <v>39</v>
      </c>
      <c r="Y437" s="9" t="s">
        <v>412</v>
      </c>
      <c r="Z437" s="9" t="s">
        <v>1282</v>
      </c>
    </row>
    <row r="438">
      <c r="A438" s="9">
        <v>437.0</v>
      </c>
      <c r="B438" s="10" t="s">
        <v>1631</v>
      </c>
      <c r="C438" s="11" t="s">
        <v>1632</v>
      </c>
      <c r="D438" s="10" t="s">
        <v>1633</v>
      </c>
      <c r="E438" s="25" t="s">
        <v>128</v>
      </c>
      <c r="F438" s="25" t="s">
        <v>128</v>
      </c>
      <c r="G438" s="9" t="s">
        <v>38</v>
      </c>
      <c r="H438" s="13">
        <v>2018.0</v>
      </c>
      <c r="I438" s="14">
        <v>1.0</v>
      </c>
      <c r="J438" s="14">
        <v>1.0</v>
      </c>
      <c r="K438" s="14">
        <v>1.0</v>
      </c>
      <c r="L438" s="14">
        <v>1.0</v>
      </c>
      <c r="M438" s="14">
        <v>1.0</v>
      </c>
      <c r="N438" s="14">
        <v>0.0</v>
      </c>
      <c r="O438" s="14">
        <v>0.0</v>
      </c>
      <c r="P438" s="14">
        <v>0.0</v>
      </c>
      <c r="Q438" s="14">
        <v>0.0</v>
      </c>
      <c r="R438" s="14">
        <v>0.0</v>
      </c>
      <c r="S438" s="14">
        <v>0.0</v>
      </c>
      <c r="T438" s="14">
        <v>0.0</v>
      </c>
      <c r="U438" s="14">
        <v>0.0</v>
      </c>
      <c r="V438" s="14">
        <v>0.0</v>
      </c>
      <c r="W438" s="14" t="s">
        <v>39</v>
      </c>
      <c r="X438" s="14" t="s">
        <v>39</v>
      </c>
      <c r="Y438" s="9" t="s">
        <v>412</v>
      </c>
      <c r="Z438" s="9" t="s">
        <v>1634</v>
      </c>
    </row>
    <row r="439">
      <c r="A439" s="9">
        <v>438.0</v>
      </c>
      <c r="B439" s="10" t="s">
        <v>1635</v>
      </c>
      <c r="C439" s="16" t="s">
        <v>1636</v>
      </c>
      <c r="D439" s="10" t="s">
        <v>79</v>
      </c>
      <c r="E439" s="23" t="s">
        <v>1637</v>
      </c>
      <c r="F439" s="23" t="s">
        <v>1637</v>
      </c>
      <c r="G439" s="9"/>
      <c r="H439" s="18">
        <v>2020.0</v>
      </c>
      <c r="I439" s="14">
        <v>1.0</v>
      </c>
      <c r="J439" s="14">
        <v>0.0</v>
      </c>
      <c r="K439" s="14">
        <v>1.0</v>
      </c>
      <c r="L439" s="14">
        <v>0.0</v>
      </c>
      <c r="M439" s="14">
        <v>1.0</v>
      </c>
      <c r="N439" s="14">
        <v>0.0</v>
      </c>
      <c r="O439" s="14">
        <v>0.0</v>
      </c>
      <c r="P439" s="14">
        <v>0.0</v>
      </c>
      <c r="Q439" s="14">
        <v>0.0</v>
      </c>
      <c r="R439" s="14">
        <v>0.0</v>
      </c>
      <c r="S439" s="14">
        <v>0.0</v>
      </c>
      <c r="T439" s="14">
        <v>0.0</v>
      </c>
      <c r="U439" s="14">
        <v>0.0</v>
      </c>
      <c r="V439" s="14">
        <v>0.0</v>
      </c>
      <c r="W439" s="14" t="s">
        <v>31</v>
      </c>
      <c r="X439" s="14" t="s">
        <v>39</v>
      </c>
      <c r="Y439" s="9" t="s">
        <v>412</v>
      </c>
      <c r="Z439" s="9" t="s">
        <v>1638</v>
      </c>
    </row>
    <row r="440">
      <c r="A440" s="9">
        <v>439.0</v>
      </c>
      <c r="B440" s="10" t="s">
        <v>1639</v>
      </c>
      <c r="C440" s="11" t="s">
        <v>1640</v>
      </c>
      <c r="D440" s="10" t="s">
        <v>1641</v>
      </c>
      <c r="E440" s="22"/>
      <c r="F440" s="22"/>
      <c r="G440" s="9"/>
      <c r="H440" s="10"/>
      <c r="I440" s="19"/>
      <c r="J440" s="19"/>
      <c r="K440" s="19"/>
      <c r="L440" s="19"/>
      <c r="M440" s="19"/>
      <c r="N440" s="19"/>
      <c r="O440" s="19"/>
      <c r="P440" s="19"/>
      <c r="Q440" s="19"/>
      <c r="R440" s="19"/>
      <c r="S440" s="19"/>
      <c r="T440" s="14">
        <v>1.0</v>
      </c>
      <c r="U440" s="19"/>
      <c r="V440" s="19"/>
      <c r="W440" s="14"/>
      <c r="X440" s="14" t="s">
        <v>31</v>
      </c>
      <c r="Y440" s="9" t="s">
        <v>32</v>
      </c>
      <c r="Z440" s="9"/>
    </row>
    <row r="441">
      <c r="A441" s="9">
        <v>440.0</v>
      </c>
      <c r="B441" s="10" t="s">
        <v>1642</v>
      </c>
      <c r="C441" s="16" t="s">
        <v>1643</v>
      </c>
      <c r="D441" s="10" t="s">
        <v>1644</v>
      </c>
      <c r="E441" s="22" t="s">
        <v>62</v>
      </c>
      <c r="F441" s="22" t="s">
        <v>62</v>
      </c>
      <c r="G441" s="9"/>
      <c r="H441" s="13">
        <v>2020.0</v>
      </c>
      <c r="I441" s="14"/>
      <c r="J441" s="14"/>
      <c r="K441" s="14"/>
      <c r="L441" s="14"/>
      <c r="M441" s="14"/>
      <c r="N441" s="14">
        <v>1.0</v>
      </c>
      <c r="O441" s="14">
        <v>1.0</v>
      </c>
      <c r="P441" s="19"/>
      <c r="Q441" s="19"/>
      <c r="R441" s="19"/>
      <c r="S441" s="19"/>
      <c r="T441" s="19"/>
      <c r="U441" s="19"/>
      <c r="V441" s="19"/>
      <c r="W441" s="14"/>
      <c r="X441" s="14" t="s">
        <v>31</v>
      </c>
      <c r="Y441" s="9" t="s">
        <v>32</v>
      </c>
      <c r="Z441" s="9"/>
    </row>
    <row r="442">
      <c r="A442" s="9">
        <v>441.0</v>
      </c>
      <c r="B442" s="10" t="s">
        <v>1645</v>
      </c>
      <c r="C442" s="11" t="s">
        <v>1646</v>
      </c>
      <c r="D442" s="10" t="s">
        <v>1647</v>
      </c>
      <c r="E442" s="23" t="s">
        <v>1648</v>
      </c>
      <c r="F442" s="23" t="s">
        <v>1648</v>
      </c>
      <c r="G442" s="9"/>
      <c r="H442" s="13">
        <v>2020.0</v>
      </c>
      <c r="I442" s="14">
        <v>0.0</v>
      </c>
      <c r="J442" s="14"/>
      <c r="K442" s="14"/>
      <c r="L442" s="14"/>
      <c r="M442" s="14"/>
      <c r="N442" s="19"/>
      <c r="O442" s="14">
        <v>1.0</v>
      </c>
      <c r="P442" s="19"/>
      <c r="Q442" s="14"/>
      <c r="R442" s="19"/>
      <c r="S442" s="19"/>
      <c r="T442" s="19"/>
      <c r="U442" s="19"/>
      <c r="V442" s="19"/>
      <c r="W442" s="14"/>
      <c r="X442" s="14" t="s">
        <v>31</v>
      </c>
      <c r="Y442" s="9" t="s">
        <v>32</v>
      </c>
      <c r="Z442" s="21"/>
    </row>
    <row r="443">
      <c r="A443" s="9">
        <v>442.0</v>
      </c>
      <c r="B443" s="10" t="s">
        <v>1649</v>
      </c>
      <c r="C443" s="11" t="s">
        <v>1650</v>
      </c>
      <c r="D443" s="10" t="s">
        <v>1651</v>
      </c>
      <c r="E443" s="12" t="s">
        <v>36</v>
      </c>
      <c r="F443" s="12" t="s">
        <v>37</v>
      </c>
      <c r="G443" s="9" t="s">
        <v>58</v>
      </c>
      <c r="H443" s="13">
        <v>2019.0</v>
      </c>
      <c r="I443" s="14">
        <v>1.0</v>
      </c>
      <c r="J443" s="14">
        <v>1.0</v>
      </c>
      <c r="K443" s="14">
        <v>1.0</v>
      </c>
      <c r="L443" s="14">
        <v>1.0</v>
      </c>
      <c r="M443" s="14">
        <v>1.0</v>
      </c>
      <c r="N443" s="14">
        <v>0.0</v>
      </c>
      <c r="O443" s="14">
        <v>1.0</v>
      </c>
      <c r="P443" s="14">
        <v>0.0</v>
      </c>
      <c r="Q443" s="14">
        <v>0.0</v>
      </c>
      <c r="R443" s="14">
        <v>0.0</v>
      </c>
      <c r="S443" s="14">
        <v>0.0</v>
      </c>
      <c r="T443" s="14">
        <v>0.0</v>
      </c>
      <c r="U443" s="14">
        <v>0.0</v>
      </c>
      <c r="V443" s="14">
        <v>0.0</v>
      </c>
      <c r="W443" s="14" t="s">
        <v>31</v>
      </c>
      <c r="X443" s="14" t="s">
        <v>39</v>
      </c>
      <c r="Y443" s="9" t="s">
        <v>412</v>
      </c>
      <c r="Z443" s="9" t="s">
        <v>1652</v>
      </c>
    </row>
    <row r="444">
      <c r="A444" s="9">
        <v>443.0</v>
      </c>
      <c r="B444" s="10" t="s">
        <v>1653</v>
      </c>
      <c r="C444" s="11" t="s">
        <v>1654</v>
      </c>
      <c r="D444" s="10" t="s">
        <v>1655</v>
      </c>
      <c r="E444" s="22" t="s">
        <v>128</v>
      </c>
      <c r="F444" s="22" t="s">
        <v>128</v>
      </c>
      <c r="G444" s="9"/>
      <c r="H444" s="13">
        <v>2019.0</v>
      </c>
      <c r="I444" s="14"/>
      <c r="J444" s="14"/>
      <c r="K444" s="14"/>
      <c r="L444" s="14"/>
      <c r="M444" s="14"/>
      <c r="N444" s="19"/>
      <c r="O444" s="14">
        <v>1.0</v>
      </c>
      <c r="P444" s="19"/>
      <c r="Q444" s="19"/>
      <c r="R444" s="19"/>
      <c r="S444" s="19"/>
      <c r="T444" s="19"/>
      <c r="U444" s="19"/>
      <c r="V444" s="19"/>
      <c r="W444" s="14"/>
      <c r="X444" s="14" t="s">
        <v>31</v>
      </c>
      <c r="Y444" s="9" t="s">
        <v>32</v>
      </c>
      <c r="Z444" s="21"/>
    </row>
    <row r="445">
      <c r="A445" s="9">
        <v>444.0</v>
      </c>
      <c r="B445" s="10" t="s">
        <v>1656</v>
      </c>
      <c r="C445" s="11" t="s">
        <v>1657</v>
      </c>
      <c r="D445" s="10" t="s">
        <v>1658</v>
      </c>
      <c r="E445" s="12" t="s">
        <v>36</v>
      </c>
      <c r="F445" s="12" t="s">
        <v>37</v>
      </c>
      <c r="G445" s="9"/>
      <c r="H445" s="18">
        <v>2019.0</v>
      </c>
      <c r="I445" s="19"/>
      <c r="J445" s="19"/>
      <c r="K445" s="19"/>
      <c r="L445" s="19"/>
      <c r="M445" s="19"/>
      <c r="N445" s="19"/>
      <c r="O445" s="14">
        <v>1.0</v>
      </c>
      <c r="P445" s="14">
        <v>1.0</v>
      </c>
      <c r="Q445" s="19"/>
      <c r="R445" s="19"/>
      <c r="S445" s="19"/>
      <c r="T445" s="14"/>
      <c r="U445" s="19"/>
      <c r="V445" s="19"/>
      <c r="W445" s="14"/>
      <c r="X445" s="14" t="s">
        <v>31</v>
      </c>
      <c r="Y445" s="9" t="s">
        <v>32</v>
      </c>
      <c r="Z445" s="9"/>
    </row>
    <row r="446">
      <c r="A446" s="9">
        <v>445.0</v>
      </c>
      <c r="B446" s="10" t="s">
        <v>1659</v>
      </c>
      <c r="C446" s="16" t="s">
        <v>1660</v>
      </c>
      <c r="D446" s="10" t="s">
        <v>1661</v>
      </c>
      <c r="E446" s="22" t="s">
        <v>62</v>
      </c>
      <c r="F446" s="22" t="s">
        <v>62</v>
      </c>
      <c r="G446" s="9"/>
      <c r="H446" s="13">
        <v>2020.0</v>
      </c>
      <c r="I446" s="14">
        <v>1.0</v>
      </c>
      <c r="J446" s="14">
        <v>0.0</v>
      </c>
      <c r="K446" s="19"/>
      <c r="L446" s="14">
        <v>1.0</v>
      </c>
      <c r="M446" s="14">
        <v>1.0</v>
      </c>
      <c r="N446" s="14"/>
      <c r="O446" s="14"/>
      <c r="P446" s="14"/>
      <c r="Q446" s="14"/>
      <c r="R446" s="19"/>
      <c r="S446" s="19"/>
      <c r="T446" s="19"/>
      <c r="U446" s="19"/>
      <c r="V446" s="19"/>
      <c r="W446" s="14" t="s">
        <v>31</v>
      </c>
      <c r="X446" s="14" t="s">
        <v>39</v>
      </c>
      <c r="Y446" s="9" t="s">
        <v>412</v>
      </c>
      <c r="Z446" s="9" t="s">
        <v>1662</v>
      </c>
    </row>
    <row r="447">
      <c r="A447" s="9">
        <v>446.0</v>
      </c>
      <c r="B447" s="10" t="s">
        <v>1663</v>
      </c>
      <c r="C447" s="11" t="s">
        <v>1664</v>
      </c>
      <c r="D447" s="35" t="s">
        <v>1665</v>
      </c>
      <c r="E447" s="36" t="s">
        <v>1666</v>
      </c>
      <c r="F447" s="12" t="s">
        <v>1667</v>
      </c>
      <c r="G447" s="9" t="s">
        <v>38</v>
      </c>
      <c r="H447" s="13">
        <v>2019.0</v>
      </c>
      <c r="I447" s="14">
        <v>1.0</v>
      </c>
      <c r="J447" s="14">
        <v>1.0</v>
      </c>
      <c r="K447" s="14">
        <v>1.0</v>
      </c>
      <c r="L447" s="14">
        <v>1.0</v>
      </c>
      <c r="M447" s="14">
        <v>1.0</v>
      </c>
      <c r="N447" s="14">
        <v>0.0</v>
      </c>
      <c r="O447" s="14">
        <v>0.0</v>
      </c>
      <c r="P447" s="14">
        <v>0.0</v>
      </c>
      <c r="Q447" s="14">
        <v>0.0</v>
      </c>
      <c r="R447" s="14">
        <v>0.0</v>
      </c>
      <c r="S447" s="14">
        <v>0.0</v>
      </c>
      <c r="T447" s="14">
        <v>0.0</v>
      </c>
      <c r="U447" s="14">
        <v>0.0</v>
      </c>
      <c r="V447" s="14">
        <v>0.0</v>
      </c>
      <c r="W447" s="14" t="s">
        <v>39</v>
      </c>
      <c r="X447" s="14" t="s">
        <v>39</v>
      </c>
      <c r="Y447" s="9" t="s">
        <v>412</v>
      </c>
      <c r="Z447" s="9" t="s">
        <v>1668</v>
      </c>
    </row>
    <row r="448">
      <c r="A448" s="9">
        <v>447.0</v>
      </c>
      <c r="B448" s="10" t="s">
        <v>1669</v>
      </c>
      <c r="C448" s="11" t="s">
        <v>1670</v>
      </c>
      <c r="D448" s="10" t="s">
        <v>1671</v>
      </c>
      <c r="E448" s="23" t="s">
        <v>265</v>
      </c>
      <c r="F448" s="23" t="s">
        <v>265</v>
      </c>
      <c r="G448" s="9"/>
      <c r="H448" s="13">
        <v>2019.0</v>
      </c>
      <c r="I448" s="19"/>
      <c r="J448" s="19"/>
      <c r="K448" s="19"/>
      <c r="L448" s="19"/>
      <c r="M448" s="19"/>
      <c r="N448" s="14">
        <v>1.0</v>
      </c>
      <c r="O448" s="19"/>
      <c r="P448" s="19"/>
      <c r="Q448" s="14"/>
      <c r="R448" s="19"/>
      <c r="S448" s="19"/>
      <c r="T448" s="19"/>
      <c r="U448" s="19"/>
      <c r="V448" s="19"/>
      <c r="W448" s="14"/>
      <c r="X448" s="14" t="s">
        <v>31</v>
      </c>
      <c r="Y448" s="9" t="s">
        <v>32</v>
      </c>
      <c r="Z448" s="9"/>
    </row>
    <row r="449">
      <c r="A449" s="9">
        <v>448.0</v>
      </c>
      <c r="B449" s="10" t="s">
        <v>1672</v>
      </c>
      <c r="C449" s="16" t="s">
        <v>1673</v>
      </c>
      <c r="D449" s="10" t="s">
        <v>1674</v>
      </c>
      <c r="E449" s="22" t="s">
        <v>62</v>
      </c>
      <c r="F449" s="22" t="s">
        <v>62</v>
      </c>
      <c r="G449" s="9" t="s">
        <v>58</v>
      </c>
      <c r="H449" s="13">
        <v>2019.0</v>
      </c>
      <c r="I449" s="14">
        <v>1.0</v>
      </c>
      <c r="J449" s="14">
        <v>1.0</v>
      </c>
      <c r="K449" s="14">
        <v>1.0</v>
      </c>
      <c r="L449" s="14">
        <v>1.0</v>
      </c>
      <c r="M449" s="14">
        <v>1.0</v>
      </c>
      <c r="N449" s="14">
        <v>0.0</v>
      </c>
      <c r="O449" s="14">
        <v>0.0</v>
      </c>
      <c r="P449" s="14">
        <v>0.0</v>
      </c>
      <c r="Q449" s="14">
        <v>0.0</v>
      </c>
      <c r="R449" s="14">
        <v>0.0</v>
      </c>
      <c r="S449" s="14">
        <v>0.0</v>
      </c>
      <c r="T449" s="14">
        <v>0.0</v>
      </c>
      <c r="U449" s="14">
        <v>0.0</v>
      </c>
      <c r="V449" s="14">
        <v>0.0</v>
      </c>
      <c r="W449" s="14" t="s">
        <v>39</v>
      </c>
      <c r="X449" s="14" t="s">
        <v>39</v>
      </c>
      <c r="Y449" s="9" t="s">
        <v>412</v>
      </c>
      <c r="Z449" s="9" t="s">
        <v>1675</v>
      </c>
    </row>
    <row r="450">
      <c r="A450" s="9">
        <v>449.0</v>
      </c>
      <c r="B450" s="10" t="s">
        <v>1676</v>
      </c>
      <c r="C450" s="16" t="s">
        <v>1677</v>
      </c>
      <c r="D450" s="10" t="s">
        <v>1678</v>
      </c>
      <c r="E450" s="25" t="s">
        <v>62</v>
      </c>
      <c r="F450" s="25" t="s">
        <v>62</v>
      </c>
      <c r="G450" s="9" t="s">
        <v>38</v>
      </c>
      <c r="H450" s="13">
        <v>2020.0</v>
      </c>
      <c r="I450" s="14">
        <v>1.0</v>
      </c>
      <c r="J450" s="14">
        <v>1.0</v>
      </c>
      <c r="K450" s="14">
        <v>1.0</v>
      </c>
      <c r="L450" s="14">
        <v>0.0</v>
      </c>
      <c r="M450" s="14">
        <v>1.0</v>
      </c>
      <c r="N450" s="14">
        <v>0.0</v>
      </c>
      <c r="O450" s="14">
        <v>0.0</v>
      </c>
      <c r="P450" s="14">
        <v>0.0</v>
      </c>
      <c r="Q450" s="14">
        <v>0.0</v>
      </c>
      <c r="R450" s="14">
        <v>0.0</v>
      </c>
      <c r="S450" s="14">
        <v>0.0</v>
      </c>
      <c r="T450" s="14">
        <v>0.0</v>
      </c>
      <c r="U450" s="14">
        <v>0.0</v>
      </c>
      <c r="V450" s="14">
        <v>0.0</v>
      </c>
      <c r="W450" s="14" t="s">
        <v>31</v>
      </c>
      <c r="X450" s="14" t="s">
        <v>39</v>
      </c>
      <c r="Y450" s="9" t="s">
        <v>412</v>
      </c>
      <c r="Z450" s="9" t="s">
        <v>1679</v>
      </c>
    </row>
    <row r="451">
      <c r="A451" s="9">
        <v>450.0</v>
      </c>
      <c r="B451" s="10" t="s">
        <v>1680</v>
      </c>
      <c r="C451" s="11" t="s">
        <v>1681</v>
      </c>
      <c r="D451" s="15" t="s">
        <v>1682</v>
      </c>
      <c r="E451" s="12" t="s">
        <v>36</v>
      </c>
      <c r="F451" s="12" t="s">
        <v>37</v>
      </c>
      <c r="G451" s="9" t="s">
        <v>38</v>
      </c>
      <c r="H451" s="13">
        <v>2019.0</v>
      </c>
      <c r="I451" s="14">
        <v>1.0</v>
      </c>
      <c r="J451" s="14">
        <v>1.0</v>
      </c>
      <c r="K451" s="14">
        <v>1.0</v>
      </c>
      <c r="L451" s="14">
        <v>1.0</v>
      </c>
      <c r="M451" s="14">
        <v>1.0</v>
      </c>
      <c r="N451" s="14">
        <v>0.0</v>
      </c>
      <c r="O451" s="14">
        <v>0.0</v>
      </c>
      <c r="P451" s="14">
        <v>0.0</v>
      </c>
      <c r="Q451" s="14">
        <v>0.0</v>
      </c>
      <c r="R451" s="14">
        <v>0.0</v>
      </c>
      <c r="S451" s="14">
        <v>0.0</v>
      </c>
      <c r="T451" s="14">
        <v>0.0</v>
      </c>
      <c r="U451" s="14">
        <v>0.0</v>
      </c>
      <c r="V451" s="14">
        <v>0.0</v>
      </c>
      <c r="W451" s="14" t="s">
        <v>39</v>
      </c>
      <c r="X451" s="14" t="s">
        <v>39</v>
      </c>
      <c r="Y451" s="9" t="s">
        <v>412</v>
      </c>
      <c r="Z451" s="9" t="s">
        <v>1683</v>
      </c>
    </row>
    <row r="452">
      <c r="A452" s="9">
        <v>451.0</v>
      </c>
      <c r="B452" s="10" t="s">
        <v>1684</v>
      </c>
      <c r="C452" s="16" t="s">
        <v>1685</v>
      </c>
      <c r="D452" s="10" t="s">
        <v>1686</v>
      </c>
      <c r="E452" s="25"/>
      <c r="F452" s="25"/>
      <c r="G452" s="9"/>
      <c r="H452" s="29"/>
      <c r="I452" s="14"/>
      <c r="J452" s="14"/>
      <c r="K452" s="14"/>
      <c r="L452" s="14"/>
      <c r="M452" s="14"/>
      <c r="N452" s="14">
        <v>1.0</v>
      </c>
      <c r="O452" s="19"/>
      <c r="P452" s="19"/>
      <c r="Q452" s="19"/>
      <c r="R452" s="19"/>
      <c r="S452" s="19"/>
      <c r="T452" s="19"/>
      <c r="U452" s="19"/>
      <c r="V452" s="19"/>
      <c r="W452" s="14"/>
      <c r="X452" s="14" t="s">
        <v>31</v>
      </c>
      <c r="Y452" s="9" t="s">
        <v>32</v>
      </c>
      <c r="Z452" s="21"/>
    </row>
    <row r="453">
      <c r="A453" s="9">
        <v>452.0</v>
      </c>
      <c r="B453" s="10" t="s">
        <v>1687</v>
      </c>
      <c r="C453" s="11" t="s">
        <v>1688</v>
      </c>
      <c r="D453" s="10" t="s">
        <v>1689</v>
      </c>
      <c r="E453" s="12" t="s">
        <v>36</v>
      </c>
      <c r="F453" s="12" t="s">
        <v>37</v>
      </c>
      <c r="G453" s="9"/>
      <c r="H453" s="13">
        <v>2018.0</v>
      </c>
      <c r="I453" s="14"/>
      <c r="J453" s="14"/>
      <c r="K453" s="14"/>
      <c r="L453" s="14"/>
      <c r="M453" s="14"/>
      <c r="N453" s="14">
        <v>1.0</v>
      </c>
      <c r="O453" s="19"/>
      <c r="P453" s="19"/>
      <c r="Q453" s="19"/>
      <c r="R453" s="19"/>
      <c r="S453" s="19"/>
      <c r="T453" s="19"/>
      <c r="U453" s="19"/>
      <c r="V453" s="19"/>
      <c r="W453" s="14"/>
      <c r="X453" s="14" t="s">
        <v>31</v>
      </c>
      <c r="Y453" s="9" t="s">
        <v>32</v>
      </c>
      <c r="Z453" s="9" t="s">
        <v>1690</v>
      </c>
    </row>
    <row r="454">
      <c r="A454" s="9">
        <v>453.0</v>
      </c>
      <c r="B454" s="10" t="s">
        <v>1691</v>
      </c>
      <c r="C454" s="11" t="s">
        <v>1692</v>
      </c>
      <c r="D454" s="10" t="s">
        <v>1693</v>
      </c>
      <c r="E454" s="23" t="s">
        <v>69</v>
      </c>
      <c r="F454" s="23" t="s">
        <v>69</v>
      </c>
      <c r="G454" s="9"/>
      <c r="H454" s="13">
        <v>2018.0</v>
      </c>
      <c r="I454" s="14"/>
      <c r="J454" s="14"/>
      <c r="K454" s="14"/>
      <c r="L454" s="14"/>
      <c r="M454" s="14"/>
      <c r="N454" s="19"/>
      <c r="O454" s="19"/>
      <c r="P454" s="19"/>
      <c r="Q454" s="19"/>
      <c r="R454" s="14"/>
      <c r="S454" s="19"/>
      <c r="T454" s="14">
        <v>1.0</v>
      </c>
      <c r="U454" s="19"/>
      <c r="V454" s="19"/>
      <c r="W454" s="14"/>
      <c r="X454" s="14" t="s">
        <v>31</v>
      </c>
      <c r="Y454" s="9" t="s">
        <v>32</v>
      </c>
      <c r="Z454" s="9" t="s">
        <v>1694</v>
      </c>
    </row>
    <row r="455">
      <c r="A455" s="9">
        <v>454.0</v>
      </c>
      <c r="B455" s="10" t="s">
        <v>1695</v>
      </c>
      <c r="C455" s="16" t="s">
        <v>1696</v>
      </c>
      <c r="D455" s="10" t="s">
        <v>1016</v>
      </c>
      <c r="E455" s="23" t="s">
        <v>633</v>
      </c>
      <c r="F455" s="23" t="s">
        <v>633</v>
      </c>
      <c r="G455" s="9"/>
      <c r="H455" s="13">
        <v>2019.0</v>
      </c>
      <c r="I455" s="19"/>
      <c r="J455" s="19"/>
      <c r="K455" s="19"/>
      <c r="L455" s="19"/>
      <c r="M455" s="19"/>
      <c r="N455" s="19"/>
      <c r="O455" s="19"/>
      <c r="P455" s="19"/>
      <c r="Q455" s="14"/>
      <c r="R455" s="14"/>
      <c r="S455" s="19"/>
      <c r="T455" s="19"/>
      <c r="U455" s="19"/>
      <c r="V455" s="14">
        <v>1.0</v>
      </c>
      <c r="W455" s="14"/>
      <c r="X455" s="14" t="s">
        <v>31</v>
      </c>
      <c r="Y455" s="9" t="s">
        <v>32</v>
      </c>
      <c r="Z455" s="9" t="s">
        <v>634</v>
      </c>
    </row>
    <row r="456">
      <c r="A456" s="9">
        <v>455.0</v>
      </c>
      <c r="B456" s="10" t="s">
        <v>1697</v>
      </c>
      <c r="C456" s="11" t="s">
        <v>1698</v>
      </c>
      <c r="D456" s="10" t="s">
        <v>1699</v>
      </c>
      <c r="E456" s="12" t="s">
        <v>36</v>
      </c>
      <c r="F456" s="12" t="s">
        <v>37</v>
      </c>
      <c r="G456" s="9" t="s">
        <v>38</v>
      </c>
      <c r="H456" s="18">
        <v>2018.0</v>
      </c>
      <c r="I456" s="14">
        <v>1.0</v>
      </c>
      <c r="J456" s="14">
        <v>1.0</v>
      </c>
      <c r="K456" s="14">
        <v>1.0</v>
      </c>
      <c r="L456" s="14">
        <v>1.0</v>
      </c>
      <c r="M456" s="14">
        <v>1.0</v>
      </c>
      <c r="N456" s="14">
        <v>0.0</v>
      </c>
      <c r="O456" s="14">
        <v>0.0</v>
      </c>
      <c r="P456" s="14">
        <v>0.0</v>
      </c>
      <c r="Q456" s="14">
        <v>0.0</v>
      </c>
      <c r="R456" s="14">
        <v>0.0</v>
      </c>
      <c r="S456" s="14">
        <v>0.0</v>
      </c>
      <c r="T456" s="14">
        <v>0.0</v>
      </c>
      <c r="U456" s="14">
        <v>0.0</v>
      </c>
      <c r="V456" s="14">
        <v>0.0</v>
      </c>
      <c r="W456" s="14" t="s">
        <v>39</v>
      </c>
      <c r="X456" s="14" t="s">
        <v>39</v>
      </c>
      <c r="Y456" s="9" t="s">
        <v>412</v>
      </c>
      <c r="Z456" s="9" t="s">
        <v>1700</v>
      </c>
    </row>
    <row r="457">
      <c r="A457" s="9">
        <v>456.0</v>
      </c>
      <c r="B457" s="10" t="s">
        <v>1701</v>
      </c>
      <c r="C457" s="11" t="s">
        <v>1702</v>
      </c>
      <c r="D457" s="10" t="s">
        <v>1703</v>
      </c>
      <c r="E457" s="12" t="s">
        <v>36</v>
      </c>
      <c r="F457" s="12" t="s">
        <v>37</v>
      </c>
      <c r="G457" s="9" t="s">
        <v>58</v>
      </c>
      <c r="H457" s="13">
        <v>2019.0</v>
      </c>
      <c r="I457" s="14">
        <v>1.0</v>
      </c>
      <c r="J457" s="14">
        <v>1.0</v>
      </c>
      <c r="K457" s="14">
        <v>1.0</v>
      </c>
      <c r="L457" s="14">
        <v>1.0</v>
      </c>
      <c r="M457" s="14">
        <v>1.0</v>
      </c>
      <c r="N457" s="14">
        <v>0.0</v>
      </c>
      <c r="O457" s="14">
        <v>0.0</v>
      </c>
      <c r="P457" s="14">
        <v>0.0</v>
      </c>
      <c r="Q457" s="14">
        <v>0.0</v>
      </c>
      <c r="R457" s="14">
        <v>0.0</v>
      </c>
      <c r="S457" s="14">
        <v>0.0</v>
      </c>
      <c r="T457" s="14">
        <v>0.0</v>
      </c>
      <c r="U457" s="14">
        <v>0.0</v>
      </c>
      <c r="V457" s="14">
        <v>0.0</v>
      </c>
      <c r="W457" s="14" t="s">
        <v>39</v>
      </c>
      <c r="X457" s="14" t="s">
        <v>39</v>
      </c>
      <c r="Y457" s="9" t="s">
        <v>412</v>
      </c>
      <c r="Z457" s="9" t="s">
        <v>719</v>
      </c>
    </row>
    <row r="458">
      <c r="A458" s="9">
        <v>457.0</v>
      </c>
      <c r="B458" s="10" t="s">
        <v>1704</v>
      </c>
      <c r="C458" s="11" t="s">
        <v>1705</v>
      </c>
      <c r="D458" s="10" t="s">
        <v>1706</v>
      </c>
      <c r="E458" s="23" t="s">
        <v>1544</v>
      </c>
      <c r="F458" s="23" t="s">
        <v>1544</v>
      </c>
      <c r="G458" s="9"/>
      <c r="H458" s="13">
        <v>2019.0</v>
      </c>
      <c r="I458" s="14"/>
      <c r="J458" s="14"/>
      <c r="K458" s="14"/>
      <c r="L458" s="14"/>
      <c r="M458" s="14"/>
      <c r="N458" s="19"/>
      <c r="O458" s="19"/>
      <c r="P458" s="19"/>
      <c r="Q458" s="14">
        <v>1.0</v>
      </c>
      <c r="R458" s="19"/>
      <c r="S458" s="19"/>
      <c r="T458" s="19"/>
      <c r="U458" s="19"/>
      <c r="V458" s="19"/>
      <c r="W458" s="14"/>
      <c r="X458" s="14" t="s">
        <v>31</v>
      </c>
      <c r="Y458" s="9" t="s">
        <v>32</v>
      </c>
      <c r="Z458" s="9"/>
    </row>
    <row r="459">
      <c r="A459" s="9">
        <v>458.0</v>
      </c>
      <c r="B459" s="10" t="s">
        <v>1707</v>
      </c>
      <c r="C459" s="16" t="s">
        <v>1708</v>
      </c>
      <c r="D459" s="10" t="s">
        <v>1709</v>
      </c>
      <c r="E459" s="22"/>
      <c r="F459" s="22"/>
      <c r="G459" s="9"/>
      <c r="H459" s="10"/>
      <c r="I459" s="14"/>
      <c r="J459" s="14"/>
      <c r="K459" s="14"/>
      <c r="L459" s="14"/>
      <c r="M459" s="14"/>
      <c r="N459" s="14">
        <v>1.0</v>
      </c>
      <c r="O459" s="19"/>
      <c r="P459" s="19"/>
      <c r="Q459" s="14"/>
      <c r="R459" s="14"/>
      <c r="S459" s="19"/>
      <c r="T459" s="19"/>
      <c r="U459" s="19"/>
      <c r="V459" s="19"/>
      <c r="W459" s="14" t="s">
        <v>31</v>
      </c>
      <c r="X459" s="14" t="s">
        <v>39</v>
      </c>
      <c r="Y459" s="9" t="s">
        <v>412</v>
      </c>
      <c r="Z459" s="9" t="s">
        <v>1710</v>
      </c>
    </row>
    <row r="460">
      <c r="A460" s="9">
        <v>459.0</v>
      </c>
      <c r="B460" s="10" t="s">
        <v>1711</v>
      </c>
      <c r="C460" s="11" t="s">
        <v>1712</v>
      </c>
      <c r="D460" s="15" t="s">
        <v>1713</v>
      </c>
      <c r="E460" s="12" t="s">
        <v>36</v>
      </c>
      <c r="F460" s="12" t="s">
        <v>37</v>
      </c>
      <c r="G460" s="9" t="s">
        <v>38</v>
      </c>
      <c r="H460" s="13">
        <v>2020.0</v>
      </c>
      <c r="I460" s="14">
        <v>1.0</v>
      </c>
      <c r="J460" s="14">
        <v>1.0</v>
      </c>
      <c r="K460" s="14">
        <v>1.0</v>
      </c>
      <c r="L460" s="14">
        <v>1.0</v>
      </c>
      <c r="M460" s="14">
        <v>1.0</v>
      </c>
      <c r="N460" s="14">
        <v>0.0</v>
      </c>
      <c r="O460" s="14">
        <v>0.0</v>
      </c>
      <c r="P460" s="14">
        <v>0.0</v>
      </c>
      <c r="Q460" s="14">
        <v>0.0</v>
      </c>
      <c r="R460" s="14">
        <v>0.0</v>
      </c>
      <c r="S460" s="14">
        <v>0.0</v>
      </c>
      <c r="T460" s="14">
        <v>0.0</v>
      </c>
      <c r="U460" s="14">
        <v>0.0</v>
      </c>
      <c r="V460" s="14">
        <v>0.0</v>
      </c>
      <c r="W460" s="14" t="s">
        <v>39</v>
      </c>
      <c r="X460" s="14" t="s">
        <v>39</v>
      </c>
      <c r="Y460" s="9" t="s">
        <v>412</v>
      </c>
      <c r="Z460" s="9" t="s">
        <v>1714</v>
      </c>
    </row>
    <row r="461">
      <c r="A461" s="9">
        <v>460.0</v>
      </c>
      <c r="B461" s="10" t="s">
        <v>1715</v>
      </c>
      <c r="C461" s="16" t="s">
        <v>1716</v>
      </c>
      <c r="D461" s="10" t="s">
        <v>1717</v>
      </c>
      <c r="E461" s="25" t="s">
        <v>62</v>
      </c>
      <c r="F461" s="25" t="s">
        <v>62</v>
      </c>
      <c r="G461" s="9" t="s">
        <v>38</v>
      </c>
      <c r="H461" s="15">
        <v>2021.0</v>
      </c>
      <c r="I461" s="14">
        <v>1.0</v>
      </c>
      <c r="J461" s="14">
        <v>1.0</v>
      </c>
      <c r="K461" s="14">
        <v>1.0</v>
      </c>
      <c r="L461" s="14">
        <v>1.0</v>
      </c>
      <c r="M461" s="14">
        <v>1.0</v>
      </c>
      <c r="N461" s="14">
        <v>0.0</v>
      </c>
      <c r="O461" s="14">
        <v>0.0</v>
      </c>
      <c r="P461" s="14">
        <v>0.0</v>
      </c>
      <c r="Q461" s="14">
        <v>0.0</v>
      </c>
      <c r="R461" s="14">
        <v>0.0</v>
      </c>
      <c r="S461" s="14">
        <v>0.0</v>
      </c>
      <c r="T461" s="14">
        <v>0.0</v>
      </c>
      <c r="U461" s="14">
        <v>0.0</v>
      </c>
      <c r="V461" s="14">
        <v>0.0</v>
      </c>
      <c r="W461" s="14" t="s">
        <v>39</v>
      </c>
      <c r="X461" s="14" t="s">
        <v>39</v>
      </c>
      <c r="Y461" s="9" t="s">
        <v>412</v>
      </c>
      <c r="Z461" s="9" t="s">
        <v>1718</v>
      </c>
    </row>
    <row r="462">
      <c r="A462" s="9">
        <v>461.0</v>
      </c>
      <c r="B462" s="10" t="s">
        <v>1719</v>
      </c>
      <c r="C462" s="11" t="s">
        <v>1720</v>
      </c>
      <c r="D462" s="10" t="s">
        <v>1721</v>
      </c>
      <c r="E462" s="12" t="s">
        <v>80</v>
      </c>
      <c r="F462" s="12" t="s">
        <v>81</v>
      </c>
      <c r="G462" s="9" t="s">
        <v>58</v>
      </c>
      <c r="H462" s="13">
        <v>2019.0</v>
      </c>
      <c r="I462" s="14">
        <v>1.0</v>
      </c>
      <c r="J462" s="14">
        <v>1.0</v>
      </c>
      <c r="K462" s="14">
        <v>1.0</v>
      </c>
      <c r="L462" s="14">
        <v>1.0</v>
      </c>
      <c r="M462" s="14">
        <v>1.0</v>
      </c>
      <c r="N462" s="14">
        <v>0.0</v>
      </c>
      <c r="O462" s="14">
        <v>0.0</v>
      </c>
      <c r="P462" s="14">
        <v>0.0</v>
      </c>
      <c r="Q462" s="14">
        <v>0.0</v>
      </c>
      <c r="R462" s="14">
        <v>0.0</v>
      </c>
      <c r="S462" s="14">
        <v>0.0</v>
      </c>
      <c r="T462" s="14">
        <v>0.0</v>
      </c>
      <c r="U462" s="14">
        <v>0.0</v>
      </c>
      <c r="V462" s="14">
        <v>0.0</v>
      </c>
      <c r="W462" s="14" t="s">
        <v>39</v>
      </c>
      <c r="X462" s="14" t="s">
        <v>39</v>
      </c>
      <c r="Y462" s="9" t="s">
        <v>412</v>
      </c>
      <c r="Z462" s="37" t="s">
        <v>1722</v>
      </c>
    </row>
    <row r="463">
      <c r="A463" s="9">
        <v>462.0</v>
      </c>
      <c r="B463" s="10" t="s">
        <v>1723</v>
      </c>
      <c r="C463" s="11" t="s">
        <v>1724</v>
      </c>
      <c r="D463" s="10" t="s">
        <v>1725</v>
      </c>
      <c r="E463" s="12" t="s">
        <v>36</v>
      </c>
      <c r="F463" s="12" t="s">
        <v>37</v>
      </c>
      <c r="G463" s="9" t="s">
        <v>58</v>
      </c>
      <c r="H463" s="18">
        <v>2018.0</v>
      </c>
      <c r="I463" s="14">
        <v>0.0</v>
      </c>
      <c r="J463" s="14">
        <v>1.0</v>
      </c>
      <c r="K463" s="14">
        <v>1.0</v>
      </c>
      <c r="L463" s="14">
        <v>0.0</v>
      </c>
      <c r="M463" s="14">
        <v>1.0</v>
      </c>
      <c r="N463" s="14">
        <v>0.0</v>
      </c>
      <c r="O463" s="14">
        <v>0.0</v>
      </c>
      <c r="P463" s="14">
        <v>0.0</v>
      </c>
      <c r="Q463" s="14">
        <v>0.0</v>
      </c>
      <c r="R463" s="14">
        <v>0.0</v>
      </c>
      <c r="S463" s="14">
        <v>1.0</v>
      </c>
      <c r="T463" s="14">
        <v>0.0</v>
      </c>
      <c r="U463" s="14">
        <v>0.0</v>
      </c>
      <c r="V463" s="14">
        <v>0.0</v>
      </c>
      <c r="W463" s="14" t="s">
        <v>31</v>
      </c>
      <c r="X463" s="14" t="s">
        <v>39</v>
      </c>
      <c r="Y463" s="9" t="s">
        <v>412</v>
      </c>
      <c r="Z463" s="9" t="s">
        <v>1726</v>
      </c>
    </row>
    <row r="464">
      <c r="A464" s="9">
        <v>463.0</v>
      </c>
      <c r="B464" s="10" t="s">
        <v>1727</v>
      </c>
      <c r="C464" s="11" t="s">
        <v>1728</v>
      </c>
      <c r="D464" s="10" t="s">
        <v>1729</v>
      </c>
      <c r="E464" s="23" t="s">
        <v>1730</v>
      </c>
      <c r="F464" s="23" t="s">
        <v>1730</v>
      </c>
      <c r="G464" s="9"/>
      <c r="H464" s="13">
        <v>2019.0</v>
      </c>
      <c r="I464" s="14"/>
      <c r="J464" s="14"/>
      <c r="K464" s="14"/>
      <c r="L464" s="14"/>
      <c r="M464" s="14"/>
      <c r="N464" s="14"/>
      <c r="O464" s="14">
        <v>1.0</v>
      </c>
      <c r="P464" s="14"/>
      <c r="Q464" s="14"/>
      <c r="R464" s="14"/>
      <c r="S464" s="14"/>
      <c r="T464" s="14"/>
      <c r="U464" s="14"/>
      <c r="V464" s="14"/>
      <c r="W464" s="14"/>
      <c r="X464" s="14" t="s">
        <v>31</v>
      </c>
      <c r="Y464" s="9" t="s">
        <v>32</v>
      </c>
      <c r="Z464" s="9"/>
    </row>
    <row r="465">
      <c r="A465" s="9">
        <v>464.0</v>
      </c>
      <c r="B465" s="10" t="s">
        <v>1731</v>
      </c>
      <c r="C465" s="11" t="s">
        <v>1732</v>
      </c>
      <c r="D465" s="10" t="s">
        <v>1733</v>
      </c>
      <c r="E465" s="23" t="s">
        <v>566</v>
      </c>
      <c r="F465" s="23" t="s">
        <v>566</v>
      </c>
      <c r="G465" s="9"/>
      <c r="H465" s="13">
        <v>2018.0</v>
      </c>
      <c r="I465" s="14"/>
      <c r="J465" s="19"/>
      <c r="K465" s="19"/>
      <c r="L465" s="19"/>
      <c r="M465" s="19"/>
      <c r="N465" s="19"/>
      <c r="O465" s="19"/>
      <c r="P465" s="19"/>
      <c r="Q465" s="19"/>
      <c r="R465" s="14">
        <v>1.0</v>
      </c>
      <c r="S465" s="19"/>
      <c r="T465" s="19"/>
      <c r="U465" s="19"/>
      <c r="V465" s="19"/>
      <c r="W465" s="14"/>
      <c r="X465" s="14" t="s">
        <v>31</v>
      </c>
      <c r="Y465" s="9" t="s">
        <v>32</v>
      </c>
      <c r="Z465" s="9" t="s">
        <v>193</v>
      </c>
    </row>
    <row r="466">
      <c r="A466" s="9">
        <v>465.0</v>
      </c>
      <c r="B466" s="10" t="s">
        <v>1734</v>
      </c>
      <c r="C466" s="11" t="s">
        <v>1735</v>
      </c>
      <c r="D466" s="10" t="s">
        <v>1736</v>
      </c>
      <c r="E466" s="23" t="s">
        <v>595</v>
      </c>
      <c r="F466" s="23" t="s">
        <v>595</v>
      </c>
      <c r="G466" s="9"/>
      <c r="H466" s="13">
        <v>2019.0</v>
      </c>
      <c r="I466" s="19"/>
      <c r="J466" s="19"/>
      <c r="K466" s="19"/>
      <c r="L466" s="19"/>
      <c r="M466" s="19"/>
      <c r="N466" s="14">
        <v>1.0</v>
      </c>
      <c r="O466" s="14">
        <v>1.0</v>
      </c>
      <c r="P466" s="19"/>
      <c r="Q466" s="19"/>
      <c r="R466" s="19"/>
      <c r="S466" s="19"/>
      <c r="T466" s="19"/>
      <c r="U466" s="19"/>
      <c r="V466" s="19"/>
      <c r="W466" s="14"/>
      <c r="X466" s="14" t="s">
        <v>31</v>
      </c>
      <c r="Y466" s="9" t="s">
        <v>32</v>
      </c>
      <c r="Z466" s="9"/>
    </row>
    <row r="467">
      <c r="A467" s="9">
        <v>466.0</v>
      </c>
      <c r="B467" s="10" t="s">
        <v>1737</v>
      </c>
      <c r="C467" s="11" t="s">
        <v>1738</v>
      </c>
      <c r="D467" s="15" t="s">
        <v>1739</v>
      </c>
      <c r="E467" s="22" t="s">
        <v>62</v>
      </c>
      <c r="F467" s="22" t="s">
        <v>62</v>
      </c>
      <c r="G467" s="9" t="s">
        <v>38</v>
      </c>
      <c r="H467" s="13">
        <v>2018.0</v>
      </c>
      <c r="I467" s="14">
        <v>1.0</v>
      </c>
      <c r="J467" s="14">
        <v>1.0</v>
      </c>
      <c r="K467" s="14">
        <v>1.0</v>
      </c>
      <c r="L467" s="14">
        <v>1.0</v>
      </c>
      <c r="M467" s="14">
        <v>1.0</v>
      </c>
      <c r="N467" s="14">
        <v>0.0</v>
      </c>
      <c r="O467" s="14">
        <v>0.0</v>
      </c>
      <c r="P467" s="14">
        <v>0.0</v>
      </c>
      <c r="Q467" s="14">
        <v>0.0</v>
      </c>
      <c r="R467" s="14">
        <v>0.0</v>
      </c>
      <c r="S467" s="14">
        <v>0.0</v>
      </c>
      <c r="T467" s="14">
        <v>0.0</v>
      </c>
      <c r="U467" s="14">
        <v>0.0</v>
      </c>
      <c r="V467" s="14">
        <v>0.0</v>
      </c>
      <c r="W467" s="14" t="s">
        <v>39</v>
      </c>
      <c r="X467" s="14" t="s">
        <v>39</v>
      </c>
      <c r="Y467" s="9" t="s">
        <v>412</v>
      </c>
      <c r="Z467" s="9" t="s">
        <v>1740</v>
      </c>
    </row>
    <row r="468">
      <c r="A468" s="9">
        <v>467.0</v>
      </c>
      <c r="B468" s="10" t="s">
        <v>1741</v>
      </c>
      <c r="C468" s="11" t="s">
        <v>1742</v>
      </c>
      <c r="D468" s="10" t="s">
        <v>1743</v>
      </c>
      <c r="E468" s="12" t="s">
        <v>36</v>
      </c>
      <c r="F468" s="12" t="s">
        <v>37</v>
      </c>
      <c r="G468" s="9"/>
      <c r="H468" s="13">
        <v>2019.0</v>
      </c>
      <c r="I468" s="14"/>
      <c r="J468" s="14"/>
      <c r="K468" s="14"/>
      <c r="L468" s="14"/>
      <c r="M468" s="14"/>
      <c r="N468" s="14"/>
      <c r="O468" s="14">
        <v>1.0</v>
      </c>
      <c r="P468" s="19"/>
      <c r="Q468" s="19"/>
      <c r="R468" s="19"/>
      <c r="S468" s="19"/>
      <c r="T468" s="19"/>
      <c r="U468" s="19"/>
      <c r="V468" s="19"/>
      <c r="W468" s="14" t="s">
        <v>31</v>
      </c>
      <c r="X468" s="14" t="s">
        <v>39</v>
      </c>
      <c r="Y468" s="9" t="s">
        <v>412</v>
      </c>
      <c r="Z468" s="9" t="s">
        <v>1744</v>
      </c>
    </row>
    <row r="469">
      <c r="A469" s="9">
        <v>468.0</v>
      </c>
      <c r="B469" s="10" t="s">
        <v>1745</v>
      </c>
      <c r="C469" s="11" t="s">
        <v>1746</v>
      </c>
      <c r="D469" s="10" t="s">
        <v>1466</v>
      </c>
      <c r="E469" s="23" t="s">
        <v>182</v>
      </c>
      <c r="F469" s="23" t="s">
        <v>182</v>
      </c>
      <c r="G469" s="9"/>
      <c r="H469" s="13">
        <v>2018.0</v>
      </c>
      <c r="I469" s="14"/>
      <c r="J469" s="14"/>
      <c r="K469" s="14"/>
      <c r="L469" s="14"/>
      <c r="M469" s="14"/>
      <c r="N469" s="19"/>
      <c r="O469" s="19"/>
      <c r="P469" s="19"/>
      <c r="Q469" s="19"/>
      <c r="R469" s="14">
        <v>1.0</v>
      </c>
      <c r="S469" s="19"/>
      <c r="T469" s="19"/>
      <c r="U469" s="19"/>
      <c r="V469" s="19"/>
      <c r="W469" s="14"/>
      <c r="X469" s="14" t="s">
        <v>31</v>
      </c>
      <c r="Y469" s="9" t="s">
        <v>32</v>
      </c>
      <c r="Z469" s="21"/>
    </row>
    <row r="470">
      <c r="A470" s="9">
        <v>469.0</v>
      </c>
      <c r="B470" s="10" t="s">
        <v>1747</v>
      </c>
      <c r="C470" s="11" t="s">
        <v>1748</v>
      </c>
      <c r="D470" s="10" t="s">
        <v>1749</v>
      </c>
      <c r="E470" s="25"/>
      <c r="F470" s="25"/>
      <c r="G470" s="9"/>
      <c r="H470" s="29"/>
      <c r="I470" s="19"/>
      <c r="J470" s="19"/>
      <c r="K470" s="19"/>
      <c r="L470" s="19"/>
      <c r="M470" s="19"/>
      <c r="N470" s="19"/>
      <c r="O470" s="19"/>
      <c r="P470" s="19"/>
      <c r="Q470" s="14"/>
      <c r="R470" s="19"/>
      <c r="S470" s="19"/>
      <c r="T470" s="19"/>
      <c r="U470" s="14">
        <v>1.0</v>
      </c>
      <c r="V470" s="14"/>
      <c r="W470" s="14"/>
      <c r="X470" s="14" t="s">
        <v>31</v>
      </c>
      <c r="Y470" s="9" t="s">
        <v>32</v>
      </c>
      <c r="Z470" s="9" t="s">
        <v>1750</v>
      </c>
    </row>
    <row r="471">
      <c r="A471" s="9">
        <v>470.0</v>
      </c>
      <c r="B471" s="10" t="s">
        <v>1751</v>
      </c>
      <c r="C471" s="11" t="s">
        <v>1752</v>
      </c>
      <c r="D471" s="10" t="s">
        <v>1753</v>
      </c>
      <c r="E471" s="12" t="s">
        <v>1754</v>
      </c>
      <c r="F471" s="12" t="s">
        <v>1175</v>
      </c>
      <c r="G471" s="9" t="s">
        <v>38</v>
      </c>
      <c r="H471" s="13">
        <v>2018.0</v>
      </c>
      <c r="I471" s="14">
        <v>1.0</v>
      </c>
      <c r="J471" s="14">
        <v>1.0</v>
      </c>
      <c r="K471" s="14">
        <v>1.0</v>
      </c>
      <c r="L471" s="14">
        <v>1.0</v>
      </c>
      <c r="M471" s="14">
        <v>1.0</v>
      </c>
      <c r="N471" s="14">
        <v>0.0</v>
      </c>
      <c r="O471" s="14">
        <v>0.0</v>
      </c>
      <c r="P471" s="14">
        <v>0.0</v>
      </c>
      <c r="Q471" s="14">
        <v>0.0</v>
      </c>
      <c r="R471" s="14">
        <v>0.0</v>
      </c>
      <c r="S471" s="14">
        <v>0.0</v>
      </c>
      <c r="T471" s="14">
        <v>0.0</v>
      </c>
      <c r="U471" s="14">
        <v>0.0</v>
      </c>
      <c r="V471" s="14">
        <v>0.0</v>
      </c>
      <c r="W471" s="14" t="s">
        <v>39</v>
      </c>
      <c r="X471" s="14" t="s">
        <v>39</v>
      </c>
      <c r="Y471" s="9" t="s">
        <v>412</v>
      </c>
      <c r="Z471" s="38" t="s">
        <v>1755</v>
      </c>
    </row>
    <row r="472">
      <c r="A472" s="9">
        <v>471.0</v>
      </c>
      <c r="B472" s="10" t="s">
        <v>1756</v>
      </c>
      <c r="C472" s="16" t="s">
        <v>1757</v>
      </c>
      <c r="D472" s="10" t="s">
        <v>1758</v>
      </c>
      <c r="E472" s="23" t="s">
        <v>1759</v>
      </c>
      <c r="F472" s="23" t="s">
        <v>1759</v>
      </c>
      <c r="G472" s="9"/>
      <c r="H472" s="13">
        <v>2018.0</v>
      </c>
      <c r="I472" s="14"/>
      <c r="J472" s="14"/>
      <c r="K472" s="14"/>
      <c r="L472" s="14"/>
      <c r="M472" s="14"/>
      <c r="N472" s="19"/>
      <c r="O472" s="19"/>
      <c r="P472" s="19"/>
      <c r="Q472" s="19"/>
      <c r="R472" s="19"/>
      <c r="S472" s="19"/>
      <c r="T472" s="19"/>
      <c r="U472" s="19"/>
      <c r="V472" s="14">
        <v>1.0</v>
      </c>
      <c r="W472" s="14"/>
      <c r="X472" s="14" t="s">
        <v>31</v>
      </c>
      <c r="Y472" s="9" t="s">
        <v>32</v>
      </c>
      <c r="Z472" s="9" t="s">
        <v>1760</v>
      </c>
    </row>
    <row r="473">
      <c r="A473" s="9">
        <v>472.0</v>
      </c>
      <c r="B473" s="10" t="s">
        <v>1761</v>
      </c>
      <c r="C473" s="11" t="s">
        <v>1762</v>
      </c>
      <c r="D473" s="10" t="s">
        <v>1763</v>
      </c>
      <c r="E473" s="12" t="s">
        <v>36</v>
      </c>
      <c r="F473" s="12" t="s">
        <v>37</v>
      </c>
      <c r="G473" s="9" t="s">
        <v>58</v>
      </c>
      <c r="H473" s="18">
        <v>2018.0</v>
      </c>
      <c r="I473" s="14">
        <v>1.0</v>
      </c>
      <c r="J473" s="14">
        <v>1.0</v>
      </c>
      <c r="K473" s="14">
        <v>1.0</v>
      </c>
      <c r="L473" s="14">
        <v>1.0</v>
      </c>
      <c r="M473" s="14">
        <v>1.0</v>
      </c>
      <c r="N473" s="14">
        <v>1.0</v>
      </c>
      <c r="O473" s="14">
        <v>1.0</v>
      </c>
      <c r="P473" s="19"/>
      <c r="Q473" s="14">
        <v>0.0</v>
      </c>
      <c r="R473" s="14">
        <v>0.0</v>
      </c>
      <c r="S473" s="14">
        <v>0.0</v>
      </c>
      <c r="T473" s="14">
        <v>0.0</v>
      </c>
      <c r="U473" s="14">
        <v>0.0</v>
      </c>
      <c r="V473" s="14">
        <v>0.0</v>
      </c>
      <c r="W473" s="14" t="s">
        <v>31</v>
      </c>
      <c r="X473" s="14" t="s">
        <v>39</v>
      </c>
      <c r="Y473" s="9" t="s">
        <v>412</v>
      </c>
      <c r="Z473" s="9" t="s">
        <v>1764</v>
      </c>
    </row>
    <row r="474">
      <c r="A474" s="9">
        <v>473.0</v>
      </c>
      <c r="B474" s="10" t="s">
        <v>1765</v>
      </c>
      <c r="C474" s="16" t="s">
        <v>1766</v>
      </c>
      <c r="D474" s="10" t="s">
        <v>340</v>
      </c>
      <c r="E474" s="12" t="s">
        <v>1767</v>
      </c>
      <c r="F474" s="12" t="s">
        <v>1768</v>
      </c>
      <c r="G474" s="9" t="s">
        <v>38</v>
      </c>
      <c r="H474" s="13">
        <v>2019.0</v>
      </c>
      <c r="I474" s="14">
        <v>1.0</v>
      </c>
      <c r="J474" s="14">
        <v>1.0</v>
      </c>
      <c r="K474" s="14">
        <v>1.0</v>
      </c>
      <c r="L474" s="14">
        <v>1.0</v>
      </c>
      <c r="M474" s="14">
        <v>1.0</v>
      </c>
      <c r="N474" s="14">
        <v>0.0</v>
      </c>
      <c r="O474" s="14">
        <v>0.0</v>
      </c>
      <c r="P474" s="14">
        <v>0.0</v>
      </c>
      <c r="Q474" s="14">
        <v>0.0</v>
      </c>
      <c r="R474" s="14">
        <v>0.0</v>
      </c>
      <c r="S474" s="14">
        <v>0.0</v>
      </c>
      <c r="T474" s="14">
        <v>0.0</v>
      </c>
      <c r="U474" s="14">
        <v>0.0</v>
      </c>
      <c r="V474" s="14">
        <v>0.0</v>
      </c>
      <c r="W474" s="14" t="s">
        <v>39</v>
      </c>
      <c r="X474" s="14" t="s">
        <v>39</v>
      </c>
      <c r="Y474" s="9" t="s">
        <v>412</v>
      </c>
      <c r="Z474" s="9" t="s">
        <v>1668</v>
      </c>
    </row>
    <row r="475">
      <c r="A475" s="9">
        <v>474.0</v>
      </c>
      <c r="B475" s="10" t="s">
        <v>1769</v>
      </c>
      <c r="C475" s="11" t="s">
        <v>1770</v>
      </c>
      <c r="D475" s="15" t="s">
        <v>1771</v>
      </c>
      <c r="E475" s="12" t="s">
        <v>36</v>
      </c>
      <c r="F475" s="12" t="s">
        <v>37</v>
      </c>
      <c r="G475" s="9" t="s">
        <v>58</v>
      </c>
      <c r="H475" s="13">
        <v>2018.0</v>
      </c>
      <c r="I475" s="14">
        <v>1.0</v>
      </c>
      <c r="J475" s="14">
        <v>1.0</v>
      </c>
      <c r="K475" s="14">
        <v>1.0</v>
      </c>
      <c r="L475" s="14">
        <v>1.0</v>
      </c>
      <c r="M475" s="14">
        <v>1.0</v>
      </c>
      <c r="N475" s="14">
        <v>0.0</v>
      </c>
      <c r="O475" s="14">
        <v>0.0</v>
      </c>
      <c r="P475" s="14">
        <v>0.0</v>
      </c>
      <c r="Q475" s="14">
        <v>0.0</v>
      </c>
      <c r="R475" s="14">
        <v>0.0</v>
      </c>
      <c r="S475" s="14">
        <v>0.0</v>
      </c>
      <c r="T475" s="14">
        <v>0.0</v>
      </c>
      <c r="U475" s="14">
        <v>0.0</v>
      </c>
      <c r="V475" s="14">
        <v>0.0</v>
      </c>
      <c r="W475" s="14"/>
      <c r="X475" s="14" t="s">
        <v>39</v>
      </c>
      <c r="Y475" s="9" t="s">
        <v>412</v>
      </c>
      <c r="Z475" s="9" t="s">
        <v>1772</v>
      </c>
    </row>
    <row r="476">
      <c r="A476" s="9">
        <v>475.0</v>
      </c>
      <c r="B476" s="10" t="s">
        <v>1773</v>
      </c>
      <c r="C476" s="11" t="s">
        <v>1774</v>
      </c>
      <c r="D476" s="10" t="s">
        <v>1356</v>
      </c>
      <c r="E476" s="12" t="s">
        <v>36</v>
      </c>
      <c r="F476" s="12" t="s">
        <v>37</v>
      </c>
      <c r="G476" s="9"/>
      <c r="H476" s="18">
        <v>2018.0</v>
      </c>
      <c r="I476" s="19"/>
      <c r="J476" s="19"/>
      <c r="K476" s="19"/>
      <c r="L476" s="19"/>
      <c r="M476" s="19"/>
      <c r="N476" s="14"/>
      <c r="O476" s="14"/>
      <c r="P476" s="14">
        <v>1.0</v>
      </c>
      <c r="Q476" s="14"/>
      <c r="R476" s="19"/>
      <c r="S476" s="19"/>
      <c r="T476" s="19"/>
      <c r="U476" s="19"/>
      <c r="V476" s="19"/>
      <c r="W476" s="14"/>
      <c r="X476" s="14" t="s">
        <v>31</v>
      </c>
      <c r="Y476" s="9" t="s">
        <v>32</v>
      </c>
      <c r="Z476" s="21"/>
    </row>
    <row r="477">
      <c r="A477" s="9">
        <v>476.0</v>
      </c>
      <c r="B477" s="10" t="s">
        <v>1775</v>
      </c>
      <c r="C477" s="11" t="s">
        <v>1776</v>
      </c>
      <c r="D477" s="10" t="s">
        <v>316</v>
      </c>
      <c r="E477" s="12" t="s">
        <v>1777</v>
      </c>
      <c r="F477" s="12" t="s">
        <v>1778</v>
      </c>
      <c r="G477" s="9" t="s">
        <v>38</v>
      </c>
      <c r="H477" s="13">
        <v>2020.0</v>
      </c>
      <c r="I477" s="14">
        <v>1.0</v>
      </c>
      <c r="J477" s="14">
        <v>1.0</v>
      </c>
      <c r="K477" s="14">
        <v>1.0</v>
      </c>
      <c r="L477" s="14">
        <v>1.0</v>
      </c>
      <c r="M477" s="14">
        <v>1.0</v>
      </c>
      <c r="N477" s="14">
        <v>0.0</v>
      </c>
      <c r="O477" s="14">
        <v>0.0</v>
      </c>
      <c r="P477" s="14">
        <v>0.0</v>
      </c>
      <c r="Q477" s="14">
        <v>0.0</v>
      </c>
      <c r="R477" s="14">
        <v>0.0</v>
      </c>
      <c r="S477" s="14">
        <v>0.0</v>
      </c>
      <c r="T477" s="14">
        <v>0.0</v>
      </c>
      <c r="U477" s="14">
        <v>0.0</v>
      </c>
      <c r="V477" s="14">
        <v>0.0</v>
      </c>
      <c r="W477" s="14" t="s">
        <v>39</v>
      </c>
      <c r="X477" s="14" t="s">
        <v>39</v>
      </c>
      <c r="Y477" s="9" t="s">
        <v>412</v>
      </c>
      <c r="Z477" s="9" t="s">
        <v>1779</v>
      </c>
    </row>
    <row r="478">
      <c r="A478" s="9">
        <v>477.0</v>
      </c>
      <c r="B478" s="10" t="s">
        <v>1780</v>
      </c>
      <c r="C478" s="11" t="s">
        <v>1781</v>
      </c>
      <c r="D478" s="10" t="s">
        <v>1782</v>
      </c>
      <c r="E478" s="12" t="s">
        <v>36</v>
      </c>
      <c r="F478" s="12" t="s">
        <v>37</v>
      </c>
      <c r="G478" s="9" t="s">
        <v>58</v>
      </c>
      <c r="H478" s="13">
        <v>2019.0</v>
      </c>
      <c r="I478" s="14">
        <v>1.0</v>
      </c>
      <c r="J478" s="14">
        <v>1.0</v>
      </c>
      <c r="K478" s="14">
        <v>1.0</v>
      </c>
      <c r="L478" s="14">
        <v>1.0</v>
      </c>
      <c r="M478" s="14">
        <v>1.0</v>
      </c>
      <c r="N478" s="14">
        <v>0.0</v>
      </c>
      <c r="O478" s="14">
        <v>0.0</v>
      </c>
      <c r="P478" s="14">
        <v>0.0</v>
      </c>
      <c r="Q478" s="14">
        <v>0.0</v>
      </c>
      <c r="R478" s="14">
        <v>0.0</v>
      </c>
      <c r="S478" s="14">
        <v>0.0</v>
      </c>
      <c r="T478" s="14">
        <v>0.0</v>
      </c>
      <c r="U478" s="14">
        <v>0.0</v>
      </c>
      <c r="V478" s="14">
        <v>0.0</v>
      </c>
      <c r="W478" s="14" t="s">
        <v>39</v>
      </c>
      <c r="X478" s="14" t="s">
        <v>39</v>
      </c>
      <c r="Y478" s="9" t="s">
        <v>412</v>
      </c>
      <c r="Z478" s="9" t="s">
        <v>1783</v>
      </c>
    </row>
    <row r="479">
      <c r="A479" s="9">
        <v>478.0</v>
      </c>
      <c r="B479" s="10" t="s">
        <v>1784</v>
      </c>
      <c r="C479" s="11" t="s">
        <v>1785</v>
      </c>
      <c r="D479" s="10" t="s">
        <v>1786</v>
      </c>
      <c r="E479" s="12" t="s">
        <v>80</v>
      </c>
      <c r="F479" s="12" t="s">
        <v>81</v>
      </c>
      <c r="G479" s="9"/>
      <c r="H479" s="13">
        <v>2019.0</v>
      </c>
      <c r="I479" s="14"/>
      <c r="J479" s="14"/>
      <c r="K479" s="14"/>
      <c r="L479" s="14">
        <v>0.0</v>
      </c>
      <c r="M479" s="14"/>
      <c r="N479" s="19"/>
      <c r="O479" s="19"/>
      <c r="P479" s="19"/>
      <c r="Q479" s="19"/>
      <c r="R479" s="19"/>
      <c r="S479" s="19"/>
      <c r="T479" s="19"/>
      <c r="U479" s="14"/>
      <c r="V479" s="14"/>
      <c r="W479" s="14" t="s">
        <v>31</v>
      </c>
      <c r="X479" s="14" t="s">
        <v>39</v>
      </c>
      <c r="Y479" s="9" t="s">
        <v>412</v>
      </c>
      <c r="Z479" s="9"/>
    </row>
    <row r="480">
      <c r="A480" s="9">
        <v>479.0</v>
      </c>
      <c r="B480" s="10" t="s">
        <v>1787</v>
      </c>
      <c r="C480" s="11" t="s">
        <v>1788</v>
      </c>
      <c r="D480" s="15" t="s">
        <v>1789</v>
      </c>
      <c r="E480" s="22" t="s">
        <v>128</v>
      </c>
      <c r="F480" s="22" t="s">
        <v>128</v>
      </c>
      <c r="G480" s="9" t="s">
        <v>38</v>
      </c>
      <c r="H480" s="13">
        <v>2018.0</v>
      </c>
      <c r="I480" s="14">
        <v>1.0</v>
      </c>
      <c r="J480" s="14">
        <v>1.0</v>
      </c>
      <c r="K480" s="14">
        <v>1.0</v>
      </c>
      <c r="L480" s="14">
        <v>1.0</v>
      </c>
      <c r="M480" s="14">
        <v>1.0</v>
      </c>
      <c r="N480" s="14">
        <v>0.0</v>
      </c>
      <c r="O480" s="14">
        <v>0.0</v>
      </c>
      <c r="P480" s="14">
        <v>0.0</v>
      </c>
      <c r="Q480" s="14">
        <v>0.0</v>
      </c>
      <c r="R480" s="14">
        <v>0.0</v>
      </c>
      <c r="S480" s="14">
        <v>0.0</v>
      </c>
      <c r="T480" s="14">
        <v>0.0</v>
      </c>
      <c r="U480" s="14">
        <v>0.0</v>
      </c>
      <c r="V480" s="14">
        <v>0.0</v>
      </c>
      <c r="W480" s="14" t="s">
        <v>39</v>
      </c>
      <c r="X480" s="14" t="s">
        <v>39</v>
      </c>
      <c r="Y480" s="9" t="s">
        <v>412</v>
      </c>
      <c r="Z480" s="9" t="s">
        <v>1790</v>
      </c>
    </row>
    <row r="481">
      <c r="A481" s="9">
        <v>480.0</v>
      </c>
      <c r="B481" s="10" t="s">
        <v>1791</v>
      </c>
      <c r="C481" s="11" t="s">
        <v>1792</v>
      </c>
      <c r="D481" s="10" t="s">
        <v>1793</v>
      </c>
      <c r="E481" s="25" t="s">
        <v>128</v>
      </c>
      <c r="F481" s="25" t="s">
        <v>128</v>
      </c>
      <c r="G481" s="9" t="s">
        <v>38</v>
      </c>
      <c r="H481" s="13">
        <v>2018.0</v>
      </c>
      <c r="I481" s="14">
        <v>1.0</v>
      </c>
      <c r="J481" s="14">
        <v>1.0</v>
      </c>
      <c r="K481" s="14">
        <v>1.0</v>
      </c>
      <c r="L481" s="14">
        <v>1.0</v>
      </c>
      <c r="M481" s="14">
        <v>1.0</v>
      </c>
      <c r="N481" s="14">
        <v>0.0</v>
      </c>
      <c r="O481" s="14">
        <v>0.0</v>
      </c>
      <c r="P481" s="14">
        <v>0.0</v>
      </c>
      <c r="Q481" s="14">
        <v>0.0</v>
      </c>
      <c r="R481" s="14">
        <v>0.0</v>
      </c>
      <c r="S481" s="14">
        <v>0.0</v>
      </c>
      <c r="T481" s="14">
        <v>0.0</v>
      </c>
      <c r="U481" s="14">
        <v>0.0</v>
      </c>
      <c r="V481" s="14">
        <v>0.0</v>
      </c>
      <c r="W481" s="14" t="s">
        <v>39</v>
      </c>
      <c r="X481" s="14" t="s">
        <v>39</v>
      </c>
      <c r="Y481" s="9" t="s">
        <v>412</v>
      </c>
      <c r="Z481" s="9" t="s">
        <v>1794</v>
      </c>
    </row>
    <row r="482">
      <c r="A482" s="9">
        <v>481.0</v>
      </c>
      <c r="B482" s="10" t="s">
        <v>1795</v>
      </c>
      <c r="C482" s="11" t="s">
        <v>1796</v>
      </c>
      <c r="D482" s="10" t="s">
        <v>1489</v>
      </c>
      <c r="E482" s="12" t="s">
        <v>36</v>
      </c>
      <c r="F482" s="12" t="s">
        <v>37</v>
      </c>
      <c r="G482" s="9"/>
      <c r="H482" s="13">
        <v>2020.0</v>
      </c>
      <c r="I482" s="14"/>
      <c r="J482" s="14"/>
      <c r="K482" s="14"/>
      <c r="L482" s="14"/>
      <c r="M482" s="14"/>
      <c r="N482" s="19"/>
      <c r="O482" s="14">
        <v>1.0</v>
      </c>
      <c r="P482" s="14"/>
      <c r="Q482" s="19"/>
      <c r="R482" s="19"/>
      <c r="S482" s="19"/>
      <c r="T482" s="19"/>
      <c r="U482" s="19"/>
      <c r="V482" s="19"/>
      <c r="W482" s="14" t="s">
        <v>31</v>
      </c>
      <c r="X482" s="14" t="s">
        <v>39</v>
      </c>
      <c r="Y482" s="9" t="s">
        <v>412</v>
      </c>
      <c r="Z482" s="9" t="s">
        <v>1797</v>
      </c>
    </row>
    <row r="483">
      <c r="A483" s="9">
        <v>482.0</v>
      </c>
      <c r="B483" s="10" t="s">
        <v>1798</v>
      </c>
      <c r="C483" s="11" t="s">
        <v>1799</v>
      </c>
      <c r="D483" s="10" t="s">
        <v>1800</v>
      </c>
      <c r="E483" s="12" t="s">
        <v>36</v>
      </c>
      <c r="F483" s="12" t="s">
        <v>37</v>
      </c>
      <c r="G483" s="9"/>
      <c r="H483" s="13">
        <v>2019.0</v>
      </c>
      <c r="I483" s="14"/>
      <c r="J483" s="14"/>
      <c r="K483" s="14"/>
      <c r="L483" s="14"/>
      <c r="M483" s="14"/>
      <c r="N483" s="19"/>
      <c r="O483" s="14">
        <v>1.0</v>
      </c>
      <c r="P483" s="14">
        <v>1.0</v>
      </c>
      <c r="Q483" s="19"/>
      <c r="R483" s="19"/>
      <c r="S483" s="19"/>
      <c r="T483" s="19"/>
      <c r="U483" s="19"/>
      <c r="V483" s="19"/>
      <c r="W483" s="14"/>
      <c r="X483" s="14" t="s">
        <v>31</v>
      </c>
      <c r="Y483" s="9" t="s">
        <v>32</v>
      </c>
      <c r="Z483" s="9"/>
    </row>
    <row r="484">
      <c r="A484" s="9">
        <v>483.0</v>
      </c>
      <c r="B484" s="10" t="s">
        <v>1801</v>
      </c>
      <c r="C484" s="16" t="s">
        <v>1802</v>
      </c>
      <c r="D484" s="10" t="s">
        <v>1803</v>
      </c>
      <c r="E484" s="23" t="s">
        <v>1197</v>
      </c>
      <c r="F484" s="23" t="s">
        <v>1197</v>
      </c>
      <c r="G484" s="9"/>
      <c r="H484" s="13">
        <v>2019.0</v>
      </c>
      <c r="I484" s="14"/>
      <c r="J484" s="14"/>
      <c r="K484" s="14"/>
      <c r="L484" s="14"/>
      <c r="M484" s="14"/>
      <c r="N484" s="19"/>
      <c r="O484" s="19"/>
      <c r="P484" s="19"/>
      <c r="Q484" s="14"/>
      <c r="R484" s="14"/>
      <c r="S484" s="19"/>
      <c r="T484" s="14">
        <v>1.0</v>
      </c>
      <c r="U484" s="19"/>
      <c r="V484" s="19"/>
      <c r="W484" s="14"/>
      <c r="X484" s="14" t="s">
        <v>31</v>
      </c>
      <c r="Y484" s="9" t="s">
        <v>32</v>
      </c>
      <c r="Z484" s="9" t="s">
        <v>70</v>
      </c>
    </row>
    <row r="485">
      <c r="A485" s="9">
        <v>484.0</v>
      </c>
      <c r="B485" s="10" t="s">
        <v>1804</v>
      </c>
      <c r="C485" s="11" t="s">
        <v>1805</v>
      </c>
      <c r="D485" s="10" t="s">
        <v>1806</v>
      </c>
      <c r="E485" s="17" t="s">
        <v>1544</v>
      </c>
      <c r="F485" s="17" t="s">
        <v>1544</v>
      </c>
      <c r="G485" s="9"/>
      <c r="H485" s="13">
        <v>2019.0</v>
      </c>
      <c r="I485" s="19"/>
      <c r="J485" s="19"/>
      <c r="K485" s="19"/>
      <c r="L485" s="19"/>
      <c r="M485" s="19"/>
      <c r="N485" s="19"/>
      <c r="O485" s="19"/>
      <c r="P485" s="19"/>
      <c r="Q485" s="14">
        <v>1.0</v>
      </c>
      <c r="R485" s="19"/>
      <c r="S485" s="19"/>
      <c r="T485" s="19"/>
      <c r="U485" s="19"/>
      <c r="V485" s="19"/>
      <c r="W485" s="14"/>
      <c r="X485" s="14" t="s">
        <v>31</v>
      </c>
      <c r="Y485" s="9" t="s">
        <v>32</v>
      </c>
      <c r="Z485" s="21"/>
    </row>
    <row r="486">
      <c r="A486" s="9">
        <v>485.0</v>
      </c>
      <c r="B486" s="10" t="s">
        <v>1807</v>
      </c>
      <c r="C486" s="11" t="s">
        <v>1808</v>
      </c>
      <c r="D486" s="10" t="s">
        <v>1809</v>
      </c>
      <c r="E486" s="12" t="s">
        <v>36</v>
      </c>
      <c r="F486" s="12" t="s">
        <v>37</v>
      </c>
      <c r="G486" s="9"/>
      <c r="H486" s="13">
        <v>2019.0</v>
      </c>
      <c r="I486" s="19"/>
      <c r="J486" s="19"/>
      <c r="K486" s="14"/>
      <c r="L486" s="14">
        <v>0.0</v>
      </c>
      <c r="M486" s="19"/>
      <c r="N486" s="14">
        <v>1.0</v>
      </c>
      <c r="O486" s="19"/>
      <c r="P486" s="19"/>
      <c r="Q486" s="14"/>
      <c r="R486" s="19"/>
      <c r="S486" s="19"/>
      <c r="T486" s="19"/>
      <c r="U486" s="19"/>
      <c r="V486" s="19"/>
      <c r="W486" s="14" t="s">
        <v>31</v>
      </c>
      <c r="X486" s="14" t="s">
        <v>39</v>
      </c>
      <c r="Y486" s="9" t="s">
        <v>412</v>
      </c>
      <c r="Z486" s="9" t="s">
        <v>1810</v>
      </c>
    </row>
    <row r="487">
      <c r="A487" s="9">
        <v>486.0</v>
      </c>
      <c r="B487" s="10" t="s">
        <v>1811</v>
      </c>
      <c r="C487" s="11" t="s">
        <v>1812</v>
      </c>
      <c r="D487" s="10" t="s">
        <v>1813</v>
      </c>
      <c r="E487" s="23" t="s">
        <v>182</v>
      </c>
      <c r="F487" s="23" t="s">
        <v>182</v>
      </c>
      <c r="G487" s="9"/>
      <c r="H487" s="13">
        <v>2019.0</v>
      </c>
      <c r="I487" s="14"/>
      <c r="J487" s="14"/>
      <c r="K487" s="14"/>
      <c r="L487" s="14"/>
      <c r="M487" s="14"/>
      <c r="N487" s="19"/>
      <c r="O487" s="14">
        <v>1.0</v>
      </c>
      <c r="P487" s="19"/>
      <c r="Q487" s="19"/>
      <c r="R487" s="14"/>
      <c r="S487" s="19"/>
      <c r="T487" s="19"/>
      <c r="U487" s="19"/>
      <c r="V487" s="19"/>
      <c r="W487" s="14"/>
      <c r="X487" s="14" t="s">
        <v>31</v>
      </c>
      <c r="Y487" s="9" t="s">
        <v>32</v>
      </c>
      <c r="Z487" s="21"/>
    </row>
    <row r="488">
      <c r="A488" s="9">
        <v>487.0</v>
      </c>
      <c r="B488" s="10" t="s">
        <v>1814</v>
      </c>
      <c r="C488" s="16" t="s">
        <v>1815</v>
      </c>
      <c r="D488" s="10" t="s">
        <v>1816</v>
      </c>
      <c r="E488" s="23" t="s">
        <v>466</v>
      </c>
      <c r="F488" s="23" t="s">
        <v>466</v>
      </c>
      <c r="G488" s="9"/>
      <c r="H488" s="13">
        <v>2019.0</v>
      </c>
      <c r="I488" s="14"/>
      <c r="J488" s="14"/>
      <c r="K488" s="14"/>
      <c r="L488" s="14"/>
      <c r="M488" s="14"/>
      <c r="N488" s="19"/>
      <c r="O488" s="19"/>
      <c r="P488" s="19"/>
      <c r="Q488" s="19"/>
      <c r="R488" s="19"/>
      <c r="S488" s="14">
        <v>1.0</v>
      </c>
      <c r="T488" s="19"/>
      <c r="U488" s="19"/>
      <c r="V488" s="19"/>
      <c r="W488" s="14"/>
      <c r="X488" s="14" t="s">
        <v>31</v>
      </c>
      <c r="Y488" s="9" t="s">
        <v>32</v>
      </c>
      <c r="Z488" s="9" t="s">
        <v>82</v>
      </c>
    </row>
    <row r="489">
      <c r="A489" s="9">
        <v>488.0</v>
      </c>
      <c r="B489" s="10" t="s">
        <v>1817</v>
      </c>
      <c r="C489" s="11" t="s">
        <v>1818</v>
      </c>
      <c r="D489" s="10" t="s">
        <v>1819</v>
      </c>
      <c r="E489" s="12" t="s">
        <v>36</v>
      </c>
      <c r="F489" s="12" t="s">
        <v>37</v>
      </c>
      <c r="G489" s="9"/>
      <c r="H489" s="13">
        <v>2018.0</v>
      </c>
      <c r="I489" s="14"/>
      <c r="J489" s="14"/>
      <c r="K489" s="14"/>
      <c r="L489" s="14"/>
      <c r="M489" s="14"/>
      <c r="N489" s="14">
        <v>1.0</v>
      </c>
      <c r="O489" s="19"/>
      <c r="P489" s="19"/>
      <c r="Q489" s="19"/>
      <c r="R489" s="19"/>
      <c r="S489" s="19"/>
      <c r="T489" s="19"/>
      <c r="U489" s="19"/>
      <c r="V489" s="19"/>
      <c r="W489" s="14"/>
      <c r="X489" s="14" t="s">
        <v>31</v>
      </c>
      <c r="Y489" s="9" t="s">
        <v>32</v>
      </c>
      <c r="Z489" s="21"/>
    </row>
    <row r="490">
      <c r="A490" s="9">
        <v>489.0</v>
      </c>
      <c r="B490" s="10" t="s">
        <v>1820</v>
      </c>
      <c r="C490" s="11" t="s">
        <v>1821</v>
      </c>
      <c r="D490" s="10" t="s">
        <v>1822</v>
      </c>
      <c r="E490" s="12" t="s">
        <v>1823</v>
      </c>
      <c r="F490" s="12" t="s">
        <v>1824</v>
      </c>
      <c r="G490" s="9" t="s">
        <v>38</v>
      </c>
      <c r="H490" s="13">
        <v>2019.0</v>
      </c>
      <c r="I490" s="14">
        <v>1.0</v>
      </c>
      <c r="J490" s="14">
        <v>1.0</v>
      </c>
      <c r="K490" s="14">
        <v>1.0</v>
      </c>
      <c r="L490" s="14">
        <v>1.0</v>
      </c>
      <c r="M490" s="14">
        <v>1.0</v>
      </c>
      <c r="N490" s="14">
        <v>0.0</v>
      </c>
      <c r="O490" s="14">
        <v>0.0</v>
      </c>
      <c r="P490" s="14">
        <v>0.0</v>
      </c>
      <c r="Q490" s="14">
        <v>0.0</v>
      </c>
      <c r="R490" s="14">
        <v>0.0</v>
      </c>
      <c r="S490" s="14">
        <v>0.0</v>
      </c>
      <c r="T490" s="14">
        <v>0.0</v>
      </c>
      <c r="U490" s="14">
        <v>0.0</v>
      </c>
      <c r="V490" s="14">
        <v>0.0</v>
      </c>
      <c r="W490" s="14" t="s">
        <v>39</v>
      </c>
      <c r="X490" s="14" t="s">
        <v>39</v>
      </c>
      <c r="Y490" s="9" t="s">
        <v>412</v>
      </c>
      <c r="Z490" s="9" t="s">
        <v>1825</v>
      </c>
    </row>
    <row r="491">
      <c r="A491" s="9">
        <v>490.0</v>
      </c>
      <c r="B491" s="10" t="s">
        <v>1826</v>
      </c>
      <c r="C491" s="11" t="s">
        <v>1827</v>
      </c>
      <c r="D491" s="10" t="s">
        <v>1828</v>
      </c>
      <c r="E491" s="17" t="s">
        <v>182</v>
      </c>
      <c r="F491" s="17" t="s">
        <v>182</v>
      </c>
      <c r="G491" s="9"/>
      <c r="H491" s="13">
        <v>2020.0</v>
      </c>
      <c r="I491" s="19"/>
      <c r="J491" s="19"/>
      <c r="K491" s="19"/>
      <c r="L491" s="19"/>
      <c r="M491" s="19"/>
      <c r="N491" s="19"/>
      <c r="O491" s="14">
        <v>1.0</v>
      </c>
      <c r="P491" s="19"/>
      <c r="Q491" s="19"/>
      <c r="R491" s="14"/>
      <c r="S491" s="19"/>
      <c r="T491" s="19"/>
      <c r="U491" s="19"/>
      <c r="V491" s="19"/>
      <c r="W491" s="14"/>
      <c r="X491" s="14" t="s">
        <v>31</v>
      </c>
      <c r="Y491" s="9" t="s">
        <v>32</v>
      </c>
      <c r="Z491" s="9"/>
    </row>
    <row r="492">
      <c r="A492" s="9">
        <v>491.0</v>
      </c>
      <c r="B492" s="10" t="s">
        <v>1829</v>
      </c>
      <c r="C492" s="11" t="s">
        <v>1830</v>
      </c>
      <c r="D492" s="10" t="s">
        <v>1831</v>
      </c>
      <c r="E492" s="22" t="s">
        <v>62</v>
      </c>
      <c r="F492" s="22" t="s">
        <v>62</v>
      </c>
      <c r="G492" s="9" t="s">
        <v>38</v>
      </c>
      <c r="H492" s="13">
        <v>2018.0</v>
      </c>
      <c r="I492" s="14">
        <v>1.0</v>
      </c>
      <c r="J492" s="14">
        <v>1.0</v>
      </c>
      <c r="K492" s="14">
        <v>1.0</v>
      </c>
      <c r="L492" s="14">
        <v>1.0</v>
      </c>
      <c r="M492" s="14">
        <v>1.0</v>
      </c>
      <c r="N492" s="14">
        <v>0.0</v>
      </c>
      <c r="O492" s="14">
        <v>1.0</v>
      </c>
      <c r="P492" s="14">
        <v>0.0</v>
      </c>
      <c r="Q492" s="14">
        <v>0.0</v>
      </c>
      <c r="R492" s="14">
        <v>0.0</v>
      </c>
      <c r="S492" s="14">
        <v>0.0</v>
      </c>
      <c r="T492" s="14">
        <v>0.0</v>
      </c>
      <c r="U492" s="14">
        <v>0.0</v>
      </c>
      <c r="V492" s="14">
        <v>0.0</v>
      </c>
      <c r="W492" s="14" t="s">
        <v>31</v>
      </c>
      <c r="X492" s="14" t="s">
        <v>39</v>
      </c>
      <c r="Y492" s="9" t="s">
        <v>412</v>
      </c>
      <c r="Z492" s="9" t="s">
        <v>1832</v>
      </c>
    </row>
    <row r="493">
      <c r="A493" s="9">
        <v>492.0</v>
      </c>
      <c r="B493" s="10" t="s">
        <v>1833</v>
      </c>
      <c r="C493" s="11" t="s">
        <v>1834</v>
      </c>
      <c r="D493" s="10" t="s">
        <v>1835</v>
      </c>
      <c r="E493" s="22" t="s">
        <v>1836</v>
      </c>
      <c r="F493" s="22" t="s">
        <v>1836</v>
      </c>
      <c r="G493" s="9"/>
      <c r="H493" s="13">
        <v>2019.0</v>
      </c>
      <c r="I493" s="19"/>
      <c r="J493" s="19"/>
      <c r="K493" s="19"/>
      <c r="L493" s="19"/>
      <c r="M493" s="19"/>
      <c r="N493" s="19"/>
      <c r="O493" s="14">
        <v>1.0</v>
      </c>
      <c r="P493" s="19"/>
      <c r="Q493" s="19"/>
      <c r="R493" s="19"/>
      <c r="S493" s="19"/>
      <c r="T493" s="19"/>
      <c r="U493" s="19"/>
      <c r="V493" s="19"/>
      <c r="W493" s="14" t="s">
        <v>31</v>
      </c>
      <c r="X493" s="14" t="s">
        <v>39</v>
      </c>
      <c r="Y493" s="9" t="s">
        <v>412</v>
      </c>
      <c r="Z493" s="38" t="s">
        <v>1837</v>
      </c>
    </row>
    <row r="494">
      <c r="A494" s="9">
        <v>493.0</v>
      </c>
      <c r="B494" s="10" t="s">
        <v>1838</v>
      </c>
      <c r="C494" s="11" t="s">
        <v>1839</v>
      </c>
      <c r="D494" s="15" t="s">
        <v>1840</v>
      </c>
      <c r="E494" s="12" t="s">
        <v>36</v>
      </c>
      <c r="F494" s="12" t="s">
        <v>37</v>
      </c>
      <c r="G494" s="9" t="s">
        <v>38</v>
      </c>
      <c r="H494" s="13">
        <v>2018.0</v>
      </c>
      <c r="I494" s="14">
        <v>1.0</v>
      </c>
      <c r="J494" s="14">
        <v>1.0</v>
      </c>
      <c r="K494" s="14">
        <v>1.0</v>
      </c>
      <c r="L494" s="14">
        <v>1.0</v>
      </c>
      <c r="M494" s="14">
        <v>1.0</v>
      </c>
      <c r="N494" s="14">
        <v>0.0</v>
      </c>
      <c r="O494" s="14">
        <v>0.0</v>
      </c>
      <c r="P494" s="14">
        <v>0.0</v>
      </c>
      <c r="Q494" s="14">
        <v>0.0</v>
      </c>
      <c r="R494" s="14">
        <v>0.0</v>
      </c>
      <c r="S494" s="14">
        <v>0.0</v>
      </c>
      <c r="T494" s="14">
        <v>0.0</v>
      </c>
      <c r="U494" s="14">
        <v>0.0</v>
      </c>
      <c r="V494" s="14">
        <v>0.0</v>
      </c>
      <c r="W494" s="14" t="s">
        <v>39</v>
      </c>
      <c r="X494" s="14" t="s">
        <v>39</v>
      </c>
      <c r="Y494" s="9" t="s">
        <v>412</v>
      </c>
      <c r="Z494" s="9" t="s">
        <v>1841</v>
      </c>
    </row>
    <row r="495">
      <c r="A495" s="9">
        <v>494.0</v>
      </c>
      <c r="B495" s="10" t="s">
        <v>176</v>
      </c>
      <c r="C495" s="16" t="s">
        <v>1842</v>
      </c>
      <c r="D495" s="10" t="s">
        <v>1843</v>
      </c>
      <c r="E495" s="17" t="s">
        <v>44</v>
      </c>
      <c r="F495" s="17" t="s">
        <v>44</v>
      </c>
      <c r="G495" s="9"/>
      <c r="H495" s="18">
        <v>2019.0</v>
      </c>
      <c r="I495" s="14"/>
      <c r="J495" s="14"/>
      <c r="K495" s="14"/>
      <c r="L495" s="14"/>
      <c r="M495" s="14"/>
      <c r="N495" s="19"/>
      <c r="O495" s="19"/>
      <c r="P495" s="19"/>
      <c r="Q495" s="19"/>
      <c r="R495" s="19"/>
      <c r="S495" s="19"/>
      <c r="T495" s="19"/>
      <c r="U495" s="14">
        <v>1.0</v>
      </c>
      <c r="V495" s="19"/>
      <c r="W495" s="14"/>
      <c r="X495" s="14" t="s">
        <v>31</v>
      </c>
      <c r="Y495" s="9" t="s">
        <v>32</v>
      </c>
      <c r="Z495" s="9" t="s">
        <v>1260</v>
      </c>
    </row>
    <row r="496">
      <c r="A496" s="9">
        <v>495.0</v>
      </c>
      <c r="B496" s="10" t="s">
        <v>1844</v>
      </c>
      <c r="C496" s="11" t="s">
        <v>1845</v>
      </c>
      <c r="D496" s="10" t="s">
        <v>1846</v>
      </c>
      <c r="E496" s="23" t="s">
        <v>1759</v>
      </c>
      <c r="F496" s="23" t="s">
        <v>1759</v>
      </c>
      <c r="G496" s="9"/>
      <c r="H496" s="13">
        <v>2018.0</v>
      </c>
      <c r="I496" s="14"/>
      <c r="J496" s="14"/>
      <c r="K496" s="14"/>
      <c r="L496" s="14"/>
      <c r="M496" s="14"/>
      <c r="N496" s="19"/>
      <c r="O496" s="19"/>
      <c r="P496" s="19"/>
      <c r="Q496" s="14">
        <v>1.0</v>
      </c>
      <c r="R496" s="19"/>
      <c r="S496" s="19"/>
      <c r="T496" s="19"/>
      <c r="U496" s="19"/>
      <c r="V496" s="19"/>
      <c r="W496" s="14"/>
      <c r="X496" s="14" t="s">
        <v>31</v>
      </c>
      <c r="Y496" s="9" t="s">
        <v>32</v>
      </c>
      <c r="Z496" s="21"/>
    </row>
    <row r="497">
      <c r="A497" s="9">
        <v>496.0</v>
      </c>
      <c r="B497" s="10" t="s">
        <v>1847</v>
      </c>
      <c r="C497" s="11" t="s">
        <v>1848</v>
      </c>
      <c r="D497" s="10" t="s">
        <v>1849</v>
      </c>
      <c r="E497" s="23" t="s">
        <v>1850</v>
      </c>
      <c r="F497" s="23" t="s">
        <v>1850</v>
      </c>
      <c r="G497" s="9"/>
      <c r="H497" s="13">
        <v>2018.0</v>
      </c>
      <c r="I497" s="14"/>
      <c r="J497" s="14"/>
      <c r="K497" s="14"/>
      <c r="L497" s="14"/>
      <c r="M497" s="14"/>
      <c r="N497" s="19"/>
      <c r="O497" s="19"/>
      <c r="P497" s="19"/>
      <c r="Q497" s="19"/>
      <c r="R497" s="14"/>
      <c r="S497" s="19"/>
      <c r="T497" s="14">
        <v>1.0</v>
      </c>
      <c r="U497" s="19"/>
      <c r="V497" s="19"/>
      <c r="W497" s="14"/>
      <c r="X497" s="14" t="s">
        <v>31</v>
      </c>
      <c r="Y497" s="9" t="s">
        <v>32</v>
      </c>
      <c r="Z497" s="9" t="s">
        <v>70</v>
      </c>
    </row>
    <row r="498">
      <c r="A498" s="9">
        <v>497.0</v>
      </c>
      <c r="B498" s="10" t="s">
        <v>1851</v>
      </c>
      <c r="C498" s="11" t="s">
        <v>1852</v>
      </c>
      <c r="D498" s="10" t="s">
        <v>1853</v>
      </c>
      <c r="E498" s="22" t="s">
        <v>1854</v>
      </c>
      <c r="F498" s="22" t="s">
        <v>1854</v>
      </c>
      <c r="G498" s="9"/>
      <c r="H498" s="13">
        <v>2019.0</v>
      </c>
      <c r="I498" s="19"/>
      <c r="J498" s="19"/>
      <c r="K498" s="19"/>
      <c r="L498" s="19"/>
      <c r="M498" s="19"/>
      <c r="N498" s="19"/>
      <c r="O498" s="19"/>
      <c r="P498" s="19"/>
      <c r="Q498" s="14"/>
      <c r="R498" s="14">
        <v>1.0</v>
      </c>
      <c r="S498" s="19"/>
      <c r="T498" s="19"/>
      <c r="U498" s="19"/>
      <c r="V498" s="19"/>
      <c r="W498" s="14"/>
      <c r="X498" s="14" t="s">
        <v>31</v>
      </c>
      <c r="Y498" s="9" t="s">
        <v>32</v>
      </c>
      <c r="Z498" s="9" t="s">
        <v>1095</v>
      </c>
    </row>
    <row r="499">
      <c r="A499" s="9">
        <v>498.0</v>
      </c>
      <c r="B499" s="10" t="s">
        <v>1855</v>
      </c>
      <c r="C499" s="11" t="s">
        <v>1856</v>
      </c>
      <c r="D499" s="15" t="s">
        <v>1857</v>
      </c>
      <c r="E499" s="12" t="s">
        <v>29</v>
      </c>
      <c r="F499" s="12" t="s">
        <v>30</v>
      </c>
      <c r="G499" s="9" t="s">
        <v>38</v>
      </c>
      <c r="H499" s="18">
        <v>2020.0</v>
      </c>
      <c r="I499" s="14">
        <v>1.0</v>
      </c>
      <c r="J499" s="14">
        <v>1.0</v>
      </c>
      <c r="K499" s="14">
        <v>1.0</v>
      </c>
      <c r="L499" s="14">
        <v>1.0</v>
      </c>
      <c r="M499" s="14">
        <v>1.0</v>
      </c>
      <c r="N499" s="14">
        <v>0.0</v>
      </c>
      <c r="O499" s="14">
        <v>0.0</v>
      </c>
      <c r="P499" s="14">
        <v>0.0</v>
      </c>
      <c r="Q499" s="14">
        <v>0.0</v>
      </c>
      <c r="R499" s="14">
        <v>0.0</v>
      </c>
      <c r="S499" s="14">
        <v>0.0</v>
      </c>
      <c r="T499" s="14">
        <v>0.0</v>
      </c>
      <c r="U499" s="14">
        <v>0.0</v>
      </c>
      <c r="V499" s="14">
        <v>0.0</v>
      </c>
      <c r="W499" s="14" t="s">
        <v>39</v>
      </c>
      <c r="X499" s="14" t="s">
        <v>39</v>
      </c>
      <c r="Y499" s="9" t="s">
        <v>412</v>
      </c>
      <c r="Z499" s="9" t="s">
        <v>1858</v>
      </c>
    </row>
    <row r="500">
      <c r="A500" s="9">
        <v>499.0</v>
      </c>
      <c r="B500" s="10" t="s">
        <v>1859</v>
      </c>
      <c r="C500" s="11" t="s">
        <v>1860</v>
      </c>
      <c r="D500" s="10" t="s">
        <v>1861</v>
      </c>
      <c r="E500" s="22" t="s">
        <v>62</v>
      </c>
      <c r="F500" s="22" t="s">
        <v>62</v>
      </c>
      <c r="G500" s="9"/>
      <c r="H500" s="13">
        <v>2018.0</v>
      </c>
      <c r="I500" s="14"/>
      <c r="J500" s="14"/>
      <c r="K500" s="14"/>
      <c r="L500" s="14">
        <v>0.0</v>
      </c>
      <c r="M500" s="14"/>
      <c r="N500" s="19"/>
      <c r="O500" s="19"/>
      <c r="P500" s="19"/>
      <c r="Q500" s="19"/>
      <c r="R500" s="19"/>
      <c r="S500" s="19"/>
      <c r="T500" s="19"/>
      <c r="U500" s="19"/>
      <c r="V500" s="19"/>
      <c r="W500" s="14" t="s">
        <v>31</v>
      </c>
      <c r="X500" s="14" t="s">
        <v>39</v>
      </c>
      <c r="Y500" s="9" t="s">
        <v>412</v>
      </c>
      <c r="Z500" s="9" t="s">
        <v>1862</v>
      </c>
    </row>
    <row r="501">
      <c r="A501" s="9">
        <v>500.0</v>
      </c>
      <c r="B501" s="10" t="s">
        <v>1863</v>
      </c>
      <c r="C501" s="11" t="s">
        <v>1864</v>
      </c>
      <c r="D501" s="10" t="s">
        <v>1865</v>
      </c>
      <c r="E501" s="12" t="s">
        <v>36</v>
      </c>
      <c r="F501" s="12" t="s">
        <v>37</v>
      </c>
      <c r="G501" s="9"/>
      <c r="H501" s="13">
        <v>2019.0</v>
      </c>
      <c r="I501" s="19"/>
      <c r="J501" s="19"/>
      <c r="K501" s="19"/>
      <c r="L501" s="19"/>
      <c r="M501" s="19"/>
      <c r="N501" s="19"/>
      <c r="O501" s="19"/>
      <c r="P501" s="14">
        <v>1.0</v>
      </c>
      <c r="Q501" s="19"/>
      <c r="R501" s="19"/>
      <c r="S501" s="19"/>
      <c r="T501" s="19"/>
      <c r="U501" s="19"/>
      <c r="V501" s="19"/>
      <c r="W501" s="14"/>
      <c r="X501" s="14" t="s">
        <v>31</v>
      </c>
      <c r="Y501" s="9" t="s">
        <v>32</v>
      </c>
      <c r="Z501" s="9"/>
    </row>
    <row r="502">
      <c r="A502" s="9">
        <v>501.0</v>
      </c>
      <c r="B502" s="10" t="s">
        <v>1866</v>
      </c>
      <c r="C502" s="11" t="s">
        <v>1867</v>
      </c>
      <c r="D502" s="10" t="s">
        <v>1868</v>
      </c>
      <c r="E502" s="23" t="s">
        <v>1869</v>
      </c>
      <c r="F502" s="23" t="s">
        <v>1869</v>
      </c>
      <c r="G502" s="9"/>
      <c r="H502" s="18">
        <v>2018.0</v>
      </c>
      <c r="I502" s="14"/>
      <c r="J502" s="14"/>
      <c r="K502" s="14"/>
      <c r="L502" s="14"/>
      <c r="M502" s="14">
        <v>0.0</v>
      </c>
      <c r="N502" s="19"/>
      <c r="O502" s="19"/>
      <c r="P502" s="19"/>
      <c r="Q502" s="19"/>
      <c r="R502" s="19"/>
      <c r="S502" s="19"/>
      <c r="T502" s="19"/>
      <c r="U502" s="19"/>
      <c r="V502" s="19"/>
      <c r="W502" s="14"/>
      <c r="X502" s="14" t="s">
        <v>31</v>
      </c>
      <c r="Y502" s="9" t="s">
        <v>32</v>
      </c>
      <c r="Z502" s="9"/>
    </row>
    <row r="503">
      <c r="A503" s="9">
        <v>502.0</v>
      </c>
      <c r="B503" s="10" t="s">
        <v>799</v>
      </c>
      <c r="C503" s="16" t="s">
        <v>1870</v>
      </c>
      <c r="D503" s="10" t="s">
        <v>1871</v>
      </c>
      <c r="E503" s="23" t="s">
        <v>69</v>
      </c>
      <c r="F503" s="23" t="s">
        <v>69</v>
      </c>
      <c r="G503" s="9"/>
      <c r="H503" s="13">
        <v>2018.0</v>
      </c>
      <c r="I503" s="14"/>
      <c r="J503" s="14"/>
      <c r="K503" s="14"/>
      <c r="L503" s="14"/>
      <c r="M503" s="14"/>
      <c r="N503" s="19"/>
      <c r="O503" s="19"/>
      <c r="P503" s="19"/>
      <c r="Q503" s="14"/>
      <c r="R503" s="14"/>
      <c r="S503" s="19"/>
      <c r="T503" s="14">
        <v>1.0</v>
      </c>
      <c r="U503" s="19"/>
      <c r="V503" s="19"/>
      <c r="W503" s="14"/>
      <c r="X503" s="14" t="s">
        <v>31</v>
      </c>
      <c r="Y503" s="9" t="s">
        <v>32</v>
      </c>
      <c r="Z503" s="9" t="s">
        <v>70</v>
      </c>
    </row>
    <row r="504">
      <c r="A504" s="9">
        <v>503.0</v>
      </c>
      <c r="B504" s="10" t="s">
        <v>1872</v>
      </c>
      <c r="C504" s="11" t="s">
        <v>1873</v>
      </c>
      <c r="D504" s="10" t="s">
        <v>1874</v>
      </c>
      <c r="E504" s="22" t="s">
        <v>62</v>
      </c>
      <c r="F504" s="22" t="s">
        <v>62</v>
      </c>
      <c r="G504" s="9"/>
      <c r="H504" s="13">
        <v>2018.0</v>
      </c>
      <c r="I504" s="19"/>
      <c r="J504" s="19"/>
      <c r="K504" s="19"/>
      <c r="L504" s="19"/>
      <c r="M504" s="19"/>
      <c r="N504" s="14">
        <v>1.0</v>
      </c>
      <c r="O504" s="14"/>
      <c r="P504" s="14">
        <v>1.0</v>
      </c>
      <c r="Q504" s="14"/>
      <c r="R504" s="19"/>
      <c r="S504" s="19"/>
      <c r="T504" s="19"/>
      <c r="U504" s="19"/>
      <c r="V504" s="19"/>
      <c r="W504" s="14"/>
      <c r="X504" s="14" t="s">
        <v>31</v>
      </c>
      <c r="Y504" s="9" t="s">
        <v>32</v>
      </c>
      <c r="Z504" s="9"/>
    </row>
    <row r="505">
      <c r="A505" s="9">
        <v>504.0</v>
      </c>
      <c r="B505" s="10" t="s">
        <v>1875</v>
      </c>
      <c r="C505" s="11" t="s">
        <v>1876</v>
      </c>
      <c r="D505" s="10" t="s">
        <v>1877</v>
      </c>
      <c r="E505" s="22" t="s">
        <v>393</v>
      </c>
      <c r="F505" s="28" t="s">
        <v>394</v>
      </c>
      <c r="G505" s="9"/>
      <c r="H505" s="13">
        <v>2018.0</v>
      </c>
      <c r="I505" s="19"/>
      <c r="J505" s="19"/>
      <c r="K505" s="19"/>
      <c r="L505" s="19"/>
      <c r="M505" s="19"/>
      <c r="N505" s="19"/>
      <c r="O505" s="14">
        <v>1.0</v>
      </c>
      <c r="P505" s="19"/>
      <c r="Q505" s="19"/>
      <c r="R505" s="19"/>
      <c r="S505" s="19"/>
      <c r="T505" s="19"/>
      <c r="U505" s="14"/>
      <c r="V505" s="14"/>
      <c r="W505" s="14"/>
      <c r="X505" s="14" t="s">
        <v>31</v>
      </c>
      <c r="Y505" s="9" t="s">
        <v>32</v>
      </c>
      <c r="Z505" s="9"/>
    </row>
    <row r="506">
      <c r="A506" s="9">
        <v>505.0</v>
      </c>
      <c r="B506" s="10" t="s">
        <v>1878</v>
      </c>
      <c r="C506" s="16" t="s">
        <v>1879</v>
      </c>
      <c r="D506" s="10" t="s">
        <v>1880</v>
      </c>
      <c r="E506" s="22"/>
      <c r="F506" s="22"/>
      <c r="G506" s="9"/>
      <c r="H506" s="10"/>
      <c r="I506" s="19"/>
      <c r="J506" s="19"/>
      <c r="K506" s="19"/>
      <c r="L506" s="19"/>
      <c r="M506" s="19"/>
      <c r="N506" s="19"/>
      <c r="O506" s="14">
        <v>1.0</v>
      </c>
      <c r="P506" s="19"/>
      <c r="Q506" s="14"/>
      <c r="R506" s="14"/>
      <c r="S506" s="19"/>
      <c r="T506" s="19"/>
      <c r="U506" s="19"/>
      <c r="V506" s="19"/>
      <c r="W506" s="14"/>
      <c r="X506" s="14" t="s">
        <v>31</v>
      </c>
      <c r="Y506" s="9" t="s">
        <v>32</v>
      </c>
      <c r="Z506" s="9"/>
    </row>
    <row r="507">
      <c r="A507" s="9">
        <v>506.0</v>
      </c>
      <c r="B507" s="10" t="s">
        <v>1881</v>
      </c>
      <c r="C507" s="16" t="s">
        <v>1882</v>
      </c>
      <c r="D507" s="10" t="s">
        <v>544</v>
      </c>
      <c r="E507" s="17" t="s">
        <v>882</v>
      </c>
      <c r="F507" s="17" t="s">
        <v>882</v>
      </c>
      <c r="G507" s="9"/>
      <c r="H507" s="13">
        <v>2018.0</v>
      </c>
      <c r="I507" s="19"/>
      <c r="J507" s="19"/>
      <c r="K507" s="19"/>
      <c r="L507" s="19"/>
      <c r="M507" s="19"/>
      <c r="N507" s="19"/>
      <c r="O507" s="19"/>
      <c r="P507" s="19"/>
      <c r="Q507" s="19"/>
      <c r="R507" s="14"/>
      <c r="S507" s="19"/>
      <c r="T507" s="14">
        <v>1.0</v>
      </c>
      <c r="U507" s="19"/>
      <c r="V507" s="19"/>
      <c r="W507" s="14"/>
      <c r="X507" s="14" t="s">
        <v>31</v>
      </c>
      <c r="Y507" s="9" t="s">
        <v>32</v>
      </c>
      <c r="Z507" s="9" t="s">
        <v>1271</v>
      </c>
    </row>
    <row r="508">
      <c r="A508" s="9">
        <v>507.0</v>
      </c>
      <c r="B508" s="10" t="s">
        <v>1883</v>
      </c>
      <c r="C508" s="11" t="s">
        <v>1884</v>
      </c>
      <c r="D508" s="10" t="s">
        <v>1885</v>
      </c>
      <c r="E508" s="12" t="s">
        <v>80</v>
      </c>
      <c r="F508" s="12" t="s">
        <v>81</v>
      </c>
      <c r="G508" s="9" t="s">
        <v>58</v>
      </c>
      <c r="H508" s="13">
        <v>2018.0</v>
      </c>
      <c r="I508" s="14">
        <v>1.0</v>
      </c>
      <c r="J508" s="14">
        <v>1.0</v>
      </c>
      <c r="K508" s="14">
        <v>1.0</v>
      </c>
      <c r="L508" s="14">
        <v>1.0</v>
      </c>
      <c r="M508" s="14">
        <v>1.0</v>
      </c>
      <c r="N508" s="14">
        <v>0.0</v>
      </c>
      <c r="O508" s="14">
        <v>0.0</v>
      </c>
      <c r="P508" s="14">
        <v>0.0</v>
      </c>
      <c r="Q508" s="14">
        <v>0.0</v>
      </c>
      <c r="R508" s="14">
        <v>0.0</v>
      </c>
      <c r="S508" s="14">
        <v>0.0</v>
      </c>
      <c r="T508" s="14">
        <v>0.0</v>
      </c>
      <c r="U508" s="14">
        <v>0.0</v>
      </c>
      <c r="V508" s="14">
        <v>0.0</v>
      </c>
      <c r="W508" s="14" t="s">
        <v>39</v>
      </c>
      <c r="X508" s="14" t="s">
        <v>39</v>
      </c>
      <c r="Y508" s="9" t="s">
        <v>32</v>
      </c>
      <c r="Z508" s="9"/>
    </row>
    <row r="509">
      <c r="A509" s="9">
        <v>508.0</v>
      </c>
      <c r="B509" s="10" t="s">
        <v>1886</v>
      </c>
      <c r="C509" s="11" t="s">
        <v>1887</v>
      </c>
      <c r="D509" s="10" t="s">
        <v>1888</v>
      </c>
      <c r="E509" s="25" t="s">
        <v>1889</v>
      </c>
      <c r="F509" s="25" t="s">
        <v>1889</v>
      </c>
      <c r="G509" s="9"/>
      <c r="H509" s="13">
        <v>2018.0</v>
      </c>
      <c r="I509" s="19"/>
      <c r="J509" s="19"/>
      <c r="K509" s="19"/>
      <c r="L509" s="19"/>
      <c r="M509" s="19"/>
      <c r="N509" s="19"/>
      <c r="O509" s="14">
        <v>1.0</v>
      </c>
      <c r="P509" s="19"/>
      <c r="Q509" s="14"/>
      <c r="R509" s="19"/>
      <c r="S509" s="19"/>
      <c r="T509" s="19"/>
      <c r="U509" s="19"/>
      <c r="V509" s="19"/>
      <c r="W509" s="14"/>
      <c r="X509" s="14" t="s">
        <v>31</v>
      </c>
      <c r="Y509" s="9" t="s">
        <v>32</v>
      </c>
      <c r="Z509" s="21"/>
    </row>
    <row r="510">
      <c r="A510" s="9">
        <v>509.0</v>
      </c>
      <c r="B510" s="10" t="s">
        <v>1890</v>
      </c>
      <c r="C510" s="11" t="s">
        <v>1891</v>
      </c>
      <c r="D510" s="10" t="s">
        <v>1892</v>
      </c>
      <c r="E510" s="12" t="s">
        <v>80</v>
      </c>
      <c r="F510" s="12" t="s">
        <v>81</v>
      </c>
      <c r="G510" s="9" t="s">
        <v>58</v>
      </c>
      <c r="H510" s="13">
        <v>2020.0</v>
      </c>
      <c r="I510" s="14">
        <v>1.0</v>
      </c>
      <c r="J510" s="14">
        <v>1.0</v>
      </c>
      <c r="K510" s="14">
        <v>1.0</v>
      </c>
      <c r="L510" s="14">
        <v>1.0</v>
      </c>
      <c r="M510" s="14">
        <v>1.0</v>
      </c>
      <c r="N510" s="14">
        <v>0.0</v>
      </c>
      <c r="O510" s="14">
        <v>0.0</v>
      </c>
      <c r="P510" s="14">
        <v>0.0</v>
      </c>
      <c r="Q510" s="14">
        <v>0.0</v>
      </c>
      <c r="R510" s="14">
        <v>0.0</v>
      </c>
      <c r="S510" s="14">
        <v>0.0</v>
      </c>
      <c r="T510" s="14">
        <v>0.0</v>
      </c>
      <c r="U510" s="14">
        <v>0.0</v>
      </c>
      <c r="V510" s="14">
        <v>0.0</v>
      </c>
      <c r="W510" s="14" t="s">
        <v>39</v>
      </c>
      <c r="X510" s="14" t="s">
        <v>39</v>
      </c>
      <c r="Y510" s="9" t="s">
        <v>32</v>
      </c>
      <c r="Z510" s="21"/>
    </row>
    <row r="511">
      <c r="A511" s="9">
        <v>510.0</v>
      </c>
      <c r="B511" s="29" t="s">
        <v>1893</v>
      </c>
      <c r="C511" s="34" t="s">
        <v>1894</v>
      </c>
      <c r="D511" s="29" t="s">
        <v>1895</v>
      </c>
      <c r="E511" s="25" t="s">
        <v>62</v>
      </c>
      <c r="F511" s="25" t="s">
        <v>62</v>
      </c>
      <c r="G511" s="21"/>
      <c r="H511" s="18">
        <v>2020.0</v>
      </c>
      <c r="I511" s="14">
        <v>0.0</v>
      </c>
      <c r="J511" s="19"/>
      <c r="K511" s="19"/>
      <c r="L511" s="19"/>
      <c r="M511" s="19"/>
      <c r="N511" s="19"/>
      <c r="O511" s="19"/>
      <c r="P511" s="19"/>
      <c r="Q511" s="19"/>
      <c r="R511" s="19"/>
      <c r="S511" s="19"/>
      <c r="T511" s="19"/>
      <c r="U511" s="19"/>
      <c r="V511" s="19"/>
      <c r="W511" s="14"/>
      <c r="X511" s="14" t="s">
        <v>31</v>
      </c>
      <c r="Y511" s="9" t="s">
        <v>32</v>
      </c>
      <c r="Z511" s="9" t="s">
        <v>1896</v>
      </c>
    </row>
    <row r="512">
      <c r="A512" s="9">
        <v>511.0</v>
      </c>
      <c r="B512" s="29" t="s">
        <v>1897</v>
      </c>
      <c r="C512" s="34" t="s">
        <v>1898</v>
      </c>
      <c r="D512" s="29" t="s">
        <v>1899</v>
      </c>
      <c r="E512" s="12" t="s">
        <v>36</v>
      </c>
      <c r="F512" s="12" t="s">
        <v>37</v>
      </c>
      <c r="G512" s="21"/>
      <c r="H512" s="18">
        <v>2019.0</v>
      </c>
      <c r="I512" s="19"/>
      <c r="J512" s="19"/>
      <c r="K512" s="19"/>
      <c r="L512" s="19"/>
      <c r="M512" s="19"/>
      <c r="N512" s="14">
        <v>1.0</v>
      </c>
      <c r="O512" s="19"/>
      <c r="P512" s="14">
        <v>1.0</v>
      </c>
      <c r="Q512" s="19"/>
      <c r="R512" s="19"/>
      <c r="S512" s="19"/>
      <c r="T512" s="19"/>
      <c r="U512" s="19"/>
      <c r="V512" s="19"/>
      <c r="W512" s="14"/>
      <c r="X512" s="14" t="s">
        <v>31</v>
      </c>
      <c r="Y512" s="9" t="s">
        <v>32</v>
      </c>
      <c r="Z512" s="9" t="s">
        <v>1900</v>
      </c>
    </row>
    <row r="513">
      <c r="A513" s="9">
        <v>512.0</v>
      </c>
      <c r="B513" s="29" t="s">
        <v>1901</v>
      </c>
      <c r="C513" s="39" t="s">
        <v>1902</v>
      </c>
      <c r="D513" s="29" t="s">
        <v>1903</v>
      </c>
      <c r="E513" s="17" t="s">
        <v>1904</v>
      </c>
      <c r="F513" s="17" t="s">
        <v>1904</v>
      </c>
      <c r="G513" s="21"/>
      <c r="H513" s="18">
        <v>2018.0</v>
      </c>
      <c r="I513" s="19"/>
      <c r="J513" s="19"/>
      <c r="K513" s="19"/>
      <c r="L513" s="19"/>
      <c r="M513" s="19"/>
      <c r="N513" s="19"/>
      <c r="O513" s="19"/>
      <c r="P513" s="14">
        <v>1.0</v>
      </c>
      <c r="Q513" s="19"/>
      <c r="R513" s="14"/>
      <c r="S513" s="19"/>
      <c r="T513" s="19"/>
      <c r="U513" s="19"/>
      <c r="V513" s="19"/>
      <c r="W513" s="14"/>
      <c r="X513" s="14" t="s">
        <v>31</v>
      </c>
      <c r="Y513" s="9" t="s">
        <v>32</v>
      </c>
      <c r="Z513" s="21"/>
    </row>
    <row r="514">
      <c r="A514" s="9">
        <v>513.0</v>
      </c>
      <c r="B514" s="29" t="s">
        <v>1905</v>
      </c>
      <c r="C514" s="34" t="s">
        <v>1906</v>
      </c>
      <c r="D514" s="29" t="s">
        <v>1907</v>
      </c>
      <c r="E514" s="25" t="s">
        <v>62</v>
      </c>
      <c r="F514" s="25" t="s">
        <v>62</v>
      </c>
      <c r="G514" s="9" t="s">
        <v>58</v>
      </c>
      <c r="H514" s="18">
        <v>2019.0</v>
      </c>
      <c r="I514" s="14">
        <v>1.0</v>
      </c>
      <c r="J514" s="14">
        <v>1.0</v>
      </c>
      <c r="K514" s="14">
        <v>1.0</v>
      </c>
      <c r="L514" s="14">
        <v>1.0</v>
      </c>
      <c r="M514" s="14">
        <v>1.0</v>
      </c>
      <c r="N514" s="14">
        <v>0.0</v>
      </c>
      <c r="O514" s="14">
        <v>0.0</v>
      </c>
      <c r="P514" s="14">
        <v>0.0</v>
      </c>
      <c r="Q514" s="14">
        <v>0.0</v>
      </c>
      <c r="R514" s="14">
        <v>0.0</v>
      </c>
      <c r="S514" s="14">
        <v>0.0</v>
      </c>
      <c r="T514" s="14">
        <v>0.0</v>
      </c>
      <c r="U514" s="14">
        <v>0.0</v>
      </c>
      <c r="V514" s="14">
        <v>0.0</v>
      </c>
      <c r="W514" s="14" t="s">
        <v>39</v>
      </c>
      <c r="X514" s="14" t="s">
        <v>39</v>
      </c>
      <c r="Y514" s="9" t="s">
        <v>32</v>
      </c>
      <c r="Z514" s="21"/>
    </row>
    <row r="515">
      <c r="A515" s="9">
        <v>514.0</v>
      </c>
      <c r="B515" s="29" t="s">
        <v>1908</v>
      </c>
      <c r="C515" s="34" t="s">
        <v>1909</v>
      </c>
      <c r="D515" s="29" t="s">
        <v>1910</v>
      </c>
      <c r="E515" s="12" t="s">
        <v>36</v>
      </c>
      <c r="F515" s="12" t="s">
        <v>37</v>
      </c>
      <c r="G515" s="9" t="s">
        <v>58</v>
      </c>
      <c r="H515" s="18">
        <v>2019.0</v>
      </c>
      <c r="I515" s="14">
        <v>1.0</v>
      </c>
      <c r="J515" s="14">
        <v>1.0</v>
      </c>
      <c r="K515" s="14">
        <v>1.0</v>
      </c>
      <c r="L515" s="14">
        <v>1.0</v>
      </c>
      <c r="M515" s="14">
        <v>1.0</v>
      </c>
      <c r="N515" s="14">
        <v>0.0</v>
      </c>
      <c r="O515" s="14">
        <v>0.0</v>
      </c>
      <c r="P515" s="14">
        <v>0.0</v>
      </c>
      <c r="Q515" s="14">
        <v>0.0</v>
      </c>
      <c r="R515" s="14">
        <v>0.0</v>
      </c>
      <c r="S515" s="14">
        <v>0.0</v>
      </c>
      <c r="T515" s="14">
        <v>0.0</v>
      </c>
      <c r="U515" s="14">
        <v>0.0</v>
      </c>
      <c r="V515" s="14">
        <v>0.0</v>
      </c>
      <c r="W515" s="14" t="s">
        <v>39</v>
      </c>
      <c r="X515" s="14" t="s">
        <v>39</v>
      </c>
      <c r="Y515" s="9" t="s">
        <v>32</v>
      </c>
      <c r="Z515" s="21"/>
    </row>
    <row r="516">
      <c r="A516" s="9">
        <v>515.0</v>
      </c>
      <c r="B516" s="29" t="s">
        <v>1911</v>
      </c>
      <c r="C516" s="34" t="s">
        <v>1912</v>
      </c>
      <c r="D516" s="29" t="s">
        <v>1913</v>
      </c>
      <c r="E516" s="25" t="s">
        <v>62</v>
      </c>
      <c r="F516" s="25" t="s">
        <v>62</v>
      </c>
      <c r="G516" s="9" t="s">
        <v>38</v>
      </c>
      <c r="H516" s="18">
        <v>2020.0</v>
      </c>
      <c r="I516" s="14">
        <v>1.0</v>
      </c>
      <c r="J516" s="14">
        <v>1.0</v>
      </c>
      <c r="K516" s="14">
        <v>1.0</v>
      </c>
      <c r="L516" s="14">
        <v>1.0</v>
      </c>
      <c r="M516" s="14">
        <v>1.0</v>
      </c>
      <c r="N516" s="14">
        <v>0.0</v>
      </c>
      <c r="O516" s="14">
        <v>0.0</v>
      </c>
      <c r="P516" s="14">
        <v>0.0</v>
      </c>
      <c r="Q516" s="14">
        <v>0.0</v>
      </c>
      <c r="R516" s="14">
        <v>0.0</v>
      </c>
      <c r="S516" s="14">
        <v>0.0</v>
      </c>
      <c r="T516" s="14">
        <v>0.0</v>
      </c>
      <c r="U516" s="14">
        <v>0.0</v>
      </c>
      <c r="V516" s="14">
        <v>0.0</v>
      </c>
      <c r="W516" s="14" t="s">
        <v>39</v>
      </c>
      <c r="X516" s="14" t="s">
        <v>39</v>
      </c>
      <c r="Y516" s="9" t="s">
        <v>32</v>
      </c>
      <c r="Z516" s="21"/>
    </row>
    <row r="517">
      <c r="A517" s="9">
        <v>516.0</v>
      </c>
      <c r="B517" s="29" t="s">
        <v>1914</v>
      </c>
      <c r="C517" s="39" t="s">
        <v>1915</v>
      </c>
      <c r="D517" s="29" t="s">
        <v>1916</v>
      </c>
      <c r="E517" s="25" t="s">
        <v>128</v>
      </c>
      <c r="F517" s="25" t="s">
        <v>128</v>
      </c>
      <c r="G517" s="21"/>
      <c r="H517" s="18">
        <v>2021.0</v>
      </c>
      <c r="I517" s="19"/>
      <c r="J517" s="19"/>
      <c r="K517" s="19"/>
      <c r="L517" s="19"/>
      <c r="M517" s="19"/>
      <c r="N517" s="19"/>
      <c r="O517" s="19"/>
      <c r="P517" s="14">
        <v>1.0</v>
      </c>
      <c r="Q517" s="19"/>
      <c r="R517" s="19"/>
      <c r="S517" s="19"/>
      <c r="T517" s="19"/>
      <c r="U517" s="19"/>
      <c r="V517" s="19"/>
      <c r="W517" s="14"/>
      <c r="X517" s="14" t="s">
        <v>31</v>
      </c>
      <c r="Y517" s="9" t="s">
        <v>32</v>
      </c>
      <c r="Z517" s="21"/>
    </row>
    <row r="518">
      <c r="A518" s="9">
        <v>517.0</v>
      </c>
      <c r="B518" s="29" t="s">
        <v>1917</v>
      </c>
      <c r="C518" s="39" t="s">
        <v>1918</v>
      </c>
      <c r="D518" s="29" t="s">
        <v>1919</v>
      </c>
      <c r="E518" s="25" t="s">
        <v>1920</v>
      </c>
      <c r="F518" s="25" t="s">
        <v>1920</v>
      </c>
      <c r="G518" s="21"/>
      <c r="H518" s="18">
        <v>2020.0</v>
      </c>
      <c r="I518" s="19"/>
      <c r="J518" s="19"/>
      <c r="K518" s="19"/>
      <c r="L518" s="19"/>
      <c r="M518" s="19"/>
      <c r="N518" s="19"/>
      <c r="O518" s="19"/>
      <c r="P518" s="19"/>
      <c r="Q518" s="19"/>
      <c r="R518" s="19"/>
      <c r="S518" s="19"/>
      <c r="T518" s="19"/>
      <c r="U518" s="19"/>
      <c r="V518" s="14">
        <v>1.0</v>
      </c>
      <c r="W518" s="14"/>
      <c r="X518" s="14" t="s">
        <v>39</v>
      </c>
      <c r="Y518" s="9" t="s">
        <v>32</v>
      </c>
      <c r="Z518" s="24" t="s">
        <v>1921</v>
      </c>
    </row>
    <row r="519">
      <c r="A519" s="9">
        <v>518.0</v>
      </c>
      <c r="B519" s="29" t="s">
        <v>1922</v>
      </c>
      <c r="C519" s="34" t="s">
        <v>1923</v>
      </c>
      <c r="D519" s="29" t="s">
        <v>1924</v>
      </c>
      <c r="E519" s="25" t="s">
        <v>62</v>
      </c>
      <c r="F519" s="25" t="s">
        <v>62</v>
      </c>
      <c r="G519" s="9" t="s">
        <v>38</v>
      </c>
      <c r="H519" s="18">
        <v>2020.0</v>
      </c>
      <c r="I519" s="14">
        <v>1.0</v>
      </c>
      <c r="J519" s="14">
        <v>1.0</v>
      </c>
      <c r="K519" s="14">
        <v>1.0</v>
      </c>
      <c r="L519" s="14">
        <v>1.0</v>
      </c>
      <c r="M519" s="14">
        <v>1.0</v>
      </c>
      <c r="N519" s="14">
        <v>0.0</v>
      </c>
      <c r="O519" s="14">
        <v>0.0</v>
      </c>
      <c r="P519" s="14">
        <v>0.0</v>
      </c>
      <c r="Q519" s="14">
        <v>0.0</v>
      </c>
      <c r="R519" s="14">
        <v>0.0</v>
      </c>
      <c r="S519" s="14">
        <v>0.0</v>
      </c>
      <c r="T519" s="14">
        <v>0.0</v>
      </c>
      <c r="U519" s="14">
        <v>0.0</v>
      </c>
      <c r="V519" s="14">
        <v>0.0</v>
      </c>
      <c r="W519" s="14" t="s">
        <v>39</v>
      </c>
      <c r="X519" s="14" t="s">
        <v>39</v>
      </c>
      <c r="Y519" s="9" t="s">
        <v>32</v>
      </c>
      <c r="Z519" s="21"/>
    </row>
    <row r="520">
      <c r="A520" s="9">
        <v>519.0</v>
      </c>
      <c r="B520" s="29" t="s">
        <v>1925</v>
      </c>
      <c r="C520" s="34" t="s">
        <v>1926</v>
      </c>
      <c r="D520" s="29" t="s">
        <v>1927</v>
      </c>
      <c r="E520" s="25" t="s">
        <v>128</v>
      </c>
      <c r="F520" s="25" t="s">
        <v>128</v>
      </c>
      <c r="G520" s="21"/>
      <c r="H520" s="18">
        <v>2020.0</v>
      </c>
      <c r="I520" s="19"/>
      <c r="J520" s="19"/>
      <c r="K520" s="19"/>
      <c r="L520" s="19"/>
      <c r="M520" s="19"/>
      <c r="N520" s="19"/>
      <c r="O520" s="14">
        <v>1.0</v>
      </c>
      <c r="P520" s="19"/>
      <c r="Q520" s="19"/>
      <c r="R520" s="19"/>
      <c r="S520" s="19"/>
      <c r="T520" s="19"/>
      <c r="U520" s="19"/>
      <c r="V520" s="19"/>
      <c r="W520" s="14"/>
      <c r="X520" s="14" t="s">
        <v>31</v>
      </c>
      <c r="Y520" s="9" t="s">
        <v>32</v>
      </c>
      <c r="Z520" s="9" t="s">
        <v>1928</v>
      </c>
    </row>
    <row r="521">
      <c r="A521" s="9">
        <v>520.0</v>
      </c>
      <c r="B521" s="29" t="s">
        <v>1929</v>
      </c>
      <c r="C521" s="34" t="s">
        <v>1930</v>
      </c>
      <c r="D521" s="29" t="s">
        <v>1931</v>
      </c>
      <c r="E521" s="12" t="s">
        <v>29</v>
      </c>
      <c r="F521" s="12" t="s">
        <v>30</v>
      </c>
      <c r="G521" s="21"/>
      <c r="H521" s="18">
        <v>2019.0</v>
      </c>
      <c r="I521" s="19"/>
      <c r="J521" s="19"/>
      <c r="K521" s="19"/>
      <c r="L521" s="19"/>
      <c r="M521" s="19"/>
      <c r="N521" s="19"/>
      <c r="O521" s="14">
        <v>1.0</v>
      </c>
      <c r="P521" s="19"/>
      <c r="Q521" s="19"/>
      <c r="R521" s="19"/>
      <c r="S521" s="19"/>
      <c r="T521" s="19"/>
      <c r="U521" s="19"/>
      <c r="V521" s="19"/>
      <c r="W521" s="14"/>
      <c r="X521" s="14" t="s">
        <v>31</v>
      </c>
      <c r="Y521" s="9" t="s">
        <v>32</v>
      </c>
      <c r="Z521" s="21"/>
    </row>
    <row r="522">
      <c r="A522" s="9">
        <v>521.0</v>
      </c>
      <c r="B522" s="29" t="s">
        <v>1932</v>
      </c>
      <c r="C522" s="34" t="s">
        <v>1933</v>
      </c>
      <c r="D522" s="29" t="s">
        <v>1934</v>
      </c>
      <c r="E522" s="12" t="s">
        <v>36</v>
      </c>
      <c r="F522" s="12" t="s">
        <v>37</v>
      </c>
      <c r="G522" s="21"/>
      <c r="H522" s="18">
        <v>2019.0</v>
      </c>
      <c r="I522" s="19"/>
      <c r="J522" s="19"/>
      <c r="K522" s="19"/>
      <c r="L522" s="19"/>
      <c r="M522" s="19"/>
      <c r="N522" s="14">
        <v>1.0</v>
      </c>
      <c r="O522" s="14">
        <v>1.0</v>
      </c>
      <c r="P522" s="19"/>
      <c r="Q522" s="19"/>
      <c r="R522" s="19"/>
      <c r="S522" s="19"/>
      <c r="T522" s="19"/>
      <c r="U522" s="19"/>
      <c r="V522" s="19"/>
      <c r="W522" s="14"/>
      <c r="X522" s="14" t="s">
        <v>31</v>
      </c>
      <c r="Y522" s="9" t="s">
        <v>32</v>
      </c>
      <c r="Z522" s="21"/>
    </row>
    <row r="523">
      <c r="A523" s="9">
        <v>522.0</v>
      </c>
      <c r="B523" s="29" t="s">
        <v>1935</v>
      </c>
      <c r="C523" s="39" t="s">
        <v>1936</v>
      </c>
      <c r="D523" s="29" t="s">
        <v>1937</v>
      </c>
      <c r="E523" s="25" t="s">
        <v>62</v>
      </c>
      <c r="F523" s="25" t="s">
        <v>62</v>
      </c>
      <c r="G523" s="21"/>
      <c r="H523" s="18">
        <v>2018.0</v>
      </c>
      <c r="I523" s="19"/>
      <c r="J523" s="19"/>
      <c r="K523" s="19"/>
      <c r="L523" s="19"/>
      <c r="M523" s="19"/>
      <c r="N523" s="19"/>
      <c r="O523" s="19"/>
      <c r="P523" s="19"/>
      <c r="Q523" s="19"/>
      <c r="R523" s="19"/>
      <c r="S523" s="14">
        <v>1.0</v>
      </c>
      <c r="T523" s="19"/>
      <c r="U523" s="19"/>
      <c r="V523" s="19"/>
      <c r="W523" s="14" t="s">
        <v>31</v>
      </c>
      <c r="X523" s="14" t="s">
        <v>39</v>
      </c>
      <c r="Y523" s="9" t="s">
        <v>32</v>
      </c>
      <c r="Z523" s="9"/>
    </row>
    <row r="524">
      <c r="A524" s="9">
        <v>523.0</v>
      </c>
      <c r="B524" s="29" t="s">
        <v>1938</v>
      </c>
      <c r="C524" s="34" t="s">
        <v>1939</v>
      </c>
      <c r="D524" s="29" t="s">
        <v>1940</v>
      </c>
      <c r="E524" s="12" t="s">
        <v>36</v>
      </c>
      <c r="F524" s="12" t="s">
        <v>37</v>
      </c>
      <c r="G524" s="9" t="s">
        <v>58</v>
      </c>
      <c r="H524" s="18">
        <v>2019.0</v>
      </c>
      <c r="I524" s="14">
        <v>1.0</v>
      </c>
      <c r="J524" s="14">
        <v>1.0</v>
      </c>
      <c r="K524" s="14">
        <v>1.0</v>
      </c>
      <c r="L524" s="14">
        <v>1.0</v>
      </c>
      <c r="M524" s="14">
        <v>1.0</v>
      </c>
      <c r="N524" s="14">
        <v>0.0</v>
      </c>
      <c r="O524" s="14">
        <v>0.0</v>
      </c>
      <c r="P524" s="14">
        <v>0.0</v>
      </c>
      <c r="Q524" s="14">
        <v>0.0</v>
      </c>
      <c r="R524" s="14">
        <v>0.0</v>
      </c>
      <c r="S524" s="14">
        <v>0.0</v>
      </c>
      <c r="T524" s="14">
        <v>0.0</v>
      </c>
      <c r="U524" s="14">
        <v>0.0</v>
      </c>
      <c r="V524" s="14">
        <v>0.0</v>
      </c>
      <c r="W524" s="14" t="s">
        <v>39</v>
      </c>
      <c r="X524" s="14" t="s">
        <v>39</v>
      </c>
      <c r="Y524" s="9" t="s">
        <v>32</v>
      </c>
      <c r="Z524" s="21"/>
    </row>
    <row r="525">
      <c r="A525" s="9">
        <v>524.0</v>
      </c>
      <c r="B525" s="29" t="s">
        <v>1941</v>
      </c>
      <c r="C525" s="34" t="s">
        <v>1942</v>
      </c>
      <c r="D525" s="29" t="s">
        <v>1943</v>
      </c>
      <c r="E525" s="17" t="s">
        <v>882</v>
      </c>
      <c r="F525" s="17" t="s">
        <v>882</v>
      </c>
      <c r="G525" s="21"/>
      <c r="H525" s="18">
        <v>2018.0</v>
      </c>
      <c r="I525" s="19"/>
      <c r="J525" s="19"/>
      <c r="K525" s="19"/>
      <c r="L525" s="19"/>
      <c r="M525" s="19"/>
      <c r="N525" s="19"/>
      <c r="O525" s="19"/>
      <c r="P525" s="19"/>
      <c r="Q525" s="19"/>
      <c r="R525" s="14">
        <v>1.0</v>
      </c>
      <c r="S525" s="19"/>
      <c r="T525" s="19"/>
      <c r="U525" s="19"/>
      <c r="V525" s="19"/>
      <c r="W525" s="14"/>
      <c r="X525" s="14" t="s">
        <v>31</v>
      </c>
      <c r="Y525" s="9" t="s">
        <v>32</v>
      </c>
      <c r="Z525" s="9" t="s">
        <v>193</v>
      </c>
    </row>
    <row r="526">
      <c r="A526" s="9">
        <v>525.0</v>
      </c>
      <c r="B526" s="29" t="s">
        <v>1944</v>
      </c>
      <c r="C526" s="34" t="s">
        <v>1945</v>
      </c>
      <c r="D526" s="29" t="s">
        <v>1946</v>
      </c>
      <c r="E526" s="25" t="s">
        <v>62</v>
      </c>
      <c r="F526" s="25" t="s">
        <v>62</v>
      </c>
      <c r="G526" s="9" t="s">
        <v>58</v>
      </c>
      <c r="H526" s="18">
        <v>2018.0</v>
      </c>
      <c r="I526" s="14">
        <v>1.0</v>
      </c>
      <c r="J526" s="14">
        <v>1.0</v>
      </c>
      <c r="K526" s="14">
        <v>1.0</v>
      </c>
      <c r="L526" s="14">
        <v>1.0</v>
      </c>
      <c r="M526" s="14">
        <v>1.0</v>
      </c>
      <c r="N526" s="14">
        <v>0.0</v>
      </c>
      <c r="O526" s="14">
        <v>0.0</v>
      </c>
      <c r="P526" s="14">
        <v>0.0</v>
      </c>
      <c r="Q526" s="14">
        <v>0.0</v>
      </c>
      <c r="R526" s="14">
        <v>0.0</v>
      </c>
      <c r="S526" s="14">
        <v>0.0</v>
      </c>
      <c r="T526" s="14">
        <v>0.0</v>
      </c>
      <c r="U526" s="14">
        <v>0.0</v>
      </c>
      <c r="V526" s="14">
        <v>0.0</v>
      </c>
      <c r="W526" s="14" t="s">
        <v>39</v>
      </c>
      <c r="X526" s="14" t="s">
        <v>39</v>
      </c>
      <c r="Y526" s="9" t="s">
        <v>32</v>
      </c>
      <c r="Z526" s="21"/>
    </row>
    <row r="527">
      <c r="A527" s="9">
        <v>526.0</v>
      </c>
      <c r="B527" s="29" t="s">
        <v>1947</v>
      </c>
      <c r="C527" s="34" t="s">
        <v>1948</v>
      </c>
      <c r="D527" s="15" t="s">
        <v>1949</v>
      </c>
      <c r="E527" s="25" t="s">
        <v>128</v>
      </c>
      <c r="F527" s="25" t="s">
        <v>128</v>
      </c>
      <c r="G527" s="9" t="s">
        <v>38</v>
      </c>
      <c r="H527" s="18">
        <v>2019.0</v>
      </c>
      <c r="I527" s="14">
        <v>1.0</v>
      </c>
      <c r="J527" s="14">
        <v>1.0</v>
      </c>
      <c r="K527" s="14">
        <v>1.0</v>
      </c>
      <c r="L527" s="14">
        <v>1.0</v>
      </c>
      <c r="M527" s="14">
        <v>1.0</v>
      </c>
      <c r="N527" s="14">
        <v>0.0</v>
      </c>
      <c r="O527" s="14">
        <v>0.0</v>
      </c>
      <c r="P527" s="14">
        <v>0.0</v>
      </c>
      <c r="Q527" s="14">
        <v>0.0</v>
      </c>
      <c r="R527" s="14">
        <v>0.0</v>
      </c>
      <c r="S527" s="14">
        <v>0.0</v>
      </c>
      <c r="T527" s="14">
        <v>0.0</v>
      </c>
      <c r="U527" s="14">
        <v>0.0</v>
      </c>
      <c r="V527" s="14">
        <v>0.0</v>
      </c>
      <c r="W527" s="14" t="s">
        <v>39</v>
      </c>
      <c r="X527" s="14" t="s">
        <v>39</v>
      </c>
      <c r="Y527" s="9" t="s">
        <v>32</v>
      </c>
      <c r="Z527" s="21"/>
    </row>
    <row r="528">
      <c r="A528" s="9">
        <v>527.0</v>
      </c>
      <c r="B528" s="29" t="s">
        <v>1950</v>
      </c>
      <c r="C528" s="34" t="s">
        <v>1951</v>
      </c>
      <c r="D528" s="29" t="s">
        <v>1952</v>
      </c>
      <c r="E528" s="25" t="s">
        <v>128</v>
      </c>
      <c r="F528" s="25" t="s">
        <v>128</v>
      </c>
      <c r="G528" s="9" t="s">
        <v>38</v>
      </c>
      <c r="H528" s="18">
        <v>2018.0</v>
      </c>
      <c r="I528" s="14">
        <v>1.0</v>
      </c>
      <c r="J528" s="14">
        <v>1.0</v>
      </c>
      <c r="K528" s="14">
        <v>1.0</v>
      </c>
      <c r="L528" s="14">
        <v>1.0</v>
      </c>
      <c r="M528" s="14">
        <v>1.0</v>
      </c>
      <c r="N528" s="14">
        <v>0.0</v>
      </c>
      <c r="O528" s="14">
        <v>0.0</v>
      </c>
      <c r="P528" s="14">
        <v>0.0</v>
      </c>
      <c r="Q528" s="14">
        <v>0.0</v>
      </c>
      <c r="R528" s="14">
        <v>0.0</v>
      </c>
      <c r="S528" s="14">
        <v>0.0</v>
      </c>
      <c r="T528" s="14">
        <v>0.0</v>
      </c>
      <c r="U528" s="14">
        <v>0.0</v>
      </c>
      <c r="V528" s="14">
        <v>0.0</v>
      </c>
      <c r="W528" s="14" t="s">
        <v>39</v>
      </c>
      <c r="X528" s="14" t="s">
        <v>39</v>
      </c>
      <c r="Y528" s="9" t="s">
        <v>32</v>
      </c>
      <c r="Z528" s="21"/>
    </row>
    <row r="529">
      <c r="A529" s="9">
        <v>528.0</v>
      </c>
      <c r="B529" s="29" t="s">
        <v>1953</v>
      </c>
      <c r="C529" s="39" t="s">
        <v>1954</v>
      </c>
      <c r="D529" s="29" t="s">
        <v>1955</v>
      </c>
      <c r="E529" s="17" t="s">
        <v>1956</v>
      </c>
      <c r="F529" s="17" t="s">
        <v>1956</v>
      </c>
      <c r="G529" s="21"/>
      <c r="H529" s="18">
        <v>2019.0</v>
      </c>
      <c r="I529" s="14">
        <v>0.0</v>
      </c>
      <c r="J529" s="19"/>
      <c r="K529" s="19"/>
      <c r="L529" s="19"/>
      <c r="M529" s="19"/>
      <c r="N529" s="19"/>
      <c r="O529" s="19"/>
      <c r="P529" s="19"/>
      <c r="Q529" s="19"/>
      <c r="R529" s="19"/>
      <c r="S529" s="19"/>
      <c r="T529" s="19"/>
      <c r="U529" s="19"/>
      <c r="V529" s="19"/>
      <c r="W529" s="14"/>
      <c r="X529" s="14" t="s">
        <v>31</v>
      </c>
      <c r="Y529" s="9" t="s">
        <v>32</v>
      </c>
      <c r="Z529" s="21"/>
    </row>
    <row r="530">
      <c r="A530" s="9">
        <v>529.0</v>
      </c>
      <c r="B530" s="29" t="s">
        <v>1957</v>
      </c>
      <c r="C530" s="39" t="s">
        <v>1958</v>
      </c>
      <c r="D530" s="29" t="s">
        <v>1959</v>
      </c>
      <c r="E530" s="17" t="s">
        <v>633</v>
      </c>
      <c r="F530" s="17" t="s">
        <v>633</v>
      </c>
      <c r="G530" s="21"/>
      <c r="H530" s="18">
        <v>2019.0</v>
      </c>
      <c r="I530" s="14">
        <v>0.0</v>
      </c>
      <c r="J530" s="19"/>
      <c r="K530" s="19"/>
      <c r="L530" s="19"/>
      <c r="M530" s="19"/>
      <c r="N530" s="19"/>
      <c r="O530" s="19"/>
      <c r="P530" s="19"/>
      <c r="Q530" s="19"/>
      <c r="R530" s="19"/>
      <c r="S530" s="19"/>
      <c r="T530" s="19"/>
      <c r="U530" s="19"/>
      <c r="V530" s="19"/>
      <c r="W530" s="14"/>
      <c r="X530" s="14" t="s">
        <v>31</v>
      </c>
      <c r="Y530" s="9" t="s">
        <v>32</v>
      </c>
      <c r="Z530" s="21"/>
    </row>
    <row r="531">
      <c r="A531" s="9">
        <v>530.0</v>
      </c>
      <c r="B531" s="29" t="s">
        <v>1960</v>
      </c>
      <c r="C531" s="34" t="s">
        <v>1961</v>
      </c>
      <c r="D531" s="15" t="s">
        <v>1962</v>
      </c>
      <c r="E531" s="12" t="s">
        <v>1963</v>
      </c>
      <c r="F531" s="12" t="s">
        <v>1964</v>
      </c>
      <c r="G531" s="9" t="s">
        <v>38</v>
      </c>
      <c r="H531" s="18">
        <v>2019.0</v>
      </c>
      <c r="I531" s="14">
        <v>1.0</v>
      </c>
      <c r="J531" s="14">
        <v>1.0</v>
      </c>
      <c r="K531" s="14">
        <v>1.0</v>
      </c>
      <c r="L531" s="14">
        <v>1.0</v>
      </c>
      <c r="M531" s="14">
        <v>1.0</v>
      </c>
      <c r="N531" s="14">
        <v>0.0</v>
      </c>
      <c r="O531" s="14">
        <v>0.0</v>
      </c>
      <c r="P531" s="14">
        <v>0.0</v>
      </c>
      <c r="Q531" s="14">
        <v>0.0</v>
      </c>
      <c r="R531" s="14">
        <v>0.0</v>
      </c>
      <c r="S531" s="14">
        <v>0.0</v>
      </c>
      <c r="T531" s="14">
        <v>0.0</v>
      </c>
      <c r="U531" s="14">
        <v>0.0</v>
      </c>
      <c r="V531" s="14">
        <v>0.0</v>
      </c>
      <c r="W531" s="14" t="s">
        <v>39</v>
      </c>
      <c r="X531" s="14" t="s">
        <v>39</v>
      </c>
      <c r="Y531" s="9" t="s">
        <v>32</v>
      </c>
      <c r="Z531" s="21"/>
    </row>
    <row r="532">
      <c r="A532" s="9">
        <v>531.0</v>
      </c>
      <c r="B532" s="29" t="s">
        <v>1965</v>
      </c>
      <c r="C532" s="34" t="s">
        <v>1966</v>
      </c>
      <c r="D532" s="29" t="s">
        <v>1967</v>
      </c>
      <c r="E532" s="12" t="s">
        <v>36</v>
      </c>
      <c r="F532" s="12" t="s">
        <v>37</v>
      </c>
      <c r="G532" s="21"/>
      <c r="H532" s="18">
        <v>2019.0</v>
      </c>
      <c r="I532" s="19"/>
      <c r="J532" s="19"/>
      <c r="K532" s="19"/>
      <c r="L532" s="19"/>
      <c r="M532" s="19"/>
      <c r="N532" s="14">
        <v>1.0</v>
      </c>
      <c r="O532" s="19"/>
      <c r="P532" s="19"/>
      <c r="Q532" s="19"/>
      <c r="R532" s="19"/>
      <c r="S532" s="19"/>
      <c r="T532" s="19"/>
      <c r="U532" s="19"/>
      <c r="V532" s="19"/>
      <c r="W532" s="14"/>
      <c r="X532" s="14" t="s">
        <v>31</v>
      </c>
      <c r="Y532" s="9" t="s">
        <v>32</v>
      </c>
      <c r="Z532" s="21"/>
    </row>
    <row r="533">
      <c r="A533" s="9">
        <v>532.0</v>
      </c>
      <c r="B533" s="29" t="s">
        <v>1968</v>
      </c>
      <c r="C533" s="34" t="s">
        <v>1969</v>
      </c>
      <c r="D533" s="15" t="s">
        <v>1970</v>
      </c>
      <c r="E533" s="12" t="s">
        <v>36</v>
      </c>
      <c r="F533" s="12" t="s">
        <v>37</v>
      </c>
      <c r="G533" s="9" t="s">
        <v>58</v>
      </c>
      <c r="H533" s="18">
        <v>2018.0</v>
      </c>
      <c r="I533" s="14">
        <v>1.0</v>
      </c>
      <c r="J533" s="14">
        <v>1.0</v>
      </c>
      <c r="K533" s="14">
        <v>1.0</v>
      </c>
      <c r="L533" s="14">
        <v>1.0</v>
      </c>
      <c r="M533" s="14">
        <v>1.0</v>
      </c>
      <c r="N533" s="14">
        <v>0.0</v>
      </c>
      <c r="O533" s="14">
        <v>0.0</v>
      </c>
      <c r="P533" s="14">
        <v>0.0</v>
      </c>
      <c r="Q533" s="14">
        <v>0.0</v>
      </c>
      <c r="R533" s="14">
        <v>0.0</v>
      </c>
      <c r="S533" s="14">
        <v>0.0</v>
      </c>
      <c r="T533" s="14">
        <v>0.0</v>
      </c>
      <c r="U533" s="14">
        <v>0.0</v>
      </c>
      <c r="V533" s="14">
        <v>0.0</v>
      </c>
      <c r="W533" s="14" t="s">
        <v>39</v>
      </c>
      <c r="X533" s="14" t="s">
        <v>39</v>
      </c>
      <c r="Y533" s="9" t="s">
        <v>32</v>
      </c>
      <c r="Z533" s="21"/>
    </row>
    <row r="534">
      <c r="A534" s="9">
        <v>533.0</v>
      </c>
      <c r="B534" s="29" t="s">
        <v>1971</v>
      </c>
      <c r="C534" s="39" t="s">
        <v>1972</v>
      </c>
      <c r="D534" s="29" t="s">
        <v>1973</v>
      </c>
      <c r="E534" s="17" t="s">
        <v>896</v>
      </c>
      <c r="F534" s="17" t="s">
        <v>896</v>
      </c>
      <c r="G534" s="21"/>
      <c r="H534" s="18">
        <v>2019.0</v>
      </c>
      <c r="I534" s="19"/>
      <c r="J534" s="19"/>
      <c r="K534" s="19"/>
      <c r="L534" s="19"/>
      <c r="M534" s="19"/>
      <c r="N534" s="19"/>
      <c r="O534" s="14">
        <v>1.0</v>
      </c>
      <c r="P534" s="19"/>
      <c r="Q534" s="19"/>
      <c r="R534" s="19"/>
      <c r="S534" s="19"/>
      <c r="T534" s="19"/>
      <c r="U534" s="19"/>
      <c r="V534" s="19"/>
      <c r="W534" s="14"/>
      <c r="X534" s="14" t="s">
        <v>31</v>
      </c>
      <c r="Y534" s="9" t="s">
        <v>32</v>
      </c>
      <c r="Z534" s="21"/>
    </row>
    <row r="535">
      <c r="A535" s="9">
        <v>534.0</v>
      </c>
      <c r="B535" s="29" t="s">
        <v>1974</v>
      </c>
      <c r="C535" s="34" t="s">
        <v>1975</v>
      </c>
      <c r="D535" s="29" t="s">
        <v>1976</v>
      </c>
      <c r="E535" s="17" t="s">
        <v>1977</v>
      </c>
      <c r="F535" s="17" t="s">
        <v>1977</v>
      </c>
      <c r="G535" s="21"/>
      <c r="H535" s="18">
        <v>2019.0</v>
      </c>
      <c r="I535" s="19"/>
      <c r="J535" s="19"/>
      <c r="K535" s="19"/>
      <c r="L535" s="19"/>
      <c r="M535" s="19"/>
      <c r="N535" s="19"/>
      <c r="O535" s="14">
        <v>1.0</v>
      </c>
      <c r="P535" s="19"/>
      <c r="Q535" s="19"/>
      <c r="R535" s="19"/>
      <c r="S535" s="19"/>
      <c r="T535" s="19"/>
      <c r="U535" s="19"/>
      <c r="V535" s="19"/>
      <c r="W535" s="14"/>
      <c r="X535" s="14" t="s">
        <v>31</v>
      </c>
      <c r="Y535" s="9" t="s">
        <v>32</v>
      </c>
      <c r="Z535" s="21"/>
    </row>
    <row r="536">
      <c r="A536" s="9">
        <v>535.0</v>
      </c>
      <c r="B536" s="29" t="s">
        <v>1978</v>
      </c>
      <c r="C536" s="39" t="s">
        <v>1979</v>
      </c>
      <c r="D536" s="29" t="s">
        <v>1980</v>
      </c>
      <c r="E536" s="25" t="s">
        <v>62</v>
      </c>
      <c r="F536" s="25" t="s">
        <v>62</v>
      </c>
      <c r="G536" s="21"/>
      <c r="H536" s="18">
        <v>2019.0</v>
      </c>
      <c r="I536" s="19"/>
      <c r="J536" s="19"/>
      <c r="K536" s="19"/>
      <c r="L536" s="19"/>
      <c r="M536" s="19"/>
      <c r="N536" s="14">
        <v>1.0</v>
      </c>
      <c r="O536" s="19"/>
      <c r="P536" s="19"/>
      <c r="Q536" s="19"/>
      <c r="R536" s="19"/>
      <c r="S536" s="19"/>
      <c r="T536" s="19"/>
      <c r="U536" s="19"/>
      <c r="V536" s="19"/>
      <c r="W536" s="14"/>
      <c r="X536" s="14" t="s">
        <v>31</v>
      </c>
      <c r="Y536" s="9" t="s">
        <v>32</v>
      </c>
      <c r="Z536" s="21"/>
    </row>
    <row r="537">
      <c r="A537" s="9">
        <v>536.0</v>
      </c>
      <c r="B537" s="29" t="s">
        <v>1981</v>
      </c>
      <c r="C537" s="34" t="s">
        <v>1982</v>
      </c>
      <c r="D537" s="29" t="s">
        <v>1983</v>
      </c>
      <c r="E537" s="12" t="s">
        <v>36</v>
      </c>
      <c r="F537" s="12" t="s">
        <v>37</v>
      </c>
      <c r="G537" s="21"/>
      <c r="H537" s="18">
        <v>2020.0</v>
      </c>
      <c r="I537" s="19"/>
      <c r="J537" s="19"/>
      <c r="K537" s="19"/>
      <c r="L537" s="19"/>
      <c r="M537" s="19"/>
      <c r="N537" s="14">
        <v>1.0</v>
      </c>
      <c r="O537" s="19"/>
      <c r="P537" s="19"/>
      <c r="Q537" s="19"/>
      <c r="R537" s="19"/>
      <c r="S537" s="19"/>
      <c r="T537" s="19"/>
      <c r="U537" s="19"/>
      <c r="V537" s="19"/>
      <c r="W537" s="14"/>
      <c r="X537" s="14" t="s">
        <v>31</v>
      </c>
      <c r="Y537" s="9" t="s">
        <v>32</v>
      </c>
      <c r="Z537" s="21"/>
    </row>
    <row r="538">
      <c r="A538" s="9">
        <v>537.0</v>
      </c>
      <c r="B538" s="29" t="s">
        <v>1984</v>
      </c>
      <c r="C538" s="34" t="s">
        <v>1985</v>
      </c>
      <c r="D538" s="29" t="s">
        <v>1986</v>
      </c>
      <c r="E538" s="12" t="s">
        <v>29</v>
      </c>
      <c r="F538" s="12" t="s">
        <v>30</v>
      </c>
      <c r="G538" s="9" t="s">
        <v>38</v>
      </c>
      <c r="H538" s="18">
        <v>2018.0</v>
      </c>
      <c r="I538" s="14">
        <v>1.0</v>
      </c>
      <c r="J538" s="14">
        <v>1.0</v>
      </c>
      <c r="K538" s="14">
        <v>1.0</v>
      </c>
      <c r="L538" s="14">
        <v>1.0</v>
      </c>
      <c r="M538" s="14">
        <v>1.0</v>
      </c>
      <c r="N538" s="14">
        <v>0.0</v>
      </c>
      <c r="O538" s="14">
        <v>0.0</v>
      </c>
      <c r="P538" s="14">
        <v>0.0</v>
      </c>
      <c r="Q538" s="14">
        <v>0.0</v>
      </c>
      <c r="R538" s="14">
        <v>0.0</v>
      </c>
      <c r="S538" s="14">
        <v>0.0</v>
      </c>
      <c r="T538" s="14">
        <v>0.0</v>
      </c>
      <c r="U538" s="14">
        <v>0.0</v>
      </c>
      <c r="V538" s="14">
        <v>0.0</v>
      </c>
      <c r="W538" s="14" t="s">
        <v>39</v>
      </c>
      <c r="X538" s="14" t="s">
        <v>39</v>
      </c>
      <c r="Y538" s="9" t="s">
        <v>32</v>
      </c>
      <c r="Z538" s="21"/>
    </row>
    <row r="539">
      <c r="A539" s="9">
        <v>538.0</v>
      </c>
      <c r="B539" s="29" t="s">
        <v>1987</v>
      </c>
      <c r="C539" s="34" t="s">
        <v>1988</v>
      </c>
      <c r="D539" s="29" t="s">
        <v>1989</v>
      </c>
      <c r="E539" s="12" t="s">
        <v>80</v>
      </c>
      <c r="F539" s="12" t="s">
        <v>81</v>
      </c>
      <c r="G539" s="9" t="s">
        <v>58</v>
      </c>
      <c r="H539" s="18">
        <v>2018.0</v>
      </c>
      <c r="I539" s="14">
        <v>1.0</v>
      </c>
      <c r="J539" s="14">
        <v>1.0</v>
      </c>
      <c r="K539" s="14">
        <v>1.0</v>
      </c>
      <c r="L539" s="14">
        <v>1.0</v>
      </c>
      <c r="M539" s="14">
        <v>1.0</v>
      </c>
      <c r="N539" s="14">
        <v>0.0</v>
      </c>
      <c r="O539" s="14">
        <v>0.0</v>
      </c>
      <c r="P539" s="14">
        <v>0.0</v>
      </c>
      <c r="Q539" s="14">
        <v>0.0</v>
      </c>
      <c r="R539" s="14">
        <v>0.0</v>
      </c>
      <c r="S539" s="14">
        <v>0.0</v>
      </c>
      <c r="T539" s="14">
        <v>0.0</v>
      </c>
      <c r="U539" s="14">
        <v>0.0</v>
      </c>
      <c r="V539" s="14">
        <v>0.0</v>
      </c>
      <c r="W539" s="14" t="s">
        <v>39</v>
      </c>
      <c r="X539" s="14" t="s">
        <v>39</v>
      </c>
      <c r="Y539" s="9" t="s">
        <v>32</v>
      </c>
      <c r="Z539" s="21"/>
    </row>
    <row r="540">
      <c r="A540" s="9">
        <v>539.0</v>
      </c>
      <c r="B540" s="29" t="s">
        <v>1990</v>
      </c>
      <c r="C540" s="39" t="s">
        <v>1991</v>
      </c>
      <c r="D540" s="29" t="s">
        <v>1992</v>
      </c>
      <c r="E540" s="17" t="s">
        <v>1993</v>
      </c>
      <c r="F540" s="17" t="s">
        <v>1993</v>
      </c>
      <c r="G540" s="21"/>
      <c r="H540" s="18">
        <v>2018.0</v>
      </c>
      <c r="I540" s="19"/>
      <c r="J540" s="19"/>
      <c r="K540" s="19"/>
      <c r="L540" s="19"/>
      <c r="M540" s="19"/>
      <c r="N540" s="19"/>
      <c r="O540" s="19"/>
      <c r="P540" s="19"/>
      <c r="Q540" s="19"/>
      <c r="R540" s="19"/>
      <c r="S540" s="14">
        <v>1.0</v>
      </c>
      <c r="T540" s="19"/>
      <c r="U540" s="19"/>
      <c r="V540" s="19"/>
      <c r="W540" s="14"/>
      <c r="X540" s="14" t="s">
        <v>31</v>
      </c>
      <c r="Y540" s="9" t="s">
        <v>32</v>
      </c>
      <c r="Z540" s="21"/>
    </row>
    <row r="541">
      <c r="A541" s="9">
        <v>540.0</v>
      </c>
      <c r="B541" s="29" t="s">
        <v>1994</v>
      </c>
      <c r="C541" s="34" t="s">
        <v>1995</v>
      </c>
      <c r="D541" s="29" t="s">
        <v>1996</v>
      </c>
      <c r="E541" s="12" t="s">
        <v>36</v>
      </c>
      <c r="F541" s="12" t="s">
        <v>37</v>
      </c>
      <c r="G541" s="9" t="s">
        <v>58</v>
      </c>
      <c r="H541" s="18">
        <v>2018.0</v>
      </c>
      <c r="I541" s="14">
        <v>1.0</v>
      </c>
      <c r="J541" s="14">
        <v>1.0</v>
      </c>
      <c r="K541" s="14">
        <v>1.0</v>
      </c>
      <c r="L541" s="14">
        <v>1.0</v>
      </c>
      <c r="M541" s="14">
        <v>1.0</v>
      </c>
      <c r="N541" s="14">
        <v>0.0</v>
      </c>
      <c r="O541" s="14">
        <v>0.0</v>
      </c>
      <c r="P541" s="14">
        <v>0.0</v>
      </c>
      <c r="Q541" s="14">
        <v>0.0</v>
      </c>
      <c r="R541" s="14">
        <v>0.0</v>
      </c>
      <c r="S541" s="14">
        <v>0.0</v>
      </c>
      <c r="T541" s="14">
        <v>0.0</v>
      </c>
      <c r="U541" s="14">
        <v>0.0</v>
      </c>
      <c r="V541" s="14">
        <v>0.0</v>
      </c>
      <c r="W541" s="14" t="s">
        <v>39</v>
      </c>
      <c r="X541" s="14" t="s">
        <v>39</v>
      </c>
      <c r="Y541" s="9" t="s">
        <v>32</v>
      </c>
      <c r="Z541" s="21"/>
    </row>
    <row r="542">
      <c r="A542" s="9">
        <v>541.0</v>
      </c>
      <c r="B542" s="29" t="s">
        <v>1997</v>
      </c>
      <c r="C542" s="34" t="s">
        <v>1998</v>
      </c>
      <c r="D542" s="29" t="s">
        <v>1999</v>
      </c>
      <c r="E542" s="12" t="s">
        <v>36</v>
      </c>
      <c r="F542" s="12" t="s">
        <v>37</v>
      </c>
      <c r="G542" s="21"/>
      <c r="H542" s="18">
        <v>2018.0</v>
      </c>
      <c r="I542" s="19"/>
      <c r="J542" s="19"/>
      <c r="K542" s="19"/>
      <c r="L542" s="19"/>
      <c r="M542" s="19"/>
      <c r="N542" s="19"/>
      <c r="O542" s="19"/>
      <c r="P542" s="19"/>
      <c r="Q542" s="19"/>
      <c r="R542" s="19"/>
      <c r="S542" s="19"/>
      <c r="T542" s="14">
        <v>1.0</v>
      </c>
      <c r="U542" s="19"/>
      <c r="V542" s="19"/>
      <c r="W542" s="14"/>
      <c r="X542" s="14" t="s">
        <v>31</v>
      </c>
      <c r="Y542" s="9" t="s">
        <v>32</v>
      </c>
      <c r="Z542" s="21"/>
    </row>
    <row r="543">
      <c r="A543" s="9">
        <v>542.0</v>
      </c>
      <c r="B543" s="29" t="s">
        <v>2000</v>
      </c>
      <c r="C543" s="34" t="s">
        <v>2001</v>
      </c>
      <c r="D543" s="29" t="s">
        <v>2002</v>
      </c>
      <c r="E543" s="25" t="s">
        <v>62</v>
      </c>
      <c r="F543" s="25" t="s">
        <v>62</v>
      </c>
      <c r="G543" s="9" t="s">
        <v>38</v>
      </c>
      <c r="H543" s="18">
        <v>2018.0</v>
      </c>
      <c r="I543" s="14">
        <v>1.0</v>
      </c>
      <c r="J543" s="14">
        <v>1.0</v>
      </c>
      <c r="K543" s="14">
        <v>1.0</v>
      </c>
      <c r="L543" s="14">
        <v>1.0</v>
      </c>
      <c r="M543" s="14">
        <v>1.0</v>
      </c>
      <c r="N543" s="14">
        <v>0.0</v>
      </c>
      <c r="O543" s="14">
        <v>0.0</v>
      </c>
      <c r="P543" s="14">
        <v>0.0</v>
      </c>
      <c r="Q543" s="14">
        <v>0.0</v>
      </c>
      <c r="R543" s="14">
        <v>0.0</v>
      </c>
      <c r="S543" s="14">
        <v>0.0</v>
      </c>
      <c r="T543" s="14">
        <v>0.0</v>
      </c>
      <c r="U543" s="14">
        <v>0.0</v>
      </c>
      <c r="V543" s="14">
        <v>0.0</v>
      </c>
      <c r="W543" s="14" t="s">
        <v>39</v>
      </c>
      <c r="X543" s="14" t="s">
        <v>39</v>
      </c>
      <c r="Y543" s="9" t="s">
        <v>32</v>
      </c>
      <c r="Z543" s="21"/>
    </row>
    <row r="544">
      <c r="A544" s="9">
        <v>543.0</v>
      </c>
      <c r="B544" s="29" t="s">
        <v>2003</v>
      </c>
      <c r="C544" s="39" t="s">
        <v>2004</v>
      </c>
      <c r="D544" s="29" t="s">
        <v>2005</v>
      </c>
      <c r="E544" s="17" t="s">
        <v>896</v>
      </c>
      <c r="F544" s="17" t="s">
        <v>896</v>
      </c>
      <c r="G544" s="21"/>
      <c r="H544" s="18">
        <v>2018.0</v>
      </c>
      <c r="I544" s="19"/>
      <c r="J544" s="19"/>
      <c r="K544" s="19"/>
      <c r="L544" s="19"/>
      <c r="M544" s="19"/>
      <c r="N544" s="19"/>
      <c r="O544" s="19"/>
      <c r="P544" s="14">
        <v>1.0</v>
      </c>
      <c r="Q544" s="19"/>
      <c r="R544" s="19"/>
      <c r="S544" s="19"/>
      <c r="T544" s="19"/>
      <c r="U544" s="19"/>
      <c r="V544" s="19"/>
      <c r="W544" s="14"/>
      <c r="X544" s="14" t="s">
        <v>31</v>
      </c>
      <c r="Y544" s="9" t="s">
        <v>32</v>
      </c>
      <c r="Z544" s="9" t="s">
        <v>2006</v>
      </c>
    </row>
    <row r="545">
      <c r="A545" s="9">
        <v>544.0</v>
      </c>
      <c r="B545" s="29" t="s">
        <v>2007</v>
      </c>
      <c r="C545" s="39" t="s">
        <v>2008</v>
      </c>
      <c r="D545" s="29" t="s">
        <v>2009</v>
      </c>
      <c r="E545" s="17" t="s">
        <v>1759</v>
      </c>
      <c r="F545" s="17" t="s">
        <v>1759</v>
      </c>
      <c r="G545" s="21"/>
      <c r="H545" s="18">
        <v>2018.0</v>
      </c>
      <c r="I545" s="19"/>
      <c r="J545" s="19"/>
      <c r="K545" s="19"/>
      <c r="L545" s="19"/>
      <c r="M545" s="19"/>
      <c r="N545" s="14">
        <v>1.0</v>
      </c>
      <c r="O545" s="14">
        <v>1.0</v>
      </c>
      <c r="P545" s="14">
        <v>1.0</v>
      </c>
      <c r="Q545" s="19"/>
      <c r="R545" s="19"/>
      <c r="S545" s="19"/>
      <c r="T545" s="19"/>
      <c r="U545" s="19"/>
      <c r="V545" s="14"/>
      <c r="W545" s="14" t="s">
        <v>31</v>
      </c>
      <c r="X545" s="14" t="s">
        <v>39</v>
      </c>
      <c r="Y545" s="9" t="s">
        <v>32</v>
      </c>
      <c r="Z545" s="24"/>
    </row>
    <row r="546">
      <c r="A546" s="9">
        <v>545.0</v>
      </c>
      <c r="B546" s="29" t="s">
        <v>2010</v>
      </c>
      <c r="C546" s="34" t="s">
        <v>2011</v>
      </c>
      <c r="D546" s="29" t="s">
        <v>2012</v>
      </c>
      <c r="E546" s="12" t="s">
        <v>36</v>
      </c>
      <c r="F546" s="12" t="s">
        <v>37</v>
      </c>
      <c r="G546" s="21"/>
      <c r="H546" s="18">
        <v>2018.0</v>
      </c>
      <c r="I546" s="19"/>
      <c r="J546" s="19"/>
      <c r="K546" s="19"/>
      <c r="L546" s="19"/>
      <c r="M546" s="19"/>
      <c r="N546" s="14">
        <v>1.0</v>
      </c>
      <c r="O546" s="19"/>
      <c r="P546" s="19"/>
      <c r="Q546" s="19"/>
      <c r="R546" s="19"/>
      <c r="S546" s="19"/>
      <c r="T546" s="19"/>
      <c r="U546" s="19"/>
      <c r="V546" s="19"/>
      <c r="W546" s="14"/>
      <c r="X546" s="14" t="s">
        <v>31</v>
      </c>
      <c r="Y546" s="9" t="s">
        <v>32</v>
      </c>
      <c r="Z546" s="9" t="s">
        <v>2013</v>
      </c>
    </row>
    <row r="547">
      <c r="A547" s="9">
        <v>546.0</v>
      </c>
      <c r="B547" s="29" t="s">
        <v>2014</v>
      </c>
      <c r="C547" s="34" t="s">
        <v>2015</v>
      </c>
      <c r="D547" s="15" t="s">
        <v>2016</v>
      </c>
      <c r="E547" s="12" t="s">
        <v>36</v>
      </c>
      <c r="F547" s="12" t="s">
        <v>37</v>
      </c>
      <c r="G547" s="9" t="s">
        <v>38</v>
      </c>
      <c r="H547" s="18">
        <v>2020.0</v>
      </c>
      <c r="I547" s="14">
        <v>1.0</v>
      </c>
      <c r="J547" s="14">
        <v>1.0</v>
      </c>
      <c r="K547" s="14">
        <v>1.0</v>
      </c>
      <c r="L547" s="14">
        <v>1.0</v>
      </c>
      <c r="M547" s="14">
        <v>1.0</v>
      </c>
      <c r="N547" s="14">
        <v>0.0</v>
      </c>
      <c r="O547" s="14">
        <v>0.0</v>
      </c>
      <c r="P547" s="14">
        <v>0.0</v>
      </c>
      <c r="Q547" s="14">
        <v>0.0</v>
      </c>
      <c r="R547" s="14">
        <v>0.0</v>
      </c>
      <c r="S547" s="14">
        <v>0.0</v>
      </c>
      <c r="T547" s="14">
        <v>0.0</v>
      </c>
      <c r="U547" s="14">
        <v>0.0</v>
      </c>
      <c r="V547" s="14">
        <v>0.0</v>
      </c>
      <c r="W547" s="14" t="s">
        <v>39</v>
      </c>
      <c r="X547" s="14" t="s">
        <v>39</v>
      </c>
      <c r="Y547" s="9" t="s">
        <v>32</v>
      </c>
      <c r="Z547" s="21"/>
    </row>
    <row r="548">
      <c r="A548" s="9">
        <v>547.0</v>
      </c>
      <c r="B548" s="29" t="s">
        <v>2017</v>
      </c>
      <c r="C548" s="34" t="s">
        <v>2018</v>
      </c>
      <c r="D548" s="29" t="s">
        <v>2019</v>
      </c>
      <c r="E548" s="17" t="s">
        <v>1566</v>
      </c>
      <c r="F548" s="17" t="s">
        <v>1566</v>
      </c>
      <c r="G548" s="21"/>
      <c r="H548" s="18">
        <v>2019.0</v>
      </c>
      <c r="I548" s="14">
        <v>0.0</v>
      </c>
      <c r="J548" s="19"/>
      <c r="K548" s="19"/>
      <c r="L548" s="19"/>
      <c r="M548" s="19"/>
      <c r="N548" s="19"/>
      <c r="O548" s="19"/>
      <c r="P548" s="19"/>
      <c r="Q548" s="19"/>
      <c r="R548" s="19"/>
      <c r="S548" s="19"/>
      <c r="T548" s="19"/>
      <c r="U548" s="19"/>
      <c r="V548" s="19"/>
      <c r="W548" s="14"/>
      <c r="X548" s="14" t="s">
        <v>31</v>
      </c>
      <c r="Y548" s="9" t="s">
        <v>32</v>
      </c>
      <c r="Z548" s="9" t="s">
        <v>93</v>
      </c>
    </row>
    <row r="549">
      <c r="A549" s="9">
        <v>548.0</v>
      </c>
      <c r="B549" s="29" t="s">
        <v>2020</v>
      </c>
      <c r="C549" s="34" t="s">
        <v>2021</v>
      </c>
      <c r="D549" s="29" t="s">
        <v>1533</v>
      </c>
      <c r="E549" s="25" t="s">
        <v>128</v>
      </c>
      <c r="F549" s="25" t="s">
        <v>128</v>
      </c>
      <c r="G549" s="9" t="s">
        <v>38</v>
      </c>
      <c r="H549" s="18">
        <v>2020.0</v>
      </c>
      <c r="I549" s="14">
        <v>1.0</v>
      </c>
      <c r="J549" s="14">
        <v>1.0</v>
      </c>
      <c r="K549" s="14">
        <v>1.0</v>
      </c>
      <c r="L549" s="14">
        <v>1.0</v>
      </c>
      <c r="M549" s="14">
        <v>1.0</v>
      </c>
      <c r="N549" s="14">
        <v>0.0</v>
      </c>
      <c r="O549" s="14">
        <v>0.0</v>
      </c>
      <c r="P549" s="14">
        <v>0.0</v>
      </c>
      <c r="Q549" s="14">
        <v>0.0</v>
      </c>
      <c r="R549" s="14">
        <v>0.0</v>
      </c>
      <c r="S549" s="14">
        <v>0.0</v>
      </c>
      <c r="T549" s="14">
        <v>0.0</v>
      </c>
      <c r="U549" s="14">
        <v>0.0</v>
      </c>
      <c r="V549" s="14">
        <v>0.0</v>
      </c>
      <c r="W549" s="14" t="s">
        <v>39</v>
      </c>
      <c r="X549" s="14" t="s">
        <v>39</v>
      </c>
      <c r="Y549" s="9" t="s">
        <v>32</v>
      </c>
      <c r="Z549" s="21"/>
    </row>
    <row r="550">
      <c r="A550" s="9">
        <v>549.0</v>
      </c>
      <c r="B550" s="29" t="s">
        <v>2022</v>
      </c>
      <c r="C550" s="34" t="s">
        <v>2023</v>
      </c>
      <c r="D550" s="29" t="s">
        <v>2024</v>
      </c>
      <c r="E550" s="25" t="s">
        <v>62</v>
      </c>
      <c r="F550" s="25" t="s">
        <v>62</v>
      </c>
      <c r="G550" s="9" t="s">
        <v>38</v>
      </c>
      <c r="H550" s="18">
        <v>2020.0</v>
      </c>
      <c r="I550" s="14">
        <v>1.0</v>
      </c>
      <c r="J550" s="14">
        <v>1.0</v>
      </c>
      <c r="K550" s="14">
        <v>1.0</v>
      </c>
      <c r="L550" s="14">
        <v>1.0</v>
      </c>
      <c r="M550" s="14">
        <v>1.0</v>
      </c>
      <c r="N550" s="14">
        <v>0.0</v>
      </c>
      <c r="O550" s="14">
        <v>0.0</v>
      </c>
      <c r="P550" s="14">
        <v>0.0</v>
      </c>
      <c r="Q550" s="14">
        <v>0.0</v>
      </c>
      <c r="R550" s="14">
        <v>0.0</v>
      </c>
      <c r="S550" s="14">
        <v>0.0</v>
      </c>
      <c r="T550" s="14">
        <v>0.0</v>
      </c>
      <c r="U550" s="14">
        <v>0.0</v>
      </c>
      <c r="V550" s="14">
        <v>0.0</v>
      </c>
      <c r="W550" s="14" t="s">
        <v>39</v>
      </c>
      <c r="X550" s="14" t="s">
        <v>39</v>
      </c>
      <c r="Y550" s="9" t="s">
        <v>32</v>
      </c>
      <c r="Z550" s="21"/>
    </row>
    <row r="551">
      <c r="A551" s="9">
        <v>550.0</v>
      </c>
      <c r="B551" s="29" t="s">
        <v>2025</v>
      </c>
      <c r="C551" s="34" t="s">
        <v>2026</v>
      </c>
      <c r="D551" s="15" t="s">
        <v>2027</v>
      </c>
      <c r="E551" s="12" t="s">
        <v>36</v>
      </c>
      <c r="F551" s="12" t="s">
        <v>37</v>
      </c>
      <c r="G551" s="9" t="s">
        <v>38</v>
      </c>
      <c r="H551" s="18">
        <v>2020.0</v>
      </c>
      <c r="I551" s="14">
        <v>1.0</v>
      </c>
      <c r="J551" s="14">
        <v>1.0</v>
      </c>
      <c r="K551" s="14">
        <v>1.0</v>
      </c>
      <c r="L551" s="14">
        <v>1.0</v>
      </c>
      <c r="M551" s="14">
        <v>1.0</v>
      </c>
      <c r="N551" s="14">
        <v>0.0</v>
      </c>
      <c r="O551" s="14">
        <v>0.0</v>
      </c>
      <c r="P551" s="14">
        <v>0.0</v>
      </c>
      <c r="Q551" s="14">
        <v>0.0</v>
      </c>
      <c r="R551" s="14">
        <v>0.0</v>
      </c>
      <c r="S551" s="14">
        <v>0.0</v>
      </c>
      <c r="T551" s="14">
        <v>0.0</v>
      </c>
      <c r="U551" s="14">
        <v>0.0</v>
      </c>
      <c r="V551" s="14">
        <v>0.0</v>
      </c>
      <c r="W551" s="14" t="s">
        <v>39</v>
      </c>
      <c r="X551" s="14" t="s">
        <v>39</v>
      </c>
      <c r="Y551" s="9" t="s">
        <v>32</v>
      </c>
      <c r="Z551" s="21"/>
    </row>
    <row r="552">
      <c r="A552" s="9">
        <v>551.0</v>
      </c>
      <c r="B552" s="29" t="s">
        <v>2028</v>
      </c>
      <c r="C552" s="34" t="s">
        <v>2029</v>
      </c>
      <c r="D552" s="29" t="s">
        <v>2030</v>
      </c>
      <c r="E552" s="12" t="s">
        <v>29</v>
      </c>
      <c r="F552" s="12" t="s">
        <v>30</v>
      </c>
      <c r="G552" s="9" t="s">
        <v>38</v>
      </c>
      <c r="H552" s="18">
        <v>2018.0</v>
      </c>
      <c r="I552" s="14">
        <v>1.0</v>
      </c>
      <c r="J552" s="14">
        <v>1.0</v>
      </c>
      <c r="K552" s="14">
        <v>1.0</v>
      </c>
      <c r="L552" s="14">
        <v>1.0</v>
      </c>
      <c r="M552" s="14">
        <v>1.0</v>
      </c>
      <c r="N552" s="14">
        <v>0.0</v>
      </c>
      <c r="O552" s="14">
        <v>0.0</v>
      </c>
      <c r="P552" s="14">
        <v>0.0</v>
      </c>
      <c r="Q552" s="14">
        <v>0.0</v>
      </c>
      <c r="R552" s="14">
        <v>0.0</v>
      </c>
      <c r="S552" s="14">
        <v>0.0</v>
      </c>
      <c r="T552" s="14">
        <v>0.0</v>
      </c>
      <c r="U552" s="14">
        <v>0.0</v>
      </c>
      <c r="V552" s="14">
        <v>0.0</v>
      </c>
      <c r="W552" s="14" t="s">
        <v>39</v>
      </c>
      <c r="X552" s="14" t="s">
        <v>39</v>
      </c>
      <c r="Y552" s="9" t="s">
        <v>32</v>
      </c>
      <c r="Z552" s="21"/>
    </row>
    <row r="553">
      <c r="A553" s="9">
        <v>552.0</v>
      </c>
      <c r="B553" s="29" t="s">
        <v>2031</v>
      </c>
      <c r="C553" s="34" t="s">
        <v>2032</v>
      </c>
      <c r="D553" s="29" t="s">
        <v>2033</v>
      </c>
      <c r="E553" s="25" t="s">
        <v>128</v>
      </c>
      <c r="F553" s="25" t="s">
        <v>128</v>
      </c>
      <c r="G553" s="21"/>
      <c r="H553" s="18">
        <v>2020.0</v>
      </c>
      <c r="I553" s="19"/>
      <c r="J553" s="19"/>
      <c r="K553" s="19"/>
      <c r="L553" s="19"/>
      <c r="M553" s="19"/>
      <c r="N553" s="19"/>
      <c r="O553" s="19"/>
      <c r="P553" s="19"/>
      <c r="Q553" s="19"/>
      <c r="R553" s="19"/>
      <c r="S553" s="19"/>
      <c r="T553" s="19"/>
      <c r="U553" s="19"/>
      <c r="V553" s="14">
        <v>1.0</v>
      </c>
      <c r="W553" s="14"/>
      <c r="X553" s="14" t="s">
        <v>31</v>
      </c>
      <c r="Y553" s="9" t="s">
        <v>32</v>
      </c>
      <c r="Z553" s="9" t="s">
        <v>2034</v>
      </c>
    </row>
    <row r="554">
      <c r="A554" s="9">
        <v>553.0</v>
      </c>
      <c r="B554" s="29" t="s">
        <v>2035</v>
      </c>
      <c r="C554" s="34" t="s">
        <v>2036</v>
      </c>
      <c r="D554" s="29" t="s">
        <v>2037</v>
      </c>
      <c r="E554" s="12" t="s">
        <v>29</v>
      </c>
      <c r="F554" s="12" t="s">
        <v>30</v>
      </c>
      <c r="G554" s="21"/>
      <c r="H554" s="18">
        <v>2020.0</v>
      </c>
      <c r="I554" s="19"/>
      <c r="J554" s="19"/>
      <c r="K554" s="19"/>
      <c r="L554" s="19"/>
      <c r="M554" s="19"/>
      <c r="N554" s="14">
        <v>1.0</v>
      </c>
      <c r="O554" s="14">
        <v>1.0</v>
      </c>
      <c r="P554" s="19"/>
      <c r="Q554" s="19"/>
      <c r="R554" s="19"/>
      <c r="S554" s="19"/>
      <c r="T554" s="19"/>
      <c r="U554" s="19"/>
      <c r="V554" s="19"/>
      <c r="W554" s="14"/>
      <c r="X554" s="14" t="s">
        <v>31</v>
      </c>
      <c r="Y554" s="9" t="s">
        <v>32</v>
      </c>
      <c r="Z554" s="21"/>
    </row>
    <row r="555">
      <c r="A555" s="9">
        <v>554.0</v>
      </c>
      <c r="B555" s="29" t="s">
        <v>2038</v>
      </c>
      <c r="C555" s="34" t="s">
        <v>2039</v>
      </c>
      <c r="D555" s="29" t="s">
        <v>2040</v>
      </c>
      <c r="E555" s="12" t="s">
        <v>36</v>
      </c>
      <c r="F555" s="12" t="s">
        <v>37</v>
      </c>
      <c r="G555" s="9" t="s">
        <v>58</v>
      </c>
      <c r="H555" s="18">
        <v>2018.0</v>
      </c>
      <c r="I555" s="14">
        <v>1.0</v>
      </c>
      <c r="J555" s="14">
        <v>1.0</v>
      </c>
      <c r="K555" s="14">
        <v>1.0</v>
      </c>
      <c r="L555" s="14">
        <v>1.0</v>
      </c>
      <c r="M555" s="14">
        <v>1.0</v>
      </c>
      <c r="N555" s="14">
        <v>0.0</v>
      </c>
      <c r="O555" s="14">
        <v>0.0</v>
      </c>
      <c r="P555" s="14">
        <v>0.0</v>
      </c>
      <c r="Q555" s="14">
        <v>0.0</v>
      </c>
      <c r="R555" s="14">
        <v>0.0</v>
      </c>
      <c r="S555" s="14">
        <v>0.0</v>
      </c>
      <c r="T555" s="14">
        <v>0.0</v>
      </c>
      <c r="U555" s="14">
        <v>0.0</v>
      </c>
      <c r="V555" s="14">
        <v>1.0</v>
      </c>
      <c r="W555" s="14"/>
      <c r="X555" s="14" t="s">
        <v>39</v>
      </c>
      <c r="Y555" s="9" t="s">
        <v>32</v>
      </c>
      <c r="Z555" s="24" t="s">
        <v>383</v>
      </c>
    </row>
    <row r="556">
      <c r="A556" s="9">
        <v>555.0</v>
      </c>
      <c r="B556" s="29" t="s">
        <v>2041</v>
      </c>
      <c r="C556" s="39" t="s">
        <v>2042</v>
      </c>
      <c r="D556" s="29" t="s">
        <v>2043</v>
      </c>
      <c r="E556" s="17" t="s">
        <v>49</v>
      </c>
      <c r="F556" s="17" t="s">
        <v>49</v>
      </c>
      <c r="G556" s="21"/>
      <c r="H556" s="18">
        <v>2020.0</v>
      </c>
      <c r="I556" s="19"/>
      <c r="J556" s="19"/>
      <c r="K556" s="19"/>
      <c r="L556" s="19"/>
      <c r="M556" s="19"/>
      <c r="N556" s="19"/>
      <c r="O556" s="19"/>
      <c r="P556" s="19"/>
      <c r="Q556" s="19"/>
      <c r="R556" s="19"/>
      <c r="S556" s="19"/>
      <c r="T556" s="14">
        <v>1.0</v>
      </c>
      <c r="U556" s="19"/>
      <c r="V556" s="14"/>
      <c r="W556" s="14"/>
      <c r="X556" s="14" t="s">
        <v>31</v>
      </c>
      <c r="Y556" s="9" t="s">
        <v>32</v>
      </c>
      <c r="Z556" s="9" t="s">
        <v>50</v>
      </c>
    </row>
    <row r="557">
      <c r="A557" s="9">
        <v>556.0</v>
      </c>
      <c r="B557" s="29" t="s">
        <v>2044</v>
      </c>
      <c r="C557" s="34" t="s">
        <v>2045</v>
      </c>
      <c r="D557" s="15" t="s">
        <v>2046</v>
      </c>
      <c r="E557" s="12" t="s">
        <v>80</v>
      </c>
      <c r="F557" s="12" t="s">
        <v>81</v>
      </c>
      <c r="G557" s="9" t="s">
        <v>58</v>
      </c>
      <c r="H557" s="18">
        <v>2018.0</v>
      </c>
      <c r="I557" s="14">
        <v>1.0</v>
      </c>
      <c r="J557" s="14">
        <v>0.0</v>
      </c>
      <c r="K557" s="14">
        <v>1.0</v>
      </c>
      <c r="L557" s="14">
        <v>1.0</v>
      </c>
      <c r="M557" s="14">
        <v>1.0</v>
      </c>
      <c r="N557" s="14">
        <v>1.0</v>
      </c>
      <c r="O557" s="14">
        <v>0.0</v>
      </c>
      <c r="P557" s="14">
        <v>0.0</v>
      </c>
      <c r="Q557" s="14">
        <v>0.0</v>
      </c>
      <c r="R557" s="14">
        <v>0.0</v>
      </c>
      <c r="S557" s="14">
        <v>0.0</v>
      </c>
      <c r="T557" s="14">
        <v>0.0</v>
      </c>
      <c r="U557" s="14">
        <v>0.0</v>
      </c>
      <c r="V557" s="14">
        <v>0.0</v>
      </c>
      <c r="W557" s="14" t="s">
        <v>31</v>
      </c>
      <c r="X557" s="14" t="s">
        <v>39</v>
      </c>
      <c r="Y557" s="9" t="s">
        <v>32</v>
      </c>
      <c r="Z557" s="9" t="s">
        <v>2047</v>
      </c>
    </row>
    <row r="558">
      <c r="A558" s="9">
        <v>557.0</v>
      </c>
      <c r="B558" s="29" t="s">
        <v>2048</v>
      </c>
      <c r="C558" s="34" t="s">
        <v>2049</v>
      </c>
      <c r="D558" s="29" t="s">
        <v>2050</v>
      </c>
      <c r="E558" s="12" t="s">
        <v>36</v>
      </c>
      <c r="F558" s="12" t="s">
        <v>37</v>
      </c>
      <c r="G558" s="9" t="s">
        <v>58</v>
      </c>
      <c r="H558" s="18">
        <v>2019.0</v>
      </c>
      <c r="I558" s="14">
        <v>1.0</v>
      </c>
      <c r="J558" s="14">
        <v>1.0</v>
      </c>
      <c r="K558" s="14">
        <v>1.0</v>
      </c>
      <c r="L558" s="14">
        <v>1.0</v>
      </c>
      <c r="M558" s="14">
        <v>1.0</v>
      </c>
      <c r="N558" s="14">
        <v>0.0</v>
      </c>
      <c r="O558" s="14">
        <v>0.0</v>
      </c>
      <c r="P558" s="14">
        <v>0.0</v>
      </c>
      <c r="Q558" s="14">
        <v>0.0</v>
      </c>
      <c r="R558" s="14">
        <v>0.0</v>
      </c>
      <c r="S558" s="14">
        <v>0.0</v>
      </c>
      <c r="T558" s="14">
        <v>0.0</v>
      </c>
      <c r="U558" s="14">
        <v>0.0</v>
      </c>
      <c r="V558" s="14">
        <v>0.0</v>
      </c>
      <c r="W558" s="14" t="s">
        <v>39</v>
      </c>
      <c r="X558" s="14" t="s">
        <v>39</v>
      </c>
      <c r="Y558" s="9" t="s">
        <v>32</v>
      </c>
      <c r="Z558" s="21"/>
    </row>
    <row r="559">
      <c r="A559" s="9">
        <v>558.0</v>
      </c>
      <c r="B559" s="29" t="s">
        <v>2051</v>
      </c>
      <c r="C559" s="34" t="s">
        <v>2052</v>
      </c>
      <c r="D559" s="29" t="s">
        <v>2053</v>
      </c>
      <c r="E559" s="12" t="s">
        <v>36</v>
      </c>
      <c r="F559" s="12" t="s">
        <v>37</v>
      </c>
      <c r="G559" s="21"/>
      <c r="H559" s="18">
        <v>2019.0</v>
      </c>
      <c r="I559" s="19"/>
      <c r="J559" s="19"/>
      <c r="K559" s="19"/>
      <c r="L559" s="19"/>
      <c r="M559" s="19"/>
      <c r="N559" s="19"/>
      <c r="O559" s="19"/>
      <c r="P559" s="14">
        <v>1.0</v>
      </c>
      <c r="Q559" s="19"/>
      <c r="R559" s="19"/>
      <c r="S559" s="19"/>
      <c r="T559" s="19"/>
      <c r="U559" s="19"/>
      <c r="V559" s="19"/>
      <c r="W559" s="14"/>
      <c r="X559" s="14" t="s">
        <v>31</v>
      </c>
      <c r="Y559" s="9" t="s">
        <v>32</v>
      </c>
      <c r="Z559" s="9" t="s">
        <v>2054</v>
      </c>
    </row>
    <row r="560">
      <c r="A560" s="9">
        <v>559.0</v>
      </c>
      <c r="B560" s="29" t="s">
        <v>2055</v>
      </c>
      <c r="C560" s="34" t="s">
        <v>2056</v>
      </c>
      <c r="D560" s="29" t="s">
        <v>2057</v>
      </c>
      <c r="E560" s="12" t="s">
        <v>36</v>
      </c>
      <c r="F560" s="12" t="s">
        <v>37</v>
      </c>
      <c r="G560" s="21"/>
      <c r="H560" s="18">
        <v>2020.0</v>
      </c>
      <c r="I560" s="19"/>
      <c r="J560" s="19"/>
      <c r="K560" s="19"/>
      <c r="L560" s="19"/>
      <c r="M560" s="19"/>
      <c r="N560" s="14">
        <v>1.0</v>
      </c>
      <c r="O560" s="14">
        <v>1.0</v>
      </c>
      <c r="P560" s="19"/>
      <c r="Q560" s="19"/>
      <c r="R560" s="19"/>
      <c r="S560" s="19"/>
      <c r="T560" s="19"/>
      <c r="U560" s="19"/>
      <c r="V560" s="19"/>
      <c r="W560" s="14"/>
      <c r="X560" s="14" t="s">
        <v>31</v>
      </c>
      <c r="Y560" s="9" t="s">
        <v>32</v>
      </c>
      <c r="Z560" s="21"/>
    </row>
    <row r="561">
      <c r="A561" s="9">
        <v>560.0</v>
      </c>
      <c r="B561" s="29" t="s">
        <v>2058</v>
      </c>
      <c r="C561" s="34" t="s">
        <v>2059</v>
      </c>
      <c r="D561" s="29" t="s">
        <v>2060</v>
      </c>
      <c r="E561" s="25" t="s">
        <v>128</v>
      </c>
      <c r="F561" s="25" t="s">
        <v>128</v>
      </c>
      <c r="G561" s="21"/>
      <c r="H561" s="18">
        <v>2018.0</v>
      </c>
      <c r="I561" s="19"/>
      <c r="J561" s="19"/>
      <c r="K561" s="19"/>
      <c r="L561" s="19"/>
      <c r="M561" s="19"/>
      <c r="N561" s="19"/>
      <c r="O561" s="19"/>
      <c r="P561" s="14">
        <v>1.0</v>
      </c>
      <c r="Q561" s="19"/>
      <c r="R561" s="19"/>
      <c r="S561" s="19"/>
      <c r="T561" s="19"/>
      <c r="U561" s="19"/>
      <c r="V561" s="19"/>
      <c r="W561" s="14"/>
      <c r="X561" s="14" t="s">
        <v>31</v>
      </c>
      <c r="Y561" s="9" t="s">
        <v>32</v>
      </c>
      <c r="Z561" s="21"/>
    </row>
    <row r="562">
      <c r="A562" s="9">
        <v>561.0</v>
      </c>
      <c r="B562" s="29" t="s">
        <v>2061</v>
      </c>
      <c r="C562" s="39" t="s">
        <v>2062</v>
      </c>
      <c r="D562" s="29" t="s">
        <v>2063</v>
      </c>
      <c r="E562" s="28" t="s">
        <v>2064</v>
      </c>
      <c r="F562" s="28" t="s">
        <v>2065</v>
      </c>
      <c r="G562" s="9" t="s">
        <v>38</v>
      </c>
      <c r="H562" s="18">
        <v>2019.0</v>
      </c>
      <c r="I562" s="14">
        <v>1.0</v>
      </c>
      <c r="J562" s="14">
        <v>1.0</v>
      </c>
      <c r="K562" s="14">
        <v>1.0</v>
      </c>
      <c r="L562" s="14">
        <v>1.0</v>
      </c>
      <c r="M562" s="14">
        <v>1.0</v>
      </c>
      <c r="N562" s="14">
        <v>0.0</v>
      </c>
      <c r="O562" s="14">
        <v>0.0</v>
      </c>
      <c r="P562" s="14">
        <v>0.0</v>
      </c>
      <c r="Q562" s="14">
        <v>0.0</v>
      </c>
      <c r="R562" s="14">
        <v>0.0</v>
      </c>
      <c r="S562" s="14">
        <v>0.0</v>
      </c>
      <c r="T562" s="14">
        <v>0.0</v>
      </c>
      <c r="U562" s="14">
        <v>0.0</v>
      </c>
      <c r="V562" s="14">
        <v>0.0</v>
      </c>
      <c r="W562" s="14" t="s">
        <v>39</v>
      </c>
      <c r="X562" s="14" t="s">
        <v>39</v>
      </c>
      <c r="Y562" s="9" t="s">
        <v>32</v>
      </c>
      <c r="Z562" s="21"/>
    </row>
    <row r="563">
      <c r="A563" s="9">
        <v>562.0</v>
      </c>
      <c r="B563" s="29" t="s">
        <v>2066</v>
      </c>
      <c r="C563" s="34" t="s">
        <v>2067</v>
      </c>
      <c r="D563" s="29" t="s">
        <v>2068</v>
      </c>
      <c r="E563" s="12" t="s">
        <v>29</v>
      </c>
      <c r="F563" s="12" t="s">
        <v>30</v>
      </c>
      <c r="G563" s="21"/>
      <c r="H563" s="18">
        <v>2019.0</v>
      </c>
      <c r="I563" s="19"/>
      <c r="J563" s="19"/>
      <c r="K563" s="19"/>
      <c r="L563" s="19"/>
      <c r="M563" s="19"/>
      <c r="N563" s="19"/>
      <c r="O563" s="14">
        <v>1.0</v>
      </c>
      <c r="P563" s="19"/>
      <c r="Q563" s="19"/>
      <c r="R563" s="19"/>
      <c r="S563" s="19"/>
      <c r="T563" s="19"/>
      <c r="U563" s="19"/>
      <c r="V563" s="19"/>
      <c r="W563" s="14"/>
      <c r="X563" s="14" t="s">
        <v>31</v>
      </c>
      <c r="Y563" s="9" t="s">
        <v>32</v>
      </c>
      <c r="Z563" s="21"/>
    </row>
    <row r="564">
      <c r="A564" s="9">
        <v>563.0</v>
      </c>
      <c r="B564" s="29" t="s">
        <v>2069</v>
      </c>
      <c r="C564" s="39" t="s">
        <v>2070</v>
      </c>
      <c r="D564" s="29" t="s">
        <v>2071</v>
      </c>
      <c r="E564" s="17" t="s">
        <v>2072</v>
      </c>
      <c r="F564" s="17" t="s">
        <v>2072</v>
      </c>
      <c r="G564" s="21"/>
      <c r="H564" s="18">
        <v>2019.0</v>
      </c>
      <c r="I564" s="14">
        <v>0.0</v>
      </c>
      <c r="J564" s="19"/>
      <c r="K564" s="19"/>
      <c r="L564" s="19"/>
      <c r="M564" s="19"/>
      <c r="N564" s="19"/>
      <c r="O564" s="14"/>
      <c r="P564" s="19"/>
      <c r="Q564" s="19"/>
      <c r="R564" s="19"/>
      <c r="S564" s="19"/>
      <c r="T564" s="19"/>
      <c r="U564" s="19"/>
      <c r="V564" s="19"/>
      <c r="W564" s="14"/>
      <c r="X564" s="14" t="s">
        <v>31</v>
      </c>
      <c r="Y564" s="9" t="s">
        <v>32</v>
      </c>
      <c r="Z564" s="9" t="s">
        <v>2073</v>
      </c>
    </row>
    <row r="565">
      <c r="A565" s="9">
        <v>564.0</v>
      </c>
      <c r="B565" s="29" t="s">
        <v>2074</v>
      </c>
      <c r="C565" s="34" t="s">
        <v>2075</v>
      </c>
      <c r="D565" s="29" t="s">
        <v>1624</v>
      </c>
      <c r="E565" s="12" t="s">
        <v>36</v>
      </c>
      <c r="F565" s="12" t="s">
        <v>37</v>
      </c>
      <c r="G565" s="21"/>
      <c r="H565" s="18">
        <v>2020.0</v>
      </c>
      <c r="I565" s="19"/>
      <c r="J565" s="19"/>
      <c r="K565" s="19"/>
      <c r="L565" s="19"/>
      <c r="M565" s="19"/>
      <c r="N565" s="19"/>
      <c r="O565" s="14"/>
      <c r="P565" s="14">
        <v>1.0</v>
      </c>
      <c r="Q565" s="19"/>
      <c r="R565" s="19"/>
      <c r="S565" s="19"/>
      <c r="T565" s="19"/>
      <c r="U565" s="19"/>
      <c r="V565" s="19"/>
      <c r="W565" s="14"/>
      <c r="X565" s="14" t="s">
        <v>31</v>
      </c>
      <c r="Y565" s="9" t="s">
        <v>32</v>
      </c>
      <c r="Z565" s="21"/>
    </row>
    <row r="566">
      <c r="A566" s="9">
        <v>565.0</v>
      </c>
      <c r="B566" s="29" t="s">
        <v>2076</v>
      </c>
      <c r="C566" s="34" t="s">
        <v>2077</v>
      </c>
      <c r="D566" s="29" t="s">
        <v>2078</v>
      </c>
      <c r="E566" s="17" t="s">
        <v>947</v>
      </c>
      <c r="F566" s="17" t="s">
        <v>947</v>
      </c>
      <c r="G566" s="21"/>
      <c r="H566" s="18">
        <v>2019.0</v>
      </c>
      <c r="I566" s="19"/>
      <c r="J566" s="19"/>
      <c r="K566" s="19"/>
      <c r="L566" s="19"/>
      <c r="M566" s="19"/>
      <c r="N566" s="19"/>
      <c r="O566" s="19"/>
      <c r="P566" s="19"/>
      <c r="Q566" s="19"/>
      <c r="R566" s="14"/>
      <c r="S566" s="19"/>
      <c r="T566" s="14">
        <v>1.0</v>
      </c>
      <c r="U566" s="19"/>
      <c r="V566" s="19"/>
      <c r="W566" s="14"/>
      <c r="X566" s="14" t="s">
        <v>31</v>
      </c>
      <c r="Y566" s="9" t="s">
        <v>32</v>
      </c>
      <c r="Z566" s="9" t="s">
        <v>1271</v>
      </c>
    </row>
    <row r="567">
      <c r="A567" s="9">
        <v>566.0</v>
      </c>
      <c r="B567" s="29" t="s">
        <v>2079</v>
      </c>
      <c r="C567" s="34" t="s">
        <v>2080</v>
      </c>
      <c r="D567" s="29" t="s">
        <v>2081</v>
      </c>
      <c r="E567" s="12" t="s">
        <v>36</v>
      </c>
      <c r="F567" s="12" t="s">
        <v>37</v>
      </c>
      <c r="G567" s="21"/>
      <c r="H567" s="18">
        <v>2018.0</v>
      </c>
      <c r="I567" s="14">
        <v>0.0</v>
      </c>
      <c r="J567" s="19"/>
      <c r="K567" s="19"/>
      <c r="L567" s="19"/>
      <c r="M567" s="19"/>
      <c r="N567" s="19"/>
      <c r="O567" s="19"/>
      <c r="P567" s="19"/>
      <c r="Q567" s="19"/>
      <c r="R567" s="19"/>
      <c r="S567" s="19"/>
      <c r="T567" s="19"/>
      <c r="U567" s="19"/>
      <c r="V567" s="19"/>
      <c r="W567" s="14"/>
      <c r="X567" s="14" t="s">
        <v>31</v>
      </c>
      <c r="Y567" s="9" t="s">
        <v>32</v>
      </c>
      <c r="Z567" s="9" t="s">
        <v>93</v>
      </c>
    </row>
    <row r="568">
      <c r="A568" s="9">
        <v>567.0</v>
      </c>
      <c r="B568" s="29" t="s">
        <v>2082</v>
      </c>
      <c r="C568" s="34" t="s">
        <v>2083</v>
      </c>
      <c r="D568" s="29" t="s">
        <v>2084</v>
      </c>
      <c r="E568" s="25" t="s">
        <v>62</v>
      </c>
      <c r="F568" s="25" t="s">
        <v>62</v>
      </c>
      <c r="G568" s="9" t="s">
        <v>38</v>
      </c>
      <c r="H568" s="18">
        <v>2018.0</v>
      </c>
      <c r="I568" s="14">
        <v>1.0</v>
      </c>
      <c r="J568" s="14">
        <v>1.0</v>
      </c>
      <c r="K568" s="14">
        <v>1.0</v>
      </c>
      <c r="L568" s="14">
        <v>1.0</v>
      </c>
      <c r="M568" s="14">
        <v>1.0</v>
      </c>
      <c r="N568" s="14">
        <v>0.0</v>
      </c>
      <c r="O568" s="14">
        <v>0.0</v>
      </c>
      <c r="P568" s="14">
        <v>0.0</v>
      </c>
      <c r="Q568" s="14">
        <v>0.0</v>
      </c>
      <c r="R568" s="14">
        <v>0.0</v>
      </c>
      <c r="S568" s="14">
        <v>0.0</v>
      </c>
      <c r="T568" s="14">
        <v>0.0</v>
      </c>
      <c r="U568" s="14">
        <v>0.0</v>
      </c>
      <c r="V568" s="14">
        <v>0.0</v>
      </c>
      <c r="W568" s="14" t="s">
        <v>39</v>
      </c>
      <c r="X568" s="14" t="s">
        <v>39</v>
      </c>
      <c r="Y568" s="9" t="s">
        <v>32</v>
      </c>
      <c r="Z568" s="21"/>
    </row>
    <row r="569">
      <c r="A569" s="9">
        <v>568.0</v>
      </c>
      <c r="B569" s="29" t="s">
        <v>2085</v>
      </c>
      <c r="C569" s="34" t="s">
        <v>2086</v>
      </c>
      <c r="D569" s="29" t="s">
        <v>2087</v>
      </c>
      <c r="E569" s="17" t="s">
        <v>882</v>
      </c>
      <c r="F569" s="17" t="s">
        <v>882</v>
      </c>
      <c r="G569" s="21"/>
      <c r="H569" s="18">
        <v>2019.0</v>
      </c>
      <c r="I569" s="19"/>
      <c r="J569" s="19"/>
      <c r="K569" s="19"/>
      <c r="L569" s="19"/>
      <c r="M569" s="19"/>
      <c r="N569" s="19"/>
      <c r="O569" s="14">
        <v>1.0</v>
      </c>
      <c r="P569" s="19"/>
      <c r="Q569" s="19"/>
      <c r="R569" s="14"/>
      <c r="S569" s="19"/>
      <c r="T569" s="14">
        <v>1.0</v>
      </c>
      <c r="U569" s="19"/>
      <c r="V569" s="19"/>
      <c r="W569" s="14"/>
      <c r="X569" s="14" t="s">
        <v>31</v>
      </c>
      <c r="Y569" s="9" t="s">
        <v>32</v>
      </c>
      <c r="Z569" s="9" t="s">
        <v>1271</v>
      </c>
    </row>
    <row r="570">
      <c r="A570" s="9">
        <v>569.0</v>
      </c>
      <c r="B570" s="29" t="s">
        <v>2088</v>
      </c>
      <c r="C570" s="34" t="s">
        <v>2089</v>
      </c>
      <c r="D570" s="29" t="s">
        <v>1865</v>
      </c>
      <c r="E570" s="12" t="s">
        <v>36</v>
      </c>
      <c r="F570" s="12" t="s">
        <v>37</v>
      </c>
      <c r="G570" s="21"/>
      <c r="H570" s="18">
        <v>2018.0</v>
      </c>
      <c r="I570" s="19"/>
      <c r="J570" s="19"/>
      <c r="K570" s="19"/>
      <c r="L570" s="19"/>
      <c r="M570" s="19"/>
      <c r="N570" s="19"/>
      <c r="O570" s="19"/>
      <c r="P570" s="14">
        <v>1.0</v>
      </c>
      <c r="Q570" s="19"/>
      <c r="R570" s="19"/>
      <c r="S570" s="19"/>
      <c r="T570" s="19"/>
      <c r="U570" s="19"/>
      <c r="V570" s="19"/>
      <c r="W570" s="14"/>
      <c r="X570" s="14" t="s">
        <v>31</v>
      </c>
      <c r="Y570" s="9" t="s">
        <v>32</v>
      </c>
      <c r="Z570" s="21"/>
    </row>
    <row r="571">
      <c r="A571" s="9">
        <v>570.0</v>
      </c>
      <c r="B571" s="29" t="s">
        <v>2090</v>
      </c>
      <c r="C571" s="34" t="s">
        <v>2091</v>
      </c>
      <c r="D571" s="29" t="s">
        <v>2092</v>
      </c>
      <c r="E571" s="12" t="s">
        <v>2093</v>
      </c>
      <c r="F571" s="12" t="s">
        <v>2094</v>
      </c>
      <c r="G571" s="9" t="s">
        <v>58</v>
      </c>
      <c r="H571" s="18">
        <v>2019.0</v>
      </c>
      <c r="I571" s="14">
        <v>1.0</v>
      </c>
      <c r="J571" s="14">
        <v>1.0</v>
      </c>
      <c r="K571" s="14">
        <v>1.0</v>
      </c>
      <c r="L571" s="14">
        <v>1.0</v>
      </c>
      <c r="M571" s="14">
        <v>1.0</v>
      </c>
      <c r="N571" s="14">
        <v>0.0</v>
      </c>
      <c r="O571" s="14">
        <v>0.0</v>
      </c>
      <c r="P571" s="14">
        <v>0.0</v>
      </c>
      <c r="Q571" s="14">
        <v>0.0</v>
      </c>
      <c r="R571" s="14">
        <v>0.0</v>
      </c>
      <c r="S571" s="14">
        <v>0.0</v>
      </c>
      <c r="T571" s="14">
        <v>0.0</v>
      </c>
      <c r="U571" s="14">
        <v>0.0</v>
      </c>
      <c r="V571" s="14">
        <v>0.0</v>
      </c>
      <c r="W571" s="14" t="s">
        <v>39</v>
      </c>
      <c r="X571" s="14" t="s">
        <v>39</v>
      </c>
      <c r="Y571" s="9" t="s">
        <v>32</v>
      </c>
      <c r="Z571" s="21"/>
    </row>
    <row r="572">
      <c r="A572" s="9">
        <v>571.0</v>
      </c>
      <c r="B572" s="29" t="s">
        <v>2095</v>
      </c>
      <c r="C572" s="34" t="s">
        <v>2096</v>
      </c>
      <c r="D572" s="29" t="s">
        <v>2097</v>
      </c>
      <c r="E572" s="12" t="s">
        <v>36</v>
      </c>
      <c r="F572" s="12" t="s">
        <v>37</v>
      </c>
      <c r="G572" s="9" t="s">
        <v>58</v>
      </c>
      <c r="H572" s="18">
        <v>2018.0</v>
      </c>
      <c r="I572" s="14">
        <v>1.0</v>
      </c>
      <c r="J572" s="14">
        <v>1.0</v>
      </c>
      <c r="K572" s="14">
        <v>1.0</v>
      </c>
      <c r="L572" s="14">
        <v>1.0</v>
      </c>
      <c r="M572" s="14">
        <v>1.0</v>
      </c>
      <c r="N572" s="14">
        <v>0.0</v>
      </c>
      <c r="O572" s="14">
        <v>0.0</v>
      </c>
      <c r="P572" s="14">
        <v>0.0</v>
      </c>
      <c r="Q572" s="14">
        <v>0.0</v>
      </c>
      <c r="R572" s="14">
        <v>0.0</v>
      </c>
      <c r="S572" s="14">
        <v>0.0</v>
      </c>
      <c r="T572" s="14">
        <v>0.0</v>
      </c>
      <c r="U572" s="14">
        <v>0.0</v>
      </c>
      <c r="V572" s="14">
        <v>0.0</v>
      </c>
      <c r="W572" s="14" t="s">
        <v>39</v>
      </c>
      <c r="X572" s="14" t="s">
        <v>39</v>
      </c>
      <c r="Y572" s="9" t="s">
        <v>32</v>
      </c>
      <c r="Z572" s="21"/>
    </row>
    <row r="573">
      <c r="A573" s="9">
        <v>572.0</v>
      </c>
      <c r="B573" s="29" t="s">
        <v>2098</v>
      </c>
      <c r="C573" s="34" t="s">
        <v>2099</v>
      </c>
      <c r="D573" s="29" t="s">
        <v>2100</v>
      </c>
      <c r="E573" s="12" t="s">
        <v>29</v>
      </c>
      <c r="F573" s="12" t="s">
        <v>30</v>
      </c>
      <c r="G573" s="9" t="s">
        <v>38</v>
      </c>
      <c r="H573" s="18">
        <v>2019.0</v>
      </c>
      <c r="I573" s="14">
        <v>1.0</v>
      </c>
      <c r="J573" s="14">
        <v>1.0</v>
      </c>
      <c r="K573" s="14">
        <v>1.0</v>
      </c>
      <c r="L573" s="14">
        <v>1.0</v>
      </c>
      <c r="M573" s="14">
        <v>1.0</v>
      </c>
      <c r="N573" s="14">
        <v>0.0</v>
      </c>
      <c r="O573" s="14">
        <v>0.0</v>
      </c>
      <c r="P573" s="14">
        <v>0.0</v>
      </c>
      <c r="Q573" s="14">
        <v>0.0</v>
      </c>
      <c r="R573" s="14">
        <v>0.0</v>
      </c>
      <c r="S573" s="14">
        <v>0.0</v>
      </c>
      <c r="T573" s="14">
        <v>0.0</v>
      </c>
      <c r="U573" s="14">
        <v>0.0</v>
      </c>
      <c r="V573" s="14">
        <v>0.0</v>
      </c>
      <c r="W573" s="14" t="s">
        <v>39</v>
      </c>
      <c r="X573" s="14" t="s">
        <v>39</v>
      </c>
      <c r="Y573" s="9" t="s">
        <v>32</v>
      </c>
      <c r="Z573" s="21"/>
    </row>
    <row r="574">
      <c r="A574" s="9">
        <v>573.0</v>
      </c>
      <c r="B574" s="29" t="s">
        <v>2101</v>
      </c>
      <c r="C574" s="34" t="s">
        <v>2102</v>
      </c>
      <c r="D574" s="29" t="s">
        <v>2103</v>
      </c>
      <c r="E574" s="25" t="s">
        <v>128</v>
      </c>
      <c r="F574" s="25" t="s">
        <v>128</v>
      </c>
      <c r="G574" s="9" t="s">
        <v>38</v>
      </c>
      <c r="H574" s="18">
        <v>2018.0</v>
      </c>
      <c r="I574" s="14">
        <v>1.0</v>
      </c>
      <c r="J574" s="14">
        <v>1.0</v>
      </c>
      <c r="K574" s="14">
        <v>1.0</v>
      </c>
      <c r="L574" s="14">
        <v>1.0</v>
      </c>
      <c r="M574" s="14">
        <v>1.0</v>
      </c>
      <c r="N574" s="14">
        <v>0.0</v>
      </c>
      <c r="O574" s="14">
        <v>0.0</v>
      </c>
      <c r="P574" s="14">
        <v>0.0</v>
      </c>
      <c r="Q574" s="14">
        <v>0.0</v>
      </c>
      <c r="R574" s="14">
        <v>0.0</v>
      </c>
      <c r="S574" s="14">
        <v>0.0</v>
      </c>
      <c r="T574" s="14">
        <v>0.0</v>
      </c>
      <c r="U574" s="14">
        <v>0.0</v>
      </c>
      <c r="V574" s="14">
        <v>0.0</v>
      </c>
      <c r="W574" s="14" t="s">
        <v>39</v>
      </c>
      <c r="X574" s="14" t="s">
        <v>39</v>
      </c>
      <c r="Y574" s="9" t="s">
        <v>32</v>
      </c>
      <c r="Z574" s="21"/>
    </row>
    <row r="575">
      <c r="A575" s="9">
        <v>574.0</v>
      </c>
      <c r="B575" s="29" t="s">
        <v>2104</v>
      </c>
      <c r="C575" s="34" t="s">
        <v>2105</v>
      </c>
      <c r="D575" s="29" t="s">
        <v>1565</v>
      </c>
      <c r="E575" s="25" t="s">
        <v>393</v>
      </c>
      <c r="F575" s="28" t="s">
        <v>394</v>
      </c>
      <c r="G575" s="9" t="s">
        <v>38</v>
      </c>
      <c r="H575" s="18">
        <v>2020.0</v>
      </c>
      <c r="I575" s="14">
        <v>1.0</v>
      </c>
      <c r="J575" s="14">
        <v>1.0</v>
      </c>
      <c r="K575" s="14">
        <v>1.0</v>
      </c>
      <c r="L575" s="14">
        <v>1.0</v>
      </c>
      <c r="M575" s="14">
        <v>1.0</v>
      </c>
      <c r="N575" s="14">
        <v>0.0</v>
      </c>
      <c r="O575" s="14">
        <v>0.0</v>
      </c>
      <c r="P575" s="14">
        <v>0.0</v>
      </c>
      <c r="Q575" s="14">
        <v>0.0</v>
      </c>
      <c r="R575" s="14">
        <v>0.0</v>
      </c>
      <c r="S575" s="14">
        <v>0.0</v>
      </c>
      <c r="T575" s="14">
        <v>0.0</v>
      </c>
      <c r="U575" s="14">
        <v>0.0</v>
      </c>
      <c r="V575" s="14">
        <v>0.0</v>
      </c>
      <c r="W575" s="14" t="s">
        <v>39</v>
      </c>
      <c r="X575" s="14" t="s">
        <v>39</v>
      </c>
      <c r="Y575" s="9" t="s">
        <v>32</v>
      </c>
      <c r="Z575" s="21"/>
    </row>
    <row r="576">
      <c r="A576" s="9">
        <v>575.0</v>
      </c>
      <c r="B576" s="29" t="s">
        <v>2106</v>
      </c>
      <c r="C576" s="34" t="s">
        <v>2107</v>
      </c>
      <c r="D576" s="29" t="s">
        <v>2108</v>
      </c>
      <c r="E576" s="25" t="s">
        <v>128</v>
      </c>
      <c r="F576" s="25" t="s">
        <v>128</v>
      </c>
      <c r="G576" s="21"/>
      <c r="H576" s="18">
        <v>2020.0</v>
      </c>
      <c r="I576" s="14">
        <v>0.0</v>
      </c>
      <c r="J576" s="19"/>
      <c r="K576" s="19"/>
      <c r="L576" s="19"/>
      <c r="M576" s="19"/>
      <c r="N576" s="19"/>
      <c r="O576" s="19"/>
      <c r="P576" s="19"/>
      <c r="Q576" s="19"/>
      <c r="R576" s="19"/>
      <c r="S576" s="19"/>
      <c r="T576" s="19"/>
      <c r="U576" s="19"/>
      <c r="V576" s="19"/>
      <c r="W576" s="14" t="s">
        <v>31</v>
      </c>
      <c r="X576" s="14" t="s">
        <v>39</v>
      </c>
      <c r="Y576" s="9" t="s">
        <v>32</v>
      </c>
      <c r="Z576" s="9" t="s">
        <v>93</v>
      </c>
    </row>
    <row r="577">
      <c r="A577" s="9">
        <v>576.0</v>
      </c>
      <c r="B577" s="29" t="s">
        <v>2109</v>
      </c>
      <c r="C577" s="34" t="s">
        <v>2110</v>
      </c>
      <c r="D577" s="29" t="s">
        <v>2111</v>
      </c>
      <c r="E577" s="17" t="s">
        <v>1759</v>
      </c>
      <c r="F577" s="17" t="s">
        <v>1759</v>
      </c>
      <c r="G577" s="21"/>
      <c r="H577" s="18">
        <v>2018.0</v>
      </c>
      <c r="I577" s="19"/>
      <c r="J577" s="19"/>
      <c r="K577" s="19"/>
      <c r="L577" s="19"/>
      <c r="M577" s="19"/>
      <c r="N577" s="19"/>
      <c r="O577" s="19"/>
      <c r="P577" s="14">
        <v>1.0</v>
      </c>
      <c r="Q577" s="19"/>
      <c r="R577" s="19"/>
      <c r="S577" s="19"/>
      <c r="T577" s="19"/>
      <c r="U577" s="19"/>
      <c r="V577" s="14"/>
      <c r="W577" s="14" t="s">
        <v>31</v>
      </c>
      <c r="X577" s="14" t="s">
        <v>39</v>
      </c>
      <c r="Y577" s="9" t="s">
        <v>32</v>
      </c>
      <c r="Z577" s="24"/>
    </row>
    <row r="578">
      <c r="A578" s="9">
        <v>577.0</v>
      </c>
      <c r="B578" s="29" t="s">
        <v>2112</v>
      </c>
      <c r="C578" s="34" t="s">
        <v>2113</v>
      </c>
      <c r="D578" s="29" t="s">
        <v>2114</v>
      </c>
      <c r="E578" s="17" t="s">
        <v>882</v>
      </c>
      <c r="F578" s="17" t="s">
        <v>882</v>
      </c>
      <c r="G578" s="21"/>
      <c r="H578" s="18">
        <v>2018.0</v>
      </c>
      <c r="I578" s="19"/>
      <c r="J578" s="19"/>
      <c r="K578" s="19"/>
      <c r="L578" s="19"/>
      <c r="M578" s="19"/>
      <c r="N578" s="19"/>
      <c r="O578" s="19"/>
      <c r="P578" s="19"/>
      <c r="Q578" s="19"/>
      <c r="R578" s="14"/>
      <c r="S578" s="19"/>
      <c r="T578" s="14">
        <v>1.0</v>
      </c>
      <c r="U578" s="19"/>
      <c r="V578" s="19"/>
      <c r="W578" s="14"/>
      <c r="X578" s="14" t="s">
        <v>31</v>
      </c>
      <c r="Y578" s="9" t="s">
        <v>32</v>
      </c>
      <c r="Z578" s="9" t="s">
        <v>193</v>
      </c>
    </row>
    <row r="579">
      <c r="A579" s="9">
        <v>578.0</v>
      </c>
      <c r="B579" s="29" t="s">
        <v>2115</v>
      </c>
      <c r="C579" s="39" t="s">
        <v>2116</v>
      </c>
      <c r="D579" s="29" t="s">
        <v>573</v>
      </c>
      <c r="E579" s="26" t="s">
        <v>2117</v>
      </c>
      <c r="F579" s="17" t="s">
        <v>2117</v>
      </c>
      <c r="G579" s="21"/>
      <c r="H579" s="18">
        <v>2018.0</v>
      </c>
      <c r="I579" s="19"/>
      <c r="J579" s="19"/>
      <c r="K579" s="19"/>
      <c r="L579" s="19"/>
      <c r="M579" s="19"/>
      <c r="N579" s="19"/>
      <c r="O579" s="14">
        <v>1.0</v>
      </c>
      <c r="P579" s="19"/>
      <c r="Q579" s="19"/>
      <c r="R579" s="19"/>
      <c r="S579" s="19"/>
      <c r="T579" s="19"/>
      <c r="U579" s="19"/>
      <c r="V579" s="19"/>
      <c r="W579" s="14"/>
      <c r="X579" s="14" t="s">
        <v>31</v>
      </c>
      <c r="Y579" s="9" t="s">
        <v>32</v>
      </c>
      <c r="Z579" s="21"/>
    </row>
    <row r="580">
      <c r="A580" s="9">
        <v>579.0</v>
      </c>
      <c r="B580" s="29" t="s">
        <v>2118</v>
      </c>
      <c r="C580" s="34" t="s">
        <v>2119</v>
      </c>
      <c r="D580" s="15" t="s">
        <v>2120</v>
      </c>
      <c r="E580" s="12" t="s">
        <v>36</v>
      </c>
      <c r="F580" s="12" t="s">
        <v>37</v>
      </c>
      <c r="G580" s="9" t="s">
        <v>58</v>
      </c>
      <c r="H580" s="18">
        <v>2018.0</v>
      </c>
      <c r="I580" s="14">
        <v>1.0</v>
      </c>
      <c r="J580" s="14">
        <v>1.0</v>
      </c>
      <c r="K580" s="14">
        <v>1.0</v>
      </c>
      <c r="L580" s="14">
        <v>1.0</v>
      </c>
      <c r="M580" s="14">
        <v>1.0</v>
      </c>
      <c r="N580" s="14">
        <v>0.0</v>
      </c>
      <c r="O580" s="14">
        <v>0.0</v>
      </c>
      <c r="P580" s="14">
        <v>0.0</v>
      </c>
      <c r="Q580" s="14">
        <v>0.0</v>
      </c>
      <c r="R580" s="14">
        <v>0.0</v>
      </c>
      <c r="S580" s="14">
        <v>0.0</v>
      </c>
      <c r="T580" s="14">
        <v>0.0</v>
      </c>
      <c r="U580" s="14">
        <v>0.0</v>
      </c>
      <c r="V580" s="14">
        <v>0.0</v>
      </c>
      <c r="W580" s="14" t="s">
        <v>39</v>
      </c>
      <c r="X580" s="14" t="s">
        <v>39</v>
      </c>
      <c r="Y580" s="9" t="s">
        <v>32</v>
      </c>
      <c r="Z580" s="9"/>
    </row>
    <row r="581">
      <c r="A581" s="9">
        <v>580.0</v>
      </c>
      <c r="B581" s="29" t="s">
        <v>2121</v>
      </c>
      <c r="C581" s="34" t="s">
        <v>2122</v>
      </c>
      <c r="D581" s="15" t="s">
        <v>2123</v>
      </c>
      <c r="E581" s="12" t="s">
        <v>36</v>
      </c>
      <c r="F581" s="12" t="s">
        <v>37</v>
      </c>
      <c r="G581" s="9" t="s">
        <v>58</v>
      </c>
      <c r="H581" s="18">
        <v>2019.0</v>
      </c>
      <c r="I581" s="14">
        <v>1.0</v>
      </c>
      <c r="J581" s="14">
        <v>1.0</v>
      </c>
      <c r="K581" s="14">
        <v>1.0</v>
      </c>
      <c r="L581" s="14">
        <v>1.0</v>
      </c>
      <c r="M581" s="14">
        <v>1.0</v>
      </c>
      <c r="N581" s="14">
        <v>0.0</v>
      </c>
      <c r="O581" s="14">
        <v>0.0</v>
      </c>
      <c r="P581" s="14">
        <v>0.0</v>
      </c>
      <c r="Q581" s="14">
        <v>0.0</v>
      </c>
      <c r="R581" s="14">
        <v>0.0</v>
      </c>
      <c r="S581" s="14">
        <v>0.0</v>
      </c>
      <c r="T581" s="14">
        <v>0.0</v>
      </c>
      <c r="U581" s="14">
        <v>0.0</v>
      </c>
      <c r="V581" s="14">
        <v>0.0</v>
      </c>
      <c r="W581" s="14" t="s">
        <v>39</v>
      </c>
      <c r="X581" s="14" t="s">
        <v>39</v>
      </c>
      <c r="Y581" s="9" t="s">
        <v>32</v>
      </c>
      <c r="Z581" s="21"/>
    </row>
    <row r="582">
      <c r="A582" s="9">
        <v>581.0</v>
      </c>
      <c r="B582" s="29" t="s">
        <v>2124</v>
      </c>
      <c r="C582" s="34" t="s">
        <v>2125</v>
      </c>
      <c r="D582" s="29" t="s">
        <v>2126</v>
      </c>
      <c r="E582" s="25" t="s">
        <v>128</v>
      </c>
      <c r="F582" s="25" t="s">
        <v>128</v>
      </c>
      <c r="G582" s="21"/>
      <c r="H582" s="18">
        <v>2020.0</v>
      </c>
      <c r="I582" s="14">
        <v>0.0</v>
      </c>
      <c r="J582" s="19"/>
      <c r="K582" s="19"/>
      <c r="L582" s="19"/>
      <c r="M582" s="19"/>
      <c r="N582" s="14"/>
      <c r="O582" s="19"/>
      <c r="P582" s="14"/>
      <c r="Q582" s="19"/>
      <c r="R582" s="19"/>
      <c r="S582" s="19"/>
      <c r="T582" s="19"/>
      <c r="U582" s="19"/>
      <c r="V582" s="19"/>
      <c r="W582" s="14"/>
      <c r="X582" s="14" t="s">
        <v>31</v>
      </c>
      <c r="Y582" s="9" t="s">
        <v>32</v>
      </c>
      <c r="Z582" s="9" t="s">
        <v>2127</v>
      </c>
    </row>
    <row r="583">
      <c r="A583" s="9">
        <v>582.0</v>
      </c>
      <c r="B583" s="29" t="s">
        <v>2128</v>
      </c>
      <c r="C583" s="34" t="s">
        <v>2129</v>
      </c>
      <c r="D583" s="29" t="s">
        <v>2130</v>
      </c>
      <c r="E583" s="25" t="s">
        <v>128</v>
      </c>
      <c r="F583" s="25" t="s">
        <v>128</v>
      </c>
      <c r="G583" s="21"/>
      <c r="H583" s="18">
        <v>2019.0</v>
      </c>
      <c r="I583" s="19"/>
      <c r="J583" s="19"/>
      <c r="K583" s="19"/>
      <c r="L583" s="19"/>
      <c r="M583" s="19"/>
      <c r="N583" s="19"/>
      <c r="O583" s="14">
        <v>1.0</v>
      </c>
      <c r="P583" s="19"/>
      <c r="Q583" s="19"/>
      <c r="R583" s="19"/>
      <c r="S583" s="19"/>
      <c r="T583" s="19"/>
      <c r="U583" s="19"/>
      <c r="V583" s="19"/>
      <c r="W583" s="14"/>
      <c r="X583" s="14" t="s">
        <v>31</v>
      </c>
      <c r="Y583" s="9" t="s">
        <v>32</v>
      </c>
      <c r="Z583" s="21"/>
    </row>
    <row r="584">
      <c r="A584" s="9">
        <v>583.0</v>
      </c>
      <c r="B584" s="29" t="s">
        <v>2131</v>
      </c>
      <c r="C584" s="34" t="s">
        <v>2132</v>
      </c>
      <c r="D584" s="29" t="s">
        <v>2133</v>
      </c>
      <c r="E584" s="12" t="s">
        <v>36</v>
      </c>
      <c r="F584" s="12" t="s">
        <v>37</v>
      </c>
      <c r="G584" s="21"/>
      <c r="H584" s="18">
        <v>2020.0</v>
      </c>
      <c r="I584" s="19"/>
      <c r="J584" s="19"/>
      <c r="K584" s="19"/>
      <c r="L584" s="19"/>
      <c r="M584" s="19"/>
      <c r="N584" s="19"/>
      <c r="O584" s="19"/>
      <c r="P584" s="19"/>
      <c r="Q584" s="19"/>
      <c r="R584" s="19"/>
      <c r="S584" s="14">
        <v>1.0</v>
      </c>
      <c r="T584" s="19"/>
      <c r="U584" s="19"/>
      <c r="V584" s="19"/>
      <c r="W584" s="14"/>
      <c r="X584" s="14" t="s">
        <v>31</v>
      </c>
      <c r="Y584" s="9" t="s">
        <v>32</v>
      </c>
      <c r="Z584" s="9" t="s">
        <v>82</v>
      </c>
    </row>
    <row r="585">
      <c r="A585" s="9">
        <v>584.0</v>
      </c>
      <c r="B585" s="29" t="s">
        <v>2134</v>
      </c>
      <c r="C585" s="34" t="s">
        <v>2135</v>
      </c>
      <c r="D585" s="29" t="s">
        <v>2136</v>
      </c>
      <c r="E585" s="12" t="s">
        <v>36</v>
      </c>
      <c r="F585" s="12" t="s">
        <v>37</v>
      </c>
      <c r="G585" s="9" t="s">
        <v>58</v>
      </c>
      <c r="H585" s="18">
        <v>2020.0</v>
      </c>
      <c r="I585" s="14">
        <v>1.0</v>
      </c>
      <c r="J585" s="14">
        <v>1.0</v>
      </c>
      <c r="K585" s="14">
        <v>1.0</v>
      </c>
      <c r="L585" s="14">
        <v>1.0</v>
      </c>
      <c r="M585" s="14">
        <v>1.0</v>
      </c>
      <c r="N585" s="14">
        <v>0.0</v>
      </c>
      <c r="O585" s="14">
        <v>0.0</v>
      </c>
      <c r="P585" s="14">
        <v>0.0</v>
      </c>
      <c r="Q585" s="14">
        <v>0.0</v>
      </c>
      <c r="R585" s="14">
        <v>0.0</v>
      </c>
      <c r="S585" s="14">
        <v>0.0</v>
      </c>
      <c r="T585" s="14">
        <v>0.0</v>
      </c>
      <c r="U585" s="14">
        <v>0.0</v>
      </c>
      <c r="V585" s="14">
        <v>0.0</v>
      </c>
      <c r="W585" s="14" t="s">
        <v>39</v>
      </c>
      <c r="X585" s="14" t="s">
        <v>39</v>
      </c>
      <c r="Y585" s="9" t="s">
        <v>32</v>
      </c>
      <c r="Z585" s="24"/>
    </row>
    <row r="586">
      <c r="A586" s="9">
        <v>585.0</v>
      </c>
      <c r="B586" s="29" t="s">
        <v>2137</v>
      </c>
      <c r="C586" s="39" t="s">
        <v>2138</v>
      </c>
      <c r="D586" s="29" t="s">
        <v>2139</v>
      </c>
      <c r="E586" s="17" t="s">
        <v>1759</v>
      </c>
      <c r="F586" s="17" t="s">
        <v>1759</v>
      </c>
      <c r="G586" s="21"/>
      <c r="H586" s="18">
        <v>2019.0</v>
      </c>
      <c r="I586" s="19"/>
      <c r="J586" s="19"/>
      <c r="K586" s="19"/>
      <c r="L586" s="19"/>
      <c r="M586" s="19"/>
      <c r="N586" s="14"/>
      <c r="O586" s="14">
        <v>1.0</v>
      </c>
      <c r="P586" s="19"/>
      <c r="Q586" s="19"/>
      <c r="R586" s="19"/>
      <c r="S586" s="19"/>
      <c r="T586" s="19"/>
      <c r="U586" s="19"/>
      <c r="V586" s="19"/>
      <c r="W586" s="14"/>
      <c r="X586" s="14" t="s">
        <v>31</v>
      </c>
      <c r="Y586" s="9" t="s">
        <v>32</v>
      </c>
      <c r="Z586" s="21"/>
    </row>
    <row r="587">
      <c r="A587" s="9">
        <v>586.0</v>
      </c>
      <c r="B587" s="29" t="s">
        <v>2140</v>
      </c>
      <c r="C587" s="34" t="s">
        <v>2141</v>
      </c>
      <c r="D587" s="29" t="s">
        <v>2142</v>
      </c>
      <c r="E587" s="17" t="s">
        <v>2143</v>
      </c>
      <c r="F587" s="17" t="s">
        <v>2143</v>
      </c>
      <c r="G587" s="21"/>
      <c r="H587" s="18">
        <v>2019.0</v>
      </c>
      <c r="I587" s="19"/>
      <c r="J587" s="19"/>
      <c r="K587" s="19"/>
      <c r="L587" s="19"/>
      <c r="M587" s="19"/>
      <c r="N587" s="19"/>
      <c r="O587" s="19"/>
      <c r="P587" s="19"/>
      <c r="Q587" s="19"/>
      <c r="R587" s="14"/>
      <c r="S587" s="19"/>
      <c r="T587" s="14">
        <v>1.0</v>
      </c>
      <c r="U587" s="19"/>
      <c r="V587" s="19"/>
      <c r="W587" s="14"/>
      <c r="X587" s="14" t="s">
        <v>31</v>
      </c>
      <c r="Y587" s="9" t="s">
        <v>32</v>
      </c>
      <c r="Z587" s="9" t="s">
        <v>70</v>
      </c>
    </row>
    <row r="588">
      <c r="A588" s="9">
        <v>587.0</v>
      </c>
      <c r="B588" s="29" t="s">
        <v>2144</v>
      </c>
      <c r="C588" s="39" t="s">
        <v>2145</v>
      </c>
      <c r="D588" s="29" t="s">
        <v>2146</v>
      </c>
      <c r="E588" s="25" t="s">
        <v>62</v>
      </c>
      <c r="F588" s="25" t="s">
        <v>62</v>
      </c>
      <c r="G588" s="9" t="s">
        <v>38</v>
      </c>
      <c r="H588" s="18">
        <v>2020.0</v>
      </c>
      <c r="I588" s="14">
        <v>1.0</v>
      </c>
      <c r="J588" s="14">
        <v>1.0</v>
      </c>
      <c r="K588" s="14">
        <v>1.0</v>
      </c>
      <c r="L588" s="14">
        <v>1.0</v>
      </c>
      <c r="M588" s="14">
        <v>1.0</v>
      </c>
      <c r="N588" s="14">
        <v>0.0</v>
      </c>
      <c r="O588" s="14">
        <v>0.0</v>
      </c>
      <c r="P588" s="14">
        <v>0.0</v>
      </c>
      <c r="Q588" s="14">
        <v>0.0</v>
      </c>
      <c r="R588" s="14">
        <v>0.0</v>
      </c>
      <c r="S588" s="14">
        <v>0.0</v>
      </c>
      <c r="T588" s="14">
        <v>0.0</v>
      </c>
      <c r="U588" s="14">
        <v>0.0</v>
      </c>
      <c r="V588" s="14">
        <v>0.0</v>
      </c>
      <c r="W588" s="14" t="s">
        <v>39</v>
      </c>
      <c r="X588" s="14" t="s">
        <v>39</v>
      </c>
      <c r="Y588" s="9" t="s">
        <v>32</v>
      </c>
      <c r="Z588" s="21"/>
    </row>
    <row r="589">
      <c r="A589" s="9">
        <v>588.0</v>
      </c>
      <c r="B589" s="29" t="s">
        <v>2147</v>
      </c>
      <c r="C589" s="34" t="s">
        <v>2148</v>
      </c>
      <c r="D589" s="29" t="s">
        <v>2149</v>
      </c>
      <c r="E589" s="12" t="s">
        <v>36</v>
      </c>
      <c r="F589" s="12" t="s">
        <v>37</v>
      </c>
      <c r="G589" s="9" t="s">
        <v>58</v>
      </c>
      <c r="H589" s="18">
        <v>2020.0</v>
      </c>
      <c r="I589" s="14">
        <v>1.0</v>
      </c>
      <c r="J589" s="14">
        <v>1.0</v>
      </c>
      <c r="K589" s="14">
        <v>1.0</v>
      </c>
      <c r="L589" s="14">
        <v>1.0</v>
      </c>
      <c r="M589" s="14">
        <v>1.0</v>
      </c>
      <c r="N589" s="14">
        <v>0.0</v>
      </c>
      <c r="O589" s="14">
        <v>0.0</v>
      </c>
      <c r="P589" s="14">
        <v>0.0</v>
      </c>
      <c r="Q589" s="14">
        <v>0.0</v>
      </c>
      <c r="R589" s="14">
        <v>0.0</v>
      </c>
      <c r="S589" s="14">
        <v>0.0</v>
      </c>
      <c r="T589" s="14">
        <v>0.0</v>
      </c>
      <c r="U589" s="14">
        <v>0.0</v>
      </c>
      <c r="V589" s="14">
        <v>0.0</v>
      </c>
      <c r="W589" s="14" t="s">
        <v>39</v>
      </c>
      <c r="X589" s="14" t="s">
        <v>39</v>
      </c>
      <c r="Y589" s="9" t="s">
        <v>32</v>
      </c>
      <c r="Z589" s="24"/>
    </row>
    <row r="590">
      <c r="A590" s="9">
        <v>589.0</v>
      </c>
      <c r="B590" s="29" t="s">
        <v>2150</v>
      </c>
      <c r="C590" s="34" t="s">
        <v>2151</v>
      </c>
      <c r="D590" s="29" t="s">
        <v>2152</v>
      </c>
      <c r="E590" s="25" t="s">
        <v>62</v>
      </c>
      <c r="F590" s="25" t="s">
        <v>62</v>
      </c>
      <c r="G590" s="21"/>
      <c r="H590" s="18">
        <v>2019.0</v>
      </c>
      <c r="I590" s="19"/>
      <c r="J590" s="19"/>
      <c r="K590" s="19"/>
      <c r="L590" s="19"/>
      <c r="M590" s="19"/>
      <c r="N590" s="19"/>
      <c r="O590" s="19"/>
      <c r="P590" s="19"/>
      <c r="Q590" s="19"/>
      <c r="R590" s="19"/>
      <c r="S590" s="14">
        <v>1.0</v>
      </c>
      <c r="T590" s="19"/>
      <c r="U590" s="19"/>
      <c r="V590" s="19"/>
      <c r="W590" s="14"/>
      <c r="X590" s="14" t="s">
        <v>31</v>
      </c>
      <c r="Y590" s="9" t="s">
        <v>32</v>
      </c>
      <c r="Z590" s="9" t="s">
        <v>82</v>
      </c>
    </row>
    <row r="591">
      <c r="A591" s="9">
        <v>590.0</v>
      </c>
      <c r="B591" s="29" t="s">
        <v>2153</v>
      </c>
      <c r="C591" s="34" t="s">
        <v>2154</v>
      </c>
      <c r="D591" s="29" t="s">
        <v>2155</v>
      </c>
      <c r="E591" s="25" t="s">
        <v>128</v>
      </c>
      <c r="F591" s="25" t="s">
        <v>128</v>
      </c>
      <c r="G591" s="9" t="s">
        <v>38</v>
      </c>
      <c r="H591" s="18">
        <v>2020.0</v>
      </c>
      <c r="I591" s="14">
        <v>1.0</v>
      </c>
      <c r="J591" s="14">
        <v>1.0</v>
      </c>
      <c r="K591" s="14">
        <v>1.0</v>
      </c>
      <c r="L591" s="14">
        <v>1.0</v>
      </c>
      <c r="M591" s="14">
        <v>1.0</v>
      </c>
      <c r="N591" s="14">
        <v>0.0</v>
      </c>
      <c r="O591" s="14">
        <v>0.0</v>
      </c>
      <c r="P591" s="14">
        <v>0.0</v>
      </c>
      <c r="Q591" s="14">
        <v>0.0</v>
      </c>
      <c r="R591" s="14">
        <v>0.0</v>
      </c>
      <c r="S591" s="14">
        <v>0.0</v>
      </c>
      <c r="T591" s="14">
        <v>0.0</v>
      </c>
      <c r="U591" s="14">
        <v>0.0</v>
      </c>
      <c r="V591" s="14">
        <v>0.0</v>
      </c>
      <c r="W591" s="14" t="s">
        <v>39</v>
      </c>
      <c r="X591" s="14" t="s">
        <v>39</v>
      </c>
      <c r="Y591" s="9" t="s">
        <v>32</v>
      </c>
      <c r="Z591" s="21"/>
    </row>
    <row r="592">
      <c r="A592" s="9">
        <v>591.0</v>
      </c>
      <c r="B592" s="29" t="s">
        <v>2156</v>
      </c>
      <c r="C592" s="34" t="s">
        <v>2157</v>
      </c>
      <c r="D592" s="29" t="s">
        <v>2158</v>
      </c>
      <c r="E592" s="25" t="s">
        <v>62</v>
      </c>
      <c r="F592" s="25" t="s">
        <v>62</v>
      </c>
      <c r="G592" s="9" t="s">
        <v>38</v>
      </c>
      <c r="H592" s="18">
        <v>2019.0</v>
      </c>
      <c r="I592" s="14">
        <v>1.0</v>
      </c>
      <c r="J592" s="14">
        <v>1.0</v>
      </c>
      <c r="K592" s="14">
        <v>1.0</v>
      </c>
      <c r="L592" s="14">
        <v>1.0</v>
      </c>
      <c r="M592" s="14">
        <v>1.0</v>
      </c>
      <c r="N592" s="14">
        <v>0.0</v>
      </c>
      <c r="O592" s="14">
        <v>0.0</v>
      </c>
      <c r="P592" s="14">
        <v>0.0</v>
      </c>
      <c r="Q592" s="14">
        <v>0.0</v>
      </c>
      <c r="R592" s="14">
        <v>0.0</v>
      </c>
      <c r="S592" s="14">
        <v>0.0</v>
      </c>
      <c r="T592" s="14">
        <v>0.0</v>
      </c>
      <c r="U592" s="14">
        <v>0.0</v>
      </c>
      <c r="V592" s="14">
        <v>0.0</v>
      </c>
      <c r="W592" s="14" t="s">
        <v>39</v>
      </c>
      <c r="X592" s="14" t="s">
        <v>39</v>
      </c>
      <c r="Y592" s="9" t="s">
        <v>32</v>
      </c>
      <c r="Z592" s="21"/>
    </row>
    <row r="593">
      <c r="A593" s="9">
        <v>592.0</v>
      </c>
      <c r="B593" s="29" t="s">
        <v>2159</v>
      </c>
      <c r="C593" s="34" t="s">
        <v>2160</v>
      </c>
      <c r="D593" s="29" t="s">
        <v>2161</v>
      </c>
      <c r="E593" s="12" t="s">
        <v>36</v>
      </c>
      <c r="F593" s="12" t="s">
        <v>37</v>
      </c>
      <c r="G593" s="9" t="s">
        <v>58</v>
      </c>
      <c r="H593" s="18">
        <v>2018.0</v>
      </c>
      <c r="I593" s="14">
        <v>1.0</v>
      </c>
      <c r="J593" s="14">
        <v>1.0</v>
      </c>
      <c r="K593" s="14">
        <v>1.0</v>
      </c>
      <c r="L593" s="14">
        <v>1.0</v>
      </c>
      <c r="M593" s="14">
        <v>1.0</v>
      </c>
      <c r="N593" s="14">
        <v>0.0</v>
      </c>
      <c r="O593" s="14">
        <v>0.0</v>
      </c>
      <c r="P593" s="14">
        <v>0.0</v>
      </c>
      <c r="Q593" s="14">
        <v>0.0</v>
      </c>
      <c r="R593" s="14">
        <v>0.0</v>
      </c>
      <c r="S593" s="14">
        <v>0.0</v>
      </c>
      <c r="T593" s="14">
        <v>0.0</v>
      </c>
      <c r="U593" s="14">
        <v>0.0</v>
      </c>
      <c r="V593" s="14">
        <v>0.0</v>
      </c>
      <c r="W593" s="14" t="s">
        <v>39</v>
      </c>
      <c r="X593" s="14" t="s">
        <v>39</v>
      </c>
      <c r="Y593" s="9" t="s">
        <v>32</v>
      </c>
      <c r="Z593" s="21"/>
    </row>
    <row r="594">
      <c r="A594" s="9">
        <v>593.0</v>
      </c>
      <c r="B594" s="29" t="s">
        <v>2162</v>
      </c>
      <c r="C594" s="34" t="s">
        <v>2163</v>
      </c>
      <c r="D594" s="29" t="s">
        <v>2164</v>
      </c>
      <c r="E594" s="17" t="s">
        <v>2165</v>
      </c>
      <c r="F594" s="17" t="s">
        <v>2165</v>
      </c>
      <c r="G594" s="21"/>
      <c r="H594" s="18">
        <v>2020.0</v>
      </c>
      <c r="I594" s="19"/>
      <c r="J594" s="19"/>
      <c r="K594" s="19"/>
      <c r="L594" s="19"/>
      <c r="M594" s="19"/>
      <c r="N594" s="19"/>
      <c r="O594" s="14">
        <v>1.0</v>
      </c>
      <c r="P594" s="19"/>
      <c r="Q594" s="19"/>
      <c r="R594" s="19"/>
      <c r="S594" s="19"/>
      <c r="T594" s="19"/>
      <c r="U594" s="19"/>
      <c r="V594" s="19"/>
      <c r="W594" s="14"/>
      <c r="X594" s="14" t="s">
        <v>31</v>
      </c>
      <c r="Y594" s="9" t="s">
        <v>32</v>
      </c>
      <c r="Z594" s="21"/>
    </row>
    <row r="595">
      <c r="A595" s="9">
        <v>594.0</v>
      </c>
      <c r="B595" s="29" t="s">
        <v>2166</v>
      </c>
      <c r="C595" s="34" t="s">
        <v>2167</v>
      </c>
      <c r="D595" s="29" t="s">
        <v>2168</v>
      </c>
      <c r="E595" s="12" t="s">
        <v>29</v>
      </c>
      <c r="F595" s="12" t="s">
        <v>30</v>
      </c>
      <c r="G595" s="21"/>
      <c r="H595" s="18">
        <v>2018.0</v>
      </c>
      <c r="I595" s="19"/>
      <c r="J595" s="19"/>
      <c r="K595" s="19"/>
      <c r="L595" s="19"/>
      <c r="M595" s="19"/>
      <c r="N595" s="19"/>
      <c r="O595" s="19"/>
      <c r="P595" s="14">
        <v>1.0</v>
      </c>
      <c r="Q595" s="19"/>
      <c r="R595" s="19"/>
      <c r="S595" s="19"/>
      <c r="T595" s="19"/>
      <c r="U595" s="19"/>
      <c r="V595" s="19"/>
      <c r="W595" s="14"/>
      <c r="X595" s="14" t="s">
        <v>31</v>
      </c>
      <c r="Y595" s="9" t="s">
        <v>32</v>
      </c>
      <c r="Z595" s="21"/>
    </row>
    <row r="596">
      <c r="A596" s="9">
        <v>595.0</v>
      </c>
      <c r="B596" s="29" t="s">
        <v>2169</v>
      </c>
      <c r="C596" s="34" t="s">
        <v>2170</v>
      </c>
      <c r="D596" s="15" t="s">
        <v>2171</v>
      </c>
      <c r="E596" s="25" t="s">
        <v>62</v>
      </c>
      <c r="F596" s="25" t="s">
        <v>62</v>
      </c>
      <c r="G596" s="9" t="s">
        <v>38</v>
      </c>
      <c r="H596" s="18">
        <v>2019.0</v>
      </c>
      <c r="I596" s="14">
        <v>1.0</v>
      </c>
      <c r="J596" s="14">
        <v>1.0</v>
      </c>
      <c r="K596" s="14">
        <v>1.0</v>
      </c>
      <c r="L596" s="14">
        <v>1.0</v>
      </c>
      <c r="M596" s="14">
        <v>1.0</v>
      </c>
      <c r="N596" s="14">
        <v>0.0</v>
      </c>
      <c r="O596" s="14">
        <v>0.0</v>
      </c>
      <c r="P596" s="14">
        <v>0.0</v>
      </c>
      <c r="Q596" s="14">
        <v>0.0</v>
      </c>
      <c r="R596" s="14">
        <v>0.0</v>
      </c>
      <c r="S596" s="14">
        <v>0.0</v>
      </c>
      <c r="T596" s="14">
        <v>0.0</v>
      </c>
      <c r="U596" s="14">
        <v>0.0</v>
      </c>
      <c r="V596" s="14">
        <v>0.0</v>
      </c>
      <c r="W596" s="14" t="s">
        <v>39</v>
      </c>
      <c r="X596" s="14" t="s">
        <v>39</v>
      </c>
      <c r="Y596" s="9" t="s">
        <v>32</v>
      </c>
      <c r="Z596" s="21"/>
    </row>
    <row r="597">
      <c r="A597" s="9">
        <v>596.0</v>
      </c>
      <c r="B597" s="29" t="s">
        <v>2172</v>
      </c>
      <c r="C597" s="34" t="s">
        <v>2173</v>
      </c>
      <c r="D597" s="15" t="s">
        <v>2174</v>
      </c>
      <c r="E597" s="12" t="s">
        <v>36</v>
      </c>
      <c r="F597" s="12" t="s">
        <v>37</v>
      </c>
      <c r="G597" s="9" t="s">
        <v>38</v>
      </c>
      <c r="H597" s="18">
        <v>2019.0</v>
      </c>
      <c r="I597" s="14">
        <v>1.0</v>
      </c>
      <c r="J597" s="14">
        <v>1.0</v>
      </c>
      <c r="K597" s="14">
        <v>1.0</v>
      </c>
      <c r="L597" s="14">
        <v>1.0</v>
      </c>
      <c r="M597" s="14">
        <v>1.0</v>
      </c>
      <c r="N597" s="14">
        <v>0.0</v>
      </c>
      <c r="O597" s="14">
        <v>0.0</v>
      </c>
      <c r="P597" s="14">
        <v>0.0</v>
      </c>
      <c r="Q597" s="14">
        <v>0.0</v>
      </c>
      <c r="R597" s="14">
        <v>0.0</v>
      </c>
      <c r="S597" s="14">
        <v>0.0</v>
      </c>
      <c r="T597" s="14">
        <v>0.0</v>
      </c>
      <c r="U597" s="14">
        <v>0.0</v>
      </c>
      <c r="V597" s="14">
        <v>0.0</v>
      </c>
      <c r="W597" s="14" t="s">
        <v>39</v>
      </c>
      <c r="X597" s="14" t="s">
        <v>39</v>
      </c>
      <c r="Y597" s="9" t="s">
        <v>32</v>
      </c>
      <c r="Z597" s="21"/>
    </row>
    <row r="598">
      <c r="A598" s="9">
        <v>597.0</v>
      </c>
      <c r="B598" s="29" t="s">
        <v>2175</v>
      </c>
      <c r="C598" s="34" t="s">
        <v>2176</v>
      </c>
      <c r="D598" s="29" t="s">
        <v>2177</v>
      </c>
      <c r="E598" s="12" t="s">
        <v>36</v>
      </c>
      <c r="F598" s="12" t="s">
        <v>37</v>
      </c>
      <c r="G598" s="21"/>
      <c r="H598" s="18">
        <v>2020.0</v>
      </c>
      <c r="I598" s="19"/>
      <c r="J598" s="19"/>
      <c r="K598" s="19"/>
      <c r="L598" s="19"/>
      <c r="M598" s="19"/>
      <c r="N598" s="14">
        <v>1.0</v>
      </c>
      <c r="O598" s="19"/>
      <c r="P598" s="19"/>
      <c r="Q598" s="19"/>
      <c r="R598" s="19"/>
      <c r="S598" s="19"/>
      <c r="T598" s="19"/>
      <c r="U598" s="19"/>
      <c r="V598" s="19"/>
      <c r="W598" s="14"/>
      <c r="X598" s="14" t="s">
        <v>31</v>
      </c>
      <c r="Y598" s="9" t="s">
        <v>32</v>
      </c>
      <c r="Z598" s="9" t="s">
        <v>2178</v>
      </c>
    </row>
    <row r="599">
      <c r="A599" s="9">
        <v>598.0</v>
      </c>
      <c r="B599" s="29" t="s">
        <v>2179</v>
      </c>
      <c r="C599" s="34" t="s">
        <v>2180</v>
      </c>
      <c r="D599" s="29" t="s">
        <v>2181</v>
      </c>
      <c r="E599" s="12" t="s">
        <v>36</v>
      </c>
      <c r="F599" s="12" t="s">
        <v>37</v>
      </c>
      <c r="G599" s="21"/>
      <c r="H599" s="18">
        <v>2018.0</v>
      </c>
      <c r="I599" s="19"/>
      <c r="J599" s="19"/>
      <c r="K599" s="19"/>
      <c r="L599" s="19"/>
      <c r="M599" s="19"/>
      <c r="N599" s="19"/>
      <c r="O599" s="19"/>
      <c r="P599" s="14">
        <v>1.0</v>
      </c>
      <c r="Q599" s="19"/>
      <c r="R599" s="19"/>
      <c r="S599" s="19"/>
      <c r="T599" s="19"/>
      <c r="U599" s="19"/>
      <c r="V599" s="19"/>
      <c r="W599" s="14"/>
      <c r="X599" s="14" t="s">
        <v>31</v>
      </c>
      <c r="Y599" s="9" t="s">
        <v>32</v>
      </c>
      <c r="Z599" s="21"/>
    </row>
    <row r="600">
      <c r="A600" s="9">
        <v>599.0</v>
      </c>
      <c r="B600" s="29" t="s">
        <v>2182</v>
      </c>
      <c r="C600" s="34" t="s">
        <v>2183</v>
      </c>
      <c r="D600" s="29" t="s">
        <v>2184</v>
      </c>
      <c r="E600" s="12" t="s">
        <v>36</v>
      </c>
      <c r="F600" s="12" t="s">
        <v>37</v>
      </c>
      <c r="G600" s="9" t="s">
        <v>58</v>
      </c>
      <c r="H600" s="18">
        <v>2018.0</v>
      </c>
      <c r="I600" s="14">
        <v>1.0</v>
      </c>
      <c r="J600" s="14">
        <v>1.0</v>
      </c>
      <c r="K600" s="14">
        <v>1.0</v>
      </c>
      <c r="L600" s="14">
        <v>1.0</v>
      </c>
      <c r="M600" s="14">
        <v>1.0</v>
      </c>
      <c r="N600" s="14">
        <v>0.0</v>
      </c>
      <c r="O600" s="14">
        <v>0.0</v>
      </c>
      <c r="P600" s="14">
        <v>0.0</v>
      </c>
      <c r="Q600" s="14">
        <v>0.0</v>
      </c>
      <c r="R600" s="14">
        <v>0.0</v>
      </c>
      <c r="S600" s="14">
        <v>0.0</v>
      </c>
      <c r="T600" s="14">
        <v>0.0</v>
      </c>
      <c r="U600" s="14">
        <v>0.0</v>
      </c>
      <c r="V600" s="14">
        <v>0.0</v>
      </c>
      <c r="W600" s="14" t="s">
        <v>39</v>
      </c>
      <c r="X600" s="14" t="s">
        <v>39</v>
      </c>
      <c r="Y600" s="9" t="s">
        <v>32</v>
      </c>
      <c r="Z600" s="24"/>
    </row>
    <row r="601">
      <c r="A601" s="9">
        <v>600.0</v>
      </c>
      <c r="B601" s="29" t="s">
        <v>2185</v>
      </c>
      <c r="C601" s="39" t="s">
        <v>2186</v>
      </c>
      <c r="D601" s="29" t="s">
        <v>2187</v>
      </c>
      <c r="E601" s="12" t="s">
        <v>2188</v>
      </c>
      <c r="F601" s="12" t="s">
        <v>2189</v>
      </c>
      <c r="G601" s="9" t="s">
        <v>38</v>
      </c>
      <c r="H601" s="18">
        <v>2019.0</v>
      </c>
      <c r="I601" s="14"/>
      <c r="J601" s="14"/>
      <c r="K601" s="14"/>
      <c r="L601" s="14"/>
      <c r="M601" s="14"/>
      <c r="N601" s="14"/>
      <c r="O601" s="14"/>
      <c r="P601" s="14">
        <v>1.0</v>
      </c>
      <c r="Q601" s="14"/>
      <c r="R601" s="14"/>
      <c r="S601" s="14"/>
      <c r="T601" s="14"/>
      <c r="U601" s="14"/>
      <c r="V601" s="14"/>
      <c r="W601" s="14" t="s">
        <v>31</v>
      </c>
      <c r="X601" s="14" t="s">
        <v>39</v>
      </c>
      <c r="Y601" s="9" t="s">
        <v>32</v>
      </c>
      <c r="Z601" s="9"/>
    </row>
    <row r="602">
      <c r="A602" s="9">
        <v>601.0</v>
      </c>
      <c r="B602" s="29" t="s">
        <v>2190</v>
      </c>
      <c r="C602" s="34" t="s">
        <v>2191</v>
      </c>
      <c r="D602" s="29" t="s">
        <v>2192</v>
      </c>
      <c r="E602" s="12" t="s">
        <v>36</v>
      </c>
      <c r="F602" s="12" t="s">
        <v>37</v>
      </c>
      <c r="G602" s="21"/>
      <c r="H602" s="18">
        <v>2020.0</v>
      </c>
      <c r="I602" s="19"/>
      <c r="J602" s="19"/>
      <c r="K602" s="19"/>
      <c r="L602" s="19"/>
      <c r="M602" s="19"/>
      <c r="N602" s="19"/>
      <c r="O602" s="14">
        <v>1.0</v>
      </c>
      <c r="P602" s="14">
        <v>1.0</v>
      </c>
      <c r="Q602" s="19"/>
      <c r="R602" s="19"/>
      <c r="S602" s="19"/>
      <c r="T602" s="19"/>
      <c r="U602" s="19"/>
      <c r="V602" s="19"/>
      <c r="W602" s="14"/>
      <c r="X602" s="14" t="s">
        <v>31</v>
      </c>
      <c r="Y602" s="9" t="s">
        <v>32</v>
      </c>
      <c r="Z602" s="21"/>
    </row>
    <row r="603">
      <c r="A603" s="9">
        <v>602.0</v>
      </c>
      <c r="B603" s="29" t="s">
        <v>2193</v>
      </c>
      <c r="C603" s="34" t="s">
        <v>2194</v>
      </c>
      <c r="D603" s="29" t="s">
        <v>2195</v>
      </c>
      <c r="E603" s="12" t="s">
        <v>36</v>
      </c>
      <c r="F603" s="12" t="s">
        <v>37</v>
      </c>
      <c r="G603" s="9" t="s">
        <v>58</v>
      </c>
      <c r="H603" s="18">
        <v>2018.0</v>
      </c>
      <c r="I603" s="14">
        <v>1.0</v>
      </c>
      <c r="J603" s="14">
        <v>1.0</v>
      </c>
      <c r="K603" s="14">
        <v>1.0</v>
      </c>
      <c r="L603" s="14">
        <v>1.0</v>
      </c>
      <c r="M603" s="14">
        <v>1.0</v>
      </c>
      <c r="N603" s="14">
        <v>0.0</v>
      </c>
      <c r="O603" s="14">
        <v>0.0</v>
      </c>
      <c r="P603" s="14">
        <v>0.0</v>
      </c>
      <c r="Q603" s="14">
        <v>0.0</v>
      </c>
      <c r="R603" s="14">
        <v>0.0</v>
      </c>
      <c r="S603" s="14">
        <v>0.0</v>
      </c>
      <c r="T603" s="14">
        <v>0.0</v>
      </c>
      <c r="U603" s="14">
        <v>0.0</v>
      </c>
      <c r="V603" s="14">
        <v>1.0</v>
      </c>
      <c r="W603" s="14"/>
      <c r="X603" s="14" t="s">
        <v>39</v>
      </c>
      <c r="Y603" s="9" t="s">
        <v>32</v>
      </c>
      <c r="Z603" s="24" t="s">
        <v>383</v>
      </c>
    </row>
    <row r="604">
      <c r="A604" s="9">
        <v>603.0</v>
      </c>
      <c r="B604" s="29" t="s">
        <v>2196</v>
      </c>
      <c r="C604" s="34" t="s">
        <v>2197</v>
      </c>
      <c r="D604" s="29" t="s">
        <v>2198</v>
      </c>
      <c r="E604" s="12" t="s">
        <v>80</v>
      </c>
      <c r="F604" s="12" t="s">
        <v>81</v>
      </c>
      <c r="G604" s="21"/>
      <c r="H604" s="18">
        <v>2018.0</v>
      </c>
      <c r="I604" s="19"/>
      <c r="J604" s="19"/>
      <c r="K604" s="19"/>
      <c r="L604" s="19"/>
      <c r="M604" s="19"/>
      <c r="N604" s="19"/>
      <c r="O604" s="14">
        <v>1.0</v>
      </c>
      <c r="P604" s="19"/>
      <c r="Q604" s="19"/>
      <c r="R604" s="19"/>
      <c r="S604" s="19"/>
      <c r="T604" s="19"/>
      <c r="U604" s="19"/>
      <c r="V604" s="19"/>
      <c r="W604" s="14"/>
      <c r="X604" s="14" t="s">
        <v>31</v>
      </c>
      <c r="Y604" s="9" t="s">
        <v>32</v>
      </c>
      <c r="Z604" s="21"/>
    </row>
    <row r="605">
      <c r="A605" s="9">
        <v>604.0</v>
      </c>
      <c r="B605" s="29" t="s">
        <v>2199</v>
      </c>
      <c r="C605" s="39" t="s">
        <v>2200</v>
      </c>
      <c r="D605" s="29" t="s">
        <v>2201</v>
      </c>
      <c r="E605" s="17" t="s">
        <v>2202</v>
      </c>
      <c r="F605" s="17" t="s">
        <v>2202</v>
      </c>
      <c r="G605" s="21"/>
      <c r="H605" s="18">
        <v>2020.0</v>
      </c>
      <c r="I605" s="19"/>
      <c r="J605" s="19"/>
      <c r="K605" s="19"/>
      <c r="L605" s="19"/>
      <c r="M605" s="19"/>
      <c r="N605" s="19"/>
      <c r="O605" s="19"/>
      <c r="P605" s="19"/>
      <c r="Q605" s="19"/>
      <c r="R605" s="19"/>
      <c r="S605" s="14">
        <v>1.0</v>
      </c>
      <c r="T605" s="19"/>
      <c r="U605" s="19"/>
      <c r="V605" s="19"/>
      <c r="W605" s="14"/>
      <c r="X605" s="14" t="s">
        <v>31</v>
      </c>
      <c r="Y605" s="9" t="s">
        <v>32</v>
      </c>
      <c r="Z605" s="21"/>
    </row>
    <row r="606">
      <c r="A606" s="9">
        <v>605.0</v>
      </c>
      <c r="B606" s="29" t="s">
        <v>2203</v>
      </c>
      <c r="C606" s="34" t="s">
        <v>2204</v>
      </c>
      <c r="D606" s="29" t="s">
        <v>2205</v>
      </c>
      <c r="E606" s="17" t="s">
        <v>2206</v>
      </c>
      <c r="F606" s="17" t="s">
        <v>2206</v>
      </c>
      <c r="G606" s="21"/>
      <c r="H606" s="18">
        <v>2018.0</v>
      </c>
      <c r="I606" s="19"/>
      <c r="J606" s="19"/>
      <c r="K606" s="19"/>
      <c r="L606" s="19"/>
      <c r="M606" s="19"/>
      <c r="N606" s="19"/>
      <c r="O606" s="19"/>
      <c r="P606" s="14">
        <v>1.0</v>
      </c>
      <c r="Q606" s="19"/>
      <c r="R606" s="19"/>
      <c r="S606" s="19"/>
      <c r="T606" s="19"/>
      <c r="U606" s="19"/>
      <c r="V606" s="19"/>
      <c r="W606" s="14"/>
      <c r="X606" s="14" t="s">
        <v>31</v>
      </c>
      <c r="Y606" s="9" t="s">
        <v>32</v>
      </c>
      <c r="Z606" s="21"/>
    </row>
    <row r="607">
      <c r="A607" s="9">
        <v>606.0</v>
      </c>
      <c r="B607" s="29" t="s">
        <v>2207</v>
      </c>
      <c r="C607" s="34" t="s">
        <v>2208</v>
      </c>
      <c r="D607" s="29" t="s">
        <v>2209</v>
      </c>
      <c r="E607" s="12" t="s">
        <v>80</v>
      </c>
      <c r="F607" s="12" t="s">
        <v>81</v>
      </c>
      <c r="G607" s="9" t="s">
        <v>58</v>
      </c>
      <c r="H607" s="18">
        <v>2018.0</v>
      </c>
      <c r="I607" s="14">
        <v>1.0</v>
      </c>
      <c r="J607" s="14">
        <v>1.0</v>
      </c>
      <c r="K607" s="14">
        <v>1.0</v>
      </c>
      <c r="L607" s="14">
        <v>1.0</v>
      </c>
      <c r="M607" s="14">
        <v>1.0</v>
      </c>
      <c r="N607" s="14">
        <v>0.0</v>
      </c>
      <c r="O607" s="14">
        <v>0.0</v>
      </c>
      <c r="P607" s="14">
        <v>0.0</v>
      </c>
      <c r="Q607" s="14">
        <v>0.0</v>
      </c>
      <c r="R607" s="14">
        <v>0.0</v>
      </c>
      <c r="S607" s="14">
        <v>0.0</v>
      </c>
      <c r="T607" s="14">
        <v>0.0</v>
      </c>
      <c r="U607" s="14">
        <v>0.0</v>
      </c>
      <c r="V607" s="14">
        <v>0.0</v>
      </c>
      <c r="W607" s="14" t="s">
        <v>39</v>
      </c>
      <c r="X607" s="14" t="s">
        <v>39</v>
      </c>
      <c r="Y607" s="9" t="s">
        <v>32</v>
      </c>
      <c r="Z607" s="21"/>
    </row>
    <row r="608">
      <c r="A608" s="9">
        <v>607.0</v>
      </c>
      <c r="B608" s="29" t="s">
        <v>2210</v>
      </c>
      <c r="C608" s="34" t="s">
        <v>2211</v>
      </c>
      <c r="D608" s="15" t="s">
        <v>2212</v>
      </c>
      <c r="E608" s="12" t="s">
        <v>36</v>
      </c>
      <c r="F608" s="12" t="s">
        <v>37</v>
      </c>
      <c r="G608" s="9" t="s">
        <v>38</v>
      </c>
      <c r="H608" s="18">
        <v>2020.0</v>
      </c>
      <c r="I608" s="14">
        <v>1.0</v>
      </c>
      <c r="J608" s="14">
        <v>1.0</v>
      </c>
      <c r="K608" s="14">
        <v>1.0</v>
      </c>
      <c r="L608" s="14">
        <v>1.0</v>
      </c>
      <c r="M608" s="14">
        <v>1.0</v>
      </c>
      <c r="N608" s="14">
        <v>0.0</v>
      </c>
      <c r="O608" s="14">
        <v>0.0</v>
      </c>
      <c r="P608" s="14">
        <v>0.0</v>
      </c>
      <c r="Q608" s="14">
        <v>0.0</v>
      </c>
      <c r="R608" s="14">
        <v>0.0</v>
      </c>
      <c r="S608" s="14">
        <v>0.0</v>
      </c>
      <c r="T608" s="14">
        <v>0.0</v>
      </c>
      <c r="U608" s="14">
        <v>0.0</v>
      </c>
      <c r="V608" s="14">
        <v>0.0</v>
      </c>
      <c r="W608" s="14" t="s">
        <v>39</v>
      </c>
      <c r="X608" s="14" t="s">
        <v>39</v>
      </c>
      <c r="Y608" s="9" t="s">
        <v>32</v>
      </c>
      <c r="Z608" s="21"/>
    </row>
    <row r="609">
      <c r="A609" s="9">
        <v>608.0</v>
      </c>
      <c r="B609" s="29" t="s">
        <v>2213</v>
      </c>
      <c r="C609" s="34" t="s">
        <v>2214</v>
      </c>
      <c r="D609" s="29" t="s">
        <v>2215</v>
      </c>
      <c r="E609" s="12" t="s">
        <v>36</v>
      </c>
      <c r="F609" s="12" t="s">
        <v>37</v>
      </c>
      <c r="G609" s="21"/>
      <c r="H609" s="18">
        <v>2019.0</v>
      </c>
      <c r="I609" s="19"/>
      <c r="J609" s="19"/>
      <c r="K609" s="19"/>
      <c r="L609" s="19"/>
      <c r="M609" s="19"/>
      <c r="N609" s="14">
        <v>1.0</v>
      </c>
      <c r="O609" s="19"/>
      <c r="P609" s="19"/>
      <c r="Q609" s="19"/>
      <c r="R609" s="19"/>
      <c r="S609" s="19"/>
      <c r="T609" s="19"/>
      <c r="U609" s="19"/>
      <c r="V609" s="19"/>
      <c r="W609" s="14"/>
      <c r="X609" s="14" t="s">
        <v>31</v>
      </c>
      <c r="Y609" s="9" t="s">
        <v>32</v>
      </c>
      <c r="Z609" s="9" t="s">
        <v>2216</v>
      </c>
    </row>
    <row r="610">
      <c r="A610" s="9">
        <v>609.0</v>
      </c>
      <c r="B610" s="29" t="s">
        <v>2217</v>
      </c>
      <c r="C610" s="34" t="s">
        <v>2218</v>
      </c>
      <c r="D610" s="29" t="s">
        <v>2219</v>
      </c>
      <c r="E610" s="17" t="s">
        <v>1270</v>
      </c>
      <c r="F610" s="17" t="s">
        <v>1270</v>
      </c>
      <c r="G610" s="21"/>
      <c r="H610" s="18">
        <v>2019.0</v>
      </c>
      <c r="I610" s="19"/>
      <c r="J610" s="19"/>
      <c r="K610" s="19"/>
      <c r="L610" s="19"/>
      <c r="M610" s="19"/>
      <c r="N610" s="19"/>
      <c r="O610" s="19"/>
      <c r="P610" s="19"/>
      <c r="Q610" s="19"/>
      <c r="R610" s="14"/>
      <c r="S610" s="19"/>
      <c r="T610" s="14">
        <v>1.0</v>
      </c>
      <c r="U610" s="19"/>
      <c r="V610" s="19"/>
      <c r="W610" s="14"/>
      <c r="X610" s="14" t="s">
        <v>31</v>
      </c>
      <c r="Y610" s="9" t="s">
        <v>32</v>
      </c>
      <c r="Z610" s="9" t="s">
        <v>70</v>
      </c>
    </row>
    <row r="611">
      <c r="A611" s="9">
        <v>610.0</v>
      </c>
      <c r="B611" s="29" t="s">
        <v>2220</v>
      </c>
      <c r="C611" s="34" t="s">
        <v>2221</v>
      </c>
      <c r="D611" s="29" t="s">
        <v>2222</v>
      </c>
      <c r="E611" s="25" t="s">
        <v>62</v>
      </c>
      <c r="F611" s="25" t="s">
        <v>62</v>
      </c>
      <c r="G611" s="21"/>
      <c r="H611" s="18">
        <v>2020.0</v>
      </c>
      <c r="I611" s="19"/>
      <c r="J611" s="19"/>
      <c r="K611" s="19"/>
      <c r="L611" s="19"/>
      <c r="M611" s="19"/>
      <c r="N611" s="19"/>
      <c r="O611" s="14">
        <v>1.0</v>
      </c>
      <c r="P611" s="19"/>
      <c r="Q611" s="19"/>
      <c r="R611" s="19"/>
      <c r="S611" s="19"/>
      <c r="T611" s="19"/>
      <c r="U611" s="19"/>
      <c r="V611" s="19"/>
      <c r="W611" s="14"/>
      <c r="X611" s="14" t="s">
        <v>31</v>
      </c>
      <c r="Y611" s="9" t="s">
        <v>32</v>
      </c>
      <c r="Z611" s="21"/>
    </row>
    <row r="612">
      <c r="A612" s="9">
        <v>611.0</v>
      </c>
      <c r="B612" s="29" t="s">
        <v>2223</v>
      </c>
      <c r="C612" s="34" t="s">
        <v>2224</v>
      </c>
      <c r="D612" s="29" t="s">
        <v>2225</v>
      </c>
      <c r="E612" s="12" t="s">
        <v>36</v>
      </c>
      <c r="F612" s="12" t="s">
        <v>37</v>
      </c>
      <c r="G612" s="9" t="s">
        <v>58</v>
      </c>
      <c r="H612" s="18">
        <v>2018.0</v>
      </c>
      <c r="I612" s="14">
        <v>1.0</v>
      </c>
      <c r="J612" s="14">
        <v>1.0</v>
      </c>
      <c r="K612" s="14">
        <v>1.0</v>
      </c>
      <c r="L612" s="14">
        <v>1.0</v>
      </c>
      <c r="M612" s="14">
        <v>1.0</v>
      </c>
      <c r="N612" s="14">
        <v>0.0</v>
      </c>
      <c r="O612" s="14">
        <v>0.0</v>
      </c>
      <c r="P612" s="14">
        <v>0.0</v>
      </c>
      <c r="Q612" s="14">
        <v>0.0</v>
      </c>
      <c r="R612" s="14">
        <v>0.0</v>
      </c>
      <c r="S612" s="14">
        <v>0.0</v>
      </c>
      <c r="T612" s="14">
        <v>0.0</v>
      </c>
      <c r="U612" s="14">
        <v>0.0</v>
      </c>
      <c r="V612" s="14">
        <v>0.0</v>
      </c>
      <c r="W612" s="14" t="s">
        <v>39</v>
      </c>
      <c r="X612" s="14" t="s">
        <v>39</v>
      </c>
      <c r="Y612" s="9" t="s">
        <v>32</v>
      </c>
      <c r="Z612" s="21"/>
    </row>
    <row r="613">
      <c r="A613" s="9">
        <v>612.0</v>
      </c>
      <c r="B613" s="29" t="s">
        <v>2226</v>
      </c>
      <c r="C613" s="39" t="s">
        <v>2227</v>
      </c>
      <c r="D613" s="15" t="s">
        <v>2228</v>
      </c>
      <c r="E613" s="25" t="s">
        <v>128</v>
      </c>
      <c r="F613" s="25" t="s">
        <v>128</v>
      </c>
      <c r="G613" s="9" t="s">
        <v>38</v>
      </c>
      <c r="H613" s="18">
        <v>2020.0</v>
      </c>
      <c r="I613" s="14">
        <v>1.0</v>
      </c>
      <c r="J613" s="14">
        <v>1.0</v>
      </c>
      <c r="K613" s="14">
        <v>1.0</v>
      </c>
      <c r="L613" s="14">
        <v>1.0</v>
      </c>
      <c r="M613" s="14">
        <v>1.0</v>
      </c>
      <c r="N613" s="14">
        <v>0.0</v>
      </c>
      <c r="O613" s="14">
        <v>0.0</v>
      </c>
      <c r="P613" s="14">
        <v>0.0</v>
      </c>
      <c r="Q613" s="14">
        <v>0.0</v>
      </c>
      <c r="R613" s="14">
        <v>0.0</v>
      </c>
      <c r="S613" s="14">
        <v>0.0</v>
      </c>
      <c r="T613" s="14">
        <v>0.0</v>
      </c>
      <c r="U613" s="14">
        <v>0.0</v>
      </c>
      <c r="V613" s="14">
        <v>0.0</v>
      </c>
      <c r="W613" s="14" t="s">
        <v>39</v>
      </c>
      <c r="X613" s="14" t="s">
        <v>39</v>
      </c>
      <c r="Y613" s="9" t="s">
        <v>32</v>
      </c>
      <c r="Z613" s="21"/>
    </row>
    <row r="614">
      <c r="A614" s="9">
        <v>613.0</v>
      </c>
      <c r="B614" s="29" t="s">
        <v>2229</v>
      </c>
      <c r="C614" s="39" t="s">
        <v>2230</v>
      </c>
      <c r="D614" s="29" t="s">
        <v>2231</v>
      </c>
      <c r="E614" s="17" t="s">
        <v>44</v>
      </c>
      <c r="F614" s="17" t="s">
        <v>44</v>
      </c>
      <c r="G614" s="21"/>
      <c r="H614" s="18">
        <v>2018.0</v>
      </c>
      <c r="I614" s="19"/>
      <c r="J614" s="19"/>
      <c r="K614" s="19"/>
      <c r="L614" s="19"/>
      <c r="M614" s="19"/>
      <c r="N614" s="19"/>
      <c r="O614" s="19"/>
      <c r="P614" s="19"/>
      <c r="Q614" s="19"/>
      <c r="R614" s="19"/>
      <c r="S614" s="19"/>
      <c r="T614" s="19"/>
      <c r="U614" s="14">
        <v>1.0</v>
      </c>
      <c r="V614" s="19"/>
      <c r="W614" s="14"/>
      <c r="X614" s="14" t="s">
        <v>31</v>
      </c>
      <c r="Y614" s="9" t="s">
        <v>32</v>
      </c>
      <c r="Z614" s="9" t="s">
        <v>45</v>
      </c>
    </row>
    <row r="615">
      <c r="A615" s="9">
        <v>614.0</v>
      </c>
      <c r="B615" s="29" t="s">
        <v>2232</v>
      </c>
      <c r="C615" s="34" t="s">
        <v>2233</v>
      </c>
      <c r="D615" s="29" t="s">
        <v>2234</v>
      </c>
      <c r="E615" s="12" t="s">
        <v>36</v>
      </c>
      <c r="F615" s="12" t="s">
        <v>37</v>
      </c>
      <c r="G615" s="9" t="s">
        <v>38</v>
      </c>
      <c r="H615" s="18">
        <v>2018.0</v>
      </c>
      <c r="I615" s="14">
        <v>1.0</v>
      </c>
      <c r="J615" s="14">
        <v>1.0</v>
      </c>
      <c r="K615" s="14">
        <v>1.0</v>
      </c>
      <c r="L615" s="14">
        <v>1.0</v>
      </c>
      <c r="M615" s="14">
        <v>1.0</v>
      </c>
      <c r="N615" s="14">
        <v>0.0</v>
      </c>
      <c r="O615" s="14">
        <v>0.0</v>
      </c>
      <c r="P615" s="14">
        <v>0.0</v>
      </c>
      <c r="Q615" s="14">
        <v>0.0</v>
      </c>
      <c r="R615" s="14">
        <v>0.0</v>
      </c>
      <c r="S615" s="14">
        <v>0.0</v>
      </c>
      <c r="T615" s="14">
        <v>0.0</v>
      </c>
      <c r="U615" s="14">
        <v>0.0</v>
      </c>
      <c r="V615" s="14">
        <v>1.0</v>
      </c>
      <c r="W615" s="14"/>
      <c r="X615" s="14" t="s">
        <v>39</v>
      </c>
      <c r="Y615" s="9" t="s">
        <v>32</v>
      </c>
      <c r="Z615" s="24" t="s">
        <v>383</v>
      </c>
    </row>
    <row r="616">
      <c r="A616" s="9">
        <v>615.0</v>
      </c>
      <c r="B616" s="29" t="s">
        <v>2235</v>
      </c>
      <c r="C616" s="34" t="s">
        <v>2236</v>
      </c>
      <c r="D616" s="29" t="s">
        <v>2237</v>
      </c>
      <c r="E616" s="12" t="s">
        <v>36</v>
      </c>
      <c r="F616" s="12" t="s">
        <v>2238</v>
      </c>
      <c r="G616" s="9" t="s">
        <v>58</v>
      </c>
      <c r="H616" s="18">
        <v>2019.0</v>
      </c>
      <c r="I616" s="14">
        <v>1.0</v>
      </c>
      <c r="J616" s="14">
        <v>1.0</v>
      </c>
      <c r="K616" s="14">
        <v>1.0</v>
      </c>
      <c r="L616" s="14">
        <v>1.0</v>
      </c>
      <c r="M616" s="14">
        <v>1.0</v>
      </c>
      <c r="N616" s="14">
        <v>0.0</v>
      </c>
      <c r="O616" s="14">
        <v>0.0</v>
      </c>
      <c r="P616" s="14">
        <v>0.0</v>
      </c>
      <c r="Q616" s="14">
        <v>0.0</v>
      </c>
      <c r="R616" s="14">
        <v>0.0</v>
      </c>
      <c r="S616" s="14">
        <v>0.0</v>
      </c>
      <c r="T616" s="14">
        <v>0.0</v>
      </c>
      <c r="U616" s="14">
        <v>0.0</v>
      </c>
      <c r="V616" s="14">
        <v>0.0</v>
      </c>
      <c r="W616" s="14" t="s">
        <v>39</v>
      </c>
      <c r="X616" s="14" t="s">
        <v>39</v>
      </c>
      <c r="Y616" s="9" t="s">
        <v>32</v>
      </c>
      <c r="Z616" s="21"/>
    </row>
    <row r="617">
      <c r="A617" s="9">
        <v>616.0</v>
      </c>
      <c r="B617" s="29" t="s">
        <v>2239</v>
      </c>
      <c r="C617" s="34" t="s">
        <v>2240</v>
      </c>
      <c r="D617" s="29" t="s">
        <v>2241</v>
      </c>
      <c r="E617" s="25" t="s">
        <v>128</v>
      </c>
      <c r="F617" s="25" t="s">
        <v>128</v>
      </c>
      <c r="G617" s="9" t="s">
        <v>38</v>
      </c>
      <c r="H617" s="18">
        <v>2020.0</v>
      </c>
      <c r="I617" s="14">
        <v>1.0</v>
      </c>
      <c r="J617" s="14">
        <v>1.0</v>
      </c>
      <c r="K617" s="14">
        <v>1.0</v>
      </c>
      <c r="L617" s="14">
        <v>1.0</v>
      </c>
      <c r="M617" s="14">
        <v>1.0</v>
      </c>
      <c r="N617" s="14">
        <v>0.0</v>
      </c>
      <c r="O617" s="14">
        <v>0.0</v>
      </c>
      <c r="P617" s="14">
        <v>0.0</v>
      </c>
      <c r="Q617" s="14">
        <v>0.0</v>
      </c>
      <c r="R617" s="14">
        <v>0.0</v>
      </c>
      <c r="S617" s="14">
        <v>0.0</v>
      </c>
      <c r="T617" s="14">
        <v>0.0</v>
      </c>
      <c r="U617" s="14">
        <v>0.0</v>
      </c>
      <c r="V617" s="14">
        <v>0.0</v>
      </c>
      <c r="W617" s="14" t="s">
        <v>39</v>
      </c>
      <c r="X617" s="14" t="s">
        <v>39</v>
      </c>
      <c r="Y617" s="9" t="s">
        <v>32</v>
      </c>
      <c r="Z617" s="21"/>
    </row>
    <row r="618">
      <c r="A618" s="9">
        <v>617.0</v>
      </c>
      <c r="B618" s="29" t="s">
        <v>2242</v>
      </c>
      <c r="C618" s="34" t="s">
        <v>2243</v>
      </c>
      <c r="D618" s="29" t="s">
        <v>2244</v>
      </c>
      <c r="E618" s="12" t="s">
        <v>36</v>
      </c>
      <c r="F618" s="12" t="s">
        <v>37</v>
      </c>
      <c r="G618" s="9" t="s">
        <v>58</v>
      </c>
      <c r="H618" s="18">
        <v>2018.0</v>
      </c>
      <c r="I618" s="14">
        <v>1.0</v>
      </c>
      <c r="J618" s="14">
        <v>1.0</v>
      </c>
      <c r="K618" s="14">
        <v>1.0</v>
      </c>
      <c r="L618" s="14">
        <v>1.0</v>
      </c>
      <c r="M618" s="14">
        <v>1.0</v>
      </c>
      <c r="N618" s="14">
        <v>0.0</v>
      </c>
      <c r="O618" s="14">
        <v>0.0</v>
      </c>
      <c r="P618" s="14">
        <v>0.0</v>
      </c>
      <c r="Q618" s="14">
        <v>0.0</v>
      </c>
      <c r="R618" s="14">
        <v>0.0</v>
      </c>
      <c r="S618" s="14">
        <v>0.0</v>
      </c>
      <c r="T618" s="14">
        <v>0.0</v>
      </c>
      <c r="U618" s="14">
        <v>0.0</v>
      </c>
      <c r="V618" s="14">
        <v>0.0</v>
      </c>
      <c r="W618" s="14" t="s">
        <v>39</v>
      </c>
      <c r="X618" s="14" t="s">
        <v>39</v>
      </c>
      <c r="Y618" s="9" t="s">
        <v>32</v>
      </c>
      <c r="Z618" s="21"/>
    </row>
    <row r="619">
      <c r="A619" s="9">
        <v>618.0</v>
      </c>
      <c r="B619" s="29" t="s">
        <v>2245</v>
      </c>
      <c r="C619" s="39" t="s">
        <v>2246</v>
      </c>
      <c r="D619" s="29" t="s">
        <v>2247</v>
      </c>
      <c r="E619" s="17" t="s">
        <v>2248</v>
      </c>
      <c r="F619" s="17" t="s">
        <v>2248</v>
      </c>
      <c r="G619" s="21"/>
      <c r="H619" s="18">
        <v>2018.0</v>
      </c>
      <c r="I619" s="19"/>
      <c r="J619" s="19"/>
      <c r="K619" s="19"/>
      <c r="L619" s="19"/>
      <c r="M619" s="19"/>
      <c r="N619" s="19"/>
      <c r="O619" s="19"/>
      <c r="P619" s="14">
        <v>1.0</v>
      </c>
      <c r="Q619" s="19"/>
      <c r="R619" s="19"/>
      <c r="S619" s="19"/>
      <c r="T619" s="19"/>
      <c r="U619" s="19"/>
      <c r="V619" s="19"/>
      <c r="W619" s="14"/>
      <c r="X619" s="14" t="s">
        <v>31</v>
      </c>
      <c r="Y619" s="9" t="s">
        <v>32</v>
      </c>
      <c r="Z619" s="21"/>
    </row>
    <row r="620">
      <c r="A620" s="9">
        <v>619.0</v>
      </c>
      <c r="B620" s="29" t="s">
        <v>2249</v>
      </c>
      <c r="C620" s="34" t="s">
        <v>2250</v>
      </c>
      <c r="D620" s="29" t="s">
        <v>2251</v>
      </c>
      <c r="E620" s="12" t="s">
        <v>36</v>
      </c>
      <c r="F620" s="12" t="s">
        <v>37</v>
      </c>
      <c r="G620" s="21"/>
      <c r="H620" s="18">
        <v>2019.0</v>
      </c>
      <c r="I620" s="14">
        <v>0.0</v>
      </c>
      <c r="J620" s="19"/>
      <c r="K620" s="19"/>
      <c r="L620" s="19"/>
      <c r="M620" s="19"/>
      <c r="N620" s="19"/>
      <c r="O620" s="19"/>
      <c r="P620" s="19"/>
      <c r="Q620" s="19"/>
      <c r="R620" s="19"/>
      <c r="S620" s="19"/>
      <c r="T620" s="19"/>
      <c r="U620" s="19"/>
      <c r="V620" s="19"/>
      <c r="W620" s="14"/>
      <c r="X620" s="14" t="s">
        <v>31</v>
      </c>
      <c r="Y620" s="9" t="s">
        <v>32</v>
      </c>
      <c r="Z620" s="21"/>
    </row>
    <row r="621">
      <c r="A621" s="9">
        <v>620.0</v>
      </c>
      <c r="B621" s="29" t="s">
        <v>2252</v>
      </c>
      <c r="C621" s="39" t="s">
        <v>2253</v>
      </c>
      <c r="D621" s="29" t="s">
        <v>2254</v>
      </c>
      <c r="E621" s="25" t="s">
        <v>128</v>
      </c>
      <c r="F621" s="25" t="s">
        <v>128</v>
      </c>
      <c r="G621" s="21"/>
      <c r="H621" s="18">
        <v>2020.0</v>
      </c>
      <c r="I621" s="19"/>
      <c r="J621" s="19"/>
      <c r="K621" s="19"/>
      <c r="L621" s="19"/>
      <c r="M621" s="19"/>
      <c r="N621" s="19"/>
      <c r="O621" s="14">
        <v>1.0</v>
      </c>
      <c r="P621" s="19"/>
      <c r="Q621" s="19"/>
      <c r="R621" s="19"/>
      <c r="S621" s="19"/>
      <c r="T621" s="19"/>
      <c r="U621" s="19"/>
      <c r="V621" s="19"/>
      <c r="W621" s="14"/>
      <c r="X621" s="14" t="s">
        <v>31</v>
      </c>
      <c r="Y621" s="9" t="s">
        <v>32</v>
      </c>
      <c r="Z621" s="21"/>
    </row>
    <row r="622">
      <c r="A622" s="9">
        <v>621.0</v>
      </c>
      <c r="B622" s="29" t="s">
        <v>2255</v>
      </c>
      <c r="C622" s="34" t="s">
        <v>2256</v>
      </c>
      <c r="D622" s="15" t="s">
        <v>2257</v>
      </c>
      <c r="E622" s="12" t="s">
        <v>80</v>
      </c>
      <c r="F622" s="12" t="s">
        <v>81</v>
      </c>
      <c r="G622" s="9" t="s">
        <v>58</v>
      </c>
      <c r="H622" s="18">
        <v>2018.0</v>
      </c>
      <c r="I622" s="14"/>
      <c r="J622" s="14"/>
      <c r="K622" s="14"/>
      <c r="L622" s="14"/>
      <c r="M622" s="14"/>
      <c r="N622" s="14">
        <v>1.0</v>
      </c>
      <c r="O622" s="14">
        <v>1.0</v>
      </c>
      <c r="P622" s="14"/>
      <c r="Q622" s="14"/>
      <c r="R622" s="14"/>
      <c r="S622" s="14"/>
      <c r="T622" s="14"/>
      <c r="U622" s="14"/>
      <c r="V622" s="14"/>
      <c r="W622" s="14" t="s">
        <v>31</v>
      </c>
      <c r="X622" s="14" t="s">
        <v>39</v>
      </c>
      <c r="Y622" s="9" t="s">
        <v>32</v>
      </c>
      <c r="Z622" s="9" t="s">
        <v>2258</v>
      </c>
    </row>
    <row r="623">
      <c r="A623" s="9">
        <v>622.0</v>
      </c>
      <c r="B623" s="29" t="s">
        <v>2259</v>
      </c>
      <c r="C623" s="39" t="s">
        <v>2260</v>
      </c>
      <c r="D623" s="29" t="s">
        <v>2261</v>
      </c>
      <c r="E623" s="17" t="s">
        <v>265</v>
      </c>
      <c r="F623" s="17" t="s">
        <v>265</v>
      </c>
      <c r="G623" s="9" t="s">
        <v>58</v>
      </c>
      <c r="H623" s="18">
        <v>2020.0</v>
      </c>
      <c r="I623" s="19"/>
      <c r="J623" s="19"/>
      <c r="K623" s="19"/>
      <c r="L623" s="19"/>
      <c r="M623" s="19"/>
      <c r="N623" s="14">
        <v>1.0</v>
      </c>
      <c r="O623" s="19"/>
      <c r="P623" s="19"/>
      <c r="Q623" s="19"/>
      <c r="R623" s="19"/>
      <c r="S623" s="19"/>
      <c r="T623" s="19"/>
      <c r="U623" s="19"/>
      <c r="V623" s="14"/>
      <c r="W623" s="14" t="s">
        <v>31</v>
      </c>
      <c r="X623" s="14" t="s">
        <v>39</v>
      </c>
      <c r="Y623" s="9" t="s">
        <v>32</v>
      </c>
      <c r="Z623" s="24"/>
    </row>
    <row r="624">
      <c r="A624" s="9">
        <v>623.0</v>
      </c>
      <c r="B624" s="29" t="s">
        <v>2262</v>
      </c>
      <c r="C624" s="34" t="s">
        <v>2263</v>
      </c>
      <c r="D624" s="29" t="s">
        <v>2264</v>
      </c>
      <c r="E624" s="25" t="s">
        <v>128</v>
      </c>
      <c r="F624" s="25" t="s">
        <v>128</v>
      </c>
      <c r="G624" s="9" t="s">
        <v>38</v>
      </c>
      <c r="H624" s="18">
        <v>2019.0</v>
      </c>
      <c r="I624" s="14">
        <v>1.0</v>
      </c>
      <c r="J624" s="14">
        <v>1.0</v>
      </c>
      <c r="K624" s="14">
        <v>1.0</v>
      </c>
      <c r="L624" s="14">
        <v>1.0</v>
      </c>
      <c r="M624" s="14">
        <v>1.0</v>
      </c>
      <c r="N624" s="14">
        <v>0.0</v>
      </c>
      <c r="O624" s="14">
        <v>0.0</v>
      </c>
      <c r="P624" s="14">
        <v>0.0</v>
      </c>
      <c r="Q624" s="14">
        <v>0.0</v>
      </c>
      <c r="R624" s="14">
        <v>0.0</v>
      </c>
      <c r="S624" s="14">
        <v>0.0</v>
      </c>
      <c r="T624" s="14">
        <v>0.0</v>
      </c>
      <c r="U624" s="14">
        <v>0.0</v>
      </c>
      <c r="V624" s="14">
        <v>0.0</v>
      </c>
      <c r="W624" s="14" t="s">
        <v>39</v>
      </c>
      <c r="X624" s="14" t="s">
        <v>39</v>
      </c>
      <c r="Y624" s="9" t="s">
        <v>32</v>
      </c>
      <c r="Z624" s="21"/>
    </row>
    <row r="625">
      <c r="A625" s="9">
        <v>624.0</v>
      </c>
      <c r="B625" s="29" t="s">
        <v>2265</v>
      </c>
      <c r="C625" s="34" t="s">
        <v>2266</v>
      </c>
      <c r="D625" s="29" t="s">
        <v>2267</v>
      </c>
      <c r="E625" s="25" t="s">
        <v>128</v>
      </c>
      <c r="F625" s="25" t="s">
        <v>128</v>
      </c>
      <c r="G625" s="21"/>
      <c r="H625" s="18">
        <v>2020.0</v>
      </c>
      <c r="I625" s="19"/>
      <c r="J625" s="19"/>
      <c r="K625" s="19"/>
      <c r="L625" s="19"/>
      <c r="M625" s="19"/>
      <c r="N625" s="19"/>
      <c r="O625" s="14">
        <v>1.0</v>
      </c>
      <c r="P625" s="19"/>
      <c r="Q625" s="19"/>
      <c r="R625" s="19"/>
      <c r="S625" s="19"/>
      <c r="T625" s="19"/>
      <c r="U625" s="19"/>
      <c r="V625" s="19"/>
      <c r="W625" s="14" t="s">
        <v>31</v>
      </c>
      <c r="X625" s="14" t="s">
        <v>39</v>
      </c>
      <c r="Y625" s="9" t="s">
        <v>32</v>
      </c>
      <c r="Z625" s="21"/>
    </row>
    <row r="626">
      <c r="A626" s="9">
        <v>625.0</v>
      </c>
      <c r="B626" s="29" t="s">
        <v>2268</v>
      </c>
      <c r="C626" s="34" t="s">
        <v>2269</v>
      </c>
      <c r="D626" s="29" t="s">
        <v>2270</v>
      </c>
      <c r="E626" s="25" t="s">
        <v>128</v>
      </c>
      <c r="F626" s="25" t="s">
        <v>128</v>
      </c>
      <c r="G626" s="9" t="s">
        <v>38</v>
      </c>
      <c r="H626" s="18">
        <v>2020.0</v>
      </c>
      <c r="I626" s="14">
        <v>1.0</v>
      </c>
      <c r="J626" s="14">
        <v>1.0</v>
      </c>
      <c r="K626" s="14">
        <v>1.0</v>
      </c>
      <c r="L626" s="14">
        <v>1.0</v>
      </c>
      <c r="M626" s="14">
        <v>1.0</v>
      </c>
      <c r="N626" s="14">
        <v>0.0</v>
      </c>
      <c r="O626" s="14">
        <v>0.0</v>
      </c>
      <c r="P626" s="14">
        <v>0.0</v>
      </c>
      <c r="Q626" s="14">
        <v>0.0</v>
      </c>
      <c r="R626" s="14">
        <v>0.0</v>
      </c>
      <c r="S626" s="14">
        <v>0.0</v>
      </c>
      <c r="T626" s="14">
        <v>0.0</v>
      </c>
      <c r="U626" s="14">
        <v>0.0</v>
      </c>
      <c r="V626" s="14">
        <v>0.0</v>
      </c>
      <c r="W626" s="14" t="s">
        <v>39</v>
      </c>
      <c r="X626" s="14" t="s">
        <v>39</v>
      </c>
      <c r="Y626" s="9" t="s">
        <v>32</v>
      </c>
      <c r="Z626" s="21"/>
    </row>
    <row r="627">
      <c r="A627" s="9">
        <v>626.0</v>
      </c>
      <c r="B627" s="29" t="s">
        <v>2271</v>
      </c>
      <c r="C627" s="39" t="s">
        <v>2272</v>
      </c>
      <c r="D627" s="29" t="s">
        <v>2273</v>
      </c>
      <c r="E627" s="25" t="s">
        <v>62</v>
      </c>
      <c r="F627" s="25" t="s">
        <v>62</v>
      </c>
      <c r="G627" s="21"/>
      <c r="H627" s="18">
        <v>2021.0</v>
      </c>
      <c r="I627" s="19"/>
      <c r="J627" s="19"/>
      <c r="K627" s="19"/>
      <c r="L627" s="19"/>
      <c r="M627" s="19"/>
      <c r="N627" s="19"/>
      <c r="O627" s="19"/>
      <c r="P627" s="19"/>
      <c r="Q627" s="19"/>
      <c r="R627" s="19"/>
      <c r="S627" s="14">
        <v>1.0</v>
      </c>
      <c r="T627" s="19"/>
      <c r="U627" s="19"/>
      <c r="V627" s="19"/>
      <c r="W627" s="14"/>
      <c r="X627" s="14" t="s">
        <v>31</v>
      </c>
      <c r="Y627" s="9" t="s">
        <v>32</v>
      </c>
      <c r="Z627" s="9" t="s">
        <v>2274</v>
      </c>
    </row>
    <row r="628">
      <c r="A628" s="9">
        <v>627.0</v>
      </c>
      <c r="B628" s="29" t="s">
        <v>2275</v>
      </c>
      <c r="C628" s="34" t="s">
        <v>2276</v>
      </c>
      <c r="D628" s="29" t="s">
        <v>1533</v>
      </c>
      <c r="E628" s="25" t="s">
        <v>128</v>
      </c>
      <c r="F628" s="25" t="s">
        <v>128</v>
      </c>
      <c r="G628" s="9" t="s">
        <v>38</v>
      </c>
      <c r="H628" s="18">
        <v>2020.0</v>
      </c>
      <c r="I628" s="14">
        <v>1.0</v>
      </c>
      <c r="J628" s="14">
        <v>1.0</v>
      </c>
      <c r="K628" s="14">
        <v>1.0</v>
      </c>
      <c r="L628" s="14">
        <v>1.0</v>
      </c>
      <c r="M628" s="14">
        <v>1.0</v>
      </c>
      <c r="N628" s="14">
        <v>0.0</v>
      </c>
      <c r="O628" s="14">
        <v>0.0</v>
      </c>
      <c r="P628" s="14">
        <v>0.0</v>
      </c>
      <c r="Q628" s="14">
        <v>0.0</v>
      </c>
      <c r="R628" s="14">
        <v>0.0</v>
      </c>
      <c r="S628" s="14">
        <v>0.0</v>
      </c>
      <c r="T628" s="14">
        <v>0.0</v>
      </c>
      <c r="U628" s="14">
        <v>0.0</v>
      </c>
      <c r="V628" s="14">
        <v>0.0</v>
      </c>
      <c r="W628" s="14" t="s">
        <v>39</v>
      </c>
      <c r="X628" s="14" t="s">
        <v>39</v>
      </c>
      <c r="Y628" s="9" t="s">
        <v>32</v>
      </c>
      <c r="Z628" s="21"/>
    </row>
    <row r="629">
      <c r="A629" s="9">
        <v>628.0</v>
      </c>
      <c r="B629" s="29" t="s">
        <v>2277</v>
      </c>
      <c r="C629" s="34" t="s">
        <v>2278</v>
      </c>
      <c r="D629" s="29" t="s">
        <v>2279</v>
      </c>
      <c r="E629" s="12" t="s">
        <v>2280</v>
      </c>
      <c r="F629" s="12" t="s">
        <v>2281</v>
      </c>
      <c r="G629" s="9" t="s">
        <v>38</v>
      </c>
      <c r="H629" s="18">
        <v>2018.0</v>
      </c>
      <c r="I629" s="14">
        <v>1.0</v>
      </c>
      <c r="J629" s="14">
        <v>1.0</v>
      </c>
      <c r="K629" s="14">
        <v>1.0</v>
      </c>
      <c r="L629" s="14">
        <v>1.0</v>
      </c>
      <c r="M629" s="14">
        <v>1.0</v>
      </c>
      <c r="N629" s="14">
        <v>0.0</v>
      </c>
      <c r="O629" s="14">
        <v>0.0</v>
      </c>
      <c r="P629" s="14">
        <v>0.0</v>
      </c>
      <c r="Q629" s="14">
        <v>0.0</v>
      </c>
      <c r="R629" s="14">
        <v>0.0</v>
      </c>
      <c r="S629" s="14">
        <v>0.0</v>
      </c>
      <c r="T629" s="14">
        <v>0.0</v>
      </c>
      <c r="U629" s="14">
        <v>0.0</v>
      </c>
      <c r="V629" s="14">
        <v>0.0</v>
      </c>
      <c r="W629" s="14" t="s">
        <v>39</v>
      </c>
      <c r="X629" s="14" t="s">
        <v>39</v>
      </c>
      <c r="Y629" s="9" t="s">
        <v>32</v>
      </c>
      <c r="Z629" s="21"/>
    </row>
    <row r="630">
      <c r="A630" s="9">
        <v>629.0</v>
      </c>
      <c r="B630" s="29" t="s">
        <v>2282</v>
      </c>
      <c r="C630" s="34" t="s">
        <v>2283</v>
      </c>
      <c r="D630" s="29" t="s">
        <v>2284</v>
      </c>
      <c r="E630" s="25" t="s">
        <v>62</v>
      </c>
      <c r="F630" s="25" t="s">
        <v>62</v>
      </c>
      <c r="G630" s="9" t="s">
        <v>38</v>
      </c>
      <c r="H630" s="18">
        <v>2019.0</v>
      </c>
      <c r="I630" s="14">
        <v>1.0</v>
      </c>
      <c r="J630" s="14">
        <v>1.0</v>
      </c>
      <c r="K630" s="14">
        <v>1.0</v>
      </c>
      <c r="L630" s="14">
        <v>1.0</v>
      </c>
      <c r="M630" s="14">
        <v>1.0</v>
      </c>
      <c r="N630" s="14">
        <v>0.0</v>
      </c>
      <c r="O630" s="14">
        <v>0.0</v>
      </c>
      <c r="P630" s="14">
        <v>0.0</v>
      </c>
      <c r="Q630" s="14">
        <v>0.0</v>
      </c>
      <c r="R630" s="14">
        <v>0.0</v>
      </c>
      <c r="S630" s="14">
        <v>0.0</v>
      </c>
      <c r="T630" s="14">
        <v>0.0</v>
      </c>
      <c r="U630" s="14">
        <v>0.0</v>
      </c>
      <c r="V630" s="14">
        <v>0.0</v>
      </c>
      <c r="W630" s="14" t="s">
        <v>39</v>
      </c>
      <c r="X630" s="14" t="s">
        <v>39</v>
      </c>
      <c r="Y630" s="9" t="s">
        <v>32</v>
      </c>
      <c r="Z630" s="21"/>
    </row>
    <row r="631">
      <c r="A631" s="9">
        <v>630.0</v>
      </c>
      <c r="B631" s="29" t="s">
        <v>2285</v>
      </c>
      <c r="C631" s="39" t="s">
        <v>2286</v>
      </c>
      <c r="D631" s="29" t="s">
        <v>2287</v>
      </c>
      <c r="E631" s="25" t="s">
        <v>62</v>
      </c>
      <c r="F631" s="25" t="s">
        <v>62</v>
      </c>
      <c r="G631" s="21"/>
      <c r="H631" s="18">
        <v>2020.0</v>
      </c>
      <c r="I631" s="19"/>
      <c r="J631" s="19"/>
      <c r="K631" s="19"/>
      <c r="L631" s="19"/>
      <c r="M631" s="19"/>
      <c r="N631" s="19"/>
      <c r="O631" s="19"/>
      <c r="P631" s="19"/>
      <c r="Q631" s="19"/>
      <c r="R631" s="19"/>
      <c r="S631" s="19"/>
      <c r="T631" s="19"/>
      <c r="U631" s="19"/>
      <c r="V631" s="14">
        <v>1.0</v>
      </c>
      <c r="W631" s="14"/>
      <c r="X631" s="14" t="s">
        <v>31</v>
      </c>
      <c r="Y631" s="9" t="s">
        <v>32</v>
      </c>
      <c r="Z631" s="9" t="s">
        <v>2288</v>
      </c>
    </row>
    <row r="632">
      <c r="A632" s="9">
        <v>631.0</v>
      </c>
      <c r="B632" s="29" t="s">
        <v>2289</v>
      </c>
      <c r="C632" s="34" t="s">
        <v>2290</v>
      </c>
      <c r="D632" s="29" t="s">
        <v>2291</v>
      </c>
      <c r="E632" s="12" t="s">
        <v>36</v>
      </c>
      <c r="F632" s="12" t="s">
        <v>37</v>
      </c>
      <c r="G632" s="9" t="s">
        <v>58</v>
      </c>
      <c r="H632" s="18">
        <v>2018.0</v>
      </c>
      <c r="I632" s="14">
        <v>1.0</v>
      </c>
      <c r="J632" s="14">
        <v>1.0</v>
      </c>
      <c r="K632" s="14">
        <v>1.0</v>
      </c>
      <c r="L632" s="14">
        <v>1.0</v>
      </c>
      <c r="M632" s="14">
        <v>1.0</v>
      </c>
      <c r="N632" s="14">
        <v>0.0</v>
      </c>
      <c r="O632" s="14">
        <v>0.0</v>
      </c>
      <c r="P632" s="14">
        <v>0.0</v>
      </c>
      <c r="Q632" s="14">
        <v>0.0</v>
      </c>
      <c r="R632" s="14">
        <v>0.0</v>
      </c>
      <c r="S632" s="14">
        <v>0.0</v>
      </c>
      <c r="T632" s="14">
        <v>0.0</v>
      </c>
      <c r="U632" s="14">
        <v>0.0</v>
      </c>
      <c r="V632" s="14">
        <v>0.0</v>
      </c>
      <c r="W632" s="14" t="s">
        <v>39</v>
      </c>
      <c r="X632" s="14" t="s">
        <v>39</v>
      </c>
      <c r="Y632" s="9" t="s">
        <v>32</v>
      </c>
      <c r="Z632" s="21"/>
    </row>
    <row r="633">
      <c r="A633" s="9">
        <v>632.0</v>
      </c>
      <c r="B633" s="29" t="s">
        <v>2292</v>
      </c>
      <c r="C633" s="34" t="s">
        <v>2293</v>
      </c>
      <c r="D633" s="29" t="s">
        <v>2294</v>
      </c>
      <c r="E633" s="25" t="s">
        <v>128</v>
      </c>
      <c r="F633" s="25" t="s">
        <v>128</v>
      </c>
      <c r="G633" s="9" t="s">
        <v>38</v>
      </c>
      <c r="H633" s="18">
        <v>2019.0</v>
      </c>
      <c r="I633" s="14">
        <v>1.0</v>
      </c>
      <c r="J633" s="14">
        <v>1.0</v>
      </c>
      <c r="K633" s="14">
        <v>1.0</v>
      </c>
      <c r="L633" s="14">
        <v>1.0</v>
      </c>
      <c r="M633" s="14">
        <v>1.0</v>
      </c>
      <c r="N633" s="14">
        <v>0.0</v>
      </c>
      <c r="O633" s="14">
        <v>0.0</v>
      </c>
      <c r="P633" s="14">
        <v>0.0</v>
      </c>
      <c r="Q633" s="14">
        <v>0.0</v>
      </c>
      <c r="R633" s="14">
        <v>0.0</v>
      </c>
      <c r="S633" s="14">
        <v>0.0</v>
      </c>
      <c r="T633" s="14">
        <v>0.0</v>
      </c>
      <c r="U633" s="14">
        <v>0.0</v>
      </c>
      <c r="V633" s="14">
        <v>0.0</v>
      </c>
      <c r="W633" s="14" t="s">
        <v>39</v>
      </c>
      <c r="X633" s="14" t="s">
        <v>39</v>
      </c>
      <c r="Y633" s="9" t="s">
        <v>32</v>
      </c>
      <c r="Z633" s="21"/>
    </row>
    <row r="634">
      <c r="A634" s="9">
        <v>633.0</v>
      </c>
      <c r="B634" s="29" t="s">
        <v>2295</v>
      </c>
      <c r="C634" s="34" t="s">
        <v>2296</v>
      </c>
      <c r="D634" s="29" t="s">
        <v>118</v>
      </c>
      <c r="E634" s="12" t="s">
        <v>36</v>
      </c>
      <c r="F634" s="12" t="s">
        <v>37</v>
      </c>
      <c r="G634" s="9" t="s">
        <v>38</v>
      </c>
      <c r="H634" s="18">
        <v>2019.0</v>
      </c>
      <c r="I634" s="14">
        <v>1.0</v>
      </c>
      <c r="J634" s="14">
        <v>1.0</v>
      </c>
      <c r="K634" s="14">
        <v>1.0</v>
      </c>
      <c r="L634" s="14">
        <v>1.0</v>
      </c>
      <c r="M634" s="14">
        <v>1.0</v>
      </c>
      <c r="N634" s="14">
        <v>0.0</v>
      </c>
      <c r="O634" s="14">
        <v>0.0</v>
      </c>
      <c r="P634" s="14">
        <v>0.0</v>
      </c>
      <c r="Q634" s="14">
        <v>0.0</v>
      </c>
      <c r="R634" s="14">
        <v>0.0</v>
      </c>
      <c r="S634" s="14">
        <v>0.0</v>
      </c>
      <c r="T634" s="14">
        <v>0.0</v>
      </c>
      <c r="U634" s="14">
        <v>0.0</v>
      </c>
      <c r="V634" s="14">
        <v>0.0</v>
      </c>
      <c r="W634" s="14" t="s">
        <v>39</v>
      </c>
      <c r="X634" s="14" t="s">
        <v>39</v>
      </c>
      <c r="Y634" s="9" t="s">
        <v>32</v>
      </c>
      <c r="Z634" s="9"/>
    </row>
    <row r="635">
      <c r="A635" s="9">
        <v>634.0</v>
      </c>
      <c r="B635" s="29" t="s">
        <v>2297</v>
      </c>
      <c r="C635" s="34" t="s">
        <v>2298</v>
      </c>
      <c r="D635" s="29" t="s">
        <v>608</v>
      </c>
      <c r="E635" s="17" t="s">
        <v>49</v>
      </c>
      <c r="F635" s="17" t="s">
        <v>49</v>
      </c>
      <c r="G635" s="21"/>
      <c r="H635" s="18">
        <v>2018.0</v>
      </c>
      <c r="I635" s="19"/>
      <c r="J635" s="19"/>
      <c r="K635" s="19"/>
      <c r="L635" s="19"/>
      <c r="M635" s="19"/>
      <c r="N635" s="19"/>
      <c r="O635" s="19"/>
      <c r="P635" s="19"/>
      <c r="Q635" s="19"/>
      <c r="R635" s="19"/>
      <c r="S635" s="19"/>
      <c r="T635" s="14">
        <v>1.0</v>
      </c>
      <c r="U635" s="19"/>
      <c r="V635" s="14"/>
      <c r="W635" s="14"/>
      <c r="X635" s="14" t="s">
        <v>31</v>
      </c>
      <c r="Y635" s="9" t="s">
        <v>32</v>
      </c>
      <c r="Z635" s="9" t="s">
        <v>50</v>
      </c>
    </row>
    <row r="636">
      <c r="A636" s="9">
        <v>635.0</v>
      </c>
      <c r="B636" s="29" t="s">
        <v>2299</v>
      </c>
      <c r="C636" s="34" t="s">
        <v>2300</v>
      </c>
      <c r="D636" s="29" t="s">
        <v>2301</v>
      </c>
      <c r="E636" s="17" t="s">
        <v>167</v>
      </c>
      <c r="F636" s="17" t="s">
        <v>167</v>
      </c>
      <c r="G636" s="21"/>
      <c r="H636" s="18">
        <v>2018.0</v>
      </c>
      <c r="I636" s="19"/>
      <c r="J636" s="19"/>
      <c r="K636" s="19"/>
      <c r="L636" s="19"/>
      <c r="M636" s="19"/>
      <c r="N636" s="19"/>
      <c r="O636" s="14">
        <v>1.0</v>
      </c>
      <c r="P636" s="19"/>
      <c r="Q636" s="19"/>
      <c r="R636" s="19"/>
      <c r="S636" s="19"/>
      <c r="T636" s="19"/>
      <c r="U636" s="19"/>
      <c r="V636" s="19"/>
      <c r="W636" s="14"/>
      <c r="X636" s="14" t="s">
        <v>31</v>
      </c>
      <c r="Y636" s="9" t="s">
        <v>32</v>
      </c>
      <c r="Z636" s="21"/>
    </row>
    <row r="637">
      <c r="A637" s="9">
        <v>636.0</v>
      </c>
      <c r="B637" s="29" t="s">
        <v>2302</v>
      </c>
      <c r="C637" s="34" t="s">
        <v>2303</v>
      </c>
      <c r="D637" s="29" t="s">
        <v>2304</v>
      </c>
      <c r="E637" s="12" t="s">
        <v>36</v>
      </c>
      <c r="F637" s="12" t="s">
        <v>37</v>
      </c>
      <c r="G637" s="21"/>
      <c r="H637" s="18">
        <v>2019.0</v>
      </c>
      <c r="I637" s="19"/>
      <c r="J637" s="19"/>
      <c r="K637" s="19"/>
      <c r="L637" s="19"/>
      <c r="M637" s="19"/>
      <c r="N637" s="19"/>
      <c r="O637" s="14">
        <v>1.0</v>
      </c>
      <c r="P637" s="19"/>
      <c r="Q637" s="19"/>
      <c r="R637" s="19"/>
      <c r="S637" s="19"/>
      <c r="T637" s="19"/>
      <c r="U637" s="19"/>
      <c r="V637" s="19"/>
      <c r="W637" s="14" t="s">
        <v>31</v>
      </c>
      <c r="X637" s="14" t="s">
        <v>39</v>
      </c>
      <c r="Y637" s="9" t="s">
        <v>32</v>
      </c>
      <c r="Z637" s="9" t="s">
        <v>2305</v>
      </c>
    </row>
    <row r="638">
      <c r="A638" s="9">
        <v>637.0</v>
      </c>
      <c r="B638" s="29" t="s">
        <v>2306</v>
      </c>
      <c r="C638" s="34" t="s">
        <v>2307</v>
      </c>
      <c r="D638" s="29" t="s">
        <v>2308</v>
      </c>
      <c r="E638" s="17" t="s">
        <v>2309</v>
      </c>
      <c r="F638" s="17" t="s">
        <v>2309</v>
      </c>
      <c r="G638" s="21"/>
      <c r="H638" s="18">
        <v>2018.0</v>
      </c>
      <c r="I638" s="19"/>
      <c r="J638" s="19"/>
      <c r="K638" s="19"/>
      <c r="L638" s="19"/>
      <c r="M638" s="19"/>
      <c r="N638" s="19"/>
      <c r="O638" s="19"/>
      <c r="P638" s="19"/>
      <c r="Q638" s="19"/>
      <c r="R638" s="14"/>
      <c r="S638" s="19"/>
      <c r="T638" s="14">
        <v>1.0</v>
      </c>
      <c r="U638" s="19"/>
      <c r="V638" s="19"/>
      <c r="W638" s="14"/>
      <c r="X638" s="14" t="s">
        <v>31</v>
      </c>
      <c r="Y638" s="9" t="s">
        <v>32</v>
      </c>
      <c r="Z638" s="21"/>
    </row>
    <row r="639">
      <c r="A639" s="9">
        <v>638.0</v>
      </c>
      <c r="B639" s="29" t="s">
        <v>2310</v>
      </c>
      <c r="C639" s="34" t="s">
        <v>2311</v>
      </c>
      <c r="D639" s="29" t="s">
        <v>2312</v>
      </c>
      <c r="E639" s="25" t="s">
        <v>393</v>
      </c>
      <c r="F639" s="28" t="s">
        <v>394</v>
      </c>
      <c r="G639" s="21"/>
      <c r="H639" s="18">
        <v>2019.0</v>
      </c>
      <c r="I639" s="14">
        <v>0.0</v>
      </c>
      <c r="J639" s="19"/>
      <c r="K639" s="19"/>
      <c r="L639" s="19"/>
      <c r="M639" s="19"/>
      <c r="N639" s="19"/>
      <c r="O639" s="19"/>
      <c r="P639" s="19"/>
      <c r="Q639" s="19"/>
      <c r="R639" s="19"/>
      <c r="S639" s="19"/>
      <c r="T639" s="19"/>
      <c r="U639" s="19"/>
      <c r="V639" s="19"/>
      <c r="W639" s="14"/>
      <c r="X639" s="14" t="s">
        <v>31</v>
      </c>
      <c r="Y639" s="9" t="s">
        <v>32</v>
      </c>
      <c r="Z639" s="9" t="s">
        <v>93</v>
      </c>
    </row>
    <row r="640">
      <c r="A640" s="9">
        <v>639.0</v>
      </c>
      <c r="B640" s="29" t="s">
        <v>2313</v>
      </c>
      <c r="C640" s="34" t="s">
        <v>2314</v>
      </c>
      <c r="D640" s="29" t="s">
        <v>2315</v>
      </c>
      <c r="E640" s="12" t="s">
        <v>36</v>
      </c>
      <c r="F640" s="12" t="s">
        <v>37</v>
      </c>
      <c r="G640" s="21"/>
      <c r="H640" s="18">
        <v>2020.0</v>
      </c>
      <c r="I640" s="19"/>
      <c r="J640" s="19"/>
      <c r="K640" s="19"/>
      <c r="L640" s="19"/>
      <c r="M640" s="19"/>
      <c r="N640" s="19"/>
      <c r="O640" s="19"/>
      <c r="P640" s="14">
        <v>1.0</v>
      </c>
      <c r="Q640" s="19"/>
      <c r="R640" s="19"/>
      <c r="S640" s="19"/>
      <c r="T640" s="19"/>
      <c r="U640" s="19"/>
      <c r="V640" s="19"/>
      <c r="W640" s="14"/>
      <c r="X640" s="14" t="s">
        <v>31</v>
      </c>
      <c r="Y640" s="9" t="s">
        <v>32</v>
      </c>
      <c r="Z640" s="21"/>
    </row>
    <row r="641">
      <c r="A641" s="9">
        <v>640.0</v>
      </c>
      <c r="B641" s="29" t="s">
        <v>2316</v>
      </c>
      <c r="C641" s="34" t="s">
        <v>2317</v>
      </c>
      <c r="D641" s="29" t="s">
        <v>79</v>
      </c>
      <c r="E641" s="17" t="s">
        <v>466</v>
      </c>
      <c r="F641" s="17" t="s">
        <v>466</v>
      </c>
      <c r="G641" s="21"/>
      <c r="H641" s="18">
        <v>2018.0</v>
      </c>
      <c r="I641" s="19"/>
      <c r="J641" s="19"/>
      <c r="K641" s="19"/>
      <c r="L641" s="19"/>
      <c r="M641" s="19"/>
      <c r="N641" s="19"/>
      <c r="O641" s="19"/>
      <c r="P641" s="19"/>
      <c r="Q641" s="19"/>
      <c r="R641" s="19"/>
      <c r="S641" s="14">
        <v>1.0</v>
      </c>
      <c r="T641" s="19"/>
      <c r="U641" s="19"/>
      <c r="V641" s="19"/>
      <c r="W641" s="14"/>
      <c r="X641" s="14" t="s">
        <v>31</v>
      </c>
      <c r="Y641" s="9" t="s">
        <v>32</v>
      </c>
      <c r="Z641" s="21"/>
    </row>
    <row r="642">
      <c r="A642" s="9">
        <v>641.0</v>
      </c>
      <c r="B642" s="29" t="s">
        <v>2318</v>
      </c>
      <c r="C642" s="34" t="s">
        <v>2319</v>
      </c>
      <c r="D642" s="29" t="s">
        <v>2320</v>
      </c>
      <c r="E642" s="17" t="s">
        <v>2321</v>
      </c>
      <c r="F642" s="17" t="s">
        <v>2321</v>
      </c>
      <c r="G642" s="21"/>
      <c r="H642" s="18">
        <v>2018.0</v>
      </c>
      <c r="I642" s="19"/>
      <c r="J642" s="19"/>
      <c r="K642" s="19"/>
      <c r="L642" s="19"/>
      <c r="M642" s="19"/>
      <c r="N642" s="19"/>
      <c r="O642" s="19"/>
      <c r="P642" s="19"/>
      <c r="Q642" s="19"/>
      <c r="R642" s="14"/>
      <c r="S642" s="19"/>
      <c r="T642" s="14">
        <v>1.0</v>
      </c>
      <c r="U642" s="19"/>
      <c r="V642" s="19"/>
      <c r="W642" s="14"/>
      <c r="X642" s="14" t="s">
        <v>31</v>
      </c>
      <c r="Y642" s="9" t="s">
        <v>32</v>
      </c>
      <c r="Z642" s="9" t="s">
        <v>70</v>
      </c>
    </row>
    <row r="643">
      <c r="A643" s="9">
        <v>642.0</v>
      </c>
      <c r="B643" s="29" t="s">
        <v>2322</v>
      </c>
      <c r="C643" s="34" t="s">
        <v>2323</v>
      </c>
      <c r="D643" s="29" t="s">
        <v>2324</v>
      </c>
      <c r="E643" s="12" t="s">
        <v>36</v>
      </c>
      <c r="F643" s="12" t="s">
        <v>37</v>
      </c>
      <c r="G643" s="21"/>
      <c r="H643" s="18">
        <v>2019.0</v>
      </c>
      <c r="I643" s="14">
        <v>0.0</v>
      </c>
      <c r="J643" s="19"/>
      <c r="K643" s="19"/>
      <c r="L643" s="19"/>
      <c r="M643" s="19"/>
      <c r="N643" s="19"/>
      <c r="O643" s="19"/>
      <c r="P643" s="19"/>
      <c r="Q643" s="19"/>
      <c r="R643" s="19"/>
      <c r="S643" s="19"/>
      <c r="T643" s="19"/>
      <c r="U643" s="19"/>
      <c r="V643" s="19"/>
      <c r="W643" s="14" t="s">
        <v>31</v>
      </c>
      <c r="X643" s="14" t="s">
        <v>39</v>
      </c>
      <c r="Y643" s="9" t="s">
        <v>32</v>
      </c>
      <c r="Z643" s="9" t="s">
        <v>93</v>
      </c>
    </row>
    <row r="644">
      <c r="A644" s="9">
        <v>643.0</v>
      </c>
      <c r="B644" s="29" t="s">
        <v>2325</v>
      </c>
      <c r="C644" s="39" t="s">
        <v>2326</v>
      </c>
      <c r="D644" s="29" t="s">
        <v>2327</v>
      </c>
      <c r="E644" s="17" t="s">
        <v>49</v>
      </c>
      <c r="F644" s="17" t="s">
        <v>49</v>
      </c>
      <c r="G644" s="21"/>
      <c r="H644" s="18">
        <v>2020.0</v>
      </c>
      <c r="I644" s="19"/>
      <c r="J644" s="19"/>
      <c r="K644" s="19"/>
      <c r="L644" s="19"/>
      <c r="M644" s="19"/>
      <c r="N644" s="19"/>
      <c r="O644" s="19"/>
      <c r="P644" s="19"/>
      <c r="Q644" s="19"/>
      <c r="R644" s="19"/>
      <c r="S644" s="19"/>
      <c r="T644" s="14">
        <v>1.0</v>
      </c>
      <c r="U644" s="19"/>
      <c r="V644" s="14"/>
      <c r="W644" s="14"/>
      <c r="X644" s="14" t="s">
        <v>31</v>
      </c>
      <c r="Y644" s="9" t="s">
        <v>32</v>
      </c>
      <c r="Z644" s="9" t="s">
        <v>50</v>
      </c>
    </row>
    <row r="645">
      <c r="A645" s="9">
        <v>644.0</v>
      </c>
      <c r="B645" s="29" t="s">
        <v>2328</v>
      </c>
      <c r="C645" s="39" t="s">
        <v>2329</v>
      </c>
      <c r="D645" s="29" t="s">
        <v>2330</v>
      </c>
      <c r="E645" s="17" t="s">
        <v>69</v>
      </c>
      <c r="F645" s="17" t="s">
        <v>69</v>
      </c>
      <c r="G645" s="21"/>
      <c r="H645" s="18">
        <v>2018.0</v>
      </c>
      <c r="I645" s="19"/>
      <c r="J645" s="19"/>
      <c r="K645" s="19"/>
      <c r="L645" s="19"/>
      <c r="M645" s="19"/>
      <c r="N645" s="19"/>
      <c r="O645" s="14">
        <v>1.0</v>
      </c>
      <c r="P645" s="19"/>
      <c r="Q645" s="19"/>
      <c r="R645" s="19"/>
      <c r="S645" s="19"/>
      <c r="T645" s="19"/>
      <c r="U645" s="19"/>
      <c r="V645" s="19"/>
      <c r="W645" s="14"/>
      <c r="X645" s="14" t="s">
        <v>31</v>
      </c>
      <c r="Y645" s="9" t="s">
        <v>32</v>
      </c>
      <c r="Z645" s="21"/>
    </row>
    <row r="646">
      <c r="A646" s="9">
        <v>645.0</v>
      </c>
      <c r="B646" s="29" t="s">
        <v>2331</v>
      </c>
      <c r="C646" s="39" t="s">
        <v>2332</v>
      </c>
      <c r="D646" s="29" t="s">
        <v>2333</v>
      </c>
      <c r="E646" s="17" t="s">
        <v>2334</v>
      </c>
      <c r="F646" s="17" t="s">
        <v>2334</v>
      </c>
      <c r="G646" s="21"/>
      <c r="H646" s="18">
        <v>2018.0</v>
      </c>
      <c r="I646" s="14"/>
      <c r="J646" s="19"/>
      <c r="K646" s="19"/>
      <c r="L646" s="19"/>
      <c r="M646" s="19"/>
      <c r="N646" s="19"/>
      <c r="O646" s="19"/>
      <c r="P646" s="19"/>
      <c r="Q646" s="19"/>
      <c r="R646" s="19"/>
      <c r="S646" s="19"/>
      <c r="T646" s="14">
        <v>1.0</v>
      </c>
      <c r="U646" s="19"/>
      <c r="V646" s="19"/>
      <c r="W646" s="14" t="s">
        <v>31</v>
      </c>
      <c r="X646" s="14" t="s">
        <v>39</v>
      </c>
      <c r="Y646" s="9" t="s">
        <v>32</v>
      </c>
      <c r="Z646" s="9" t="s">
        <v>2335</v>
      </c>
    </row>
    <row r="647">
      <c r="A647" s="9">
        <v>646.0</v>
      </c>
      <c r="B647" s="29" t="s">
        <v>2336</v>
      </c>
      <c r="C647" s="34" t="s">
        <v>2337</v>
      </c>
      <c r="D647" s="29" t="s">
        <v>2338</v>
      </c>
      <c r="E647" s="12" t="s">
        <v>36</v>
      </c>
      <c r="F647" s="12" t="s">
        <v>37</v>
      </c>
      <c r="G647" s="9" t="s">
        <v>38</v>
      </c>
      <c r="H647" s="18">
        <v>2018.0</v>
      </c>
      <c r="I647" s="14">
        <v>1.0</v>
      </c>
      <c r="J647" s="14">
        <v>1.0</v>
      </c>
      <c r="K647" s="14">
        <v>1.0</v>
      </c>
      <c r="L647" s="14">
        <v>1.0</v>
      </c>
      <c r="M647" s="14">
        <v>1.0</v>
      </c>
      <c r="N647" s="14">
        <v>0.0</v>
      </c>
      <c r="O647" s="14">
        <v>0.0</v>
      </c>
      <c r="P647" s="14">
        <v>0.0</v>
      </c>
      <c r="Q647" s="14">
        <v>0.0</v>
      </c>
      <c r="R647" s="14">
        <v>0.0</v>
      </c>
      <c r="S647" s="14">
        <v>0.0</v>
      </c>
      <c r="T647" s="14">
        <v>0.0</v>
      </c>
      <c r="U647" s="14">
        <v>0.0</v>
      </c>
      <c r="V647" s="14">
        <v>0.0</v>
      </c>
      <c r="W647" s="14" t="s">
        <v>39</v>
      </c>
      <c r="X647" s="14" t="s">
        <v>39</v>
      </c>
      <c r="Y647" s="9" t="s">
        <v>32</v>
      </c>
      <c r="Z647" s="21"/>
    </row>
    <row r="648">
      <c r="A648" s="9">
        <v>647.0</v>
      </c>
      <c r="B648" s="29" t="s">
        <v>2339</v>
      </c>
      <c r="C648" s="34" t="s">
        <v>2340</v>
      </c>
      <c r="D648" s="29" t="s">
        <v>2341</v>
      </c>
      <c r="E648" s="25" t="s">
        <v>62</v>
      </c>
      <c r="F648" s="25" t="s">
        <v>62</v>
      </c>
      <c r="G648" s="9" t="s">
        <v>38</v>
      </c>
      <c r="H648" s="18">
        <v>2019.0</v>
      </c>
      <c r="I648" s="14">
        <v>1.0</v>
      </c>
      <c r="J648" s="14">
        <v>1.0</v>
      </c>
      <c r="K648" s="14">
        <v>1.0</v>
      </c>
      <c r="L648" s="14">
        <v>1.0</v>
      </c>
      <c r="M648" s="14">
        <v>1.0</v>
      </c>
      <c r="N648" s="14">
        <v>0.0</v>
      </c>
      <c r="O648" s="14">
        <v>0.0</v>
      </c>
      <c r="P648" s="14">
        <v>0.0</v>
      </c>
      <c r="Q648" s="14">
        <v>0.0</v>
      </c>
      <c r="R648" s="14">
        <v>0.0</v>
      </c>
      <c r="S648" s="14">
        <v>0.0</v>
      </c>
      <c r="T648" s="14">
        <v>0.0</v>
      </c>
      <c r="U648" s="14">
        <v>0.0</v>
      </c>
      <c r="V648" s="14">
        <v>0.0</v>
      </c>
      <c r="W648" s="14" t="s">
        <v>39</v>
      </c>
      <c r="X648" s="14" t="s">
        <v>39</v>
      </c>
      <c r="Y648" s="9" t="s">
        <v>32</v>
      </c>
      <c r="Z648" s="21"/>
    </row>
    <row r="649">
      <c r="A649" s="9">
        <v>648.0</v>
      </c>
      <c r="B649" s="29" t="s">
        <v>2342</v>
      </c>
      <c r="C649" s="34" t="s">
        <v>2343</v>
      </c>
      <c r="D649" s="29" t="s">
        <v>2344</v>
      </c>
      <c r="E649" s="25" t="s">
        <v>128</v>
      </c>
      <c r="F649" s="25" t="s">
        <v>128</v>
      </c>
      <c r="G649" s="21"/>
      <c r="H649" s="18">
        <v>2020.0</v>
      </c>
      <c r="I649" s="19"/>
      <c r="J649" s="19"/>
      <c r="K649" s="19"/>
      <c r="L649" s="19"/>
      <c r="M649" s="19"/>
      <c r="N649" s="19"/>
      <c r="O649" s="14">
        <v>1.0</v>
      </c>
      <c r="P649" s="19"/>
      <c r="Q649" s="19"/>
      <c r="R649" s="19"/>
      <c r="S649" s="19"/>
      <c r="T649" s="19"/>
      <c r="U649" s="19"/>
      <c r="V649" s="19"/>
      <c r="W649" s="14"/>
      <c r="X649" s="14" t="s">
        <v>31</v>
      </c>
      <c r="Y649" s="9" t="s">
        <v>32</v>
      </c>
      <c r="Z649" s="21"/>
    </row>
    <row r="650">
      <c r="A650" s="9">
        <v>649.0</v>
      </c>
      <c r="B650" s="29" t="s">
        <v>2345</v>
      </c>
      <c r="C650" s="34" t="s">
        <v>2346</v>
      </c>
      <c r="D650" s="29" t="s">
        <v>2347</v>
      </c>
      <c r="E650" s="17" t="s">
        <v>182</v>
      </c>
      <c r="F650" s="17" t="s">
        <v>182</v>
      </c>
      <c r="G650" s="21"/>
      <c r="H650" s="18">
        <v>2019.0</v>
      </c>
      <c r="I650" s="19"/>
      <c r="J650" s="19"/>
      <c r="K650" s="19"/>
      <c r="L650" s="19"/>
      <c r="M650" s="19"/>
      <c r="N650" s="19"/>
      <c r="O650" s="19"/>
      <c r="P650" s="19"/>
      <c r="Q650" s="19"/>
      <c r="R650" s="14"/>
      <c r="S650" s="19"/>
      <c r="T650" s="19"/>
      <c r="U650" s="14">
        <v>1.0</v>
      </c>
      <c r="V650" s="19"/>
      <c r="W650" s="14" t="s">
        <v>31</v>
      </c>
      <c r="X650" s="14" t="s">
        <v>39</v>
      </c>
      <c r="Y650" s="9" t="s">
        <v>32</v>
      </c>
      <c r="Z650" s="9" t="s">
        <v>2348</v>
      </c>
    </row>
    <row r="651">
      <c r="A651" s="9">
        <v>650.0</v>
      </c>
      <c r="B651" s="29" t="s">
        <v>2349</v>
      </c>
      <c r="C651" s="34" t="s">
        <v>2350</v>
      </c>
      <c r="D651" s="29" t="s">
        <v>2351</v>
      </c>
      <c r="E651" s="25" t="s">
        <v>62</v>
      </c>
      <c r="F651" s="25" t="s">
        <v>62</v>
      </c>
      <c r="G651" s="9" t="s">
        <v>38</v>
      </c>
      <c r="H651" s="18">
        <v>2019.0</v>
      </c>
      <c r="I651" s="14">
        <v>1.0</v>
      </c>
      <c r="J651" s="14">
        <v>1.0</v>
      </c>
      <c r="K651" s="14">
        <v>1.0</v>
      </c>
      <c r="L651" s="14">
        <v>1.0</v>
      </c>
      <c r="M651" s="14">
        <v>1.0</v>
      </c>
      <c r="N651" s="14">
        <v>0.0</v>
      </c>
      <c r="O651" s="14">
        <v>0.0</v>
      </c>
      <c r="P651" s="14">
        <v>0.0</v>
      </c>
      <c r="Q651" s="14">
        <v>0.0</v>
      </c>
      <c r="R651" s="14">
        <v>0.0</v>
      </c>
      <c r="S651" s="14">
        <v>0.0</v>
      </c>
      <c r="T651" s="14">
        <v>0.0</v>
      </c>
      <c r="U651" s="14">
        <v>0.0</v>
      </c>
      <c r="V651" s="14">
        <v>0.0</v>
      </c>
      <c r="W651" s="14" t="s">
        <v>39</v>
      </c>
      <c r="X651" s="14" t="s">
        <v>39</v>
      </c>
      <c r="Y651" s="9" t="s">
        <v>32</v>
      </c>
      <c r="Z651" s="21"/>
    </row>
  </sheetData>
  <conditionalFormatting sqref="A1:Z651">
    <cfRule type="expression" dxfId="0" priority="1">
      <formula>$W1="Yes"</formula>
    </cfRule>
  </conditionalFormatting>
  <conditionalFormatting sqref="A1:Z651">
    <cfRule type="expression" dxfId="1" priority="2">
      <formula>$W1="No"</formula>
    </cfRule>
  </conditionalFormatting>
  <conditionalFormatting sqref="A1:Z651">
    <cfRule type="expression" dxfId="2" priority="3">
      <formula>$X1="Yes"</formula>
    </cfRule>
  </conditionalFormatting>
  <conditionalFormatting sqref="A1:Z651">
    <cfRule type="expression" dxfId="1" priority="4">
      <formula>$X1="No"</formula>
    </cfRule>
  </conditionalFormatting>
  <dataValidations>
    <dataValidation type="list" allowBlank="1" showErrorMessage="1" sqref="W2:X651">
      <formula1>"Yes,No"</formula1>
    </dataValidation>
    <dataValidation type="list" allowBlank="1" showInputMessage="1" showErrorMessage="1" prompt="Workshop, Conference, Journal" sqref="G2:G651">
      <formula1>'Tag Descriptions'!$A$3:$A$5</formula1>
    </dataValidation>
    <dataValidation type="list" allowBlank="1" showInputMessage="1" showErrorMessage="1" prompt="C: Christiaan Beels, F: Floris Boeve, S: Sophie Vos" sqref="Y2:Y651">
      <formula1>"C,F,S"</formula1>
    </dataValidation>
  </dataValidations>
  <hyperlinks>
    <hyperlink r:id="rId2" ref="C2"/>
    <hyperlink r:id="rId3" ref="C3"/>
    <hyperlink r:id="rId4" ref="C4"/>
    <hyperlink r:id="rId5" ref="C5"/>
    <hyperlink r:id="rId6" ref="C6"/>
    <hyperlink r:id="rId7" ref="C7"/>
    <hyperlink r:id="rId8" ref="C8"/>
    <hyperlink r:id="rId9" ref="C9"/>
    <hyperlink r:id="rId10" ref="C10"/>
    <hyperlink r:id="rId11" ref="C11"/>
    <hyperlink r:id="rId12" ref="C12"/>
    <hyperlink r:id="rId13" ref="C13"/>
    <hyperlink r:id="rId14" ref="C14"/>
    <hyperlink r:id="rId15" ref="C15"/>
    <hyperlink r:id="rId16" ref="C16"/>
    <hyperlink r:id="rId17" ref="C17"/>
    <hyperlink r:id="rId18" ref="C18"/>
    <hyperlink r:id="rId19" ref="C19"/>
    <hyperlink r:id="rId20" ref="C20"/>
    <hyperlink r:id="rId21" ref="C21"/>
    <hyperlink r:id="rId22" ref="C22"/>
    <hyperlink r:id="rId23" ref="C23"/>
    <hyperlink r:id="rId24" ref="C24"/>
    <hyperlink r:id="rId25" ref="C25"/>
    <hyperlink r:id="rId26" ref="C26"/>
    <hyperlink r:id="rId27" ref="C27"/>
    <hyperlink r:id="rId28" ref="C28"/>
    <hyperlink r:id="rId29" ref="C29"/>
    <hyperlink r:id="rId30" ref="C30"/>
    <hyperlink r:id="rId31" ref="C31"/>
    <hyperlink r:id="rId32" ref="C32"/>
    <hyperlink r:id="rId33" ref="C33"/>
    <hyperlink r:id="rId34" ref="C34"/>
    <hyperlink r:id="rId35" ref="C35"/>
    <hyperlink r:id="rId36" ref="C36"/>
    <hyperlink r:id="rId37" ref="C37"/>
    <hyperlink r:id="rId38" ref="C38"/>
    <hyperlink r:id="rId39" ref="C39"/>
    <hyperlink r:id="rId40" ref="C40"/>
    <hyperlink r:id="rId41" ref="C41"/>
    <hyperlink r:id="rId42" ref="C42"/>
    <hyperlink r:id="rId43" ref="C43"/>
    <hyperlink r:id="rId44" ref="C44"/>
    <hyperlink r:id="rId45" ref="C45"/>
    <hyperlink r:id="rId46" ref="C46"/>
    <hyperlink r:id="rId47" ref="C47"/>
    <hyperlink r:id="rId48" ref="C48"/>
    <hyperlink r:id="rId49" ref="C49"/>
    <hyperlink r:id="rId50" ref="C50"/>
    <hyperlink r:id="rId51" ref="C51"/>
    <hyperlink r:id="rId52" ref="C52"/>
    <hyperlink r:id="rId53" ref="C53"/>
    <hyperlink r:id="rId54" ref="C54"/>
    <hyperlink r:id="rId55" ref="C55"/>
    <hyperlink r:id="rId56" ref="C56"/>
    <hyperlink r:id="rId57" ref="C57"/>
    <hyperlink r:id="rId58" ref="C58"/>
    <hyperlink r:id="rId59" ref="C59"/>
    <hyperlink r:id="rId60" ref="C60"/>
    <hyperlink r:id="rId61" ref="C61"/>
    <hyperlink r:id="rId62" ref="C62"/>
    <hyperlink r:id="rId63" ref="C63"/>
    <hyperlink r:id="rId64" ref="C64"/>
    <hyperlink r:id="rId65" ref="C65"/>
    <hyperlink r:id="rId66" ref="C66"/>
    <hyperlink r:id="rId67" ref="C67"/>
    <hyperlink r:id="rId68" ref="C68"/>
    <hyperlink r:id="rId69" ref="C69"/>
    <hyperlink r:id="rId70" ref="C70"/>
    <hyperlink r:id="rId71" ref="C71"/>
    <hyperlink r:id="rId72" ref="C72"/>
    <hyperlink r:id="rId73" ref="C73"/>
    <hyperlink r:id="rId74" ref="C74"/>
    <hyperlink r:id="rId75" ref="C75"/>
    <hyperlink r:id="rId76" ref="C76"/>
    <hyperlink r:id="rId77" ref="C77"/>
    <hyperlink r:id="rId78" ref="C78"/>
    <hyperlink r:id="rId79" ref="C79"/>
    <hyperlink r:id="rId80" ref="C80"/>
    <hyperlink r:id="rId81" ref="C81"/>
    <hyperlink r:id="rId82" ref="C82"/>
    <hyperlink r:id="rId83" ref="C83"/>
    <hyperlink r:id="rId84" ref="C84"/>
    <hyperlink r:id="rId85" ref="C85"/>
    <hyperlink r:id="rId86" ref="C86"/>
    <hyperlink r:id="rId87" ref="C87"/>
    <hyperlink r:id="rId88" ref="C88"/>
    <hyperlink r:id="rId89" ref="C89"/>
    <hyperlink r:id="rId90" ref="C90"/>
    <hyperlink r:id="rId91" ref="C91"/>
    <hyperlink r:id="rId92" ref="C92"/>
    <hyperlink r:id="rId93" ref="C93"/>
    <hyperlink r:id="rId94" ref="C94"/>
    <hyperlink r:id="rId95" ref="C95"/>
    <hyperlink r:id="rId96" ref="C96"/>
    <hyperlink r:id="rId97" ref="C97"/>
    <hyperlink r:id="rId98" ref="C98"/>
    <hyperlink r:id="rId99" ref="C99"/>
    <hyperlink r:id="rId100" ref="C100"/>
    <hyperlink r:id="rId101" ref="C101"/>
    <hyperlink r:id="rId102" ref="C102"/>
    <hyperlink r:id="rId103" ref="C103"/>
    <hyperlink r:id="rId104" ref="C104"/>
    <hyperlink r:id="rId105" ref="C105"/>
    <hyperlink r:id="rId106" ref="C106"/>
    <hyperlink r:id="rId107" ref="C107"/>
    <hyperlink r:id="rId108" ref="C108"/>
    <hyperlink r:id="rId109" ref="C109"/>
    <hyperlink r:id="rId110" ref="C110"/>
    <hyperlink r:id="rId111" ref="C111"/>
    <hyperlink r:id="rId112" ref="C112"/>
    <hyperlink r:id="rId113" ref="C113"/>
    <hyperlink r:id="rId114" ref="C114"/>
    <hyperlink r:id="rId115" ref="C115"/>
    <hyperlink r:id="rId116" ref="C116"/>
    <hyperlink r:id="rId117" ref="C117"/>
    <hyperlink r:id="rId118" ref="C118"/>
    <hyperlink r:id="rId119" ref="C119"/>
    <hyperlink r:id="rId120" ref="C120"/>
    <hyperlink r:id="rId121" ref="C121"/>
    <hyperlink r:id="rId122" ref="C122"/>
    <hyperlink r:id="rId123" ref="C123"/>
    <hyperlink r:id="rId124" ref="C124"/>
    <hyperlink r:id="rId125" ref="C125"/>
    <hyperlink r:id="rId126" ref="C126"/>
    <hyperlink r:id="rId127" ref="C127"/>
    <hyperlink r:id="rId128" ref="C128"/>
    <hyperlink r:id="rId129" ref="C129"/>
    <hyperlink r:id="rId130" ref="C130"/>
    <hyperlink r:id="rId131" ref="C131"/>
    <hyperlink r:id="rId132" ref="C132"/>
    <hyperlink r:id="rId133" ref="C133"/>
    <hyperlink r:id="rId134" ref="C134"/>
    <hyperlink r:id="rId135" ref="C135"/>
    <hyperlink r:id="rId136" ref="C136"/>
    <hyperlink r:id="rId137" ref="C137"/>
    <hyperlink r:id="rId138" ref="C138"/>
    <hyperlink r:id="rId139" ref="C139"/>
    <hyperlink r:id="rId140" ref="C140"/>
    <hyperlink r:id="rId141" ref="C141"/>
    <hyperlink r:id="rId142" ref="C142"/>
    <hyperlink r:id="rId143" ref="C143"/>
    <hyperlink r:id="rId144" ref="C144"/>
    <hyperlink r:id="rId145" ref="C145"/>
    <hyperlink r:id="rId146" ref="C146"/>
    <hyperlink r:id="rId147" ref="C147"/>
    <hyperlink r:id="rId148" ref="C148"/>
    <hyperlink r:id="rId149" ref="C149"/>
    <hyperlink r:id="rId150" ref="C150"/>
    <hyperlink r:id="rId151" ref="C151"/>
    <hyperlink r:id="rId152" ref="C152"/>
    <hyperlink r:id="rId153" ref="C153"/>
    <hyperlink r:id="rId154" ref="C154"/>
    <hyperlink r:id="rId155" ref="C155"/>
    <hyperlink r:id="rId156" ref="C156"/>
    <hyperlink r:id="rId157" ref="C157"/>
    <hyperlink r:id="rId158" ref="C158"/>
    <hyperlink r:id="rId159" ref="C159"/>
    <hyperlink r:id="rId160" ref="C160"/>
    <hyperlink r:id="rId161" ref="C161"/>
    <hyperlink r:id="rId162" ref="C162"/>
    <hyperlink r:id="rId163" ref="C163"/>
    <hyperlink r:id="rId164" ref="C164"/>
    <hyperlink r:id="rId165" ref="C165"/>
    <hyperlink r:id="rId166" ref="C166"/>
    <hyperlink r:id="rId167" ref="C167"/>
    <hyperlink r:id="rId168" ref="C168"/>
    <hyperlink r:id="rId169" ref="C169"/>
    <hyperlink r:id="rId170" ref="C170"/>
    <hyperlink r:id="rId171" ref="C171"/>
    <hyperlink r:id="rId172" ref="C172"/>
    <hyperlink r:id="rId173" ref="C173"/>
    <hyperlink r:id="rId174" ref="C174"/>
    <hyperlink r:id="rId175" ref="C175"/>
    <hyperlink r:id="rId176" ref="C176"/>
    <hyperlink r:id="rId177" ref="C177"/>
    <hyperlink r:id="rId178" ref="C178"/>
    <hyperlink r:id="rId179" ref="C179"/>
    <hyperlink r:id="rId180" ref="C180"/>
    <hyperlink r:id="rId181" ref="C181"/>
    <hyperlink r:id="rId182" ref="C182"/>
    <hyperlink r:id="rId183" ref="C183"/>
    <hyperlink r:id="rId184" ref="C184"/>
    <hyperlink r:id="rId185" ref="C185"/>
    <hyperlink r:id="rId186" ref="C186"/>
    <hyperlink r:id="rId187" ref="C187"/>
    <hyperlink r:id="rId188" ref="C188"/>
    <hyperlink r:id="rId189" ref="C189"/>
    <hyperlink r:id="rId190" ref="C190"/>
    <hyperlink r:id="rId191" ref="C191"/>
    <hyperlink r:id="rId192" ref="C192"/>
    <hyperlink r:id="rId193" ref="C193"/>
    <hyperlink r:id="rId194" ref="C194"/>
    <hyperlink r:id="rId195" ref="C195"/>
    <hyperlink r:id="rId196" ref="C196"/>
    <hyperlink r:id="rId197" ref="C197"/>
    <hyperlink r:id="rId198" ref="C198"/>
    <hyperlink r:id="rId199" ref="C199"/>
    <hyperlink r:id="rId200" ref="C200"/>
    <hyperlink r:id="rId201" ref="C201"/>
    <hyperlink r:id="rId202" ref="C202"/>
    <hyperlink r:id="rId203" ref="C203"/>
    <hyperlink r:id="rId204" ref="C204"/>
    <hyperlink r:id="rId205" ref="C205"/>
    <hyperlink r:id="rId206" ref="C206"/>
    <hyperlink r:id="rId207" ref="C207"/>
    <hyperlink r:id="rId208" ref="C208"/>
    <hyperlink r:id="rId209" ref="C209"/>
    <hyperlink r:id="rId210" ref="C210"/>
    <hyperlink r:id="rId211" ref="C211"/>
    <hyperlink r:id="rId212" ref="C212"/>
    <hyperlink r:id="rId213" ref="C213"/>
    <hyperlink r:id="rId214" ref="C214"/>
    <hyperlink r:id="rId215" ref="C215"/>
    <hyperlink r:id="rId216" ref="C216"/>
    <hyperlink r:id="rId217" ref="C217"/>
    <hyperlink r:id="rId218" ref="C218"/>
    <hyperlink r:id="rId219" ref="C219"/>
    <hyperlink r:id="rId220" ref="C220"/>
    <hyperlink r:id="rId221" ref="C221"/>
    <hyperlink r:id="rId222" location="page=337" ref="C222"/>
    <hyperlink r:id="rId223" ref="C223"/>
    <hyperlink r:id="rId224" ref="C224"/>
    <hyperlink r:id="rId225" ref="C225"/>
    <hyperlink r:id="rId226" ref="C226"/>
    <hyperlink r:id="rId227" ref="C227"/>
    <hyperlink r:id="rId228" ref="C228"/>
    <hyperlink r:id="rId229" ref="C229"/>
    <hyperlink r:id="rId230" ref="C230"/>
    <hyperlink r:id="rId231" ref="C231"/>
    <hyperlink r:id="rId232" ref="C232"/>
    <hyperlink r:id="rId233" ref="C233"/>
    <hyperlink r:id="rId234" ref="C234"/>
    <hyperlink r:id="rId235" ref="C235"/>
    <hyperlink r:id="rId236" ref="C236"/>
    <hyperlink r:id="rId237" ref="C237"/>
    <hyperlink r:id="rId238" ref="C238"/>
    <hyperlink r:id="rId239" ref="C239"/>
    <hyperlink r:id="rId240" ref="C240"/>
    <hyperlink r:id="rId241" ref="C241"/>
    <hyperlink r:id="rId242" ref="C242"/>
    <hyperlink r:id="rId243" ref="C243"/>
    <hyperlink r:id="rId244" ref="C244"/>
    <hyperlink r:id="rId245" ref="C245"/>
    <hyperlink r:id="rId246" ref="C246"/>
    <hyperlink r:id="rId247" ref="C247"/>
    <hyperlink r:id="rId248" ref="C248"/>
    <hyperlink r:id="rId249" ref="C249"/>
    <hyperlink r:id="rId250" ref="C250"/>
    <hyperlink r:id="rId251" ref="C251"/>
    <hyperlink r:id="rId252" ref="C252"/>
    <hyperlink r:id="rId253" ref="C253"/>
    <hyperlink r:id="rId254" ref="C254"/>
    <hyperlink r:id="rId255" ref="C255"/>
    <hyperlink r:id="rId256" ref="C256"/>
    <hyperlink r:id="rId257" ref="C257"/>
    <hyperlink r:id="rId258" ref="C258"/>
    <hyperlink r:id="rId259" ref="C259"/>
    <hyperlink r:id="rId260" ref="C260"/>
    <hyperlink r:id="rId261" ref="C261"/>
    <hyperlink r:id="rId262" ref="C262"/>
    <hyperlink r:id="rId263" ref="C263"/>
    <hyperlink r:id="rId264" ref="C264"/>
    <hyperlink r:id="rId265" ref="C265"/>
    <hyperlink r:id="rId266" ref="C266"/>
    <hyperlink r:id="rId267" ref="C267"/>
    <hyperlink r:id="rId268" ref="C268"/>
    <hyperlink r:id="rId269" ref="C269"/>
    <hyperlink r:id="rId270" ref="C270"/>
    <hyperlink r:id="rId271" ref="C271"/>
    <hyperlink r:id="rId272" ref="C272"/>
    <hyperlink r:id="rId273" ref="C273"/>
    <hyperlink r:id="rId274" ref="C274"/>
    <hyperlink r:id="rId275" ref="C275"/>
    <hyperlink r:id="rId276" ref="C276"/>
    <hyperlink r:id="rId277" ref="C277"/>
    <hyperlink r:id="rId278" ref="C278"/>
    <hyperlink r:id="rId279" ref="C279"/>
    <hyperlink r:id="rId280" ref="C280"/>
    <hyperlink r:id="rId281" ref="C281"/>
    <hyperlink r:id="rId282" ref="C282"/>
    <hyperlink r:id="rId283" ref="C283"/>
    <hyperlink r:id="rId284" ref="C284"/>
    <hyperlink r:id="rId285" ref="C285"/>
    <hyperlink r:id="rId286" ref="C286"/>
    <hyperlink r:id="rId287" ref="C287"/>
    <hyperlink r:id="rId288" ref="C288"/>
    <hyperlink r:id="rId289" ref="C289"/>
    <hyperlink r:id="rId290" ref="C290"/>
    <hyperlink r:id="rId291" ref="C291"/>
    <hyperlink r:id="rId292" ref="C292"/>
    <hyperlink r:id="rId293" ref="C293"/>
    <hyperlink r:id="rId294" ref="C294"/>
    <hyperlink r:id="rId295" ref="C295"/>
    <hyperlink r:id="rId296" ref="C296"/>
    <hyperlink r:id="rId297" ref="C297"/>
    <hyperlink r:id="rId298" ref="C298"/>
    <hyperlink r:id="rId299" ref="C299"/>
    <hyperlink r:id="rId300" ref="C300"/>
    <hyperlink r:id="rId301" ref="C301"/>
    <hyperlink r:id="rId302" ref="C302"/>
    <hyperlink r:id="rId303" ref="C303"/>
    <hyperlink r:id="rId304" ref="C304"/>
    <hyperlink r:id="rId305" ref="C305"/>
    <hyperlink r:id="rId306" ref="C306"/>
    <hyperlink r:id="rId307" ref="C307"/>
    <hyperlink r:id="rId308" ref="C308"/>
    <hyperlink r:id="rId309" ref="C309"/>
    <hyperlink r:id="rId310" ref="C310"/>
    <hyperlink r:id="rId311" ref="C311"/>
    <hyperlink r:id="rId312" ref="C312"/>
    <hyperlink r:id="rId313" ref="C313"/>
    <hyperlink r:id="rId314" ref="C314"/>
    <hyperlink r:id="rId315" ref="C315"/>
    <hyperlink r:id="rId316" ref="C316"/>
    <hyperlink r:id="rId317" ref="C317"/>
    <hyperlink r:id="rId318" ref="C318"/>
    <hyperlink r:id="rId319" ref="C319"/>
    <hyperlink r:id="rId320" location="page=150" ref="C320"/>
    <hyperlink r:id="rId321" ref="C321"/>
    <hyperlink r:id="rId322" ref="C322"/>
    <hyperlink r:id="rId323" ref="C323"/>
    <hyperlink r:id="rId324" ref="C324"/>
    <hyperlink r:id="rId325" ref="C325"/>
    <hyperlink r:id="rId326" ref="C326"/>
    <hyperlink r:id="rId327" ref="C327"/>
    <hyperlink r:id="rId328" ref="C328"/>
    <hyperlink r:id="rId329" ref="C329"/>
    <hyperlink r:id="rId330" ref="C330"/>
    <hyperlink r:id="rId331" ref="C331"/>
    <hyperlink r:id="rId332" ref="C332"/>
    <hyperlink r:id="rId333" ref="C333"/>
    <hyperlink r:id="rId334" ref="C334"/>
    <hyperlink r:id="rId335" ref="C335"/>
    <hyperlink r:id="rId336" ref="C336"/>
    <hyperlink r:id="rId337" ref="C337"/>
    <hyperlink r:id="rId338" ref="C338"/>
    <hyperlink r:id="rId339" ref="C339"/>
    <hyperlink r:id="rId340" ref="C340"/>
    <hyperlink r:id="rId341" ref="C341"/>
    <hyperlink r:id="rId342" ref="C342"/>
    <hyperlink r:id="rId343" ref="C343"/>
    <hyperlink r:id="rId344" ref="C344"/>
    <hyperlink r:id="rId345" ref="C345"/>
    <hyperlink r:id="rId346" ref="C346"/>
    <hyperlink r:id="rId347" ref="C347"/>
    <hyperlink r:id="rId348" ref="C348"/>
    <hyperlink r:id="rId349" ref="C349"/>
    <hyperlink r:id="rId350" ref="C350"/>
    <hyperlink r:id="rId351" ref="C351"/>
    <hyperlink r:id="rId352" ref="C352"/>
    <hyperlink r:id="rId353" ref="C353"/>
    <hyperlink r:id="rId354" ref="C354"/>
    <hyperlink r:id="rId355" ref="C355"/>
    <hyperlink r:id="rId356" ref="C356"/>
    <hyperlink r:id="rId357" ref="C357"/>
    <hyperlink r:id="rId358" ref="C358"/>
    <hyperlink r:id="rId359" ref="C359"/>
    <hyperlink r:id="rId360" ref="C360"/>
    <hyperlink r:id="rId361" ref="C361"/>
    <hyperlink r:id="rId362" ref="C362"/>
    <hyperlink r:id="rId363" ref="C363"/>
    <hyperlink r:id="rId364" ref="C364"/>
    <hyperlink r:id="rId365" ref="C365"/>
    <hyperlink r:id="rId366" ref="C366"/>
    <hyperlink r:id="rId367" ref="C367"/>
    <hyperlink r:id="rId368" ref="C368"/>
    <hyperlink r:id="rId369" ref="C369"/>
    <hyperlink r:id="rId370" ref="C370"/>
    <hyperlink r:id="rId371" ref="C371"/>
    <hyperlink r:id="rId372" ref="C372"/>
    <hyperlink r:id="rId373" ref="C373"/>
    <hyperlink r:id="rId374" ref="C374"/>
    <hyperlink r:id="rId375" ref="C375"/>
    <hyperlink r:id="rId376" ref="C376"/>
    <hyperlink r:id="rId377" ref="C377"/>
    <hyperlink r:id="rId378" ref="C378"/>
    <hyperlink r:id="rId379" ref="C379"/>
    <hyperlink r:id="rId380" ref="C380"/>
    <hyperlink r:id="rId381" ref="C381"/>
    <hyperlink r:id="rId382" ref="C382"/>
    <hyperlink r:id="rId383" ref="C383"/>
    <hyperlink r:id="rId384" ref="C384"/>
    <hyperlink r:id="rId385" ref="C385"/>
    <hyperlink r:id="rId386" ref="C386"/>
    <hyperlink r:id="rId387" ref="C387"/>
    <hyperlink r:id="rId388" ref="C388"/>
    <hyperlink r:id="rId389" ref="C389"/>
    <hyperlink r:id="rId390" ref="C390"/>
    <hyperlink r:id="rId391" ref="C391"/>
    <hyperlink r:id="rId392" ref="C392"/>
    <hyperlink r:id="rId393" ref="C393"/>
    <hyperlink r:id="rId394" ref="C394"/>
    <hyperlink r:id="rId395" ref="C395"/>
    <hyperlink r:id="rId396" ref="C396"/>
    <hyperlink r:id="rId397" ref="C397"/>
    <hyperlink r:id="rId398" ref="C398"/>
    <hyperlink r:id="rId399" ref="C399"/>
    <hyperlink r:id="rId400" ref="C400"/>
    <hyperlink r:id="rId401" ref="C401"/>
    <hyperlink r:id="rId402" ref="C402"/>
    <hyperlink r:id="rId403" ref="C403"/>
    <hyperlink r:id="rId404" ref="C404"/>
    <hyperlink r:id="rId405" ref="C405"/>
    <hyperlink r:id="rId406" ref="C406"/>
    <hyperlink r:id="rId407" ref="C407"/>
    <hyperlink r:id="rId408" ref="C408"/>
    <hyperlink r:id="rId409" ref="C409"/>
    <hyperlink r:id="rId410" ref="C410"/>
    <hyperlink r:id="rId411" ref="C411"/>
    <hyperlink r:id="rId412" ref="C412"/>
    <hyperlink r:id="rId413" ref="C413"/>
    <hyperlink r:id="rId414" ref="C414"/>
    <hyperlink r:id="rId415" ref="C415"/>
    <hyperlink r:id="rId416" ref="C416"/>
    <hyperlink r:id="rId417" ref="C417"/>
    <hyperlink r:id="rId418" ref="C418"/>
    <hyperlink r:id="rId419" ref="C419"/>
    <hyperlink r:id="rId420" ref="C420"/>
    <hyperlink r:id="rId421" ref="C421"/>
    <hyperlink r:id="rId422" ref="C422"/>
    <hyperlink r:id="rId423" ref="C423"/>
    <hyperlink r:id="rId424" ref="C424"/>
    <hyperlink r:id="rId425" ref="C425"/>
    <hyperlink r:id="rId426" ref="C426"/>
    <hyperlink r:id="rId427" ref="C427"/>
    <hyperlink r:id="rId428" ref="C428"/>
    <hyperlink r:id="rId429" ref="C429"/>
    <hyperlink r:id="rId430" ref="C430"/>
    <hyperlink r:id="rId431" ref="C431"/>
    <hyperlink r:id="rId432" ref="C432"/>
    <hyperlink r:id="rId433" ref="C433"/>
    <hyperlink r:id="rId434" ref="C434"/>
    <hyperlink r:id="rId435" ref="C435"/>
    <hyperlink r:id="rId436" ref="C436"/>
    <hyperlink r:id="rId437" ref="C437"/>
    <hyperlink r:id="rId438" ref="C438"/>
    <hyperlink r:id="rId439" ref="C439"/>
    <hyperlink r:id="rId440" ref="C440"/>
    <hyperlink r:id="rId441" ref="C441"/>
    <hyperlink r:id="rId442" ref="C442"/>
    <hyperlink r:id="rId443" ref="C443"/>
    <hyperlink r:id="rId444" ref="C444"/>
    <hyperlink r:id="rId445" ref="C445"/>
    <hyperlink r:id="rId446" ref="C446"/>
    <hyperlink r:id="rId447" ref="C447"/>
    <hyperlink r:id="rId448" ref="C448"/>
    <hyperlink r:id="rId449" ref="C449"/>
    <hyperlink r:id="rId450" ref="C450"/>
    <hyperlink r:id="rId451" ref="C451"/>
    <hyperlink r:id="rId452" ref="C452"/>
    <hyperlink r:id="rId453" ref="C453"/>
    <hyperlink r:id="rId454" ref="C454"/>
    <hyperlink r:id="rId455" ref="C455"/>
    <hyperlink r:id="rId456" ref="C456"/>
    <hyperlink r:id="rId457" ref="C457"/>
    <hyperlink r:id="rId458" ref="C458"/>
    <hyperlink r:id="rId459" ref="C459"/>
    <hyperlink r:id="rId460" ref="C460"/>
    <hyperlink r:id="rId461" ref="C461"/>
    <hyperlink r:id="rId462" ref="C462"/>
    <hyperlink r:id="rId463" ref="C463"/>
    <hyperlink r:id="rId464" ref="C464"/>
    <hyperlink r:id="rId465" ref="C465"/>
    <hyperlink r:id="rId466" ref="C466"/>
    <hyperlink r:id="rId467" ref="C467"/>
    <hyperlink r:id="rId468" ref="C468"/>
    <hyperlink r:id="rId469" ref="C469"/>
    <hyperlink r:id="rId470" ref="C470"/>
    <hyperlink r:id="rId471" ref="C471"/>
    <hyperlink r:id="rId472" ref="C472"/>
    <hyperlink r:id="rId473" ref="C473"/>
    <hyperlink r:id="rId474" ref="C474"/>
    <hyperlink r:id="rId475" ref="C475"/>
    <hyperlink r:id="rId476" ref="C476"/>
    <hyperlink r:id="rId477" ref="C477"/>
    <hyperlink r:id="rId478" ref="C478"/>
    <hyperlink r:id="rId479" ref="C479"/>
    <hyperlink r:id="rId480" ref="C480"/>
    <hyperlink r:id="rId481" ref="C481"/>
    <hyperlink r:id="rId482" ref="C482"/>
    <hyperlink r:id="rId483" ref="C483"/>
    <hyperlink r:id="rId484" ref="C484"/>
    <hyperlink r:id="rId485" ref="C485"/>
    <hyperlink r:id="rId486" ref="C486"/>
    <hyperlink r:id="rId487" ref="C487"/>
    <hyperlink r:id="rId488" ref="C488"/>
    <hyperlink r:id="rId489" ref="C489"/>
    <hyperlink r:id="rId490" ref="C490"/>
    <hyperlink r:id="rId491" ref="C491"/>
    <hyperlink r:id="rId492" ref="C492"/>
    <hyperlink r:id="rId493" ref="C493"/>
    <hyperlink r:id="rId494" ref="C494"/>
    <hyperlink r:id="rId495" ref="C495"/>
    <hyperlink r:id="rId496" ref="C496"/>
    <hyperlink r:id="rId497" ref="C497"/>
    <hyperlink r:id="rId498" ref="C498"/>
    <hyperlink r:id="rId499" ref="C499"/>
    <hyperlink r:id="rId500" ref="C500"/>
    <hyperlink r:id="rId501" ref="C501"/>
    <hyperlink r:id="rId502" ref="C502"/>
    <hyperlink r:id="rId503" ref="C503"/>
    <hyperlink r:id="rId504" ref="C504"/>
    <hyperlink r:id="rId505" ref="C505"/>
    <hyperlink r:id="rId506" ref="C506"/>
    <hyperlink r:id="rId507" ref="C507"/>
    <hyperlink r:id="rId508" ref="C508"/>
    <hyperlink r:id="rId509" ref="C509"/>
    <hyperlink r:id="rId510" ref="C510"/>
    <hyperlink r:id="rId511" ref="C511"/>
    <hyperlink r:id="rId512" ref="C512"/>
    <hyperlink r:id="rId513" ref="C513"/>
    <hyperlink r:id="rId514" ref="C514"/>
    <hyperlink r:id="rId515" ref="C515"/>
    <hyperlink r:id="rId516" ref="C516"/>
    <hyperlink r:id="rId517" ref="C517"/>
    <hyperlink r:id="rId518" ref="C518"/>
    <hyperlink r:id="rId519" ref="C519"/>
    <hyperlink r:id="rId520" ref="C520"/>
    <hyperlink r:id="rId521" ref="C521"/>
    <hyperlink r:id="rId522" ref="C522"/>
    <hyperlink r:id="rId523" ref="C523"/>
    <hyperlink r:id="rId524" ref="C524"/>
    <hyperlink r:id="rId525" ref="C525"/>
    <hyperlink r:id="rId526" ref="C526"/>
    <hyperlink r:id="rId527" ref="C527"/>
    <hyperlink r:id="rId528" ref="C528"/>
    <hyperlink r:id="rId529" ref="C529"/>
    <hyperlink r:id="rId530" ref="C530"/>
    <hyperlink r:id="rId531" ref="C531"/>
    <hyperlink r:id="rId532" ref="C532"/>
    <hyperlink r:id="rId533" ref="C533"/>
    <hyperlink r:id="rId534" ref="C534"/>
    <hyperlink r:id="rId535" ref="C535"/>
    <hyperlink r:id="rId536" ref="C536"/>
    <hyperlink r:id="rId537" ref="C537"/>
    <hyperlink r:id="rId538" ref="C538"/>
    <hyperlink r:id="rId539" ref="C539"/>
    <hyperlink r:id="rId540" ref="C540"/>
    <hyperlink r:id="rId541" ref="C541"/>
    <hyperlink r:id="rId542" ref="C542"/>
    <hyperlink r:id="rId543" ref="C543"/>
    <hyperlink r:id="rId544" ref="C544"/>
    <hyperlink r:id="rId545" ref="C545"/>
    <hyperlink r:id="rId546" ref="C546"/>
    <hyperlink r:id="rId547" ref="C547"/>
    <hyperlink r:id="rId548" ref="C548"/>
    <hyperlink r:id="rId549" ref="C549"/>
    <hyperlink r:id="rId550" ref="C550"/>
    <hyperlink r:id="rId551" ref="C551"/>
    <hyperlink r:id="rId552" ref="C552"/>
    <hyperlink r:id="rId553" ref="C553"/>
    <hyperlink r:id="rId554" ref="C554"/>
    <hyperlink r:id="rId555" ref="C555"/>
    <hyperlink r:id="rId556" ref="C556"/>
    <hyperlink r:id="rId557" ref="C557"/>
    <hyperlink r:id="rId558" ref="C558"/>
    <hyperlink r:id="rId559" ref="C559"/>
    <hyperlink r:id="rId560" ref="C560"/>
    <hyperlink r:id="rId561" ref="C561"/>
    <hyperlink r:id="rId562" ref="C562"/>
    <hyperlink r:id="rId563" ref="C563"/>
    <hyperlink r:id="rId564" ref="C564"/>
    <hyperlink r:id="rId565" ref="C565"/>
    <hyperlink r:id="rId566" ref="C566"/>
    <hyperlink r:id="rId567" ref="C567"/>
    <hyperlink r:id="rId568" ref="C568"/>
    <hyperlink r:id="rId569" ref="C569"/>
    <hyperlink r:id="rId570" ref="C570"/>
    <hyperlink r:id="rId571" ref="C571"/>
    <hyperlink r:id="rId572" ref="C572"/>
    <hyperlink r:id="rId573" ref="C573"/>
    <hyperlink r:id="rId574" ref="C574"/>
    <hyperlink r:id="rId575" ref="C575"/>
    <hyperlink r:id="rId576" ref="C576"/>
    <hyperlink r:id="rId577" ref="C577"/>
    <hyperlink r:id="rId578" ref="C578"/>
    <hyperlink r:id="rId579" ref="C579"/>
    <hyperlink r:id="rId580" ref="E579"/>
    <hyperlink r:id="rId581" ref="C580"/>
    <hyperlink r:id="rId582" ref="C581"/>
    <hyperlink r:id="rId583" ref="C582"/>
    <hyperlink r:id="rId584" ref="C583"/>
    <hyperlink r:id="rId585" ref="C584"/>
    <hyperlink r:id="rId586" ref="C585"/>
    <hyperlink r:id="rId587" ref="C586"/>
    <hyperlink r:id="rId588" ref="C587"/>
    <hyperlink r:id="rId589" ref="C588"/>
    <hyperlink r:id="rId590" ref="C589"/>
    <hyperlink r:id="rId591" ref="C590"/>
    <hyperlink r:id="rId592" ref="C591"/>
    <hyperlink r:id="rId593" ref="C592"/>
    <hyperlink r:id="rId594" ref="C593"/>
    <hyperlink r:id="rId595" ref="C594"/>
    <hyperlink r:id="rId596" ref="C595"/>
    <hyperlink r:id="rId597" ref="C596"/>
    <hyperlink r:id="rId598" ref="C597"/>
    <hyperlink r:id="rId599" ref="C598"/>
    <hyperlink r:id="rId600" ref="C599"/>
    <hyperlink r:id="rId601" ref="C600"/>
    <hyperlink r:id="rId602" ref="C601"/>
    <hyperlink r:id="rId603" ref="C602"/>
    <hyperlink r:id="rId604" ref="C603"/>
    <hyperlink r:id="rId605" ref="C604"/>
    <hyperlink r:id="rId606" ref="C605"/>
    <hyperlink r:id="rId607" ref="C606"/>
    <hyperlink r:id="rId608" ref="C607"/>
    <hyperlink r:id="rId609" ref="C608"/>
    <hyperlink r:id="rId610" ref="C609"/>
    <hyperlink r:id="rId611" ref="C610"/>
    <hyperlink r:id="rId612" ref="C611"/>
    <hyperlink r:id="rId613" ref="C612"/>
    <hyperlink r:id="rId614" ref="C613"/>
    <hyperlink r:id="rId615" ref="C614"/>
    <hyperlink r:id="rId616" ref="C615"/>
    <hyperlink r:id="rId617" ref="C616"/>
    <hyperlink r:id="rId618" ref="C617"/>
    <hyperlink r:id="rId619" ref="C618"/>
    <hyperlink r:id="rId620" ref="C619"/>
    <hyperlink r:id="rId621" ref="C620"/>
    <hyperlink r:id="rId622" ref="C621"/>
    <hyperlink r:id="rId623" ref="C622"/>
    <hyperlink r:id="rId624" ref="C623"/>
    <hyperlink r:id="rId625" ref="C624"/>
    <hyperlink r:id="rId626" ref="C625"/>
    <hyperlink r:id="rId627" ref="C626"/>
    <hyperlink r:id="rId628" ref="C627"/>
    <hyperlink r:id="rId629" ref="C628"/>
    <hyperlink r:id="rId630" ref="C629"/>
    <hyperlink r:id="rId631" ref="C630"/>
    <hyperlink r:id="rId632" ref="C631"/>
    <hyperlink r:id="rId633" ref="C632"/>
    <hyperlink r:id="rId634" ref="C633"/>
    <hyperlink r:id="rId635" ref="C634"/>
    <hyperlink r:id="rId636" ref="C635"/>
    <hyperlink r:id="rId637" ref="C636"/>
    <hyperlink r:id="rId638" ref="C637"/>
    <hyperlink r:id="rId639" ref="C638"/>
    <hyperlink r:id="rId640" ref="C639"/>
    <hyperlink r:id="rId641" ref="C640"/>
    <hyperlink r:id="rId642" ref="C641"/>
    <hyperlink r:id="rId643" ref="C642"/>
    <hyperlink r:id="rId644" ref="C643"/>
    <hyperlink r:id="rId645" ref="C644"/>
    <hyperlink r:id="rId646" ref="C645"/>
    <hyperlink r:id="rId647" ref="C646"/>
    <hyperlink r:id="rId648" ref="C647"/>
    <hyperlink r:id="rId649" ref="C648"/>
    <hyperlink r:id="rId650" ref="C649"/>
    <hyperlink r:id="rId651" ref="C650"/>
    <hyperlink r:id="rId652" ref="C651"/>
  </hyperlinks>
  <drawing r:id="rId653"/>
  <legacyDrawing r:id="rId654"/>
  <tableParts count="1">
    <tablePart r:id="rId656"/>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29"/>
    <col customWidth="1" min="2" max="2" width="91.57"/>
    <col customWidth="1" min="3" max="4" width="32.0"/>
    <col customWidth="1" min="5" max="5" width="31.86"/>
    <col customWidth="1" min="6" max="6" width="16.43"/>
    <col customWidth="1" min="7" max="7" width="9.57"/>
    <col customWidth="1" min="8" max="8" width="7.14"/>
    <col customWidth="1" min="9" max="9" width="18.57"/>
    <col customWidth="1" min="10" max="10" width="51.86"/>
    <col customWidth="1" min="11" max="11" width="72.14"/>
    <col customWidth="1" min="12" max="12" width="33.71"/>
    <col customWidth="1" min="13" max="13" width="52.57"/>
    <col customWidth="1" min="14" max="14" width="35.0"/>
    <col customWidth="1" min="15" max="15" width="48.57"/>
    <col customWidth="1" min="16" max="16" width="26.0"/>
    <col customWidth="1" min="17" max="17" width="40.14"/>
    <col customWidth="1" min="18" max="18" width="14.0"/>
  </cols>
  <sheetData>
    <row r="1">
      <c r="A1" s="40" t="s">
        <v>0</v>
      </c>
      <c r="B1" s="40" t="s">
        <v>1</v>
      </c>
      <c r="C1" s="41" t="s">
        <v>2</v>
      </c>
      <c r="D1" s="40" t="s">
        <v>3</v>
      </c>
      <c r="E1" s="40" t="s">
        <v>4</v>
      </c>
      <c r="F1" s="41" t="s">
        <v>5</v>
      </c>
      <c r="G1" s="41" t="s">
        <v>6</v>
      </c>
      <c r="H1" s="42" t="s">
        <v>7</v>
      </c>
      <c r="I1" s="43" t="s">
        <v>2352</v>
      </c>
      <c r="J1" s="43" t="s">
        <v>2353</v>
      </c>
      <c r="K1" s="43" t="s">
        <v>2354</v>
      </c>
      <c r="L1" s="43" t="s">
        <v>2355</v>
      </c>
      <c r="M1" s="43" t="s">
        <v>2356</v>
      </c>
      <c r="N1" s="43" t="s">
        <v>2357</v>
      </c>
      <c r="O1" s="43" t="s">
        <v>2358</v>
      </c>
      <c r="P1" s="43" t="s">
        <v>2359</v>
      </c>
      <c r="Q1" s="43" t="s">
        <v>2360</v>
      </c>
      <c r="R1" s="44" t="s">
        <v>25</v>
      </c>
      <c r="S1" s="45" t="s">
        <v>24</v>
      </c>
    </row>
    <row r="2">
      <c r="A2" s="46">
        <v>6.0</v>
      </c>
      <c r="B2" s="47" t="s">
        <v>55</v>
      </c>
      <c r="C2" s="48" t="s">
        <v>2361</v>
      </c>
      <c r="D2" s="47" t="s">
        <v>57</v>
      </c>
      <c r="E2" s="49" t="s">
        <v>36</v>
      </c>
      <c r="F2" s="49" t="s">
        <v>37</v>
      </c>
      <c r="G2" s="46" t="s">
        <v>58</v>
      </c>
      <c r="H2" s="47">
        <v>2019.0</v>
      </c>
      <c r="I2" s="49" t="s">
        <v>2362</v>
      </c>
      <c r="J2" s="49" t="s">
        <v>2363</v>
      </c>
      <c r="K2" s="49" t="s">
        <v>2364</v>
      </c>
      <c r="L2" s="49" t="s">
        <v>2365</v>
      </c>
      <c r="M2" s="49" t="s">
        <v>2366</v>
      </c>
      <c r="N2" s="49" t="s">
        <v>2367</v>
      </c>
      <c r="O2" s="49" t="s">
        <v>2368</v>
      </c>
      <c r="P2" s="49" t="s">
        <v>2369</v>
      </c>
      <c r="Q2" s="49" t="s">
        <v>2370</v>
      </c>
      <c r="R2" s="50"/>
      <c r="S2" s="51" t="s">
        <v>32</v>
      </c>
    </row>
    <row r="3">
      <c r="A3" s="46">
        <v>7.0</v>
      </c>
      <c r="B3" s="47" t="s">
        <v>59</v>
      </c>
      <c r="C3" s="52" t="s">
        <v>2371</v>
      </c>
      <c r="D3" s="47" t="s">
        <v>61</v>
      </c>
      <c r="E3" s="47" t="s">
        <v>62</v>
      </c>
      <c r="F3" s="47" t="s">
        <v>62</v>
      </c>
      <c r="G3" s="46" t="s">
        <v>38</v>
      </c>
      <c r="H3" s="47">
        <v>2019.0</v>
      </c>
      <c r="I3" s="49" t="s">
        <v>2372</v>
      </c>
      <c r="J3" s="49" t="s">
        <v>2373</v>
      </c>
      <c r="K3" s="49" t="s">
        <v>2374</v>
      </c>
      <c r="L3" s="49" t="s">
        <v>2375</v>
      </c>
      <c r="M3" s="49" t="s">
        <v>2376</v>
      </c>
      <c r="N3" s="49" t="s">
        <v>2377</v>
      </c>
      <c r="O3" s="49" t="s">
        <v>2378</v>
      </c>
      <c r="P3" s="49" t="s">
        <v>2379</v>
      </c>
      <c r="Q3" s="49" t="s">
        <v>2380</v>
      </c>
      <c r="R3" s="50"/>
      <c r="S3" s="51" t="s">
        <v>32</v>
      </c>
    </row>
    <row r="4">
      <c r="A4" s="46">
        <v>10.0</v>
      </c>
      <c r="B4" s="47" t="s">
        <v>71</v>
      </c>
      <c r="C4" s="52" t="s">
        <v>2381</v>
      </c>
      <c r="D4" s="49" t="s">
        <v>73</v>
      </c>
      <c r="E4" s="49" t="s">
        <v>36</v>
      </c>
      <c r="F4" s="49" t="s">
        <v>37</v>
      </c>
      <c r="G4" s="46" t="s">
        <v>58</v>
      </c>
      <c r="H4" s="47">
        <v>2020.0</v>
      </c>
      <c r="I4" s="49" t="s">
        <v>2382</v>
      </c>
      <c r="J4" s="49" t="s">
        <v>2383</v>
      </c>
      <c r="K4" s="49" t="s">
        <v>2384</v>
      </c>
      <c r="L4" s="49" t="s">
        <v>2385</v>
      </c>
      <c r="M4" s="49" t="s">
        <v>2386</v>
      </c>
      <c r="N4" s="49" t="s">
        <v>2387</v>
      </c>
      <c r="O4" s="49" t="s">
        <v>2388</v>
      </c>
      <c r="P4" s="49" t="s">
        <v>2389</v>
      </c>
      <c r="Q4" s="49" t="s">
        <v>2390</v>
      </c>
      <c r="R4" s="50"/>
      <c r="S4" s="51" t="s">
        <v>32</v>
      </c>
    </row>
    <row r="5">
      <c r="A5" s="46">
        <v>11.0</v>
      </c>
      <c r="B5" s="47" t="s">
        <v>74</v>
      </c>
      <c r="C5" s="52" t="s">
        <v>2391</v>
      </c>
      <c r="D5" s="47" t="s">
        <v>76</v>
      </c>
      <c r="E5" s="49" t="s">
        <v>29</v>
      </c>
      <c r="F5" s="49" t="s">
        <v>30</v>
      </c>
      <c r="G5" s="46" t="s">
        <v>38</v>
      </c>
      <c r="H5" s="47">
        <v>2019.0</v>
      </c>
      <c r="I5" s="49" t="s">
        <v>2372</v>
      </c>
      <c r="J5" s="49" t="s">
        <v>2392</v>
      </c>
      <c r="K5" s="49" t="s">
        <v>2393</v>
      </c>
      <c r="L5" s="49" t="s">
        <v>2394</v>
      </c>
      <c r="M5" s="49" t="s">
        <v>2395</v>
      </c>
      <c r="N5" s="49"/>
      <c r="O5" s="49" t="s">
        <v>2396</v>
      </c>
      <c r="P5" s="49" t="s">
        <v>2397</v>
      </c>
      <c r="Q5" s="49" t="s">
        <v>2398</v>
      </c>
      <c r="R5" s="50"/>
      <c r="S5" s="51" t="s">
        <v>32</v>
      </c>
    </row>
    <row r="6">
      <c r="A6" s="46">
        <v>13.0</v>
      </c>
      <c r="B6" s="47" t="s">
        <v>41</v>
      </c>
      <c r="C6" s="52" t="s">
        <v>2399</v>
      </c>
      <c r="D6" s="47" t="s">
        <v>84</v>
      </c>
      <c r="E6" s="47" t="s">
        <v>62</v>
      </c>
      <c r="F6" s="47" t="s">
        <v>62</v>
      </c>
      <c r="G6" s="46" t="s">
        <v>58</v>
      </c>
      <c r="H6" s="47">
        <v>2018.0</v>
      </c>
      <c r="I6" s="49" t="s">
        <v>2400</v>
      </c>
      <c r="J6" s="49" t="s">
        <v>2401</v>
      </c>
      <c r="K6" s="49" t="s">
        <v>2402</v>
      </c>
      <c r="L6" s="49" t="s">
        <v>2403</v>
      </c>
      <c r="M6" s="49" t="s">
        <v>2404</v>
      </c>
      <c r="N6" s="49"/>
      <c r="O6" s="49" t="s">
        <v>2405</v>
      </c>
      <c r="P6" s="49" t="s">
        <v>2406</v>
      </c>
      <c r="Q6" s="49" t="s">
        <v>2407</v>
      </c>
      <c r="R6" s="50"/>
      <c r="S6" s="51" t="s">
        <v>32</v>
      </c>
    </row>
    <row r="7">
      <c r="A7" s="46">
        <v>16.0</v>
      </c>
      <c r="B7" s="47" t="s">
        <v>94</v>
      </c>
      <c r="C7" s="48" t="s">
        <v>95</v>
      </c>
      <c r="D7" s="47" t="s">
        <v>96</v>
      </c>
      <c r="E7" s="47" t="s">
        <v>62</v>
      </c>
      <c r="F7" s="47" t="s">
        <v>62</v>
      </c>
      <c r="G7" s="46" t="s">
        <v>38</v>
      </c>
      <c r="H7" s="47">
        <v>2020.0</v>
      </c>
      <c r="I7" s="49" t="s">
        <v>2372</v>
      </c>
      <c r="J7" s="49" t="s">
        <v>2408</v>
      </c>
      <c r="K7" s="49" t="s">
        <v>2409</v>
      </c>
      <c r="L7" s="49" t="s">
        <v>2410</v>
      </c>
      <c r="M7" s="49" t="s">
        <v>2411</v>
      </c>
      <c r="N7" s="49" t="s">
        <v>2412</v>
      </c>
      <c r="O7" s="49" t="s">
        <v>2413</v>
      </c>
      <c r="P7" s="49" t="s">
        <v>2369</v>
      </c>
      <c r="Q7" s="49" t="s">
        <v>2414</v>
      </c>
      <c r="R7" s="50"/>
      <c r="S7" s="51" t="s">
        <v>32</v>
      </c>
    </row>
    <row r="8">
      <c r="A8" s="46">
        <v>17.0</v>
      </c>
      <c r="B8" s="47" t="s">
        <v>97</v>
      </c>
      <c r="C8" s="48" t="s">
        <v>98</v>
      </c>
      <c r="D8" s="47" t="s">
        <v>99</v>
      </c>
      <c r="E8" s="49" t="s">
        <v>100</v>
      </c>
      <c r="F8" s="49" t="s">
        <v>101</v>
      </c>
      <c r="G8" s="46" t="s">
        <v>38</v>
      </c>
      <c r="H8" s="47">
        <v>2020.0</v>
      </c>
      <c r="I8" s="49" t="s">
        <v>2372</v>
      </c>
      <c r="J8" s="49" t="s">
        <v>2415</v>
      </c>
      <c r="K8" s="53" t="s">
        <v>2416</v>
      </c>
      <c r="L8" s="49" t="s">
        <v>2417</v>
      </c>
      <c r="M8" s="49" t="s">
        <v>2418</v>
      </c>
      <c r="N8" s="49" t="s">
        <v>2419</v>
      </c>
      <c r="O8" s="49" t="s">
        <v>2420</v>
      </c>
      <c r="P8" s="49" t="s">
        <v>2369</v>
      </c>
      <c r="Q8" s="49" t="s">
        <v>2421</v>
      </c>
      <c r="R8" s="50"/>
      <c r="S8" s="51" t="s">
        <v>32</v>
      </c>
    </row>
    <row r="9">
      <c r="A9" s="46">
        <v>21.0</v>
      </c>
      <c r="B9" s="47" t="s">
        <v>116</v>
      </c>
      <c r="C9" s="54" t="s">
        <v>2422</v>
      </c>
      <c r="D9" s="47" t="s">
        <v>118</v>
      </c>
      <c r="E9" s="47" t="s">
        <v>62</v>
      </c>
      <c r="F9" s="47" t="s">
        <v>62</v>
      </c>
      <c r="G9" s="46" t="s">
        <v>38</v>
      </c>
      <c r="H9" s="47">
        <v>2019.0</v>
      </c>
      <c r="I9" s="49" t="s">
        <v>2372</v>
      </c>
      <c r="J9" s="49" t="s">
        <v>2423</v>
      </c>
      <c r="K9" s="49" t="s">
        <v>2424</v>
      </c>
      <c r="L9" s="49" t="s">
        <v>2425</v>
      </c>
      <c r="M9" s="49" t="s">
        <v>2426</v>
      </c>
      <c r="N9" s="49" t="s">
        <v>2427</v>
      </c>
      <c r="O9" s="49" t="s">
        <v>2428</v>
      </c>
      <c r="P9" s="49" t="s">
        <v>2429</v>
      </c>
      <c r="Q9" s="49" t="s">
        <v>2430</v>
      </c>
      <c r="R9" s="50"/>
      <c r="S9" s="51" t="s">
        <v>32</v>
      </c>
    </row>
    <row r="10">
      <c r="A10" s="46">
        <v>32.0</v>
      </c>
      <c r="B10" s="47" t="s">
        <v>153</v>
      </c>
      <c r="C10" s="54" t="s">
        <v>2431</v>
      </c>
      <c r="D10" s="47" t="s">
        <v>155</v>
      </c>
      <c r="E10" s="49" t="s">
        <v>156</v>
      </c>
      <c r="F10" s="55" t="s">
        <v>157</v>
      </c>
      <c r="G10" s="46" t="s">
        <v>38</v>
      </c>
      <c r="H10" s="49">
        <v>2018.0</v>
      </c>
      <c r="I10" s="49" t="s">
        <v>2372</v>
      </c>
      <c r="J10" s="49" t="s">
        <v>2432</v>
      </c>
      <c r="K10" s="49" t="s">
        <v>2433</v>
      </c>
      <c r="L10" s="49" t="s">
        <v>2434</v>
      </c>
      <c r="M10" s="49" t="s">
        <v>2435</v>
      </c>
      <c r="N10" s="49" t="s">
        <v>2436</v>
      </c>
      <c r="O10" s="49" t="s">
        <v>2437</v>
      </c>
      <c r="P10" s="49" t="s">
        <v>2438</v>
      </c>
      <c r="Q10" s="49" t="s">
        <v>2439</v>
      </c>
      <c r="R10" s="50"/>
      <c r="S10" s="51" t="s">
        <v>32</v>
      </c>
    </row>
    <row r="11">
      <c r="A11" s="46">
        <v>33.0</v>
      </c>
      <c r="B11" s="47" t="s">
        <v>158</v>
      </c>
      <c r="C11" s="54" t="s">
        <v>2440</v>
      </c>
      <c r="D11" s="49" t="s">
        <v>160</v>
      </c>
      <c r="E11" s="49" t="s">
        <v>36</v>
      </c>
      <c r="F11" s="49" t="s">
        <v>37</v>
      </c>
      <c r="G11" s="46" t="s">
        <v>58</v>
      </c>
      <c r="H11" s="47">
        <v>2018.0</v>
      </c>
      <c r="I11" s="49" t="s">
        <v>2441</v>
      </c>
      <c r="J11" s="49" t="s">
        <v>2442</v>
      </c>
      <c r="K11" s="49" t="s">
        <v>2443</v>
      </c>
      <c r="L11" s="49" t="s">
        <v>2444</v>
      </c>
      <c r="M11" s="49" t="s">
        <v>2445</v>
      </c>
      <c r="N11" s="49"/>
      <c r="O11" s="49" t="s">
        <v>2446</v>
      </c>
      <c r="P11" s="49" t="s">
        <v>2389</v>
      </c>
      <c r="Q11" s="49" t="s">
        <v>2447</v>
      </c>
      <c r="R11" s="50"/>
      <c r="S11" s="51" t="s">
        <v>32</v>
      </c>
    </row>
    <row r="12">
      <c r="A12" s="56">
        <v>34.0</v>
      </c>
      <c r="B12" s="47" t="s">
        <v>161</v>
      </c>
      <c r="C12" s="52" t="s">
        <v>2448</v>
      </c>
      <c r="D12" s="47" t="s">
        <v>163</v>
      </c>
      <c r="E12" s="47" t="s">
        <v>62</v>
      </c>
      <c r="F12" s="47" t="s">
        <v>62</v>
      </c>
      <c r="G12" s="56" t="s">
        <v>38</v>
      </c>
      <c r="H12" s="47">
        <v>2019.0</v>
      </c>
      <c r="I12" s="49" t="s">
        <v>2449</v>
      </c>
      <c r="J12" s="49" t="s">
        <v>2450</v>
      </c>
      <c r="K12" s="49" t="s">
        <v>2451</v>
      </c>
      <c r="L12" s="49" t="s">
        <v>2452</v>
      </c>
      <c r="M12" s="49" t="s">
        <v>2453</v>
      </c>
      <c r="N12" s="49" t="s">
        <v>2454</v>
      </c>
      <c r="O12" s="49" t="s">
        <v>2455</v>
      </c>
      <c r="P12" s="49" t="s">
        <v>2369</v>
      </c>
      <c r="Q12" s="49" t="s">
        <v>2456</v>
      </c>
      <c r="R12" s="50"/>
      <c r="S12" s="51" t="s">
        <v>32</v>
      </c>
    </row>
    <row r="13">
      <c r="A13" s="46">
        <v>38.0</v>
      </c>
      <c r="B13" s="47" t="s">
        <v>176</v>
      </c>
      <c r="C13" s="52" t="s">
        <v>2457</v>
      </c>
      <c r="D13" s="49" t="s">
        <v>178</v>
      </c>
      <c r="E13" s="47" t="s">
        <v>62</v>
      </c>
      <c r="F13" s="47" t="s">
        <v>62</v>
      </c>
      <c r="G13" s="46" t="s">
        <v>58</v>
      </c>
      <c r="H13" s="47">
        <v>2019.0</v>
      </c>
      <c r="I13" s="49" t="s">
        <v>2458</v>
      </c>
      <c r="J13" s="49" t="s">
        <v>2459</v>
      </c>
      <c r="K13" s="49" t="s">
        <v>2460</v>
      </c>
      <c r="L13" s="49" t="s">
        <v>2461</v>
      </c>
      <c r="M13" s="49" t="s">
        <v>2462</v>
      </c>
      <c r="N13" s="49" t="s">
        <v>2463</v>
      </c>
      <c r="O13" s="49" t="s">
        <v>2464</v>
      </c>
      <c r="P13" s="49" t="s">
        <v>2389</v>
      </c>
      <c r="Q13" s="49" t="s">
        <v>2465</v>
      </c>
      <c r="R13" s="50"/>
      <c r="S13" s="51" t="s">
        <v>32</v>
      </c>
    </row>
    <row r="14">
      <c r="A14" s="46">
        <v>40.0</v>
      </c>
      <c r="B14" s="47" t="s">
        <v>183</v>
      </c>
      <c r="C14" s="52" t="s">
        <v>2466</v>
      </c>
      <c r="D14" s="47" t="s">
        <v>185</v>
      </c>
      <c r="E14" s="49" t="s">
        <v>36</v>
      </c>
      <c r="F14" s="49" t="s">
        <v>37</v>
      </c>
      <c r="G14" s="46" t="s">
        <v>58</v>
      </c>
      <c r="H14" s="47">
        <v>2019.0</v>
      </c>
      <c r="I14" s="49" t="s">
        <v>2467</v>
      </c>
      <c r="J14" s="49" t="s">
        <v>2468</v>
      </c>
      <c r="K14" s="49" t="s">
        <v>2469</v>
      </c>
      <c r="L14" s="49" t="s">
        <v>2470</v>
      </c>
      <c r="M14" s="49" t="s">
        <v>2471</v>
      </c>
      <c r="N14" s="49" t="s">
        <v>2472</v>
      </c>
      <c r="O14" s="49" t="s">
        <v>2473</v>
      </c>
      <c r="P14" s="49" t="s">
        <v>2474</v>
      </c>
      <c r="Q14" s="49"/>
      <c r="R14" s="50"/>
      <c r="S14" s="51" t="s">
        <v>32</v>
      </c>
    </row>
    <row r="15">
      <c r="A15" s="57">
        <v>44.0</v>
      </c>
      <c r="B15" s="58" t="s">
        <v>197</v>
      </c>
      <c r="C15" s="52" t="s">
        <v>2475</v>
      </c>
      <c r="D15" s="58" t="s">
        <v>199</v>
      </c>
      <c r="E15" s="59" t="s">
        <v>36</v>
      </c>
      <c r="F15" s="59" t="s">
        <v>37</v>
      </c>
      <c r="G15" s="46" t="s">
        <v>58</v>
      </c>
      <c r="H15" s="58">
        <v>2019.0</v>
      </c>
      <c r="I15" s="49" t="s">
        <v>2372</v>
      </c>
      <c r="J15" s="49" t="s">
        <v>2476</v>
      </c>
      <c r="K15" s="49" t="s">
        <v>2477</v>
      </c>
      <c r="L15" s="49" t="s">
        <v>2478</v>
      </c>
      <c r="M15" s="49" t="s">
        <v>2479</v>
      </c>
      <c r="N15" s="49" t="s">
        <v>2480</v>
      </c>
      <c r="O15" s="49" t="s">
        <v>2481</v>
      </c>
      <c r="P15" s="49" t="s">
        <v>2369</v>
      </c>
      <c r="Q15" s="49" t="s">
        <v>2482</v>
      </c>
      <c r="R15" s="50"/>
      <c r="S15" s="51" t="s">
        <v>32</v>
      </c>
    </row>
    <row r="16">
      <c r="A16" s="57">
        <v>49.0</v>
      </c>
      <c r="B16" s="58" t="s">
        <v>215</v>
      </c>
      <c r="C16" s="58" t="s">
        <v>216</v>
      </c>
      <c r="D16" s="58" t="s">
        <v>217</v>
      </c>
      <c r="E16" s="59" t="s">
        <v>80</v>
      </c>
      <c r="F16" s="59" t="s">
        <v>81</v>
      </c>
      <c r="G16" s="46" t="s">
        <v>58</v>
      </c>
      <c r="H16" s="58">
        <v>2020.0</v>
      </c>
      <c r="I16" s="49" t="s">
        <v>2483</v>
      </c>
      <c r="J16" s="49" t="s">
        <v>2484</v>
      </c>
      <c r="K16" s="49" t="s">
        <v>2485</v>
      </c>
      <c r="L16" s="49" t="s">
        <v>2486</v>
      </c>
      <c r="M16" s="49" t="s">
        <v>2487</v>
      </c>
      <c r="N16" s="58"/>
      <c r="O16" s="49" t="s">
        <v>2488</v>
      </c>
      <c r="P16" s="49" t="s">
        <v>2489</v>
      </c>
      <c r="Q16" s="49" t="s">
        <v>2490</v>
      </c>
      <c r="R16" s="50"/>
      <c r="S16" s="51" t="s">
        <v>32</v>
      </c>
    </row>
    <row r="17">
      <c r="A17" s="57">
        <v>51.0</v>
      </c>
      <c r="B17" s="58" t="s">
        <v>221</v>
      </c>
      <c r="C17" s="58" t="s">
        <v>222</v>
      </c>
      <c r="D17" s="58" t="s">
        <v>223</v>
      </c>
      <c r="E17" s="59" t="s">
        <v>80</v>
      </c>
      <c r="F17" s="59" t="s">
        <v>81</v>
      </c>
      <c r="G17" s="46" t="s">
        <v>58</v>
      </c>
      <c r="H17" s="58">
        <v>2020.0</v>
      </c>
      <c r="I17" s="49" t="s">
        <v>2491</v>
      </c>
      <c r="J17" s="49" t="s">
        <v>2492</v>
      </c>
      <c r="K17" s="49" t="s">
        <v>2493</v>
      </c>
      <c r="L17" s="49" t="s">
        <v>2494</v>
      </c>
      <c r="M17" s="49" t="s">
        <v>2495</v>
      </c>
      <c r="N17" s="58"/>
      <c r="O17" s="49" t="s">
        <v>2496</v>
      </c>
      <c r="P17" s="49" t="s">
        <v>2389</v>
      </c>
      <c r="Q17" s="58"/>
      <c r="R17" s="50"/>
      <c r="S17" s="51" t="s">
        <v>32</v>
      </c>
    </row>
    <row r="18">
      <c r="A18" s="57">
        <v>53.0</v>
      </c>
      <c r="B18" s="58" t="s">
        <v>228</v>
      </c>
      <c r="C18" s="58" t="s">
        <v>229</v>
      </c>
      <c r="D18" s="49" t="s">
        <v>230</v>
      </c>
      <c r="E18" s="59" t="s">
        <v>36</v>
      </c>
      <c r="F18" s="59" t="s">
        <v>37</v>
      </c>
      <c r="G18" s="46" t="s">
        <v>38</v>
      </c>
      <c r="H18" s="58">
        <v>2018.0</v>
      </c>
      <c r="I18" s="49" t="s">
        <v>2372</v>
      </c>
      <c r="J18" s="49" t="s">
        <v>2497</v>
      </c>
      <c r="K18" s="49" t="s">
        <v>2498</v>
      </c>
      <c r="L18" s="49" t="s">
        <v>2499</v>
      </c>
      <c r="M18" s="49" t="s">
        <v>2500</v>
      </c>
      <c r="N18" s="49" t="s">
        <v>2501</v>
      </c>
      <c r="O18" s="49" t="s">
        <v>2502</v>
      </c>
      <c r="P18" s="49" t="s">
        <v>2503</v>
      </c>
      <c r="Q18" s="49" t="s">
        <v>2504</v>
      </c>
      <c r="R18" s="50"/>
      <c r="S18" s="51" t="s">
        <v>32</v>
      </c>
    </row>
    <row r="19">
      <c r="A19" s="57">
        <v>54.0</v>
      </c>
      <c r="B19" s="58" t="s">
        <v>231</v>
      </c>
      <c r="C19" s="58" t="s">
        <v>232</v>
      </c>
      <c r="D19" s="58" t="s">
        <v>233</v>
      </c>
      <c r="E19" s="58" t="s">
        <v>62</v>
      </c>
      <c r="F19" s="58" t="s">
        <v>62</v>
      </c>
      <c r="G19" s="46" t="s">
        <v>38</v>
      </c>
      <c r="H19" s="58">
        <v>2020.0</v>
      </c>
      <c r="I19" s="49" t="s">
        <v>2467</v>
      </c>
      <c r="J19" s="49" t="s">
        <v>2505</v>
      </c>
      <c r="K19" s="49" t="s">
        <v>2506</v>
      </c>
      <c r="L19" s="49" t="s">
        <v>2507</v>
      </c>
      <c r="M19" s="49" t="s">
        <v>2508</v>
      </c>
      <c r="N19" s="49" t="s">
        <v>2509</v>
      </c>
      <c r="O19" s="49" t="s">
        <v>2510</v>
      </c>
      <c r="P19" s="49" t="s">
        <v>2369</v>
      </c>
      <c r="Q19" s="49" t="s">
        <v>2511</v>
      </c>
      <c r="R19" s="50"/>
      <c r="S19" s="51" t="s">
        <v>32</v>
      </c>
    </row>
    <row r="20">
      <c r="A20" s="57">
        <v>56.0</v>
      </c>
      <c r="B20" s="58" t="s">
        <v>238</v>
      </c>
      <c r="C20" s="58" t="s">
        <v>239</v>
      </c>
      <c r="D20" s="58" t="s">
        <v>240</v>
      </c>
      <c r="E20" s="58" t="s">
        <v>128</v>
      </c>
      <c r="F20" s="58" t="s">
        <v>128</v>
      </c>
      <c r="G20" s="46" t="s">
        <v>38</v>
      </c>
      <c r="H20" s="58">
        <v>2020.0</v>
      </c>
      <c r="I20" s="49" t="s">
        <v>2362</v>
      </c>
      <c r="J20" s="49" t="s">
        <v>2512</v>
      </c>
      <c r="K20" s="49" t="s">
        <v>2513</v>
      </c>
      <c r="L20" s="49" t="s">
        <v>2514</v>
      </c>
      <c r="M20" s="49" t="s">
        <v>2515</v>
      </c>
      <c r="N20" s="49" t="s">
        <v>2516</v>
      </c>
      <c r="O20" s="49" t="s">
        <v>2517</v>
      </c>
      <c r="P20" s="49" t="s">
        <v>2369</v>
      </c>
      <c r="Q20" s="49" t="s">
        <v>2518</v>
      </c>
      <c r="R20" s="50"/>
      <c r="S20" s="51" t="s">
        <v>32</v>
      </c>
    </row>
    <row r="21">
      <c r="A21" s="57">
        <v>57.0</v>
      </c>
      <c r="B21" s="58" t="s">
        <v>241</v>
      </c>
      <c r="C21" s="58" t="s">
        <v>242</v>
      </c>
      <c r="D21" s="58" t="s">
        <v>243</v>
      </c>
      <c r="E21" s="59" t="s">
        <v>36</v>
      </c>
      <c r="F21" s="59" t="s">
        <v>37</v>
      </c>
      <c r="G21" s="46" t="s">
        <v>58</v>
      </c>
      <c r="H21" s="58">
        <v>2019.0</v>
      </c>
      <c r="I21" s="49" t="s">
        <v>2519</v>
      </c>
      <c r="J21" s="49" t="s">
        <v>2520</v>
      </c>
      <c r="K21" s="49" t="s">
        <v>2521</v>
      </c>
      <c r="L21" s="49" t="s">
        <v>2522</v>
      </c>
      <c r="M21" s="49" t="s">
        <v>2523</v>
      </c>
      <c r="N21" s="49" t="s">
        <v>2524</v>
      </c>
      <c r="O21" s="49" t="s">
        <v>2525</v>
      </c>
      <c r="P21" s="49" t="s">
        <v>2389</v>
      </c>
      <c r="Q21" s="49" t="s">
        <v>2526</v>
      </c>
      <c r="R21" s="50"/>
      <c r="S21" s="51" t="s">
        <v>32</v>
      </c>
    </row>
    <row r="22">
      <c r="A22" s="57">
        <v>58.0</v>
      </c>
      <c r="B22" s="58" t="s">
        <v>244</v>
      </c>
      <c r="C22" s="58" t="s">
        <v>245</v>
      </c>
      <c r="D22" s="58" t="s">
        <v>246</v>
      </c>
      <c r="E22" s="59" t="s">
        <v>36</v>
      </c>
      <c r="F22" s="59" t="s">
        <v>37</v>
      </c>
      <c r="G22" s="46" t="s">
        <v>58</v>
      </c>
      <c r="H22" s="58">
        <v>2019.0</v>
      </c>
      <c r="I22" s="49" t="s">
        <v>2372</v>
      </c>
      <c r="J22" s="49" t="s">
        <v>2527</v>
      </c>
      <c r="K22" s="49" t="s">
        <v>2528</v>
      </c>
      <c r="L22" s="49" t="s">
        <v>2529</v>
      </c>
      <c r="M22" s="49" t="s">
        <v>2530</v>
      </c>
      <c r="N22" s="49" t="s">
        <v>2531</v>
      </c>
      <c r="O22" s="49" t="s">
        <v>2532</v>
      </c>
      <c r="P22" s="49" t="s">
        <v>2369</v>
      </c>
      <c r="Q22" s="49" t="s">
        <v>2533</v>
      </c>
      <c r="R22" s="50"/>
      <c r="S22" s="51" t="s">
        <v>32</v>
      </c>
    </row>
    <row r="23">
      <c r="A23" s="57">
        <v>59.0</v>
      </c>
      <c r="B23" s="58" t="s">
        <v>247</v>
      </c>
      <c r="C23" s="58" t="s">
        <v>248</v>
      </c>
      <c r="D23" s="58" t="s">
        <v>249</v>
      </c>
      <c r="E23" s="59" t="s">
        <v>36</v>
      </c>
      <c r="F23" s="59" t="s">
        <v>37</v>
      </c>
      <c r="G23" s="46" t="s">
        <v>58</v>
      </c>
      <c r="H23" s="58">
        <v>2019.0</v>
      </c>
      <c r="I23" s="49" t="s">
        <v>2372</v>
      </c>
      <c r="J23" s="49" t="s">
        <v>2534</v>
      </c>
      <c r="K23" s="49" t="s">
        <v>2535</v>
      </c>
      <c r="L23" s="49" t="s">
        <v>2536</v>
      </c>
      <c r="M23" s="49" t="s">
        <v>2537</v>
      </c>
      <c r="N23" s="58"/>
      <c r="O23" s="49" t="s">
        <v>2538</v>
      </c>
      <c r="P23" s="49" t="s">
        <v>2503</v>
      </c>
      <c r="Q23" s="49" t="s">
        <v>2539</v>
      </c>
      <c r="R23" s="50"/>
      <c r="S23" s="51" t="s">
        <v>32</v>
      </c>
    </row>
    <row r="24">
      <c r="A24" s="46">
        <v>68.0</v>
      </c>
      <c r="B24" s="58" t="s">
        <v>282</v>
      </c>
      <c r="C24" s="58" t="s">
        <v>283</v>
      </c>
      <c r="D24" s="58" t="s">
        <v>284</v>
      </c>
      <c r="E24" s="58" t="s">
        <v>62</v>
      </c>
      <c r="F24" s="58" t="s">
        <v>62</v>
      </c>
      <c r="G24" s="46" t="s">
        <v>38</v>
      </c>
      <c r="H24" s="58">
        <v>2019.0</v>
      </c>
      <c r="I24" s="49" t="s">
        <v>2467</v>
      </c>
      <c r="J24" s="49" t="s">
        <v>2540</v>
      </c>
      <c r="K24" s="49" t="s">
        <v>2541</v>
      </c>
      <c r="L24" s="49" t="s">
        <v>2542</v>
      </c>
      <c r="M24" s="49" t="s">
        <v>2543</v>
      </c>
      <c r="N24" s="49" t="s">
        <v>2544</v>
      </c>
      <c r="O24" s="49" t="s">
        <v>2545</v>
      </c>
      <c r="P24" s="49" t="s">
        <v>2546</v>
      </c>
      <c r="Q24" s="49" t="s">
        <v>2407</v>
      </c>
      <c r="R24" s="50"/>
      <c r="S24" s="51" t="s">
        <v>32</v>
      </c>
    </row>
    <row r="25">
      <c r="A25" s="46">
        <v>73.0</v>
      </c>
      <c r="B25" s="58" t="s">
        <v>298</v>
      </c>
      <c r="C25" s="58" t="s">
        <v>299</v>
      </c>
      <c r="D25" s="58" t="s">
        <v>300</v>
      </c>
      <c r="E25" s="59" t="s">
        <v>80</v>
      </c>
      <c r="F25" s="59" t="s">
        <v>81</v>
      </c>
      <c r="G25" s="46" t="s">
        <v>58</v>
      </c>
      <c r="H25" s="58">
        <v>2019.0</v>
      </c>
      <c r="I25" s="49" t="s">
        <v>2547</v>
      </c>
      <c r="J25" s="49" t="s">
        <v>2548</v>
      </c>
      <c r="K25" s="49" t="s">
        <v>2549</v>
      </c>
      <c r="L25" s="49" t="s">
        <v>2550</v>
      </c>
      <c r="M25" s="49" t="s">
        <v>2551</v>
      </c>
      <c r="N25" s="49" t="s">
        <v>2552</v>
      </c>
      <c r="O25" s="49" t="s">
        <v>2553</v>
      </c>
      <c r="P25" s="49" t="s">
        <v>2489</v>
      </c>
      <c r="Q25" s="49" t="s">
        <v>2554</v>
      </c>
      <c r="R25" s="50"/>
      <c r="S25" s="51" t="s">
        <v>32</v>
      </c>
    </row>
    <row r="26">
      <c r="A26" s="46">
        <v>74.0</v>
      </c>
      <c r="B26" s="58" t="s">
        <v>301</v>
      </c>
      <c r="C26" s="58" t="s">
        <v>302</v>
      </c>
      <c r="D26" s="58" t="s">
        <v>303</v>
      </c>
      <c r="E26" s="59" t="s">
        <v>36</v>
      </c>
      <c r="F26" s="59" t="s">
        <v>37</v>
      </c>
      <c r="G26" s="46" t="s">
        <v>58</v>
      </c>
      <c r="H26" s="58">
        <v>2019.0</v>
      </c>
      <c r="I26" s="49" t="s">
        <v>2555</v>
      </c>
      <c r="J26" s="49" t="s">
        <v>2556</v>
      </c>
      <c r="K26" s="49" t="s">
        <v>2557</v>
      </c>
      <c r="L26" s="49" t="s">
        <v>2558</v>
      </c>
      <c r="M26" s="49" t="s">
        <v>2559</v>
      </c>
      <c r="N26" s="49" t="s">
        <v>2560</v>
      </c>
      <c r="O26" s="49" t="s">
        <v>2561</v>
      </c>
      <c r="P26" s="49" t="s">
        <v>2562</v>
      </c>
      <c r="Q26" s="49" t="s">
        <v>2407</v>
      </c>
      <c r="R26" s="50"/>
      <c r="S26" s="51" t="s">
        <v>32</v>
      </c>
    </row>
    <row r="27">
      <c r="A27" s="57">
        <v>77.0</v>
      </c>
      <c r="B27" s="58" t="s">
        <v>311</v>
      </c>
      <c r="C27" s="58" t="s">
        <v>312</v>
      </c>
      <c r="D27" s="58" t="s">
        <v>313</v>
      </c>
      <c r="E27" s="58" t="s">
        <v>128</v>
      </c>
      <c r="F27" s="58" t="s">
        <v>128</v>
      </c>
      <c r="G27" s="46" t="s">
        <v>38</v>
      </c>
      <c r="H27" s="58">
        <v>2018.0</v>
      </c>
      <c r="I27" s="49" t="s">
        <v>2449</v>
      </c>
      <c r="J27" s="49" t="s">
        <v>2563</v>
      </c>
      <c r="K27" s="49" t="s">
        <v>2564</v>
      </c>
      <c r="L27" s="49" t="s">
        <v>2565</v>
      </c>
      <c r="M27" s="58"/>
      <c r="N27" s="49" t="s">
        <v>2566</v>
      </c>
      <c r="O27" s="49" t="s">
        <v>2567</v>
      </c>
      <c r="P27" s="49" t="s">
        <v>2562</v>
      </c>
      <c r="Q27" s="49" t="s">
        <v>2568</v>
      </c>
      <c r="R27" s="50"/>
      <c r="S27" s="51" t="s">
        <v>32</v>
      </c>
    </row>
    <row r="28">
      <c r="A28" s="57">
        <v>78.0</v>
      </c>
      <c r="B28" s="58" t="s">
        <v>314</v>
      </c>
      <c r="C28" s="58" t="s">
        <v>315</v>
      </c>
      <c r="D28" s="58" t="s">
        <v>316</v>
      </c>
      <c r="E28" s="59" t="s">
        <v>317</v>
      </c>
      <c r="F28" s="59" t="s">
        <v>318</v>
      </c>
      <c r="G28" s="46" t="s">
        <v>38</v>
      </c>
      <c r="H28" s="58">
        <v>2019.0</v>
      </c>
      <c r="I28" s="49" t="s">
        <v>2372</v>
      </c>
      <c r="J28" s="49" t="s">
        <v>2569</v>
      </c>
      <c r="K28" s="49" t="s">
        <v>2570</v>
      </c>
      <c r="L28" s="49" t="s">
        <v>2571</v>
      </c>
      <c r="M28" s="49" t="s">
        <v>2572</v>
      </c>
      <c r="N28" s="58"/>
      <c r="O28" s="49" t="s">
        <v>2573</v>
      </c>
      <c r="P28" s="49" t="s">
        <v>2389</v>
      </c>
      <c r="Q28" s="49" t="s">
        <v>2574</v>
      </c>
      <c r="R28" s="50"/>
      <c r="S28" s="51" t="s">
        <v>32</v>
      </c>
    </row>
    <row r="29">
      <c r="A29" s="57">
        <v>79.0</v>
      </c>
      <c r="B29" s="58" t="s">
        <v>319</v>
      </c>
      <c r="C29" s="58" t="s">
        <v>320</v>
      </c>
      <c r="D29" s="49" t="s">
        <v>321</v>
      </c>
      <c r="E29" s="59" t="s">
        <v>36</v>
      </c>
      <c r="F29" s="59" t="s">
        <v>37</v>
      </c>
      <c r="G29" s="46" t="s">
        <v>38</v>
      </c>
      <c r="H29" s="58">
        <v>2019.0</v>
      </c>
      <c r="I29" s="49" t="s">
        <v>2467</v>
      </c>
      <c r="J29" s="49" t="s">
        <v>2575</v>
      </c>
      <c r="K29" s="49" t="s">
        <v>2576</v>
      </c>
      <c r="L29" s="49" t="s">
        <v>2577</v>
      </c>
      <c r="M29" s="49" t="s">
        <v>2578</v>
      </c>
      <c r="N29" s="49" t="s">
        <v>2579</v>
      </c>
      <c r="O29" s="49" t="s">
        <v>2580</v>
      </c>
      <c r="P29" s="49" t="s">
        <v>2581</v>
      </c>
      <c r="Q29" s="49" t="s">
        <v>2582</v>
      </c>
      <c r="R29" s="50"/>
      <c r="S29" s="51" t="s">
        <v>32</v>
      </c>
    </row>
    <row r="30">
      <c r="A30" s="57">
        <v>81.0</v>
      </c>
      <c r="B30" s="58" t="s">
        <v>325</v>
      </c>
      <c r="C30" s="58" t="s">
        <v>326</v>
      </c>
      <c r="D30" s="58" t="s">
        <v>327</v>
      </c>
      <c r="E30" s="58" t="s">
        <v>62</v>
      </c>
      <c r="F30" s="58" t="s">
        <v>62</v>
      </c>
      <c r="G30" s="46" t="s">
        <v>38</v>
      </c>
      <c r="H30" s="58">
        <v>2020.0</v>
      </c>
      <c r="I30" s="49" t="s">
        <v>2583</v>
      </c>
      <c r="J30" s="49" t="s">
        <v>2584</v>
      </c>
      <c r="K30" s="49" t="s">
        <v>2585</v>
      </c>
      <c r="L30" s="49" t="s">
        <v>2586</v>
      </c>
      <c r="M30" s="49" t="s">
        <v>2587</v>
      </c>
      <c r="N30" s="49" t="s">
        <v>2588</v>
      </c>
      <c r="O30" s="49" t="s">
        <v>2589</v>
      </c>
      <c r="P30" s="49" t="s">
        <v>2590</v>
      </c>
      <c r="Q30" s="58"/>
      <c r="R30" s="50"/>
      <c r="S30" s="51" t="s">
        <v>32</v>
      </c>
    </row>
    <row r="31">
      <c r="A31" s="57">
        <v>82.0</v>
      </c>
      <c r="B31" s="58" t="s">
        <v>328</v>
      </c>
      <c r="C31" s="58" t="s">
        <v>329</v>
      </c>
      <c r="D31" s="58" t="s">
        <v>330</v>
      </c>
      <c r="E31" s="59" t="s">
        <v>36</v>
      </c>
      <c r="F31" s="59" t="s">
        <v>37</v>
      </c>
      <c r="G31" s="46" t="s">
        <v>38</v>
      </c>
      <c r="H31" s="58">
        <v>2019.0</v>
      </c>
      <c r="I31" s="49" t="s">
        <v>2362</v>
      </c>
      <c r="J31" s="60" t="s">
        <v>2591</v>
      </c>
      <c r="K31" s="49" t="s">
        <v>2592</v>
      </c>
      <c r="L31" s="49" t="s">
        <v>2593</v>
      </c>
      <c r="M31" s="49" t="s">
        <v>2594</v>
      </c>
      <c r="N31" s="49" t="s">
        <v>2595</v>
      </c>
      <c r="O31" s="49" t="s">
        <v>2596</v>
      </c>
      <c r="P31" s="49" t="s">
        <v>2581</v>
      </c>
      <c r="Q31" s="49"/>
      <c r="R31" s="50"/>
      <c r="S31" s="51" t="s">
        <v>32</v>
      </c>
    </row>
    <row r="32">
      <c r="A32" s="57">
        <v>84.0</v>
      </c>
      <c r="B32" s="58" t="s">
        <v>335</v>
      </c>
      <c r="C32" s="58" t="s">
        <v>336</v>
      </c>
      <c r="D32" s="58" t="s">
        <v>337</v>
      </c>
      <c r="E32" s="59" t="s">
        <v>29</v>
      </c>
      <c r="F32" s="59" t="s">
        <v>30</v>
      </c>
      <c r="G32" s="46" t="s">
        <v>38</v>
      </c>
      <c r="H32" s="58">
        <v>2018.0</v>
      </c>
      <c r="I32" s="49" t="s">
        <v>2597</v>
      </c>
      <c r="J32" s="53" t="s">
        <v>2598</v>
      </c>
      <c r="K32" s="49" t="s">
        <v>2599</v>
      </c>
      <c r="L32" s="49" t="s">
        <v>2600</v>
      </c>
      <c r="M32" s="49" t="s">
        <v>2601</v>
      </c>
      <c r="N32" s="49" t="s">
        <v>2602</v>
      </c>
      <c r="O32" s="49" t="s">
        <v>2603</v>
      </c>
      <c r="P32" s="49" t="s">
        <v>2389</v>
      </c>
      <c r="Q32" s="49" t="s">
        <v>2604</v>
      </c>
      <c r="R32" s="50"/>
      <c r="S32" s="51" t="s">
        <v>32</v>
      </c>
    </row>
    <row r="33">
      <c r="A33" s="57">
        <v>85.0</v>
      </c>
      <c r="B33" s="58" t="s">
        <v>338</v>
      </c>
      <c r="C33" s="58" t="s">
        <v>339</v>
      </c>
      <c r="D33" s="58" t="s">
        <v>340</v>
      </c>
      <c r="E33" s="59" t="s">
        <v>341</v>
      </c>
      <c r="F33" s="59" t="s">
        <v>342</v>
      </c>
      <c r="G33" s="46" t="s">
        <v>38</v>
      </c>
      <c r="H33" s="58">
        <v>2019.0</v>
      </c>
      <c r="I33" s="49" t="s">
        <v>2372</v>
      </c>
      <c r="J33" s="49" t="s">
        <v>2605</v>
      </c>
      <c r="K33" s="49" t="s">
        <v>2606</v>
      </c>
      <c r="L33" s="49" t="s">
        <v>2607</v>
      </c>
      <c r="M33" s="49" t="s">
        <v>2479</v>
      </c>
      <c r="N33" s="49" t="s">
        <v>2608</v>
      </c>
      <c r="O33" s="49" t="s">
        <v>2609</v>
      </c>
      <c r="P33" s="49" t="s">
        <v>2369</v>
      </c>
      <c r="Q33" s="49" t="s">
        <v>2407</v>
      </c>
      <c r="R33" s="50"/>
      <c r="S33" s="51" t="s">
        <v>32</v>
      </c>
    </row>
    <row r="34">
      <c r="A34" s="46">
        <v>87.0</v>
      </c>
      <c r="B34" s="58" t="s">
        <v>137</v>
      </c>
      <c r="C34" s="58" t="s">
        <v>346</v>
      </c>
      <c r="D34" s="49" t="s">
        <v>347</v>
      </c>
      <c r="E34" s="58" t="s">
        <v>62</v>
      </c>
      <c r="F34" s="58" t="s">
        <v>62</v>
      </c>
      <c r="G34" s="46" t="s">
        <v>58</v>
      </c>
      <c r="H34" s="58">
        <v>2019.0</v>
      </c>
      <c r="I34" s="49" t="s">
        <v>2610</v>
      </c>
      <c r="J34" s="49" t="s">
        <v>2611</v>
      </c>
      <c r="K34" s="49" t="s">
        <v>2612</v>
      </c>
      <c r="L34" s="49" t="s">
        <v>2613</v>
      </c>
      <c r="M34" s="49" t="s">
        <v>2614</v>
      </c>
      <c r="N34" s="49" t="s">
        <v>2615</v>
      </c>
      <c r="O34" s="49" t="s">
        <v>2616</v>
      </c>
      <c r="P34" s="49" t="s">
        <v>2617</v>
      </c>
      <c r="Q34" s="49" t="s">
        <v>2407</v>
      </c>
      <c r="R34" s="50"/>
      <c r="S34" s="51" t="s">
        <v>32</v>
      </c>
    </row>
    <row r="35">
      <c r="A35" s="57">
        <v>90.0</v>
      </c>
      <c r="B35" s="58" t="s">
        <v>355</v>
      </c>
      <c r="C35" s="58" t="s">
        <v>356</v>
      </c>
      <c r="D35" s="58" t="s">
        <v>357</v>
      </c>
      <c r="E35" s="59" t="s">
        <v>36</v>
      </c>
      <c r="F35" s="59" t="s">
        <v>37</v>
      </c>
      <c r="G35" s="46" t="s">
        <v>58</v>
      </c>
      <c r="H35" s="58">
        <v>2019.0</v>
      </c>
      <c r="I35" s="49" t="s">
        <v>2618</v>
      </c>
      <c r="J35" s="49" t="s">
        <v>2619</v>
      </c>
      <c r="K35" s="49" t="s">
        <v>2620</v>
      </c>
      <c r="L35" s="49" t="s">
        <v>2621</v>
      </c>
      <c r="M35" s="58"/>
      <c r="N35" s="49" t="s">
        <v>2622</v>
      </c>
      <c r="O35" s="49" t="s">
        <v>2623</v>
      </c>
      <c r="P35" s="49" t="s">
        <v>2624</v>
      </c>
      <c r="Q35" s="49" t="s">
        <v>2625</v>
      </c>
      <c r="R35" s="50"/>
      <c r="S35" s="51" t="s">
        <v>32</v>
      </c>
    </row>
    <row r="36">
      <c r="A36" s="57">
        <v>91.0</v>
      </c>
      <c r="B36" s="58" t="s">
        <v>358</v>
      </c>
      <c r="C36" s="58" t="s">
        <v>359</v>
      </c>
      <c r="D36" s="58" t="s">
        <v>360</v>
      </c>
      <c r="E36" s="58" t="s">
        <v>128</v>
      </c>
      <c r="F36" s="58" t="s">
        <v>128</v>
      </c>
      <c r="G36" s="46" t="s">
        <v>38</v>
      </c>
      <c r="H36" s="58">
        <v>2020.0</v>
      </c>
      <c r="I36" s="49" t="s">
        <v>2626</v>
      </c>
      <c r="J36" s="49" t="s">
        <v>2627</v>
      </c>
      <c r="K36" s="49" t="s">
        <v>2628</v>
      </c>
      <c r="L36" s="49" t="s">
        <v>2629</v>
      </c>
      <c r="M36" s="49" t="s">
        <v>2630</v>
      </c>
      <c r="N36" s="49" t="s">
        <v>2631</v>
      </c>
      <c r="O36" s="49" t="s">
        <v>2632</v>
      </c>
      <c r="P36" s="49" t="s">
        <v>2389</v>
      </c>
      <c r="Q36" s="49" t="s">
        <v>2633</v>
      </c>
      <c r="R36" s="50"/>
      <c r="S36" s="51" t="s">
        <v>32</v>
      </c>
    </row>
    <row r="37">
      <c r="A37" s="57">
        <v>94.0</v>
      </c>
      <c r="B37" s="58" t="s">
        <v>368</v>
      </c>
      <c r="C37" s="58" t="s">
        <v>369</v>
      </c>
      <c r="D37" s="58" t="s">
        <v>370</v>
      </c>
      <c r="E37" s="58" t="s">
        <v>128</v>
      </c>
      <c r="F37" s="58" t="s">
        <v>128</v>
      </c>
      <c r="G37" s="46" t="s">
        <v>38</v>
      </c>
      <c r="H37" s="58">
        <v>2019.0</v>
      </c>
      <c r="I37" s="49" t="s">
        <v>2372</v>
      </c>
      <c r="J37" s="49" t="s">
        <v>2634</v>
      </c>
      <c r="K37" s="49" t="s">
        <v>2635</v>
      </c>
      <c r="L37" s="49" t="s">
        <v>2636</v>
      </c>
      <c r="M37" s="49" t="s">
        <v>2587</v>
      </c>
      <c r="N37" s="58"/>
      <c r="O37" s="49" t="s">
        <v>2637</v>
      </c>
      <c r="P37" s="49" t="s">
        <v>2638</v>
      </c>
      <c r="Q37" s="49" t="s">
        <v>2639</v>
      </c>
      <c r="R37" s="50"/>
      <c r="S37" s="51" t="s">
        <v>32</v>
      </c>
    </row>
    <row r="38">
      <c r="A38" s="57">
        <v>97.0</v>
      </c>
      <c r="B38" s="58" t="s">
        <v>377</v>
      </c>
      <c r="C38" s="58" t="s">
        <v>378</v>
      </c>
      <c r="D38" s="58" t="s">
        <v>379</v>
      </c>
      <c r="E38" s="59" t="s">
        <v>36</v>
      </c>
      <c r="F38" s="59" t="s">
        <v>37</v>
      </c>
      <c r="G38" s="46" t="s">
        <v>58</v>
      </c>
      <c r="H38" s="58">
        <v>2020.0</v>
      </c>
      <c r="I38" s="49" t="s">
        <v>2640</v>
      </c>
      <c r="J38" s="49" t="s">
        <v>2641</v>
      </c>
      <c r="K38" s="49" t="s">
        <v>2642</v>
      </c>
      <c r="L38" s="49" t="s">
        <v>2643</v>
      </c>
      <c r="M38" s="49" t="s">
        <v>2644</v>
      </c>
      <c r="N38" s="49" t="s">
        <v>2645</v>
      </c>
      <c r="O38" s="49" t="s">
        <v>2646</v>
      </c>
      <c r="P38" s="49" t="s">
        <v>2647</v>
      </c>
      <c r="Q38" s="49" t="s">
        <v>2407</v>
      </c>
      <c r="R38" s="50"/>
      <c r="S38" s="51" t="s">
        <v>32</v>
      </c>
    </row>
    <row r="39">
      <c r="A39" s="57">
        <v>99.0</v>
      </c>
      <c r="B39" s="58" t="s">
        <v>384</v>
      </c>
      <c r="C39" s="58" t="s">
        <v>385</v>
      </c>
      <c r="D39" s="58" t="s">
        <v>386</v>
      </c>
      <c r="E39" s="59" t="s">
        <v>36</v>
      </c>
      <c r="F39" s="59" t="s">
        <v>37</v>
      </c>
      <c r="G39" s="46" t="s">
        <v>38</v>
      </c>
      <c r="H39" s="58">
        <v>2019.0</v>
      </c>
      <c r="I39" s="49" t="s">
        <v>2648</v>
      </c>
      <c r="J39" s="49" t="s">
        <v>2649</v>
      </c>
      <c r="K39" s="49" t="s">
        <v>2650</v>
      </c>
      <c r="L39" s="49" t="s">
        <v>2651</v>
      </c>
      <c r="M39" s="49" t="s">
        <v>2652</v>
      </c>
      <c r="N39" s="49" t="s">
        <v>2653</v>
      </c>
      <c r="O39" s="49" t="s">
        <v>2654</v>
      </c>
      <c r="P39" s="49" t="s">
        <v>2581</v>
      </c>
      <c r="Q39" s="49" t="s">
        <v>2655</v>
      </c>
      <c r="R39" s="61" t="s">
        <v>2656</v>
      </c>
      <c r="S39" s="51" t="s">
        <v>32</v>
      </c>
    </row>
    <row r="40">
      <c r="A40" s="57">
        <v>100.0</v>
      </c>
      <c r="B40" s="58" t="s">
        <v>387</v>
      </c>
      <c r="C40" s="58" t="s">
        <v>388</v>
      </c>
      <c r="D40" s="58" t="s">
        <v>389</v>
      </c>
      <c r="E40" s="58" t="s">
        <v>128</v>
      </c>
      <c r="F40" s="58" t="s">
        <v>128</v>
      </c>
      <c r="G40" s="46" t="s">
        <v>38</v>
      </c>
      <c r="H40" s="58">
        <v>2018.0</v>
      </c>
      <c r="I40" s="49" t="s">
        <v>2657</v>
      </c>
      <c r="J40" s="49" t="s">
        <v>2658</v>
      </c>
      <c r="K40" s="49" t="s">
        <v>2659</v>
      </c>
      <c r="L40" s="49" t="s">
        <v>2660</v>
      </c>
      <c r="M40" s="49" t="s">
        <v>2661</v>
      </c>
      <c r="N40" s="49" t="s">
        <v>2662</v>
      </c>
      <c r="O40" s="49" t="s">
        <v>2663</v>
      </c>
      <c r="P40" s="49" t="s">
        <v>2562</v>
      </c>
      <c r="Q40" s="49" t="s">
        <v>2664</v>
      </c>
      <c r="R40" s="50"/>
      <c r="S40" s="51" t="s">
        <v>32</v>
      </c>
    </row>
    <row r="41">
      <c r="A41" s="46">
        <v>101.0</v>
      </c>
      <c r="B41" s="47" t="s">
        <v>390</v>
      </c>
      <c r="C41" s="47" t="s">
        <v>391</v>
      </c>
      <c r="D41" s="49" t="s">
        <v>392</v>
      </c>
      <c r="E41" s="47" t="s">
        <v>393</v>
      </c>
      <c r="F41" s="49" t="s">
        <v>394</v>
      </c>
      <c r="G41" s="46" t="s">
        <v>38</v>
      </c>
      <c r="H41" s="58">
        <v>2019.0</v>
      </c>
      <c r="I41" s="49" t="s">
        <v>2372</v>
      </c>
      <c r="J41" s="49" t="s">
        <v>2665</v>
      </c>
      <c r="K41" s="49" t="s">
        <v>2666</v>
      </c>
      <c r="L41" s="49" t="s">
        <v>2667</v>
      </c>
      <c r="M41" s="49" t="s">
        <v>2668</v>
      </c>
      <c r="N41" s="49" t="s">
        <v>2669</v>
      </c>
      <c r="O41" s="49" t="s">
        <v>2670</v>
      </c>
      <c r="P41" s="49" t="s">
        <v>2671</v>
      </c>
      <c r="Q41" s="49" t="s">
        <v>2407</v>
      </c>
      <c r="R41" s="50"/>
      <c r="S41" s="51" t="s">
        <v>32</v>
      </c>
    </row>
    <row r="42">
      <c r="A42" s="46">
        <v>105.0</v>
      </c>
      <c r="B42" s="47" t="s">
        <v>407</v>
      </c>
      <c r="C42" s="54" t="s">
        <v>2672</v>
      </c>
      <c r="D42" s="47" t="s">
        <v>409</v>
      </c>
      <c r="E42" s="49" t="s">
        <v>410</v>
      </c>
      <c r="F42" s="49" t="s">
        <v>411</v>
      </c>
      <c r="G42" s="46" t="s">
        <v>38</v>
      </c>
      <c r="H42" s="47">
        <v>2018.0</v>
      </c>
      <c r="I42" s="49" t="s">
        <v>2673</v>
      </c>
      <c r="J42" s="49" t="s">
        <v>2674</v>
      </c>
      <c r="K42" s="49" t="s">
        <v>2675</v>
      </c>
      <c r="L42" s="49" t="s">
        <v>2676</v>
      </c>
      <c r="M42" s="49" t="s">
        <v>2677</v>
      </c>
      <c r="N42" s="49" t="s">
        <v>2678</v>
      </c>
      <c r="O42" s="49" t="s">
        <v>2679</v>
      </c>
      <c r="P42" s="49" t="s">
        <v>2680</v>
      </c>
      <c r="Q42" s="49" t="s">
        <v>2681</v>
      </c>
      <c r="R42" s="50"/>
      <c r="S42" s="51" t="s">
        <v>412</v>
      </c>
    </row>
    <row r="43">
      <c r="A43" s="46">
        <v>119.0</v>
      </c>
      <c r="B43" s="47" t="s">
        <v>467</v>
      </c>
      <c r="C43" s="54" t="s">
        <v>2682</v>
      </c>
      <c r="D43" s="47" t="s">
        <v>469</v>
      </c>
      <c r="E43" s="47" t="s">
        <v>62</v>
      </c>
      <c r="F43" s="47" t="s">
        <v>62</v>
      </c>
      <c r="G43" s="46" t="s">
        <v>38</v>
      </c>
      <c r="H43" s="47">
        <v>2018.0</v>
      </c>
      <c r="I43" s="47" t="s">
        <v>2683</v>
      </c>
      <c r="J43" s="49" t="s">
        <v>2684</v>
      </c>
      <c r="K43" s="49" t="s">
        <v>2685</v>
      </c>
      <c r="L43" s="49" t="s">
        <v>2686</v>
      </c>
      <c r="M43" s="49" t="s">
        <v>2687</v>
      </c>
      <c r="N43" s="49" t="s">
        <v>2688</v>
      </c>
      <c r="O43" s="49" t="s">
        <v>2689</v>
      </c>
      <c r="P43" s="49" t="s">
        <v>2369</v>
      </c>
      <c r="Q43" s="49" t="s">
        <v>2690</v>
      </c>
      <c r="R43" s="50"/>
      <c r="S43" s="51" t="s">
        <v>412</v>
      </c>
    </row>
    <row r="44">
      <c r="A44" s="46">
        <v>121.0</v>
      </c>
      <c r="B44" s="49" t="s">
        <v>475</v>
      </c>
      <c r="C44" s="54" t="s">
        <v>2691</v>
      </c>
      <c r="D44" s="49" t="s">
        <v>477</v>
      </c>
      <c r="E44" s="49" t="s">
        <v>36</v>
      </c>
      <c r="F44" s="49" t="s">
        <v>37</v>
      </c>
      <c r="G44" s="46" t="s">
        <v>38</v>
      </c>
      <c r="H44" s="49">
        <v>2019.0</v>
      </c>
      <c r="I44" s="49" t="s">
        <v>2692</v>
      </c>
      <c r="J44" s="49" t="s">
        <v>2693</v>
      </c>
      <c r="K44" s="49" t="s">
        <v>2694</v>
      </c>
      <c r="L44" s="49" t="s">
        <v>2695</v>
      </c>
      <c r="M44" s="49" t="s">
        <v>2696</v>
      </c>
      <c r="N44" s="49" t="s">
        <v>2697</v>
      </c>
      <c r="O44" s="49" t="s">
        <v>2698</v>
      </c>
      <c r="P44" s="49" t="s">
        <v>2699</v>
      </c>
      <c r="Q44" s="49" t="s">
        <v>2700</v>
      </c>
      <c r="R44" s="50"/>
      <c r="S44" s="51" t="s">
        <v>412</v>
      </c>
    </row>
    <row r="45">
      <c r="A45" s="46">
        <v>122.0</v>
      </c>
      <c r="B45" s="49" t="s">
        <v>479</v>
      </c>
      <c r="C45" s="54" t="s">
        <v>2701</v>
      </c>
      <c r="D45" s="49" t="s">
        <v>481</v>
      </c>
      <c r="E45" s="49" t="s">
        <v>36</v>
      </c>
      <c r="F45" s="49" t="s">
        <v>37</v>
      </c>
      <c r="G45" s="46" t="s">
        <v>38</v>
      </c>
      <c r="H45" s="49">
        <v>2019.0</v>
      </c>
      <c r="I45" s="49" t="s">
        <v>2702</v>
      </c>
      <c r="J45" s="49" t="s">
        <v>2703</v>
      </c>
      <c r="K45" s="49" t="s">
        <v>2704</v>
      </c>
      <c r="L45" s="49" t="s">
        <v>2705</v>
      </c>
      <c r="M45" s="49" t="s">
        <v>2706</v>
      </c>
      <c r="N45" s="49" t="s">
        <v>2707</v>
      </c>
      <c r="O45" s="49" t="s">
        <v>2708</v>
      </c>
      <c r="P45" s="49" t="s">
        <v>2709</v>
      </c>
      <c r="Q45" s="49" t="s">
        <v>2710</v>
      </c>
      <c r="R45" s="50"/>
      <c r="S45" s="51" t="s">
        <v>412</v>
      </c>
    </row>
    <row r="46">
      <c r="A46" s="46">
        <v>123.0</v>
      </c>
      <c r="B46" s="49" t="s">
        <v>483</v>
      </c>
      <c r="C46" s="54" t="s">
        <v>2711</v>
      </c>
      <c r="D46" s="49" t="s">
        <v>485</v>
      </c>
      <c r="E46" s="49" t="s">
        <v>128</v>
      </c>
      <c r="F46" s="49" t="s">
        <v>128</v>
      </c>
      <c r="G46" s="46" t="s">
        <v>38</v>
      </c>
      <c r="H46" s="49">
        <v>2021.0</v>
      </c>
      <c r="I46" s="49" t="s">
        <v>2712</v>
      </c>
      <c r="J46" s="49" t="s">
        <v>2713</v>
      </c>
      <c r="K46" s="49" t="s">
        <v>2714</v>
      </c>
      <c r="L46" s="49" t="s">
        <v>2715</v>
      </c>
      <c r="M46" s="49" t="s">
        <v>2716</v>
      </c>
      <c r="N46" s="62" t="s">
        <v>2717</v>
      </c>
      <c r="O46" s="49" t="s">
        <v>2718</v>
      </c>
      <c r="P46" s="49" t="s">
        <v>2719</v>
      </c>
      <c r="Q46" s="63" t="s">
        <v>2720</v>
      </c>
      <c r="R46" s="50"/>
      <c r="S46" s="51" t="s">
        <v>412</v>
      </c>
    </row>
    <row r="47">
      <c r="A47" s="46">
        <v>128.0</v>
      </c>
      <c r="B47" s="49" t="s">
        <v>500</v>
      </c>
      <c r="C47" s="54" t="s">
        <v>2721</v>
      </c>
      <c r="D47" s="49" t="s">
        <v>502</v>
      </c>
      <c r="E47" s="49" t="s">
        <v>62</v>
      </c>
      <c r="F47" s="49" t="s">
        <v>62</v>
      </c>
      <c r="G47" s="46" t="s">
        <v>38</v>
      </c>
      <c r="H47" s="49">
        <v>2019.0</v>
      </c>
      <c r="I47" s="49" t="s">
        <v>2722</v>
      </c>
      <c r="J47" s="49" t="s">
        <v>2723</v>
      </c>
      <c r="K47" s="49" t="s">
        <v>2724</v>
      </c>
      <c r="L47" s="49" t="s">
        <v>2725</v>
      </c>
      <c r="M47" s="49" t="s">
        <v>2487</v>
      </c>
      <c r="N47" s="49" t="s">
        <v>2726</v>
      </c>
      <c r="O47" s="49" t="s">
        <v>2727</v>
      </c>
      <c r="P47" s="49" t="s">
        <v>2728</v>
      </c>
      <c r="Q47" s="49" t="s">
        <v>2729</v>
      </c>
      <c r="R47" s="50"/>
      <c r="S47" s="51" t="s">
        <v>412</v>
      </c>
    </row>
    <row r="48">
      <c r="A48" s="46">
        <v>136.0</v>
      </c>
      <c r="B48" s="49" t="s">
        <v>529</v>
      </c>
      <c r="C48" s="54" t="s">
        <v>2730</v>
      </c>
      <c r="D48" s="49" t="s">
        <v>531</v>
      </c>
      <c r="E48" s="49" t="s">
        <v>128</v>
      </c>
      <c r="F48" s="49" t="s">
        <v>128</v>
      </c>
      <c r="G48" s="46" t="s">
        <v>38</v>
      </c>
      <c r="H48" s="49">
        <v>2018.0</v>
      </c>
      <c r="I48" s="49" t="s">
        <v>2731</v>
      </c>
      <c r="J48" s="49" t="s">
        <v>2732</v>
      </c>
      <c r="K48" s="49" t="s">
        <v>2733</v>
      </c>
      <c r="L48" s="49" t="s">
        <v>2734</v>
      </c>
      <c r="M48" s="49" t="s">
        <v>2735</v>
      </c>
      <c r="N48" s="49" t="s">
        <v>2736</v>
      </c>
      <c r="O48" s="49" t="s">
        <v>2737</v>
      </c>
      <c r="P48" s="49" t="s">
        <v>1070</v>
      </c>
      <c r="Q48" s="49" t="s">
        <v>2482</v>
      </c>
      <c r="R48" s="50" t="s">
        <v>2738</v>
      </c>
      <c r="S48" s="51" t="s">
        <v>412</v>
      </c>
    </row>
    <row r="49">
      <c r="A49" s="46">
        <v>141.0</v>
      </c>
      <c r="B49" s="49" t="s">
        <v>546</v>
      </c>
      <c r="C49" s="54" t="s">
        <v>2739</v>
      </c>
      <c r="D49" s="49" t="s">
        <v>548</v>
      </c>
      <c r="E49" s="49" t="s">
        <v>36</v>
      </c>
      <c r="F49" s="49" t="s">
        <v>37</v>
      </c>
      <c r="G49" s="46" t="s">
        <v>38</v>
      </c>
      <c r="H49" s="58">
        <v>2018.0</v>
      </c>
      <c r="I49" s="49" t="s">
        <v>2740</v>
      </c>
      <c r="J49" s="49" t="s">
        <v>2741</v>
      </c>
      <c r="K49" s="49" t="s">
        <v>2742</v>
      </c>
      <c r="L49" s="49" t="s">
        <v>2743</v>
      </c>
      <c r="M49" s="49" t="s">
        <v>2744</v>
      </c>
      <c r="N49" s="49" t="s">
        <v>2745</v>
      </c>
      <c r="O49" s="49" t="s">
        <v>2746</v>
      </c>
      <c r="P49" s="49" t="s">
        <v>2747</v>
      </c>
      <c r="Q49" s="49" t="s">
        <v>2748</v>
      </c>
      <c r="R49" s="50"/>
      <c r="S49" s="51" t="s">
        <v>412</v>
      </c>
    </row>
    <row r="50">
      <c r="A50" s="46">
        <v>147.0</v>
      </c>
      <c r="B50" s="49" t="s">
        <v>567</v>
      </c>
      <c r="C50" s="54" t="s">
        <v>2749</v>
      </c>
      <c r="D50" s="49" t="s">
        <v>569</v>
      </c>
      <c r="E50" s="49" t="s">
        <v>36</v>
      </c>
      <c r="F50" s="49" t="s">
        <v>37</v>
      </c>
      <c r="G50" s="46" t="s">
        <v>38</v>
      </c>
      <c r="H50" s="49">
        <v>2019.0</v>
      </c>
      <c r="I50" s="49" t="s">
        <v>2750</v>
      </c>
      <c r="J50" s="49" t="s">
        <v>2751</v>
      </c>
      <c r="K50" s="49" t="s">
        <v>2752</v>
      </c>
      <c r="L50" s="49" t="s">
        <v>2753</v>
      </c>
      <c r="M50" s="49" t="s">
        <v>2754</v>
      </c>
      <c r="N50" s="49" t="s">
        <v>2755</v>
      </c>
      <c r="O50" s="49" t="s">
        <v>2756</v>
      </c>
      <c r="P50" s="49" t="s">
        <v>2757</v>
      </c>
      <c r="Q50" s="49"/>
      <c r="R50" s="50"/>
      <c r="S50" s="51" t="s">
        <v>412</v>
      </c>
    </row>
    <row r="51">
      <c r="A51" s="46">
        <v>150.0</v>
      </c>
      <c r="B51" s="49" t="s">
        <v>578</v>
      </c>
      <c r="C51" s="54" t="s">
        <v>2758</v>
      </c>
      <c r="D51" s="49" t="s">
        <v>580</v>
      </c>
      <c r="E51" s="49" t="s">
        <v>36</v>
      </c>
      <c r="F51" s="49" t="s">
        <v>37</v>
      </c>
      <c r="G51" s="46" t="s">
        <v>58</v>
      </c>
      <c r="H51" s="49">
        <v>2019.0</v>
      </c>
      <c r="I51" s="49" t="s">
        <v>2519</v>
      </c>
      <c r="J51" s="49" t="s">
        <v>2759</v>
      </c>
      <c r="K51" s="49" t="s">
        <v>2760</v>
      </c>
      <c r="L51" s="49" t="s">
        <v>2761</v>
      </c>
      <c r="M51" s="49" t="s">
        <v>2762</v>
      </c>
      <c r="N51" s="49" t="s">
        <v>2763</v>
      </c>
      <c r="O51" s="49" t="s">
        <v>2764</v>
      </c>
      <c r="P51" s="49" t="s">
        <v>2765</v>
      </c>
      <c r="Q51" s="49" t="s">
        <v>2766</v>
      </c>
      <c r="R51" s="50"/>
      <c r="S51" s="51" t="s">
        <v>412</v>
      </c>
    </row>
    <row r="52">
      <c r="A52" s="46">
        <v>152.0</v>
      </c>
      <c r="B52" s="64" t="s">
        <v>586</v>
      </c>
      <c r="C52" s="65" t="s">
        <v>2767</v>
      </c>
      <c r="D52" s="64" t="s">
        <v>588</v>
      </c>
      <c r="E52" s="64" t="s">
        <v>589</v>
      </c>
      <c r="F52" s="64" t="s">
        <v>590</v>
      </c>
      <c r="G52" s="66" t="s">
        <v>38</v>
      </c>
      <c r="H52" s="64">
        <v>2019.0</v>
      </c>
      <c r="I52" s="49" t="s">
        <v>2768</v>
      </c>
      <c r="J52" s="49" t="s">
        <v>2769</v>
      </c>
      <c r="K52" s="49" t="s">
        <v>2770</v>
      </c>
      <c r="L52" s="49" t="s">
        <v>2771</v>
      </c>
      <c r="M52" s="49" t="s">
        <v>2772</v>
      </c>
      <c r="N52" s="49" t="s">
        <v>2773</v>
      </c>
      <c r="O52" s="49" t="s">
        <v>2774</v>
      </c>
      <c r="P52" s="49" t="s">
        <v>2765</v>
      </c>
      <c r="Q52" s="49" t="s">
        <v>2775</v>
      </c>
      <c r="R52" s="50"/>
      <c r="S52" s="51" t="s">
        <v>412</v>
      </c>
    </row>
    <row r="53">
      <c r="A53" s="46">
        <v>154.0</v>
      </c>
      <c r="B53" s="64" t="s">
        <v>596</v>
      </c>
      <c r="C53" s="65" t="s">
        <v>2776</v>
      </c>
      <c r="D53" s="64" t="s">
        <v>598</v>
      </c>
      <c r="E53" s="64" t="s">
        <v>599</v>
      </c>
      <c r="F53" s="64" t="s">
        <v>600</v>
      </c>
      <c r="G53" s="66" t="s">
        <v>38</v>
      </c>
      <c r="H53" s="64">
        <v>2019.0</v>
      </c>
      <c r="I53" s="49" t="s">
        <v>2372</v>
      </c>
      <c r="J53" s="49" t="s">
        <v>2777</v>
      </c>
      <c r="K53" s="49" t="s">
        <v>2778</v>
      </c>
      <c r="L53" s="49" t="s">
        <v>2779</v>
      </c>
      <c r="M53" s="49"/>
      <c r="N53" s="49"/>
      <c r="O53" s="49" t="s">
        <v>2780</v>
      </c>
      <c r="P53" s="49" t="s">
        <v>2369</v>
      </c>
      <c r="Q53" s="49" t="s">
        <v>2775</v>
      </c>
      <c r="R53" s="50" t="s">
        <v>2781</v>
      </c>
      <c r="S53" s="51" t="s">
        <v>412</v>
      </c>
    </row>
    <row r="54">
      <c r="A54" s="46">
        <v>156.0</v>
      </c>
      <c r="B54" s="47" t="s">
        <v>606</v>
      </c>
      <c r="C54" s="54" t="s">
        <v>2782</v>
      </c>
      <c r="D54" s="47" t="s">
        <v>608</v>
      </c>
      <c r="E54" s="47" t="s">
        <v>62</v>
      </c>
      <c r="F54" s="49" t="s">
        <v>62</v>
      </c>
      <c r="G54" s="46" t="s">
        <v>38</v>
      </c>
      <c r="H54" s="47">
        <v>2018.0</v>
      </c>
      <c r="I54" s="49" t="s">
        <v>2783</v>
      </c>
      <c r="J54" s="49" t="s">
        <v>2784</v>
      </c>
      <c r="K54" s="49" t="s">
        <v>2785</v>
      </c>
      <c r="L54" s="49" t="s">
        <v>2786</v>
      </c>
      <c r="M54" s="49" t="s">
        <v>2787</v>
      </c>
      <c r="N54" s="59" t="s">
        <v>2788</v>
      </c>
      <c r="O54" s="49" t="s">
        <v>2789</v>
      </c>
      <c r="P54" s="49" t="s">
        <v>2728</v>
      </c>
      <c r="Q54" s="49" t="s">
        <v>2790</v>
      </c>
      <c r="R54" s="50"/>
      <c r="S54" s="51" t="s">
        <v>412</v>
      </c>
    </row>
    <row r="55">
      <c r="A55" s="46">
        <v>168.0</v>
      </c>
      <c r="B55" s="47" t="s">
        <v>648</v>
      </c>
      <c r="C55" s="54" t="s">
        <v>2791</v>
      </c>
      <c r="D55" s="49" t="s">
        <v>650</v>
      </c>
      <c r="E55" s="49" t="s">
        <v>651</v>
      </c>
      <c r="F55" s="49" t="s">
        <v>2792</v>
      </c>
      <c r="G55" s="56" t="s">
        <v>38</v>
      </c>
      <c r="H55" s="47">
        <v>2020.0</v>
      </c>
      <c r="I55" s="49" t="s">
        <v>2793</v>
      </c>
      <c r="J55" s="49" t="s">
        <v>2794</v>
      </c>
      <c r="K55" s="49" t="s">
        <v>2795</v>
      </c>
      <c r="L55" s="49" t="s">
        <v>2796</v>
      </c>
      <c r="M55" s="49" t="s">
        <v>2797</v>
      </c>
      <c r="N55" s="49"/>
      <c r="O55" s="49" t="s">
        <v>2798</v>
      </c>
      <c r="P55" s="49" t="s">
        <v>1070</v>
      </c>
      <c r="Q55" s="49" t="s">
        <v>2775</v>
      </c>
      <c r="R55" s="50"/>
      <c r="S55" s="51" t="s">
        <v>412</v>
      </c>
    </row>
    <row r="56">
      <c r="A56" s="46">
        <v>169.0</v>
      </c>
      <c r="B56" s="64" t="s">
        <v>654</v>
      </c>
      <c r="C56" s="65" t="s">
        <v>2799</v>
      </c>
      <c r="D56" s="64" t="s">
        <v>656</v>
      </c>
      <c r="E56" s="64" t="s">
        <v>29</v>
      </c>
      <c r="F56" s="64" t="s">
        <v>30</v>
      </c>
      <c r="G56" s="66" t="s">
        <v>38</v>
      </c>
      <c r="H56" s="64">
        <v>2019.0</v>
      </c>
      <c r="I56" s="49" t="s">
        <v>2610</v>
      </c>
      <c r="J56" s="49" t="s">
        <v>2800</v>
      </c>
      <c r="K56" s="49" t="s">
        <v>2801</v>
      </c>
      <c r="L56" s="49" t="s">
        <v>2802</v>
      </c>
      <c r="M56" s="49" t="s">
        <v>2578</v>
      </c>
      <c r="N56" s="49" t="s">
        <v>2803</v>
      </c>
      <c r="O56" s="49" t="s">
        <v>2804</v>
      </c>
      <c r="P56" s="49" t="s">
        <v>2765</v>
      </c>
      <c r="Q56" s="49" t="s">
        <v>2766</v>
      </c>
      <c r="R56" s="50"/>
      <c r="S56" s="51" t="s">
        <v>412</v>
      </c>
    </row>
    <row r="57">
      <c r="A57" s="46">
        <v>170.0</v>
      </c>
      <c r="B57" s="47" t="s">
        <v>658</v>
      </c>
      <c r="C57" s="54" t="s">
        <v>2805</v>
      </c>
      <c r="D57" s="49" t="s">
        <v>660</v>
      </c>
      <c r="E57" s="47" t="s">
        <v>36</v>
      </c>
      <c r="F57" s="47" t="s">
        <v>37</v>
      </c>
      <c r="G57" s="56" t="s">
        <v>58</v>
      </c>
      <c r="H57" s="47">
        <v>2018.0</v>
      </c>
      <c r="I57" s="49" t="s">
        <v>2372</v>
      </c>
      <c r="J57" s="49" t="s">
        <v>2806</v>
      </c>
      <c r="K57" s="49" t="s">
        <v>2807</v>
      </c>
      <c r="L57" s="49" t="s">
        <v>2808</v>
      </c>
      <c r="M57" s="49" t="s">
        <v>2487</v>
      </c>
      <c r="N57" s="49" t="s">
        <v>2809</v>
      </c>
      <c r="O57" s="49" t="s">
        <v>2810</v>
      </c>
      <c r="P57" s="49" t="s">
        <v>2811</v>
      </c>
      <c r="Q57" s="49" t="s">
        <v>2812</v>
      </c>
      <c r="R57" s="50"/>
      <c r="S57" s="51" t="s">
        <v>412</v>
      </c>
    </row>
    <row r="58">
      <c r="A58" s="46">
        <v>171.0</v>
      </c>
      <c r="B58" s="47" t="s">
        <v>662</v>
      </c>
      <c r="C58" s="52" t="s">
        <v>663</v>
      </c>
      <c r="D58" s="47" t="s">
        <v>664</v>
      </c>
      <c r="E58" s="47" t="s">
        <v>80</v>
      </c>
      <c r="F58" s="47" t="s">
        <v>81</v>
      </c>
      <c r="G58" s="56" t="s">
        <v>58</v>
      </c>
      <c r="H58" s="47">
        <v>2019.0</v>
      </c>
      <c r="I58" s="49" t="s">
        <v>2449</v>
      </c>
      <c r="J58" s="49" t="s">
        <v>2813</v>
      </c>
      <c r="K58" s="49" t="s">
        <v>2814</v>
      </c>
      <c r="L58" s="49" t="s">
        <v>2815</v>
      </c>
      <c r="M58" s="49" t="s">
        <v>2578</v>
      </c>
      <c r="N58" s="49" t="s">
        <v>2816</v>
      </c>
      <c r="O58" s="49" t="s">
        <v>2817</v>
      </c>
      <c r="P58" s="49" t="s">
        <v>2818</v>
      </c>
      <c r="Q58" s="49" t="s">
        <v>2681</v>
      </c>
      <c r="R58" s="50"/>
      <c r="S58" s="51" t="s">
        <v>412</v>
      </c>
    </row>
    <row r="59">
      <c r="A59" s="46">
        <v>174.0</v>
      </c>
      <c r="B59" s="47" t="s">
        <v>672</v>
      </c>
      <c r="C59" s="54" t="s">
        <v>2819</v>
      </c>
      <c r="D59" s="49" t="s">
        <v>674</v>
      </c>
      <c r="E59" s="47" t="s">
        <v>62</v>
      </c>
      <c r="F59" s="47" t="s">
        <v>62</v>
      </c>
      <c r="G59" s="46" t="s">
        <v>58</v>
      </c>
      <c r="H59" s="49">
        <v>2018.0</v>
      </c>
      <c r="I59" s="49" t="s">
        <v>2820</v>
      </c>
      <c r="J59" s="49" t="s">
        <v>2821</v>
      </c>
      <c r="K59" s="49" t="s">
        <v>2822</v>
      </c>
      <c r="L59" s="49" t="s">
        <v>2823</v>
      </c>
      <c r="M59" s="49" t="s">
        <v>2824</v>
      </c>
      <c r="N59" s="49" t="s">
        <v>2825</v>
      </c>
      <c r="O59" s="49" t="s">
        <v>2826</v>
      </c>
      <c r="P59" s="49" t="s">
        <v>2827</v>
      </c>
      <c r="Q59" s="49" t="s">
        <v>2828</v>
      </c>
      <c r="R59" s="50"/>
      <c r="S59" s="51" t="s">
        <v>412</v>
      </c>
    </row>
    <row r="60">
      <c r="A60" s="46">
        <v>177.0</v>
      </c>
      <c r="B60" s="47" t="s">
        <v>683</v>
      </c>
      <c r="C60" s="54" t="s">
        <v>2829</v>
      </c>
      <c r="D60" s="47" t="s">
        <v>685</v>
      </c>
      <c r="E60" s="47" t="s">
        <v>393</v>
      </c>
      <c r="F60" s="49" t="s">
        <v>394</v>
      </c>
      <c r="G60" s="46" t="s">
        <v>38</v>
      </c>
      <c r="H60" s="47">
        <v>2018.0</v>
      </c>
      <c r="I60" s="49" t="s">
        <v>2519</v>
      </c>
      <c r="J60" s="49" t="s">
        <v>2830</v>
      </c>
      <c r="K60" s="49" t="s">
        <v>2831</v>
      </c>
      <c r="L60" s="49" t="s">
        <v>2832</v>
      </c>
      <c r="M60" s="49" t="s">
        <v>2594</v>
      </c>
      <c r="N60" s="49" t="s">
        <v>2833</v>
      </c>
      <c r="O60" s="49" t="s">
        <v>2834</v>
      </c>
      <c r="P60" s="49" t="s">
        <v>2369</v>
      </c>
      <c r="Q60" s="49" t="s">
        <v>2681</v>
      </c>
      <c r="R60" s="50"/>
      <c r="S60" s="51" t="s">
        <v>412</v>
      </c>
    </row>
    <row r="61">
      <c r="A61" s="46">
        <v>179.0</v>
      </c>
      <c r="B61" s="47" t="s">
        <v>691</v>
      </c>
      <c r="C61" s="54" t="s">
        <v>2835</v>
      </c>
      <c r="D61" s="47" t="s">
        <v>693</v>
      </c>
      <c r="E61" s="47" t="s">
        <v>466</v>
      </c>
      <c r="F61" s="47" t="s">
        <v>466</v>
      </c>
      <c r="G61" s="46" t="s">
        <v>58</v>
      </c>
      <c r="H61" s="47">
        <v>2019.0</v>
      </c>
      <c r="I61" s="49" t="s">
        <v>2372</v>
      </c>
      <c r="J61" s="49" t="s">
        <v>2836</v>
      </c>
      <c r="K61" s="49" t="s">
        <v>2837</v>
      </c>
      <c r="L61" s="49" t="s">
        <v>2838</v>
      </c>
      <c r="M61" s="49" t="s">
        <v>2839</v>
      </c>
      <c r="N61" s="49" t="s">
        <v>2840</v>
      </c>
      <c r="O61" s="49" t="s">
        <v>2841</v>
      </c>
      <c r="P61" s="49" t="s">
        <v>2369</v>
      </c>
      <c r="Q61" s="49" t="s">
        <v>2681</v>
      </c>
      <c r="R61" s="50"/>
      <c r="S61" s="51" t="s">
        <v>412</v>
      </c>
    </row>
    <row r="62">
      <c r="A62" s="46">
        <v>181.0</v>
      </c>
      <c r="B62" s="47" t="s">
        <v>699</v>
      </c>
      <c r="C62" s="54" t="s">
        <v>2842</v>
      </c>
      <c r="D62" s="47" t="s">
        <v>701</v>
      </c>
      <c r="E62" s="47" t="s">
        <v>128</v>
      </c>
      <c r="F62" s="47" t="s">
        <v>128</v>
      </c>
      <c r="G62" s="46" t="s">
        <v>38</v>
      </c>
      <c r="H62" s="47">
        <v>2020.0</v>
      </c>
      <c r="I62" s="49" t="s">
        <v>2843</v>
      </c>
      <c r="J62" s="49" t="s">
        <v>2844</v>
      </c>
      <c r="K62" s="49" t="s">
        <v>2845</v>
      </c>
      <c r="L62" s="49" t="s">
        <v>2846</v>
      </c>
      <c r="M62" s="49" t="s">
        <v>2847</v>
      </c>
      <c r="N62" s="49" t="s">
        <v>2848</v>
      </c>
      <c r="O62" s="49" t="s">
        <v>2849</v>
      </c>
      <c r="P62" s="49" t="s">
        <v>1070</v>
      </c>
      <c r="Q62" s="49" t="s">
        <v>2775</v>
      </c>
      <c r="R62" s="50"/>
      <c r="S62" s="51" t="s">
        <v>412</v>
      </c>
    </row>
    <row r="63">
      <c r="A63" s="46">
        <v>183.0</v>
      </c>
      <c r="B63" s="47" t="s">
        <v>706</v>
      </c>
      <c r="C63" s="54" t="s">
        <v>2850</v>
      </c>
      <c r="D63" s="49" t="s">
        <v>708</v>
      </c>
      <c r="E63" s="49" t="s">
        <v>80</v>
      </c>
      <c r="F63" s="49" t="s">
        <v>81</v>
      </c>
      <c r="G63" s="46" t="s">
        <v>58</v>
      </c>
      <c r="H63" s="47">
        <v>2019.0</v>
      </c>
      <c r="I63" s="49" t="s">
        <v>2372</v>
      </c>
      <c r="J63" s="49" t="s">
        <v>2851</v>
      </c>
      <c r="K63" s="49" t="s">
        <v>2852</v>
      </c>
      <c r="L63" s="49" t="s">
        <v>2853</v>
      </c>
      <c r="M63" s="49" t="s">
        <v>2487</v>
      </c>
      <c r="N63" s="49" t="s">
        <v>2854</v>
      </c>
      <c r="O63" s="49" t="s">
        <v>2855</v>
      </c>
      <c r="P63" s="49" t="s">
        <v>2856</v>
      </c>
      <c r="Q63" s="49" t="s">
        <v>2766</v>
      </c>
      <c r="R63" s="50"/>
      <c r="S63" s="51" t="s">
        <v>412</v>
      </c>
    </row>
    <row r="64">
      <c r="A64" s="46">
        <v>184.0</v>
      </c>
      <c r="B64" s="47" t="s">
        <v>710</v>
      </c>
      <c r="C64" s="54" t="s">
        <v>2857</v>
      </c>
      <c r="D64" s="47" t="s">
        <v>712</v>
      </c>
      <c r="E64" s="47" t="s">
        <v>62</v>
      </c>
      <c r="F64" s="47" t="s">
        <v>62</v>
      </c>
      <c r="G64" s="46" t="s">
        <v>38</v>
      </c>
      <c r="H64" s="47">
        <v>2018.0</v>
      </c>
      <c r="I64" s="49" t="s">
        <v>2449</v>
      </c>
      <c r="J64" s="49" t="s">
        <v>2858</v>
      </c>
      <c r="K64" s="49" t="s">
        <v>2859</v>
      </c>
      <c r="L64" s="49" t="s">
        <v>2860</v>
      </c>
      <c r="M64" s="49" t="s">
        <v>2861</v>
      </c>
      <c r="N64" s="49" t="s">
        <v>2862</v>
      </c>
      <c r="O64" s="49" t="s">
        <v>2863</v>
      </c>
      <c r="P64" s="49" t="s">
        <v>2864</v>
      </c>
      <c r="Q64" s="49" t="s">
        <v>2775</v>
      </c>
      <c r="R64" s="50"/>
      <c r="S64" s="51" t="s">
        <v>412</v>
      </c>
    </row>
    <row r="65">
      <c r="A65" s="46">
        <v>186.0</v>
      </c>
      <c r="B65" s="47" t="s">
        <v>717</v>
      </c>
      <c r="C65" s="54" t="s">
        <v>2865</v>
      </c>
      <c r="D65" s="47" t="s">
        <v>240</v>
      </c>
      <c r="E65" s="47" t="s">
        <v>62</v>
      </c>
      <c r="F65" s="47" t="s">
        <v>62</v>
      </c>
      <c r="G65" s="46" t="s">
        <v>38</v>
      </c>
      <c r="H65" s="47">
        <v>2020.0</v>
      </c>
      <c r="I65" s="49" t="s">
        <v>2866</v>
      </c>
      <c r="J65" s="49" t="s">
        <v>2867</v>
      </c>
      <c r="K65" s="49" t="s">
        <v>2868</v>
      </c>
      <c r="L65" s="49" t="s">
        <v>2869</v>
      </c>
      <c r="M65" s="49" t="s">
        <v>2716</v>
      </c>
      <c r="N65" s="63" t="s">
        <v>2870</v>
      </c>
      <c r="O65" s="49" t="s">
        <v>2871</v>
      </c>
      <c r="P65" s="49" t="s">
        <v>2872</v>
      </c>
      <c r="Q65" s="49" t="s">
        <v>2775</v>
      </c>
      <c r="R65" s="50"/>
      <c r="S65" s="51" t="s">
        <v>412</v>
      </c>
    </row>
    <row r="66">
      <c r="A66" s="46">
        <v>188.0</v>
      </c>
      <c r="B66" s="47" t="s">
        <v>723</v>
      </c>
      <c r="C66" s="54" t="s">
        <v>2873</v>
      </c>
      <c r="D66" s="49" t="s">
        <v>725</v>
      </c>
      <c r="E66" s="49" t="s">
        <v>36</v>
      </c>
      <c r="F66" s="49" t="s">
        <v>37</v>
      </c>
      <c r="G66" s="46" t="s">
        <v>58</v>
      </c>
      <c r="H66" s="47">
        <v>2020.0</v>
      </c>
      <c r="I66" s="49" t="s">
        <v>2874</v>
      </c>
      <c r="J66" s="49" t="s">
        <v>2875</v>
      </c>
      <c r="K66" s="49" t="s">
        <v>2876</v>
      </c>
      <c r="L66" s="49" t="s">
        <v>2877</v>
      </c>
      <c r="M66" s="49" t="s">
        <v>2487</v>
      </c>
      <c r="N66" s="49" t="s">
        <v>2878</v>
      </c>
      <c r="O66" s="49" t="s">
        <v>2879</v>
      </c>
      <c r="P66" s="49" t="s">
        <v>2880</v>
      </c>
      <c r="Q66" s="49" t="s">
        <v>2881</v>
      </c>
      <c r="R66" s="50"/>
      <c r="S66" s="51" t="s">
        <v>412</v>
      </c>
    </row>
    <row r="67">
      <c r="A67" s="46">
        <v>189.0</v>
      </c>
      <c r="B67" s="47" t="s">
        <v>727</v>
      </c>
      <c r="C67" s="54" t="s">
        <v>2882</v>
      </c>
      <c r="D67" s="49" t="s">
        <v>729</v>
      </c>
      <c r="E67" s="47" t="s">
        <v>62</v>
      </c>
      <c r="F67" s="47" t="s">
        <v>62</v>
      </c>
      <c r="G67" s="46" t="s">
        <v>58</v>
      </c>
      <c r="H67" s="47">
        <v>2020.0</v>
      </c>
      <c r="I67" s="49" t="s">
        <v>2883</v>
      </c>
      <c r="J67" s="49" t="s">
        <v>2884</v>
      </c>
      <c r="K67" s="49" t="s">
        <v>2885</v>
      </c>
      <c r="L67" s="49" t="s">
        <v>2886</v>
      </c>
      <c r="M67" s="49" t="s">
        <v>2887</v>
      </c>
      <c r="N67" s="49" t="s">
        <v>2870</v>
      </c>
      <c r="O67" s="49" t="s">
        <v>2888</v>
      </c>
      <c r="P67" s="49" t="s">
        <v>1070</v>
      </c>
      <c r="Q67" s="49" t="s">
        <v>2775</v>
      </c>
      <c r="R67" s="50"/>
      <c r="S67" s="51" t="s">
        <v>412</v>
      </c>
    </row>
    <row r="68">
      <c r="A68" s="46">
        <v>190.0</v>
      </c>
      <c r="B68" s="47" t="s">
        <v>731</v>
      </c>
      <c r="C68" s="54" t="s">
        <v>2889</v>
      </c>
      <c r="D68" s="47" t="s">
        <v>733</v>
      </c>
      <c r="E68" s="49" t="s">
        <v>36</v>
      </c>
      <c r="F68" s="49" t="s">
        <v>37</v>
      </c>
      <c r="G68" s="46" t="s">
        <v>58</v>
      </c>
      <c r="H68" s="47">
        <v>2018.0</v>
      </c>
      <c r="I68" s="49" t="s">
        <v>2890</v>
      </c>
      <c r="J68" s="49" t="s">
        <v>2891</v>
      </c>
      <c r="K68" s="49" t="s">
        <v>2892</v>
      </c>
      <c r="L68" s="49" t="s">
        <v>2893</v>
      </c>
      <c r="M68" s="49" t="s">
        <v>2594</v>
      </c>
      <c r="N68" s="49" t="s">
        <v>2894</v>
      </c>
      <c r="O68" s="49" t="s">
        <v>2895</v>
      </c>
      <c r="P68" s="49" t="s">
        <v>2896</v>
      </c>
      <c r="Q68" s="49" t="s">
        <v>2775</v>
      </c>
      <c r="R68" s="50"/>
      <c r="S68" s="51" t="s">
        <v>412</v>
      </c>
    </row>
    <row r="69">
      <c r="A69" s="46">
        <v>192.0</v>
      </c>
      <c r="B69" s="47" t="s">
        <v>737</v>
      </c>
      <c r="C69" s="54" t="s">
        <v>2897</v>
      </c>
      <c r="D69" s="47" t="s">
        <v>739</v>
      </c>
      <c r="E69" s="47" t="s">
        <v>128</v>
      </c>
      <c r="F69" s="47" t="s">
        <v>128</v>
      </c>
      <c r="G69" s="46" t="s">
        <v>38</v>
      </c>
      <c r="H69" s="47">
        <v>2019.0</v>
      </c>
      <c r="I69" s="49" t="s">
        <v>2898</v>
      </c>
      <c r="J69" s="49" t="s">
        <v>2899</v>
      </c>
      <c r="K69" s="49" t="s">
        <v>2900</v>
      </c>
      <c r="L69" s="49" t="s">
        <v>2901</v>
      </c>
      <c r="M69" s="49" t="s">
        <v>2902</v>
      </c>
      <c r="N69" s="49" t="s">
        <v>2903</v>
      </c>
      <c r="O69" s="49" t="s">
        <v>2904</v>
      </c>
      <c r="P69" s="49" t="s">
        <v>2671</v>
      </c>
      <c r="Q69" s="49" t="s">
        <v>2905</v>
      </c>
      <c r="R69" s="50"/>
      <c r="S69" s="51" t="s">
        <v>412</v>
      </c>
    </row>
    <row r="70">
      <c r="A70" s="46">
        <v>193.0</v>
      </c>
      <c r="B70" s="47" t="s">
        <v>741</v>
      </c>
      <c r="C70" s="54" t="s">
        <v>2906</v>
      </c>
      <c r="D70" s="47" t="s">
        <v>743</v>
      </c>
      <c r="E70" s="47" t="s">
        <v>128</v>
      </c>
      <c r="F70" s="47" t="s">
        <v>128</v>
      </c>
      <c r="G70" s="46" t="s">
        <v>38</v>
      </c>
      <c r="H70" s="47">
        <v>2019.0</v>
      </c>
      <c r="I70" s="49" t="s">
        <v>2898</v>
      </c>
      <c r="J70" s="49" t="s">
        <v>2907</v>
      </c>
      <c r="K70" s="49" t="s">
        <v>2908</v>
      </c>
      <c r="L70" s="49" t="s">
        <v>2909</v>
      </c>
      <c r="M70" s="49" t="s">
        <v>2910</v>
      </c>
      <c r="N70" s="49" t="s">
        <v>2911</v>
      </c>
      <c r="O70" s="49" t="s">
        <v>2912</v>
      </c>
      <c r="P70" s="49" t="s">
        <v>1070</v>
      </c>
      <c r="Q70" s="49" t="s">
        <v>2913</v>
      </c>
      <c r="R70" s="50"/>
      <c r="S70" s="51" t="s">
        <v>412</v>
      </c>
    </row>
    <row r="71">
      <c r="A71" s="46">
        <v>194.0</v>
      </c>
      <c r="B71" s="47" t="s">
        <v>745</v>
      </c>
      <c r="C71" s="54" t="s">
        <v>2914</v>
      </c>
      <c r="D71" s="47" t="s">
        <v>747</v>
      </c>
      <c r="E71" s="47" t="s">
        <v>62</v>
      </c>
      <c r="F71" s="47" t="s">
        <v>62</v>
      </c>
      <c r="G71" s="46" t="s">
        <v>38</v>
      </c>
      <c r="H71" s="47">
        <v>2020.0</v>
      </c>
      <c r="I71" s="49" t="s">
        <v>2915</v>
      </c>
      <c r="J71" s="49" t="s">
        <v>2916</v>
      </c>
      <c r="K71" s="49" t="s">
        <v>2917</v>
      </c>
      <c r="L71" s="49" t="s">
        <v>2918</v>
      </c>
      <c r="M71" s="49" t="s">
        <v>2919</v>
      </c>
      <c r="N71" s="49" t="s">
        <v>2920</v>
      </c>
      <c r="O71" s="49" t="s">
        <v>2921</v>
      </c>
      <c r="P71" s="49" t="s">
        <v>1070</v>
      </c>
      <c r="Q71" s="49" t="s">
        <v>2775</v>
      </c>
      <c r="R71" s="50"/>
      <c r="S71" s="51" t="s">
        <v>412</v>
      </c>
    </row>
    <row r="72">
      <c r="A72" s="46">
        <v>195.0</v>
      </c>
      <c r="B72" s="47" t="s">
        <v>749</v>
      </c>
      <c r="C72" s="54" t="s">
        <v>2922</v>
      </c>
      <c r="D72" s="49" t="s">
        <v>751</v>
      </c>
      <c r="E72" s="49" t="s">
        <v>36</v>
      </c>
      <c r="F72" s="49" t="s">
        <v>37</v>
      </c>
      <c r="G72" s="46" t="s">
        <v>58</v>
      </c>
      <c r="H72" s="47">
        <v>2020.0</v>
      </c>
      <c r="I72" s="49" t="s">
        <v>2923</v>
      </c>
      <c r="J72" s="49" t="s">
        <v>2924</v>
      </c>
      <c r="K72" s="49" t="s">
        <v>2925</v>
      </c>
      <c r="L72" s="49" t="s">
        <v>2926</v>
      </c>
      <c r="M72" s="49" t="s">
        <v>2927</v>
      </c>
      <c r="N72" s="49"/>
      <c r="O72" s="49" t="s">
        <v>2928</v>
      </c>
      <c r="P72" s="49" t="s">
        <v>2929</v>
      </c>
      <c r="Q72" s="49" t="s">
        <v>2930</v>
      </c>
      <c r="R72" s="50"/>
      <c r="S72" s="51" t="s">
        <v>412</v>
      </c>
    </row>
    <row r="73">
      <c r="A73" s="46">
        <v>199.0</v>
      </c>
      <c r="B73" s="47" t="s">
        <v>765</v>
      </c>
      <c r="C73" s="54" t="s">
        <v>2931</v>
      </c>
      <c r="D73" s="47" t="s">
        <v>767</v>
      </c>
      <c r="E73" s="49" t="s">
        <v>36</v>
      </c>
      <c r="F73" s="49" t="s">
        <v>37</v>
      </c>
      <c r="G73" s="46" t="s">
        <v>58</v>
      </c>
      <c r="H73" s="47">
        <v>2019.0</v>
      </c>
      <c r="I73" s="49" t="s">
        <v>2932</v>
      </c>
      <c r="J73" s="49" t="s">
        <v>2933</v>
      </c>
      <c r="K73" s="49" t="s">
        <v>2934</v>
      </c>
      <c r="L73" s="49" t="s">
        <v>2935</v>
      </c>
      <c r="M73" s="49" t="s">
        <v>2487</v>
      </c>
      <c r="N73" s="49" t="s">
        <v>2936</v>
      </c>
      <c r="O73" s="49" t="s">
        <v>2937</v>
      </c>
      <c r="P73" s="49" t="s">
        <v>1070</v>
      </c>
      <c r="Q73" s="49" t="s">
        <v>2775</v>
      </c>
      <c r="R73" s="50" t="s">
        <v>2938</v>
      </c>
      <c r="S73" s="51" t="s">
        <v>412</v>
      </c>
    </row>
    <row r="74">
      <c r="A74" s="46">
        <v>200.0</v>
      </c>
      <c r="B74" s="47" t="s">
        <v>769</v>
      </c>
      <c r="C74" s="54" t="s">
        <v>2939</v>
      </c>
      <c r="D74" s="47" t="s">
        <v>771</v>
      </c>
      <c r="E74" s="47" t="s">
        <v>772</v>
      </c>
      <c r="F74" s="47" t="s">
        <v>773</v>
      </c>
      <c r="G74" s="56" t="s">
        <v>38</v>
      </c>
      <c r="H74" s="47">
        <v>2020.0</v>
      </c>
      <c r="I74" s="49" t="s">
        <v>2519</v>
      </c>
      <c r="J74" s="49" t="s">
        <v>2940</v>
      </c>
      <c r="K74" s="49" t="s">
        <v>2941</v>
      </c>
      <c r="L74" s="49" t="s">
        <v>2942</v>
      </c>
      <c r="M74" s="49" t="s">
        <v>2943</v>
      </c>
      <c r="N74" s="49" t="s">
        <v>2944</v>
      </c>
      <c r="O74" s="49" t="s">
        <v>2945</v>
      </c>
      <c r="P74" s="49" t="s">
        <v>1070</v>
      </c>
      <c r="Q74" s="49" t="s">
        <v>2946</v>
      </c>
      <c r="R74" s="50"/>
      <c r="S74" s="51" t="s">
        <v>412</v>
      </c>
    </row>
    <row r="75">
      <c r="A75" s="46">
        <v>201.0</v>
      </c>
      <c r="B75" s="47" t="s">
        <v>775</v>
      </c>
      <c r="C75" s="54" t="s">
        <v>2947</v>
      </c>
      <c r="D75" s="47" t="s">
        <v>777</v>
      </c>
      <c r="E75" s="49" t="s">
        <v>778</v>
      </c>
      <c r="F75" s="49" t="s">
        <v>779</v>
      </c>
      <c r="G75" s="46" t="s">
        <v>38</v>
      </c>
      <c r="H75" s="49">
        <v>2019.0</v>
      </c>
      <c r="I75" s="49" t="s">
        <v>2519</v>
      </c>
      <c r="J75" s="49" t="s">
        <v>2948</v>
      </c>
      <c r="K75" s="49" t="s">
        <v>2949</v>
      </c>
      <c r="L75" s="49" t="s">
        <v>2950</v>
      </c>
      <c r="M75" s="49" t="s">
        <v>2594</v>
      </c>
      <c r="N75" s="49" t="s">
        <v>2951</v>
      </c>
      <c r="O75" s="49" t="s">
        <v>2952</v>
      </c>
      <c r="P75" s="49" t="s">
        <v>1070</v>
      </c>
      <c r="Q75" s="49" t="s">
        <v>2775</v>
      </c>
      <c r="R75" s="50"/>
      <c r="S75" s="51" t="s">
        <v>412</v>
      </c>
    </row>
    <row r="76">
      <c r="A76" s="46">
        <v>203.0</v>
      </c>
      <c r="B76" s="47" t="s">
        <v>787</v>
      </c>
      <c r="C76" s="54" t="s">
        <v>2953</v>
      </c>
      <c r="D76" s="49" t="s">
        <v>789</v>
      </c>
      <c r="E76" s="49" t="s">
        <v>790</v>
      </c>
      <c r="F76" s="49" t="s">
        <v>791</v>
      </c>
      <c r="G76" s="46" t="s">
        <v>38</v>
      </c>
      <c r="H76" s="47">
        <v>2018.0</v>
      </c>
      <c r="I76" s="49" t="s">
        <v>2954</v>
      </c>
      <c r="J76" s="49" t="s">
        <v>2955</v>
      </c>
      <c r="K76" s="49" t="s">
        <v>2956</v>
      </c>
      <c r="L76" s="49" t="s">
        <v>2957</v>
      </c>
      <c r="M76" s="49" t="s">
        <v>2958</v>
      </c>
      <c r="N76" s="49" t="s">
        <v>2959</v>
      </c>
      <c r="O76" s="49" t="s">
        <v>2960</v>
      </c>
      <c r="P76" s="49" t="s">
        <v>2961</v>
      </c>
      <c r="Q76" s="49" t="s">
        <v>2962</v>
      </c>
      <c r="R76" s="50"/>
      <c r="S76" s="51" t="s">
        <v>412</v>
      </c>
    </row>
    <row r="77">
      <c r="A77" s="46">
        <v>204.0</v>
      </c>
      <c r="B77" s="47" t="s">
        <v>793</v>
      </c>
      <c r="C77" s="54" t="s">
        <v>2963</v>
      </c>
      <c r="D77" s="47" t="s">
        <v>795</v>
      </c>
      <c r="E77" s="49" t="s">
        <v>796</v>
      </c>
      <c r="F77" s="49" t="s">
        <v>797</v>
      </c>
      <c r="G77" s="46" t="s">
        <v>58</v>
      </c>
      <c r="H77" s="47">
        <v>2018.0</v>
      </c>
      <c r="I77" s="49" t="s">
        <v>2519</v>
      </c>
      <c r="J77" s="49" t="s">
        <v>2964</v>
      </c>
      <c r="K77" s="49" t="s">
        <v>2965</v>
      </c>
      <c r="L77" s="49" t="s">
        <v>2966</v>
      </c>
      <c r="M77" s="49" t="s">
        <v>2967</v>
      </c>
      <c r="N77" s="49" t="s">
        <v>2968</v>
      </c>
      <c r="O77" s="49" t="s">
        <v>2969</v>
      </c>
      <c r="P77" s="49" t="s">
        <v>1070</v>
      </c>
      <c r="Q77" s="49" t="s">
        <v>2681</v>
      </c>
      <c r="R77" s="50"/>
      <c r="S77" s="51" t="s">
        <v>412</v>
      </c>
    </row>
    <row r="78">
      <c r="A78" s="46">
        <v>206.0</v>
      </c>
      <c r="B78" s="47" t="s">
        <v>802</v>
      </c>
      <c r="C78" s="54" t="s">
        <v>2970</v>
      </c>
      <c r="D78" s="47" t="s">
        <v>79</v>
      </c>
      <c r="E78" s="49" t="s">
        <v>804</v>
      </c>
      <c r="F78" s="49" t="s">
        <v>805</v>
      </c>
      <c r="G78" s="46" t="s">
        <v>38</v>
      </c>
      <c r="H78" s="47">
        <v>2019.0</v>
      </c>
      <c r="I78" s="49" t="s">
        <v>2971</v>
      </c>
      <c r="J78" s="49" t="s">
        <v>2972</v>
      </c>
      <c r="K78" s="49" t="s">
        <v>2973</v>
      </c>
      <c r="L78" s="49" t="s">
        <v>2974</v>
      </c>
      <c r="M78" s="49" t="s">
        <v>2975</v>
      </c>
      <c r="N78" s="49" t="s">
        <v>2976</v>
      </c>
      <c r="O78" s="49" t="s">
        <v>2977</v>
      </c>
      <c r="P78" s="49" t="s">
        <v>2369</v>
      </c>
      <c r="Q78" s="49" t="s">
        <v>2978</v>
      </c>
      <c r="R78" s="50"/>
      <c r="S78" s="51" t="s">
        <v>412</v>
      </c>
    </row>
    <row r="79">
      <c r="A79" s="46">
        <v>207.0</v>
      </c>
      <c r="B79" s="47" t="s">
        <v>807</v>
      </c>
      <c r="C79" s="54" t="s">
        <v>2979</v>
      </c>
      <c r="D79" s="49" t="s">
        <v>809</v>
      </c>
      <c r="E79" s="47" t="s">
        <v>128</v>
      </c>
      <c r="F79" s="47" t="s">
        <v>128</v>
      </c>
      <c r="G79" s="46" t="s">
        <v>38</v>
      </c>
      <c r="H79" s="47">
        <v>2018.0</v>
      </c>
      <c r="I79" s="49" t="s">
        <v>2954</v>
      </c>
      <c r="J79" s="49" t="s">
        <v>2980</v>
      </c>
      <c r="K79" s="49" t="s">
        <v>2981</v>
      </c>
      <c r="L79" s="49" t="s">
        <v>2982</v>
      </c>
      <c r="M79" s="49" t="s">
        <v>2983</v>
      </c>
      <c r="N79" s="49" t="s">
        <v>2984</v>
      </c>
      <c r="O79" s="49" t="s">
        <v>2985</v>
      </c>
      <c r="P79" s="49" t="s">
        <v>1070</v>
      </c>
      <c r="Q79" s="49" t="s">
        <v>2775</v>
      </c>
      <c r="R79" s="50"/>
      <c r="S79" s="51" t="s">
        <v>412</v>
      </c>
    </row>
    <row r="80">
      <c r="A80" s="46">
        <v>211.0</v>
      </c>
      <c r="B80" s="67" t="s">
        <v>821</v>
      </c>
      <c r="C80" s="68" t="s">
        <v>2986</v>
      </c>
      <c r="D80" s="67" t="s">
        <v>823</v>
      </c>
      <c r="E80" s="69" t="s">
        <v>29</v>
      </c>
      <c r="F80" s="69" t="s">
        <v>30</v>
      </c>
      <c r="G80" s="66" t="s">
        <v>38</v>
      </c>
      <c r="H80" s="67">
        <v>2019.0</v>
      </c>
      <c r="I80" s="49" t="s">
        <v>2555</v>
      </c>
      <c r="J80" s="49" t="s">
        <v>2987</v>
      </c>
      <c r="K80" s="49" t="s">
        <v>2988</v>
      </c>
      <c r="L80" s="63" t="s">
        <v>2989</v>
      </c>
      <c r="M80" s="49" t="s">
        <v>2578</v>
      </c>
      <c r="N80" s="49" t="s">
        <v>2990</v>
      </c>
      <c r="O80" s="49" t="s">
        <v>2991</v>
      </c>
      <c r="P80" s="49" t="s">
        <v>2992</v>
      </c>
      <c r="Q80" s="63" t="s">
        <v>2766</v>
      </c>
      <c r="R80" s="50"/>
      <c r="S80" s="51" t="s">
        <v>412</v>
      </c>
    </row>
    <row r="81">
      <c r="A81" s="46">
        <v>213.0</v>
      </c>
      <c r="B81" s="70" t="s">
        <v>828</v>
      </c>
      <c r="C81" s="71" t="s">
        <v>829</v>
      </c>
      <c r="D81" s="70" t="s">
        <v>830</v>
      </c>
      <c r="E81" s="72" t="s">
        <v>831</v>
      </c>
      <c r="F81" s="72" t="s">
        <v>832</v>
      </c>
      <c r="G81" s="46" t="s">
        <v>38</v>
      </c>
      <c r="H81" s="70">
        <v>2018.0</v>
      </c>
      <c r="I81" s="49" t="s">
        <v>2555</v>
      </c>
      <c r="J81" s="49" t="s">
        <v>2993</v>
      </c>
      <c r="K81" s="49" t="s">
        <v>2994</v>
      </c>
      <c r="L81" s="49"/>
      <c r="M81" s="49"/>
      <c r="N81" s="49"/>
      <c r="O81" s="49" t="s">
        <v>2995</v>
      </c>
      <c r="P81" s="49" t="s">
        <v>1070</v>
      </c>
      <c r="Q81" s="49" t="s">
        <v>2996</v>
      </c>
      <c r="R81" s="50"/>
      <c r="S81" s="51" t="s">
        <v>58</v>
      </c>
    </row>
    <row r="82">
      <c r="A82" s="73">
        <v>214.0</v>
      </c>
      <c r="B82" s="74" t="s">
        <v>834</v>
      </c>
      <c r="C82" s="75" t="s">
        <v>835</v>
      </c>
      <c r="D82" s="74" t="s">
        <v>836</v>
      </c>
      <c r="E82" s="76" t="s">
        <v>62</v>
      </c>
      <c r="F82" s="76" t="s">
        <v>62</v>
      </c>
      <c r="G82" s="77" t="s">
        <v>38</v>
      </c>
      <c r="H82" s="78">
        <v>2019.0</v>
      </c>
      <c r="I82" s="49" t="s">
        <v>2997</v>
      </c>
      <c r="J82" s="77" t="s">
        <v>2998</v>
      </c>
      <c r="K82" s="49" t="s">
        <v>2999</v>
      </c>
      <c r="L82" s="49" t="s">
        <v>3000</v>
      </c>
      <c r="M82" s="49" t="s">
        <v>3001</v>
      </c>
      <c r="N82" s="49" t="s">
        <v>3002</v>
      </c>
      <c r="O82" s="77" t="s">
        <v>3003</v>
      </c>
      <c r="P82" s="36" t="s">
        <v>1136</v>
      </c>
      <c r="Q82" s="49" t="s">
        <v>2775</v>
      </c>
      <c r="R82" s="50"/>
      <c r="S82" s="51" t="s">
        <v>58</v>
      </c>
    </row>
    <row r="83">
      <c r="A83" s="56">
        <v>219.0</v>
      </c>
      <c r="B83" s="47" t="s">
        <v>855</v>
      </c>
      <c r="C83" s="79" t="s">
        <v>856</v>
      </c>
      <c r="D83" s="47" t="s">
        <v>857</v>
      </c>
      <c r="E83" s="47" t="s">
        <v>128</v>
      </c>
      <c r="F83" s="47" t="s">
        <v>128</v>
      </c>
      <c r="G83" s="56" t="s">
        <v>38</v>
      </c>
      <c r="H83" s="58">
        <v>2020.0</v>
      </c>
      <c r="I83" s="49" t="s">
        <v>3004</v>
      </c>
      <c r="J83" s="49" t="s">
        <v>3005</v>
      </c>
      <c r="K83" s="49" t="s">
        <v>3006</v>
      </c>
      <c r="L83" s="49"/>
      <c r="M83" s="49"/>
      <c r="N83" s="49" t="s">
        <v>3007</v>
      </c>
      <c r="O83" s="49" t="s">
        <v>3008</v>
      </c>
      <c r="P83" s="49" t="s">
        <v>3009</v>
      </c>
      <c r="Q83" s="49" t="s">
        <v>2482</v>
      </c>
      <c r="R83" s="50"/>
      <c r="S83" s="51" t="s">
        <v>58</v>
      </c>
    </row>
    <row r="84">
      <c r="A84" s="56">
        <v>220.0</v>
      </c>
      <c r="B84" s="47" t="s">
        <v>859</v>
      </c>
      <c r="C84" s="79" t="s">
        <v>860</v>
      </c>
      <c r="D84" s="47" t="s">
        <v>861</v>
      </c>
      <c r="E84" s="47" t="s">
        <v>62</v>
      </c>
      <c r="F84" s="47" t="s">
        <v>62</v>
      </c>
      <c r="G84" s="56" t="s">
        <v>38</v>
      </c>
      <c r="H84" s="47">
        <v>2019.0</v>
      </c>
      <c r="I84" s="49" t="s">
        <v>2997</v>
      </c>
      <c r="J84" s="49" t="s">
        <v>3010</v>
      </c>
      <c r="K84" s="49" t="s">
        <v>3011</v>
      </c>
      <c r="L84" s="49"/>
      <c r="M84" s="49"/>
      <c r="N84" s="49" t="s">
        <v>3012</v>
      </c>
      <c r="O84" s="49" t="s">
        <v>3013</v>
      </c>
      <c r="P84" s="49" t="s">
        <v>2590</v>
      </c>
      <c r="Q84" s="49" t="s">
        <v>3014</v>
      </c>
      <c r="R84" s="50"/>
      <c r="S84" s="51" t="s">
        <v>58</v>
      </c>
    </row>
    <row r="85">
      <c r="A85" s="56">
        <v>222.0</v>
      </c>
      <c r="B85" s="47" t="s">
        <v>866</v>
      </c>
      <c r="C85" s="79" t="s">
        <v>867</v>
      </c>
      <c r="D85" s="47" t="s">
        <v>868</v>
      </c>
      <c r="E85" s="47" t="s">
        <v>393</v>
      </c>
      <c r="F85" s="47" t="s">
        <v>394</v>
      </c>
      <c r="G85" s="56" t="s">
        <v>38</v>
      </c>
      <c r="H85" s="47">
        <v>2019.0</v>
      </c>
      <c r="I85" s="49" t="s">
        <v>3015</v>
      </c>
      <c r="J85" s="49" t="s">
        <v>3016</v>
      </c>
      <c r="K85" s="49" t="s">
        <v>3017</v>
      </c>
      <c r="L85" s="49"/>
      <c r="M85" s="49"/>
      <c r="N85" s="49" t="s">
        <v>3018</v>
      </c>
      <c r="O85" s="49" t="s">
        <v>3019</v>
      </c>
      <c r="P85" s="49" t="s">
        <v>2590</v>
      </c>
      <c r="Q85" s="49" t="s">
        <v>3014</v>
      </c>
      <c r="R85" s="50"/>
      <c r="S85" s="51" t="s">
        <v>58</v>
      </c>
    </row>
    <row r="86">
      <c r="A86" s="73">
        <v>223.0</v>
      </c>
      <c r="B86" s="74" t="s">
        <v>869</v>
      </c>
      <c r="C86" s="75" t="s">
        <v>870</v>
      </c>
      <c r="D86" s="74" t="s">
        <v>871</v>
      </c>
      <c r="E86" s="80" t="s">
        <v>872</v>
      </c>
      <c r="F86" s="80" t="s">
        <v>872</v>
      </c>
      <c r="G86" s="77" t="s">
        <v>38</v>
      </c>
      <c r="H86" s="78">
        <v>2018.0</v>
      </c>
      <c r="I86" s="49" t="s">
        <v>3020</v>
      </c>
      <c r="J86" s="77" t="s">
        <v>3021</v>
      </c>
      <c r="K86" s="49" t="s">
        <v>3022</v>
      </c>
      <c r="L86" s="49" t="s">
        <v>3023</v>
      </c>
      <c r="M86" s="49"/>
      <c r="N86" s="49" t="s">
        <v>3024</v>
      </c>
      <c r="O86" s="49" t="s">
        <v>3025</v>
      </c>
      <c r="P86" s="49" t="s">
        <v>1136</v>
      </c>
      <c r="Q86" s="49" t="s">
        <v>2482</v>
      </c>
      <c r="R86" s="50"/>
      <c r="S86" s="51" t="s">
        <v>58</v>
      </c>
    </row>
    <row r="87">
      <c r="A87" s="56">
        <v>225.0</v>
      </c>
      <c r="B87" s="47" t="s">
        <v>877</v>
      </c>
      <c r="C87" s="79" t="s">
        <v>878</v>
      </c>
      <c r="D87" s="47" t="s">
        <v>79</v>
      </c>
      <c r="E87" s="47" t="s">
        <v>62</v>
      </c>
      <c r="F87" s="47" t="s">
        <v>62</v>
      </c>
      <c r="G87" s="56" t="s">
        <v>58</v>
      </c>
      <c r="H87" s="47">
        <v>2018.0</v>
      </c>
      <c r="I87" s="49" t="s">
        <v>3004</v>
      </c>
      <c r="J87" s="49" t="s">
        <v>3026</v>
      </c>
      <c r="K87" s="49" t="s">
        <v>3027</v>
      </c>
      <c r="L87" s="49"/>
      <c r="M87" s="49"/>
      <c r="N87" s="49" t="s">
        <v>3028</v>
      </c>
      <c r="O87" s="49" t="s">
        <v>3029</v>
      </c>
      <c r="P87" s="49" t="s">
        <v>3030</v>
      </c>
      <c r="Q87" s="49" t="s">
        <v>3031</v>
      </c>
      <c r="R87" s="50"/>
      <c r="S87" s="51" t="s">
        <v>58</v>
      </c>
    </row>
    <row r="88">
      <c r="A88" s="56">
        <v>230.0</v>
      </c>
      <c r="B88" s="47" t="s">
        <v>893</v>
      </c>
      <c r="C88" s="79" t="s">
        <v>894</v>
      </c>
      <c r="D88" s="47" t="s">
        <v>895</v>
      </c>
      <c r="E88" s="47" t="s">
        <v>896</v>
      </c>
      <c r="F88" s="47" t="s">
        <v>896</v>
      </c>
      <c r="G88" s="56" t="s">
        <v>38</v>
      </c>
      <c r="H88" s="58">
        <v>2018.0</v>
      </c>
      <c r="I88" s="49" t="s">
        <v>2555</v>
      </c>
      <c r="J88" s="49" t="s">
        <v>3032</v>
      </c>
      <c r="K88" s="49" t="s">
        <v>3033</v>
      </c>
      <c r="L88" s="49"/>
      <c r="M88" s="49"/>
      <c r="N88" s="49" t="s">
        <v>3034</v>
      </c>
      <c r="O88" s="49" t="s">
        <v>3035</v>
      </c>
      <c r="P88" s="49" t="s">
        <v>2590</v>
      </c>
      <c r="Q88" s="49" t="s">
        <v>2482</v>
      </c>
      <c r="R88" s="50"/>
      <c r="S88" s="51" t="s">
        <v>58</v>
      </c>
    </row>
    <row r="89">
      <c r="A89" s="56">
        <v>233.0</v>
      </c>
      <c r="B89" s="47" t="s">
        <v>904</v>
      </c>
      <c r="C89" s="79" t="s">
        <v>905</v>
      </c>
      <c r="D89" s="47" t="s">
        <v>906</v>
      </c>
      <c r="E89" s="47" t="s">
        <v>62</v>
      </c>
      <c r="F89" s="47" t="s">
        <v>62</v>
      </c>
      <c r="G89" s="56" t="s">
        <v>38</v>
      </c>
      <c r="H89" s="58">
        <v>2020.0</v>
      </c>
      <c r="I89" s="49" t="s">
        <v>3004</v>
      </c>
      <c r="J89" s="49" t="s">
        <v>3036</v>
      </c>
      <c r="K89" s="49" t="s">
        <v>3037</v>
      </c>
      <c r="L89" s="49"/>
      <c r="M89" s="49"/>
      <c r="N89" s="49" t="s">
        <v>3038</v>
      </c>
      <c r="O89" s="49" t="s">
        <v>3039</v>
      </c>
      <c r="P89" s="49" t="s">
        <v>2590</v>
      </c>
      <c r="Q89" s="49" t="s">
        <v>3040</v>
      </c>
      <c r="R89" s="50"/>
      <c r="S89" s="51" t="s">
        <v>58</v>
      </c>
    </row>
    <row r="90">
      <c r="A90" s="56">
        <v>235.0</v>
      </c>
      <c r="B90" s="47" t="s">
        <v>911</v>
      </c>
      <c r="C90" s="79" t="s">
        <v>912</v>
      </c>
      <c r="D90" s="47" t="s">
        <v>913</v>
      </c>
      <c r="E90" s="47" t="s">
        <v>914</v>
      </c>
      <c r="F90" s="47" t="s">
        <v>915</v>
      </c>
      <c r="G90" s="56" t="s">
        <v>38</v>
      </c>
      <c r="H90" s="58">
        <v>2020.0</v>
      </c>
      <c r="I90" s="49" t="s">
        <v>3004</v>
      </c>
      <c r="J90" s="49" t="s">
        <v>3041</v>
      </c>
      <c r="K90" s="49" t="s">
        <v>3042</v>
      </c>
      <c r="L90" s="49"/>
      <c r="M90" s="49"/>
      <c r="N90" s="49" t="s">
        <v>3043</v>
      </c>
      <c r="O90" s="49" t="s">
        <v>3044</v>
      </c>
      <c r="P90" s="49" t="s">
        <v>3030</v>
      </c>
      <c r="Q90" s="49" t="s">
        <v>3045</v>
      </c>
      <c r="R90" s="50"/>
      <c r="S90" s="51" t="s">
        <v>58</v>
      </c>
    </row>
    <row r="91">
      <c r="A91" s="73">
        <v>239.0</v>
      </c>
      <c r="B91" s="74" t="s">
        <v>928</v>
      </c>
      <c r="C91" s="75" t="s">
        <v>929</v>
      </c>
      <c r="D91" s="74" t="s">
        <v>930</v>
      </c>
      <c r="E91" s="81" t="s">
        <v>29</v>
      </c>
      <c r="F91" s="81" t="s">
        <v>30</v>
      </c>
      <c r="G91" s="77" t="s">
        <v>38</v>
      </c>
      <c r="H91" s="82">
        <v>2020.0</v>
      </c>
      <c r="I91" s="49" t="s">
        <v>3046</v>
      </c>
      <c r="J91" s="77" t="s">
        <v>3047</v>
      </c>
      <c r="K91" s="77" t="s">
        <v>3048</v>
      </c>
      <c r="L91" s="49" t="s">
        <v>3049</v>
      </c>
      <c r="M91" s="49" t="s">
        <v>3050</v>
      </c>
      <c r="N91" s="49" t="s">
        <v>3051</v>
      </c>
      <c r="O91" s="77" t="s">
        <v>3052</v>
      </c>
      <c r="P91" s="49" t="s">
        <v>1136</v>
      </c>
      <c r="Q91" s="49"/>
      <c r="R91" s="50"/>
      <c r="S91" s="51"/>
    </row>
    <row r="92">
      <c r="A92" s="56">
        <v>241.0</v>
      </c>
      <c r="B92" s="47" t="s">
        <v>936</v>
      </c>
      <c r="C92" s="79" t="s">
        <v>937</v>
      </c>
      <c r="D92" s="47" t="s">
        <v>938</v>
      </c>
      <c r="E92" s="47" t="s">
        <v>36</v>
      </c>
      <c r="F92" s="47" t="s">
        <v>37</v>
      </c>
      <c r="G92" s="46" t="s">
        <v>58</v>
      </c>
      <c r="H92" s="47">
        <v>2018.0</v>
      </c>
      <c r="I92" s="49" t="s">
        <v>2610</v>
      </c>
      <c r="J92" s="49" t="s">
        <v>3053</v>
      </c>
      <c r="K92" s="49" t="s">
        <v>3054</v>
      </c>
      <c r="L92" s="49"/>
      <c r="M92" s="49"/>
      <c r="N92" s="49" t="s">
        <v>3055</v>
      </c>
      <c r="O92" s="49" t="s">
        <v>3056</v>
      </c>
      <c r="P92" s="49" t="s">
        <v>3030</v>
      </c>
      <c r="Q92" s="49" t="s">
        <v>3031</v>
      </c>
      <c r="R92" s="50"/>
      <c r="S92" s="51" t="s">
        <v>58</v>
      </c>
    </row>
    <row r="93">
      <c r="A93" s="56">
        <v>248.0</v>
      </c>
      <c r="B93" s="47" t="s">
        <v>961</v>
      </c>
      <c r="C93" s="79" t="s">
        <v>962</v>
      </c>
      <c r="D93" s="47" t="s">
        <v>963</v>
      </c>
      <c r="E93" s="47" t="s">
        <v>36</v>
      </c>
      <c r="F93" s="47" t="s">
        <v>37</v>
      </c>
      <c r="G93" s="46" t="s">
        <v>58</v>
      </c>
      <c r="H93" s="47">
        <v>2019.0</v>
      </c>
      <c r="I93" s="49" t="s">
        <v>3004</v>
      </c>
      <c r="J93" s="49" t="s">
        <v>3057</v>
      </c>
      <c r="K93" s="49" t="s">
        <v>3058</v>
      </c>
      <c r="L93" s="49"/>
      <c r="M93" s="49"/>
      <c r="N93" s="49" t="s">
        <v>3059</v>
      </c>
      <c r="O93" s="49" t="s">
        <v>3060</v>
      </c>
      <c r="P93" s="49" t="s">
        <v>2590</v>
      </c>
      <c r="Q93" s="49" t="s">
        <v>3061</v>
      </c>
      <c r="R93" s="50"/>
      <c r="S93" s="51" t="s">
        <v>58</v>
      </c>
    </row>
    <row r="94">
      <c r="A94" s="46">
        <v>260.0</v>
      </c>
      <c r="B94" s="70" t="s">
        <v>1006</v>
      </c>
      <c r="C94" s="71" t="s">
        <v>1007</v>
      </c>
      <c r="D94" s="70" t="s">
        <v>1008</v>
      </c>
      <c r="E94" s="83" t="s">
        <v>62</v>
      </c>
      <c r="F94" s="83" t="s">
        <v>62</v>
      </c>
      <c r="G94" s="46" t="s">
        <v>38</v>
      </c>
      <c r="H94" s="70">
        <v>2019.0</v>
      </c>
      <c r="I94" s="49" t="s">
        <v>2997</v>
      </c>
      <c r="J94" s="49" t="s">
        <v>3062</v>
      </c>
      <c r="K94" s="49" t="s">
        <v>3063</v>
      </c>
      <c r="L94" s="49" t="s">
        <v>3064</v>
      </c>
      <c r="M94" s="49" t="s">
        <v>3065</v>
      </c>
      <c r="N94" s="49" t="s">
        <v>3066</v>
      </c>
      <c r="O94" s="49" t="s">
        <v>3067</v>
      </c>
      <c r="P94" s="49" t="s">
        <v>3068</v>
      </c>
      <c r="Q94" s="49" t="s">
        <v>3069</v>
      </c>
      <c r="R94" s="84"/>
      <c r="S94" s="51" t="s">
        <v>58</v>
      </c>
    </row>
    <row r="95">
      <c r="A95" s="46">
        <v>261.0</v>
      </c>
      <c r="B95" s="70" t="s">
        <v>1010</v>
      </c>
      <c r="C95" s="71" t="s">
        <v>1011</v>
      </c>
      <c r="D95" s="70" t="s">
        <v>1012</v>
      </c>
      <c r="E95" s="72" t="s">
        <v>36</v>
      </c>
      <c r="F95" s="72" t="s">
        <v>37</v>
      </c>
      <c r="G95" s="46" t="s">
        <v>38</v>
      </c>
      <c r="H95" s="70">
        <v>2019.0</v>
      </c>
      <c r="I95" s="49" t="s">
        <v>2997</v>
      </c>
      <c r="J95" s="49" t="s">
        <v>3070</v>
      </c>
      <c r="K95" s="49" t="s">
        <v>3071</v>
      </c>
      <c r="L95" s="49" t="s">
        <v>3072</v>
      </c>
      <c r="M95" s="49" t="s">
        <v>3001</v>
      </c>
      <c r="N95" s="49" t="s">
        <v>3073</v>
      </c>
      <c r="O95" s="49" t="s">
        <v>3074</v>
      </c>
      <c r="P95" s="49" t="s">
        <v>1070</v>
      </c>
      <c r="Q95" s="49" t="s">
        <v>3075</v>
      </c>
      <c r="R95" s="84"/>
      <c r="S95" s="85" t="s">
        <v>58</v>
      </c>
    </row>
    <row r="96">
      <c r="A96" s="46">
        <v>266.0</v>
      </c>
      <c r="B96" s="70" t="s">
        <v>1029</v>
      </c>
      <c r="C96" s="71" t="s">
        <v>1030</v>
      </c>
      <c r="D96" s="70" t="s">
        <v>1031</v>
      </c>
      <c r="E96" s="72" t="s">
        <v>1032</v>
      </c>
      <c r="F96" s="72" t="s">
        <v>1033</v>
      </c>
      <c r="G96" s="46" t="s">
        <v>38</v>
      </c>
      <c r="H96" s="86">
        <v>2018.0</v>
      </c>
      <c r="I96" s="49" t="s">
        <v>2997</v>
      </c>
      <c r="J96" s="49" t="s">
        <v>3076</v>
      </c>
      <c r="K96" s="49" t="s">
        <v>3077</v>
      </c>
      <c r="L96" s="49" t="s">
        <v>3078</v>
      </c>
      <c r="M96" s="49" t="s">
        <v>3001</v>
      </c>
      <c r="N96" s="49" t="s">
        <v>3079</v>
      </c>
      <c r="O96" s="49" t="s">
        <v>3080</v>
      </c>
      <c r="P96" s="49" t="s">
        <v>3081</v>
      </c>
      <c r="Q96" s="49" t="s">
        <v>2775</v>
      </c>
      <c r="R96" s="84"/>
      <c r="S96" s="85" t="s">
        <v>58</v>
      </c>
    </row>
    <row r="97">
      <c r="A97" s="46">
        <v>275.0</v>
      </c>
      <c r="B97" s="70" t="s">
        <v>1063</v>
      </c>
      <c r="C97" s="71" t="s">
        <v>1064</v>
      </c>
      <c r="D97" s="70" t="s">
        <v>1065</v>
      </c>
      <c r="E97" s="83" t="s">
        <v>393</v>
      </c>
      <c r="F97" s="87" t="s">
        <v>394</v>
      </c>
      <c r="G97" s="46" t="s">
        <v>38</v>
      </c>
      <c r="H97" s="70">
        <v>2020.0</v>
      </c>
      <c r="I97" s="49" t="s">
        <v>2449</v>
      </c>
      <c r="J97" s="49" t="s">
        <v>3082</v>
      </c>
      <c r="K97" s="49" t="s">
        <v>3083</v>
      </c>
      <c r="L97" s="49" t="s">
        <v>3084</v>
      </c>
      <c r="M97" s="49" t="s">
        <v>3085</v>
      </c>
      <c r="N97" s="49" t="s">
        <v>3086</v>
      </c>
      <c r="O97" s="49" t="s">
        <v>3087</v>
      </c>
      <c r="P97" s="49" t="s">
        <v>3030</v>
      </c>
      <c r="Q97" s="49" t="s">
        <v>3088</v>
      </c>
      <c r="R97" s="84"/>
      <c r="S97" s="85" t="s">
        <v>58</v>
      </c>
    </row>
    <row r="98">
      <c r="A98" s="46">
        <v>276.0</v>
      </c>
      <c r="B98" s="70" t="s">
        <v>1067</v>
      </c>
      <c r="C98" s="71" t="s">
        <v>1068</v>
      </c>
      <c r="D98" s="70" t="s">
        <v>1069</v>
      </c>
      <c r="E98" s="88" t="s">
        <v>128</v>
      </c>
      <c r="F98" s="88" t="s">
        <v>128</v>
      </c>
      <c r="G98" s="46" t="s">
        <v>38</v>
      </c>
      <c r="H98" s="70">
        <v>2019.0</v>
      </c>
      <c r="I98" s="49" t="s">
        <v>2997</v>
      </c>
      <c r="J98" s="49" t="s">
        <v>3089</v>
      </c>
      <c r="K98" s="49" t="s">
        <v>3090</v>
      </c>
      <c r="L98" s="49" t="s">
        <v>3091</v>
      </c>
      <c r="M98" s="49" t="s">
        <v>3092</v>
      </c>
      <c r="N98" s="58"/>
      <c r="O98" s="49" t="s">
        <v>3093</v>
      </c>
      <c r="P98" s="49" t="s">
        <v>3094</v>
      </c>
      <c r="Q98" s="49" t="s">
        <v>3095</v>
      </c>
      <c r="R98" s="84"/>
      <c r="S98" s="85" t="s">
        <v>58</v>
      </c>
    </row>
    <row r="99">
      <c r="A99" s="46">
        <v>278.0</v>
      </c>
      <c r="B99" s="70" t="s">
        <v>1074</v>
      </c>
      <c r="C99" s="71" t="s">
        <v>1075</v>
      </c>
      <c r="D99" s="70" t="s">
        <v>1076</v>
      </c>
      <c r="E99" s="72" t="s">
        <v>36</v>
      </c>
      <c r="F99" s="72" t="s">
        <v>37</v>
      </c>
      <c r="G99" s="46" t="s">
        <v>38</v>
      </c>
      <c r="H99" s="70">
        <v>2019.0</v>
      </c>
      <c r="I99" s="49" t="s">
        <v>2997</v>
      </c>
      <c r="J99" s="49" t="s">
        <v>3096</v>
      </c>
      <c r="K99" s="49" t="s">
        <v>3097</v>
      </c>
      <c r="L99" s="49" t="s">
        <v>3061</v>
      </c>
      <c r="M99" s="49" t="s">
        <v>3098</v>
      </c>
      <c r="N99" s="49" t="s">
        <v>3099</v>
      </c>
      <c r="O99" s="49" t="s">
        <v>3100</v>
      </c>
      <c r="P99" s="49" t="s">
        <v>2590</v>
      </c>
      <c r="Q99" s="49" t="s">
        <v>2775</v>
      </c>
      <c r="R99" s="84"/>
      <c r="S99" s="85" t="s">
        <v>58</v>
      </c>
    </row>
    <row r="100">
      <c r="A100" s="46">
        <v>284.0</v>
      </c>
      <c r="B100" s="70" t="s">
        <v>1096</v>
      </c>
      <c r="C100" s="71" t="s">
        <v>1097</v>
      </c>
      <c r="D100" s="70" t="s">
        <v>1098</v>
      </c>
      <c r="E100" s="83" t="s">
        <v>128</v>
      </c>
      <c r="F100" s="83" t="s">
        <v>128</v>
      </c>
      <c r="G100" s="46" t="s">
        <v>38</v>
      </c>
      <c r="H100" s="70">
        <v>2018.0</v>
      </c>
      <c r="I100" s="49" t="s">
        <v>2997</v>
      </c>
      <c r="J100" s="49" t="s">
        <v>3101</v>
      </c>
      <c r="K100" s="49" t="s">
        <v>3102</v>
      </c>
      <c r="L100" s="49" t="s">
        <v>3103</v>
      </c>
      <c r="M100" s="49" t="s">
        <v>3104</v>
      </c>
      <c r="N100" s="58"/>
      <c r="O100" s="49" t="s">
        <v>3105</v>
      </c>
      <c r="P100" s="49" t="s">
        <v>1136</v>
      </c>
      <c r="Q100" s="49" t="s">
        <v>2482</v>
      </c>
      <c r="R100" s="84"/>
      <c r="S100" s="85" t="s">
        <v>58</v>
      </c>
    </row>
    <row r="101">
      <c r="A101" s="46">
        <v>287.0</v>
      </c>
      <c r="B101" s="70" t="s">
        <v>1108</v>
      </c>
      <c r="C101" s="71" t="s">
        <v>1109</v>
      </c>
      <c r="D101" s="70" t="s">
        <v>1110</v>
      </c>
      <c r="E101" s="83" t="s">
        <v>62</v>
      </c>
      <c r="F101" s="83" t="s">
        <v>62</v>
      </c>
      <c r="G101" s="46" t="s">
        <v>58</v>
      </c>
      <c r="H101" s="70">
        <v>2019.0</v>
      </c>
      <c r="I101" s="49" t="s">
        <v>2449</v>
      </c>
      <c r="J101" s="49" t="s">
        <v>3106</v>
      </c>
      <c r="K101" s="49" t="s">
        <v>3107</v>
      </c>
      <c r="L101" s="49" t="s">
        <v>3108</v>
      </c>
      <c r="M101" s="49" t="s">
        <v>3109</v>
      </c>
      <c r="N101" s="49" t="s">
        <v>3110</v>
      </c>
      <c r="O101" s="49" t="s">
        <v>3111</v>
      </c>
      <c r="P101" s="49" t="s">
        <v>1136</v>
      </c>
      <c r="Q101" s="49" t="s">
        <v>3112</v>
      </c>
      <c r="R101" s="84"/>
      <c r="S101" s="85" t="s">
        <v>58</v>
      </c>
    </row>
    <row r="102">
      <c r="A102" s="46">
        <v>289.0</v>
      </c>
      <c r="B102" s="70" t="s">
        <v>1116</v>
      </c>
      <c r="C102" s="71" t="s">
        <v>1117</v>
      </c>
      <c r="D102" s="70" t="s">
        <v>1118</v>
      </c>
      <c r="E102" s="72" t="s">
        <v>36</v>
      </c>
      <c r="F102" s="72" t="s">
        <v>37</v>
      </c>
      <c r="G102" s="46" t="s">
        <v>58</v>
      </c>
      <c r="H102" s="70">
        <v>2020.0</v>
      </c>
      <c r="I102" s="49" t="s">
        <v>2997</v>
      </c>
      <c r="J102" s="49" t="s">
        <v>3113</v>
      </c>
      <c r="K102" s="49" t="s">
        <v>3114</v>
      </c>
      <c r="L102" s="49" t="s">
        <v>3115</v>
      </c>
      <c r="M102" s="49" t="s">
        <v>3001</v>
      </c>
      <c r="N102" s="58"/>
      <c r="O102" s="49" t="s">
        <v>3116</v>
      </c>
      <c r="P102" s="49" t="s">
        <v>3117</v>
      </c>
      <c r="Q102" s="49" t="s">
        <v>3118</v>
      </c>
      <c r="R102" s="84"/>
      <c r="S102" s="85" t="s">
        <v>58</v>
      </c>
    </row>
    <row r="103">
      <c r="A103" s="46">
        <v>290.0</v>
      </c>
      <c r="B103" s="70" t="s">
        <v>1120</v>
      </c>
      <c r="C103" s="71" t="s">
        <v>1121</v>
      </c>
      <c r="D103" s="70" t="s">
        <v>1122</v>
      </c>
      <c r="E103" s="72" t="s">
        <v>36</v>
      </c>
      <c r="F103" s="72" t="s">
        <v>37</v>
      </c>
      <c r="G103" s="46" t="s">
        <v>58</v>
      </c>
      <c r="H103" s="70">
        <v>2018.0</v>
      </c>
      <c r="I103" s="49" t="s">
        <v>2555</v>
      </c>
      <c r="J103" s="49" t="s">
        <v>3119</v>
      </c>
      <c r="K103" s="49" t="s">
        <v>3120</v>
      </c>
      <c r="L103" s="49" t="s">
        <v>3121</v>
      </c>
      <c r="M103" s="49" t="s">
        <v>2479</v>
      </c>
      <c r="N103" s="49" t="s">
        <v>3122</v>
      </c>
      <c r="O103" s="49" t="s">
        <v>3123</v>
      </c>
      <c r="P103" s="49" t="s">
        <v>1136</v>
      </c>
      <c r="Q103" s="49" t="s">
        <v>2978</v>
      </c>
      <c r="R103" s="84"/>
      <c r="S103" s="85" t="s">
        <v>58</v>
      </c>
    </row>
    <row r="104">
      <c r="A104" s="46">
        <v>293.0</v>
      </c>
      <c r="B104" s="70" t="s">
        <v>1130</v>
      </c>
      <c r="C104" s="71" t="s">
        <v>1131</v>
      </c>
      <c r="D104" s="70" t="s">
        <v>930</v>
      </c>
      <c r="E104" s="72" t="s">
        <v>29</v>
      </c>
      <c r="F104" s="72" t="s">
        <v>30</v>
      </c>
      <c r="G104" s="46" t="s">
        <v>38</v>
      </c>
      <c r="H104" s="70">
        <v>2020.0</v>
      </c>
      <c r="I104" s="49" t="s">
        <v>2971</v>
      </c>
      <c r="J104" s="49" t="s">
        <v>3124</v>
      </c>
      <c r="K104" s="49" t="s">
        <v>3125</v>
      </c>
      <c r="L104" s="49" t="s">
        <v>3126</v>
      </c>
      <c r="M104" s="49" t="s">
        <v>3127</v>
      </c>
      <c r="N104" s="49" t="s">
        <v>3128</v>
      </c>
      <c r="O104" s="49" t="s">
        <v>3129</v>
      </c>
      <c r="P104" s="49" t="s">
        <v>1136</v>
      </c>
      <c r="Q104" s="49" t="s">
        <v>3130</v>
      </c>
      <c r="R104" s="84"/>
      <c r="S104" s="85" t="s">
        <v>58</v>
      </c>
    </row>
    <row r="105">
      <c r="A105" s="46">
        <v>294.0</v>
      </c>
      <c r="B105" s="70" t="s">
        <v>1133</v>
      </c>
      <c r="C105" s="71" t="s">
        <v>1134</v>
      </c>
      <c r="D105" s="70" t="s">
        <v>1135</v>
      </c>
      <c r="E105" s="72" t="s">
        <v>36</v>
      </c>
      <c r="F105" s="72" t="s">
        <v>37</v>
      </c>
      <c r="G105" s="46" t="s">
        <v>38</v>
      </c>
      <c r="H105" s="70">
        <v>2019.0</v>
      </c>
      <c r="I105" s="49" t="s">
        <v>2449</v>
      </c>
      <c r="J105" s="49" t="s">
        <v>3131</v>
      </c>
      <c r="K105" s="49" t="s">
        <v>3132</v>
      </c>
      <c r="L105" s="49" t="s">
        <v>3133</v>
      </c>
      <c r="M105" s="49" t="s">
        <v>3134</v>
      </c>
      <c r="N105" s="49" t="s">
        <v>3135</v>
      </c>
      <c r="O105" s="49" t="s">
        <v>3136</v>
      </c>
      <c r="P105" s="49" t="s">
        <v>1136</v>
      </c>
      <c r="Q105" s="49" t="s">
        <v>3137</v>
      </c>
      <c r="R105" s="84"/>
      <c r="S105" s="85" t="s">
        <v>58</v>
      </c>
    </row>
    <row r="106">
      <c r="A106" s="46">
        <v>298.0</v>
      </c>
      <c r="B106" s="70" t="s">
        <v>1147</v>
      </c>
      <c r="C106" s="71" t="s">
        <v>1148</v>
      </c>
      <c r="D106" s="70" t="s">
        <v>1149</v>
      </c>
      <c r="E106" s="72" t="s">
        <v>36</v>
      </c>
      <c r="F106" s="72" t="s">
        <v>37</v>
      </c>
      <c r="G106" s="46" t="s">
        <v>58</v>
      </c>
      <c r="H106" s="70">
        <v>2019.0</v>
      </c>
      <c r="I106" s="49" t="s">
        <v>3138</v>
      </c>
      <c r="J106" s="49" t="s">
        <v>3139</v>
      </c>
      <c r="K106" s="49" t="s">
        <v>3140</v>
      </c>
      <c r="L106" s="49" t="s">
        <v>3141</v>
      </c>
      <c r="M106" s="49" t="s">
        <v>3127</v>
      </c>
      <c r="N106" s="49" t="s">
        <v>3142</v>
      </c>
      <c r="O106" s="49" t="s">
        <v>3143</v>
      </c>
      <c r="P106" s="49" t="s">
        <v>3144</v>
      </c>
      <c r="Q106" s="49" t="s">
        <v>3144</v>
      </c>
      <c r="R106" s="84"/>
      <c r="S106" s="85" t="s">
        <v>58</v>
      </c>
    </row>
    <row r="107">
      <c r="A107" s="46">
        <v>305.0</v>
      </c>
      <c r="B107" s="70" t="s">
        <v>1171</v>
      </c>
      <c r="C107" s="71" t="s">
        <v>1172</v>
      </c>
      <c r="D107" s="70" t="s">
        <v>1173</v>
      </c>
      <c r="E107" s="72" t="s">
        <v>1174</v>
      </c>
      <c r="F107" s="72" t="s">
        <v>1175</v>
      </c>
      <c r="G107" s="46" t="s">
        <v>38</v>
      </c>
      <c r="H107" s="70">
        <v>2018.0</v>
      </c>
      <c r="I107" s="49" t="s">
        <v>2997</v>
      </c>
      <c r="J107" s="49" t="s">
        <v>3145</v>
      </c>
      <c r="K107" s="49" t="s">
        <v>3146</v>
      </c>
      <c r="L107" s="49" t="s">
        <v>3147</v>
      </c>
      <c r="M107" s="49" t="s">
        <v>3001</v>
      </c>
      <c r="N107" s="49" t="s">
        <v>3148</v>
      </c>
      <c r="O107" s="49" t="s">
        <v>3149</v>
      </c>
      <c r="P107" s="49" t="s">
        <v>1136</v>
      </c>
      <c r="Q107" s="49" t="s">
        <v>2775</v>
      </c>
      <c r="R107" s="84"/>
      <c r="S107" s="85" t="s">
        <v>58</v>
      </c>
    </row>
    <row r="108">
      <c r="A108" s="46">
        <v>314.0</v>
      </c>
      <c r="B108" s="70" t="s">
        <v>1205</v>
      </c>
      <c r="C108" s="71" t="s">
        <v>1206</v>
      </c>
      <c r="D108" s="70" t="s">
        <v>1207</v>
      </c>
      <c r="E108" s="72" t="s">
        <v>36</v>
      </c>
      <c r="F108" s="72" t="s">
        <v>37</v>
      </c>
      <c r="G108" s="46" t="s">
        <v>3150</v>
      </c>
      <c r="H108" s="70">
        <v>2019.0</v>
      </c>
      <c r="I108" s="49" t="s">
        <v>2997</v>
      </c>
      <c r="J108" s="49" t="s">
        <v>3151</v>
      </c>
      <c r="K108" s="49" t="s">
        <v>3152</v>
      </c>
      <c r="L108" s="49" t="s">
        <v>3153</v>
      </c>
      <c r="M108" s="49" t="s">
        <v>3001</v>
      </c>
      <c r="N108" s="49" t="s">
        <v>3154</v>
      </c>
      <c r="O108" s="49" t="s">
        <v>3155</v>
      </c>
      <c r="P108" s="49" t="s">
        <v>2590</v>
      </c>
      <c r="Q108" s="49" t="s">
        <v>3112</v>
      </c>
      <c r="R108" s="84"/>
      <c r="S108" s="85" t="s">
        <v>58</v>
      </c>
    </row>
    <row r="109">
      <c r="A109" s="46">
        <v>316.0</v>
      </c>
      <c r="B109" s="70" t="s">
        <v>1213</v>
      </c>
      <c r="C109" s="71" t="s">
        <v>1214</v>
      </c>
      <c r="D109" s="70" t="s">
        <v>1215</v>
      </c>
      <c r="E109" s="72" t="s">
        <v>29</v>
      </c>
      <c r="F109" s="72" t="s">
        <v>30</v>
      </c>
      <c r="G109" s="46" t="s">
        <v>38</v>
      </c>
      <c r="H109" s="70">
        <v>2019.0</v>
      </c>
      <c r="I109" s="49" t="s">
        <v>2997</v>
      </c>
      <c r="J109" s="49" t="s">
        <v>3156</v>
      </c>
      <c r="K109" s="49" t="s">
        <v>3157</v>
      </c>
      <c r="L109" s="49" t="s">
        <v>3158</v>
      </c>
      <c r="M109" s="49" t="s">
        <v>3159</v>
      </c>
      <c r="N109" s="49" t="s">
        <v>3160</v>
      </c>
      <c r="O109" s="49" t="s">
        <v>3161</v>
      </c>
      <c r="P109" s="49" t="s">
        <v>1070</v>
      </c>
      <c r="Q109" s="49" t="s">
        <v>2482</v>
      </c>
      <c r="R109" s="84"/>
      <c r="S109" s="85" t="s">
        <v>58</v>
      </c>
    </row>
    <row r="110">
      <c r="A110" s="46">
        <v>320.0</v>
      </c>
      <c r="B110" s="70" t="s">
        <v>1228</v>
      </c>
      <c r="C110" s="71" t="s">
        <v>1229</v>
      </c>
      <c r="D110" s="70" t="s">
        <v>1230</v>
      </c>
      <c r="E110" s="88" t="s">
        <v>62</v>
      </c>
      <c r="F110" s="88" t="s">
        <v>62</v>
      </c>
      <c r="G110" s="46" t="s">
        <v>38</v>
      </c>
      <c r="H110" s="70">
        <v>2020.0</v>
      </c>
      <c r="I110" s="49" t="s">
        <v>2997</v>
      </c>
      <c r="J110" s="49" t="s">
        <v>3162</v>
      </c>
      <c r="K110" s="49" t="s">
        <v>3163</v>
      </c>
      <c r="L110" s="49" t="s">
        <v>3164</v>
      </c>
      <c r="M110" s="49" t="s">
        <v>3001</v>
      </c>
      <c r="N110" s="49" t="s">
        <v>3165</v>
      </c>
      <c r="O110" s="49" t="s">
        <v>3166</v>
      </c>
      <c r="P110" s="49" t="s">
        <v>2590</v>
      </c>
      <c r="Q110" s="49" t="s">
        <v>2482</v>
      </c>
      <c r="R110" s="84"/>
      <c r="S110" s="85" t="s">
        <v>58</v>
      </c>
    </row>
    <row r="111">
      <c r="A111" s="46">
        <v>323.0</v>
      </c>
      <c r="B111" s="70" t="s">
        <v>1238</v>
      </c>
      <c r="C111" s="71" t="s">
        <v>1239</v>
      </c>
      <c r="D111" s="70" t="s">
        <v>1240</v>
      </c>
      <c r="E111" s="72" t="s">
        <v>36</v>
      </c>
      <c r="F111" s="72" t="s">
        <v>37</v>
      </c>
      <c r="G111" s="46" t="s">
        <v>38</v>
      </c>
      <c r="H111" s="70">
        <v>2018.0</v>
      </c>
      <c r="I111" s="49" t="s">
        <v>2997</v>
      </c>
      <c r="J111" s="49" t="s">
        <v>3167</v>
      </c>
      <c r="K111" s="49" t="s">
        <v>3168</v>
      </c>
      <c r="L111" s="49" t="s">
        <v>3169</v>
      </c>
      <c r="M111" s="49" t="s">
        <v>3170</v>
      </c>
      <c r="N111" s="49" t="s">
        <v>3171</v>
      </c>
      <c r="O111" s="49" t="s">
        <v>3172</v>
      </c>
      <c r="P111" s="49" t="s">
        <v>2590</v>
      </c>
      <c r="Q111" s="49" t="s">
        <v>2482</v>
      </c>
      <c r="R111" s="84"/>
      <c r="S111" s="85" t="s">
        <v>58</v>
      </c>
    </row>
    <row r="112">
      <c r="A112" s="46">
        <v>325.0</v>
      </c>
      <c r="B112" s="70" t="s">
        <v>1245</v>
      </c>
      <c r="C112" s="71" t="s">
        <v>1246</v>
      </c>
      <c r="D112" s="70" t="s">
        <v>1247</v>
      </c>
      <c r="E112" s="72" t="s">
        <v>36</v>
      </c>
      <c r="F112" s="72" t="s">
        <v>37</v>
      </c>
      <c r="G112" s="46" t="s">
        <v>38</v>
      </c>
      <c r="H112" s="70">
        <v>2020.0</v>
      </c>
      <c r="I112" s="49" t="s">
        <v>2997</v>
      </c>
      <c r="J112" s="49" t="s">
        <v>3173</v>
      </c>
      <c r="K112" s="49" t="s">
        <v>3174</v>
      </c>
      <c r="L112" s="49" t="s">
        <v>3175</v>
      </c>
      <c r="M112" s="49" t="s">
        <v>3176</v>
      </c>
      <c r="N112" s="49" t="s">
        <v>3177</v>
      </c>
      <c r="O112" s="49" t="s">
        <v>3178</v>
      </c>
      <c r="P112" s="49" t="s">
        <v>3179</v>
      </c>
      <c r="Q112" s="49" t="s">
        <v>2482</v>
      </c>
      <c r="R112" s="84"/>
      <c r="S112" s="85" t="s">
        <v>58</v>
      </c>
    </row>
    <row r="113">
      <c r="A113" s="46">
        <v>326.0</v>
      </c>
      <c r="B113" s="70" t="s">
        <v>1249</v>
      </c>
      <c r="C113" s="71" t="s">
        <v>1250</v>
      </c>
      <c r="D113" s="70" t="s">
        <v>1251</v>
      </c>
      <c r="E113" s="88" t="s">
        <v>62</v>
      </c>
      <c r="F113" s="88" t="s">
        <v>62</v>
      </c>
      <c r="G113" s="46" t="s">
        <v>38</v>
      </c>
      <c r="H113" s="70">
        <v>2020.0</v>
      </c>
      <c r="I113" s="49" t="s">
        <v>2997</v>
      </c>
      <c r="J113" s="49" t="s">
        <v>3180</v>
      </c>
      <c r="K113" s="49" t="s">
        <v>3181</v>
      </c>
      <c r="L113" s="49" t="s">
        <v>3182</v>
      </c>
      <c r="M113" s="49" t="s">
        <v>3183</v>
      </c>
      <c r="N113" s="49" t="s">
        <v>3184</v>
      </c>
      <c r="O113" s="49" t="s">
        <v>3185</v>
      </c>
      <c r="P113" s="49" t="s">
        <v>1136</v>
      </c>
      <c r="Q113" s="49" t="s">
        <v>3186</v>
      </c>
      <c r="R113" s="84"/>
      <c r="S113" s="85" t="s">
        <v>58</v>
      </c>
    </row>
    <row r="114">
      <c r="A114" s="46">
        <v>327.0</v>
      </c>
      <c r="B114" s="70" t="s">
        <v>1253</v>
      </c>
      <c r="C114" s="71" t="s">
        <v>1254</v>
      </c>
      <c r="D114" s="70" t="s">
        <v>1255</v>
      </c>
      <c r="E114" s="83" t="s">
        <v>128</v>
      </c>
      <c r="F114" s="83" t="s">
        <v>128</v>
      </c>
      <c r="G114" s="46" t="s">
        <v>38</v>
      </c>
      <c r="H114" s="70">
        <v>2018.0</v>
      </c>
      <c r="I114" s="49" t="s">
        <v>3187</v>
      </c>
      <c r="J114" s="49" t="s">
        <v>3188</v>
      </c>
      <c r="K114" s="49" t="s">
        <v>3189</v>
      </c>
      <c r="L114" s="49" t="s">
        <v>3190</v>
      </c>
      <c r="M114" s="49" t="s">
        <v>3191</v>
      </c>
      <c r="N114" s="49" t="s">
        <v>3135</v>
      </c>
      <c r="O114" s="49" t="s">
        <v>3192</v>
      </c>
      <c r="P114" s="49" t="s">
        <v>2590</v>
      </c>
      <c r="Q114" s="49" t="s">
        <v>2482</v>
      </c>
      <c r="R114" s="84"/>
      <c r="S114" s="85" t="s">
        <v>58</v>
      </c>
    </row>
    <row r="115">
      <c r="A115" s="46">
        <v>330.0</v>
      </c>
      <c r="B115" s="70" t="s">
        <v>1264</v>
      </c>
      <c r="C115" s="71" t="s">
        <v>1265</v>
      </c>
      <c r="D115" s="70" t="s">
        <v>1266</v>
      </c>
      <c r="E115" s="89" t="s">
        <v>1084</v>
      </c>
      <c r="F115" s="89" t="s">
        <v>1084</v>
      </c>
      <c r="G115" s="46" t="s">
        <v>38</v>
      </c>
      <c r="H115" s="70">
        <v>2019.0</v>
      </c>
      <c r="I115" s="49" t="s">
        <v>2997</v>
      </c>
      <c r="J115" s="49" t="s">
        <v>3193</v>
      </c>
      <c r="K115" s="49" t="s">
        <v>3194</v>
      </c>
      <c r="L115" s="49" t="s">
        <v>3195</v>
      </c>
      <c r="M115" s="49" t="s">
        <v>3001</v>
      </c>
      <c r="N115" s="49" t="s">
        <v>3196</v>
      </c>
      <c r="O115" s="49" t="s">
        <v>3197</v>
      </c>
      <c r="P115" s="49" t="s">
        <v>1136</v>
      </c>
      <c r="Q115" s="49" t="s">
        <v>2482</v>
      </c>
      <c r="R115" s="84"/>
      <c r="S115" s="85" t="s">
        <v>58</v>
      </c>
    </row>
    <row r="116">
      <c r="A116" s="46">
        <v>334.0</v>
      </c>
      <c r="B116" s="70" t="s">
        <v>1279</v>
      </c>
      <c r="C116" s="71" t="s">
        <v>1280</v>
      </c>
      <c r="D116" s="70" t="s">
        <v>1281</v>
      </c>
      <c r="E116" s="72" t="s">
        <v>36</v>
      </c>
      <c r="F116" s="72" t="s">
        <v>37</v>
      </c>
      <c r="G116" s="46" t="s">
        <v>58</v>
      </c>
      <c r="H116" s="70">
        <v>2019.0</v>
      </c>
      <c r="I116" s="49" t="s">
        <v>1282</v>
      </c>
      <c r="J116" s="49" t="s">
        <v>3198</v>
      </c>
      <c r="K116" s="49" t="s">
        <v>3199</v>
      </c>
      <c r="L116" s="49" t="s">
        <v>3200</v>
      </c>
      <c r="M116" s="49" t="s">
        <v>3201</v>
      </c>
      <c r="N116" s="49"/>
      <c r="O116" s="49" t="s">
        <v>3202</v>
      </c>
      <c r="P116" s="49"/>
      <c r="Q116" s="49" t="s">
        <v>2482</v>
      </c>
      <c r="R116" s="84"/>
      <c r="S116" s="85" t="s">
        <v>58</v>
      </c>
    </row>
    <row r="117">
      <c r="A117" s="46">
        <v>335.0</v>
      </c>
      <c r="B117" s="70" t="s">
        <v>1283</v>
      </c>
      <c r="C117" s="71" t="s">
        <v>1284</v>
      </c>
      <c r="D117" s="70" t="s">
        <v>1285</v>
      </c>
      <c r="E117" s="72" t="s">
        <v>36</v>
      </c>
      <c r="F117" s="72" t="s">
        <v>37</v>
      </c>
      <c r="G117" s="46" t="s">
        <v>58</v>
      </c>
      <c r="H117" s="70">
        <v>2020.0</v>
      </c>
      <c r="I117" s="49" t="s">
        <v>2997</v>
      </c>
      <c r="J117" s="49" t="s">
        <v>3203</v>
      </c>
      <c r="K117" s="49" t="s">
        <v>3125</v>
      </c>
      <c r="L117" s="49" t="s">
        <v>3204</v>
      </c>
      <c r="M117" s="49" t="s">
        <v>3001</v>
      </c>
      <c r="N117" s="49"/>
      <c r="O117" s="49" t="s">
        <v>3205</v>
      </c>
      <c r="P117" s="49" t="s">
        <v>2590</v>
      </c>
      <c r="Q117" s="49" t="s">
        <v>2482</v>
      </c>
      <c r="R117" s="84"/>
      <c r="S117" s="85" t="s">
        <v>58</v>
      </c>
    </row>
    <row r="118">
      <c r="A118" s="46">
        <v>340.0</v>
      </c>
      <c r="B118" s="70" t="s">
        <v>1299</v>
      </c>
      <c r="C118" s="71" t="s">
        <v>1300</v>
      </c>
      <c r="D118" s="70" t="s">
        <v>1301</v>
      </c>
      <c r="E118" s="83" t="s">
        <v>62</v>
      </c>
      <c r="F118" s="83" t="s">
        <v>62</v>
      </c>
      <c r="G118" s="46" t="s">
        <v>58</v>
      </c>
      <c r="H118" s="70">
        <v>2018.0</v>
      </c>
      <c r="I118" s="49" t="s">
        <v>2997</v>
      </c>
      <c r="J118" s="49" t="s">
        <v>3206</v>
      </c>
      <c r="K118" s="49" t="s">
        <v>3207</v>
      </c>
      <c r="L118" s="49" t="s">
        <v>3208</v>
      </c>
      <c r="M118" s="49" t="s">
        <v>3134</v>
      </c>
      <c r="N118" s="49" t="s">
        <v>3209</v>
      </c>
      <c r="O118" s="49" t="s">
        <v>3210</v>
      </c>
      <c r="P118" s="58"/>
      <c r="Q118" s="58"/>
      <c r="R118" s="84"/>
      <c r="S118" s="85" t="s">
        <v>58</v>
      </c>
    </row>
    <row r="119">
      <c r="A119" s="66">
        <v>350.0</v>
      </c>
      <c r="B119" s="67" t="s">
        <v>1331</v>
      </c>
      <c r="C119" s="90" t="s">
        <v>1332</v>
      </c>
      <c r="D119" s="67" t="s">
        <v>1333</v>
      </c>
      <c r="E119" s="69" t="s">
        <v>36</v>
      </c>
      <c r="F119" s="69" t="s">
        <v>37</v>
      </c>
      <c r="G119" s="66" t="s">
        <v>58</v>
      </c>
      <c r="H119" s="67">
        <v>2019.0</v>
      </c>
      <c r="I119" s="49" t="s">
        <v>2971</v>
      </c>
      <c r="J119" s="49" t="s">
        <v>3211</v>
      </c>
      <c r="K119" s="49" t="s">
        <v>3212</v>
      </c>
      <c r="L119" s="49" t="s">
        <v>3023</v>
      </c>
      <c r="M119" s="49" t="s">
        <v>3134</v>
      </c>
      <c r="N119" s="49" t="s">
        <v>3213</v>
      </c>
      <c r="O119" s="49" t="s">
        <v>3214</v>
      </c>
      <c r="P119" s="49" t="s">
        <v>1136</v>
      </c>
      <c r="Q119" s="49" t="s">
        <v>2482</v>
      </c>
      <c r="R119" s="84"/>
      <c r="S119" s="85" t="s">
        <v>58</v>
      </c>
    </row>
    <row r="120">
      <c r="A120" s="46">
        <v>351.0</v>
      </c>
      <c r="B120" s="86" t="s">
        <v>1334</v>
      </c>
      <c r="C120" s="91" t="s">
        <v>1335</v>
      </c>
      <c r="D120" s="86" t="s">
        <v>1336</v>
      </c>
      <c r="E120" s="88" t="s">
        <v>128</v>
      </c>
      <c r="F120" s="88" t="s">
        <v>128</v>
      </c>
      <c r="G120" s="46" t="s">
        <v>38</v>
      </c>
      <c r="H120" s="86">
        <v>2018.0</v>
      </c>
      <c r="I120" s="49" t="s">
        <v>2997</v>
      </c>
      <c r="J120" s="49" t="s">
        <v>3215</v>
      </c>
      <c r="K120" s="49" t="s">
        <v>3216</v>
      </c>
      <c r="L120" s="49" t="s">
        <v>3217</v>
      </c>
      <c r="M120" s="49" t="s">
        <v>3218</v>
      </c>
      <c r="N120" s="49" t="s">
        <v>3219</v>
      </c>
      <c r="O120" s="49" t="s">
        <v>3220</v>
      </c>
      <c r="P120" s="49" t="s">
        <v>1136</v>
      </c>
      <c r="Q120" s="49" t="s">
        <v>2482</v>
      </c>
      <c r="R120" s="84"/>
      <c r="S120" s="85" t="s">
        <v>58</v>
      </c>
    </row>
    <row r="121">
      <c r="A121" s="46">
        <v>359.0</v>
      </c>
      <c r="B121" s="70" t="s">
        <v>1361</v>
      </c>
      <c r="C121" s="71" t="s">
        <v>1362</v>
      </c>
      <c r="D121" s="70" t="s">
        <v>118</v>
      </c>
      <c r="E121" s="72" t="s">
        <v>80</v>
      </c>
      <c r="F121" s="72" t="s">
        <v>81</v>
      </c>
      <c r="G121" s="46" t="s">
        <v>58</v>
      </c>
      <c r="H121" s="70">
        <v>2020.0</v>
      </c>
      <c r="I121" s="49" t="s">
        <v>3221</v>
      </c>
      <c r="J121" s="49" t="s">
        <v>3222</v>
      </c>
      <c r="K121" s="49" t="s">
        <v>3223</v>
      </c>
      <c r="L121" s="49" t="s">
        <v>3023</v>
      </c>
      <c r="M121" s="49" t="s">
        <v>3224</v>
      </c>
      <c r="N121" s="49" t="s">
        <v>3225</v>
      </c>
      <c r="O121" s="49" t="s">
        <v>3226</v>
      </c>
      <c r="P121" s="49" t="s">
        <v>1136</v>
      </c>
      <c r="Q121" s="49" t="s">
        <v>3227</v>
      </c>
      <c r="R121" s="84"/>
      <c r="S121" s="85" t="s">
        <v>58</v>
      </c>
    </row>
    <row r="122">
      <c r="A122" s="46">
        <v>362.0</v>
      </c>
      <c r="B122" s="70" t="s">
        <v>1370</v>
      </c>
      <c r="C122" s="71" t="s">
        <v>1371</v>
      </c>
      <c r="D122" s="70" t="s">
        <v>1372</v>
      </c>
      <c r="E122" s="72" t="s">
        <v>36</v>
      </c>
      <c r="F122" s="72" t="s">
        <v>37</v>
      </c>
      <c r="G122" s="46" t="s">
        <v>38</v>
      </c>
      <c r="H122" s="70">
        <v>2018.0</v>
      </c>
      <c r="I122" s="49" t="s">
        <v>3228</v>
      </c>
      <c r="J122" s="49" t="s">
        <v>3229</v>
      </c>
      <c r="K122" s="49" t="s">
        <v>3230</v>
      </c>
      <c r="L122" s="49" t="s">
        <v>3231</v>
      </c>
      <c r="M122" s="49" t="s">
        <v>3232</v>
      </c>
      <c r="N122" s="49" t="s">
        <v>3233</v>
      </c>
      <c r="O122" s="49" t="s">
        <v>3234</v>
      </c>
      <c r="P122" s="49" t="s">
        <v>2590</v>
      </c>
      <c r="Q122" s="49" t="s">
        <v>3235</v>
      </c>
      <c r="R122" s="84"/>
      <c r="S122" s="85" t="s">
        <v>58</v>
      </c>
    </row>
    <row r="123">
      <c r="A123" s="46">
        <v>371.0</v>
      </c>
      <c r="B123" s="70" t="s">
        <v>1402</v>
      </c>
      <c r="C123" s="71" t="s">
        <v>1403</v>
      </c>
      <c r="D123" s="70" t="s">
        <v>1404</v>
      </c>
      <c r="E123" s="72" t="s">
        <v>36</v>
      </c>
      <c r="F123" s="72" t="s">
        <v>37</v>
      </c>
      <c r="G123" s="46" t="s">
        <v>38</v>
      </c>
      <c r="H123" s="86">
        <v>2019.0</v>
      </c>
      <c r="I123" s="49" t="s">
        <v>2997</v>
      </c>
      <c r="J123" s="49" t="s">
        <v>3236</v>
      </c>
      <c r="K123" s="49" t="s">
        <v>3237</v>
      </c>
      <c r="L123" s="49" t="s">
        <v>3238</v>
      </c>
      <c r="M123" s="49" t="s">
        <v>3239</v>
      </c>
      <c r="N123" s="49" t="s">
        <v>3240</v>
      </c>
      <c r="O123" s="49" t="s">
        <v>3241</v>
      </c>
      <c r="P123" s="49" t="s">
        <v>2590</v>
      </c>
      <c r="Q123" s="49" t="s">
        <v>3242</v>
      </c>
      <c r="R123" s="84"/>
      <c r="S123" s="85" t="s">
        <v>58</v>
      </c>
    </row>
    <row r="124">
      <c r="A124" s="46">
        <v>373.0</v>
      </c>
      <c r="B124" s="70" t="s">
        <v>1410</v>
      </c>
      <c r="C124" s="71" t="s">
        <v>1411</v>
      </c>
      <c r="D124" s="70" t="s">
        <v>1412</v>
      </c>
      <c r="E124" s="72" t="s">
        <v>36</v>
      </c>
      <c r="F124" s="72" t="s">
        <v>37</v>
      </c>
      <c r="G124" s="46" t="s">
        <v>58</v>
      </c>
      <c r="H124" s="70">
        <v>2019.0</v>
      </c>
      <c r="I124" s="49" t="s">
        <v>3243</v>
      </c>
      <c r="J124" s="49" t="s">
        <v>3244</v>
      </c>
      <c r="K124" s="49" t="s">
        <v>3245</v>
      </c>
      <c r="L124" s="49" t="s">
        <v>3246</v>
      </c>
      <c r="M124" s="49" t="s">
        <v>3001</v>
      </c>
      <c r="N124" s="49" t="s">
        <v>3247</v>
      </c>
      <c r="O124" s="49" t="s">
        <v>3248</v>
      </c>
      <c r="P124" s="49" t="s">
        <v>2590</v>
      </c>
      <c r="Q124" s="49" t="s">
        <v>2482</v>
      </c>
      <c r="R124" s="84"/>
      <c r="S124" s="85" t="s">
        <v>58</v>
      </c>
    </row>
    <row r="125">
      <c r="A125" s="46">
        <v>376.0</v>
      </c>
      <c r="B125" s="70" t="s">
        <v>1419</v>
      </c>
      <c r="C125" s="71" t="s">
        <v>1420</v>
      </c>
      <c r="D125" s="70" t="s">
        <v>1421</v>
      </c>
      <c r="E125" s="83" t="s">
        <v>62</v>
      </c>
      <c r="F125" s="83" t="s">
        <v>62</v>
      </c>
      <c r="G125" s="46" t="s">
        <v>58</v>
      </c>
      <c r="H125" s="70">
        <v>2018.0</v>
      </c>
      <c r="I125" s="49" t="s">
        <v>2997</v>
      </c>
      <c r="J125" s="49" t="s">
        <v>3249</v>
      </c>
      <c r="K125" s="49" t="s">
        <v>3250</v>
      </c>
      <c r="L125" s="49" t="s">
        <v>3251</v>
      </c>
      <c r="M125" s="49"/>
      <c r="N125" s="49" t="s">
        <v>3252</v>
      </c>
      <c r="O125" s="49" t="s">
        <v>3253</v>
      </c>
      <c r="P125" s="49" t="s">
        <v>2590</v>
      </c>
      <c r="Q125" s="49" t="s">
        <v>3254</v>
      </c>
      <c r="R125" s="84"/>
      <c r="S125" s="85" t="s">
        <v>58</v>
      </c>
    </row>
    <row r="126">
      <c r="A126" s="46">
        <v>377.0</v>
      </c>
      <c r="B126" s="70" t="s">
        <v>1422</v>
      </c>
      <c r="C126" s="71" t="s">
        <v>1423</v>
      </c>
      <c r="D126" s="70" t="s">
        <v>1157</v>
      </c>
      <c r="E126" s="83" t="s">
        <v>128</v>
      </c>
      <c r="F126" s="83" t="s">
        <v>128</v>
      </c>
      <c r="G126" s="46" t="s">
        <v>38</v>
      </c>
      <c r="H126" s="70">
        <v>2018.0</v>
      </c>
      <c r="I126" s="49" t="s">
        <v>2997</v>
      </c>
      <c r="J126" s="49" t="s">
        <v>3255</v>
      </c>
      <c r="K126" s="49" t="s">
        <v>3256</v>
      </c>
      <c r="L126" s="49" t="s">
        <v>3257</v>
      </c>
      <c r="M126" s="49" t="s">
        <v>3134</v>
      </c>
      <c r="N126" s="49" t="s">
        <v>3258</v>
      </c>
      <c r="O126" s="49" t="s">
        <v>3259</v>
      </c>
      <c r="P126" s="49" t="s">
        <v>3260</v>
      </c>
      <c r="Q126" s="49" t="s">
        <v>3261</v>
      </c>
      <c r="R126" s="84"/>
      <c r="S126" s="85" t="s">
        <v>58</v>
      </c>
    </row>
    <row r="127">
      <c r="A127" s="46">
        <v>378.0</v>
      </c>
      <c r="B127" s="70" t="s">
        <v>1425</v>
      </c>
      <c r="C127" s="71" t="s">
        <v>1426</v>
      </c>
      <c r="D127" s="70" t="s">
        <v>1427</v>
      </c>
      <c r="E127" s="88" t="s">
        <v>128</v>
      </c>
      <c r="F127" s="88" t="s">
        <v>128</v>
      </c>
      <c r="G127" s="46" t="s">
        <v>38</v>
      </c>
      <c r="H127" s="86">
        <v>2019.0</v>
      </c>
      <c r="I127" s="49" t="s">
        <v>3243</v>
      </c>
      <c r="J127" s="49" t="s">
        <v>3262</v>
      </c>
      <c r="K127" s="49" t="s">
        <v>3263</v>
      </c>
      <c r="L127" s="49" t="s">
        <v>3264</v>
      </c>
      <c r="M127" s="49" t="s">
        <v>3265</v>
      </c>
      <c r="N127" s="49" t="s">
        <v>3135</v>
      </c>
      <c r="O127" s="49" t="s">
        <v>3266</v>
      </c>
      <c r="P127" s="49" t="s">
        <v>1136</v>
      </c>
      <c r="Q127" s="49" t="s">
        <v>2775</v>
      </c>
      <c r="R127" s="84"/>
      <c r="S127" s="85" t="s">
        <v>58</v>
      </c>
    </row>
    <row r="128">
      <c r="A128" s="46">
        <v>382.0</v>
      </c>
      <c r="B128" s="70" t="s">
        <v>1438</v>
      </c>
      <c r="C128" s="71" t="s">
        <v>1439</v>
      </c>
      <c r="D128" s="70" t="s">
        <v>1440</v>
      </c>
      <c r="E128" s="72" t="s">
        <v>36</v>
      </c>
      <c r="F128" s="72" t="s">
        <v>37</v>
      </c>
      <c r="G128" s="46" t="s">
        <v>58</v>
      </c>
      <c r="H128" s="70">
        <v>2018.0</v>
      </c>
      <c r="I128" s="49" t="s">
        <v>2997</v>
      </c>
      <c r="J128" s="49" t="s">
        <v>3267</v>
      </c>
      <c r="K128" s="49" t="s">
        <v>3268</v>
      </c>
      <c r="L128" s="49" t="s">
        <v>3269</v>
      </c>
      <c r="M128" s="49" t="s">
        <v>3270</v>
      </c>
      <c r="N128" s="49" t="s">
        <v>3271</v>
      </c>
      <c r="O128" s="49" t="s">
        <v>3272</v>
      </c>
      <c r="P128" s="49" t="s">
        <v>1136</v>
      </c>
      <c r="Q128" s="49" t="s">
        <v>3254</v>
      </c>
      <c r="R128" s="84"/>
      <c r="S128" s="85" t="s">
        <v>58</v>
      </c>
    </row>
    <row r="129">
      <c r="A129" s="46">
        <v>384.0</v>
      </c>
      <c r="B129" s="70" t="s">
        <v>1444</v>
      </c>
      <c r="C129" s="71" t="s">
        <v>1445</v>
      </c>
      <c r="D129" s="70" t="s">
        <v>1446</v>
      </c>
      <c r="E129" s="83" t="s">
        <v>128</v>
      </c>
      <c r="F129" s="83" t="s">
        <v>128</v>
      </c>
      <c r="G129" s="46" t="s">
        <v>38</v>
      </c>
      <c r="H129" s="70">
        <v>2018.0</v>
      </c>
      <c r="I129" s="49" t="s">
        <v>2449</v>
      </c>
      <c r="J129" s="49" t="s">
        <v>3273</v>
      </c>
      <c r="K129" s="49" t="s">
        <v>3274</v>
      </c>
      <c r="L129" s="49" t="s">
        <v>3275</v>
      </c>
      <c r="M129" s="49" t="s">
        <v>3276</v>
      </c>
      <c r="N129" s="49" t="s">
        <v>3277</v>
      </c>
      <c r="O129" s="49" t="s">
        <v>3278</v>
      </c>
      <c r="P129" s="49" t="s">
        <v>3279</v>
      </c>
      <c r="Q129" s="49" t="s">
        <v>3254</v>
      </c>
      <c r="R129" s="84"/>
      <c r="S129" s="85" t="s">
        <v>58</v>
      </c>
    </row>
    <row r="130">
      <c r="A130" s="46">
        <v>385.0</v>
      </c>
      <c r="B130" s="70" t="s">
        <v>1448</v>
      </c>
      <c r="C130" s="71" t="s">
        <v>1449</v>
      </c>
      <c r="D130" s="70" t="s">
        <v>1450</v>
      </c>
      <c r="E130" s="72" t="s">
        <v>36</v>
      </c>
      <c r="F130" s="72" t="s">
        <v>37</v>
      </c>
      <c r="G130" s="46" t="s">
        <v>38</v>
      </c>
      <c r="H130" s="70">
        <v>2019.0</v>
      </c>
      <c r="I130" s="49" t="s">
        <v>2997</v>
      </c>
      <c r="J130" s="49" t="s">
        <v>3280</v>
      </c>
      <c r="K130" s="49" t="s">
        <v>3281</v>
      </c>
      <c r="L130" s="49" t="s">
        <v>3282</v>
      </c>
      <c r="M130" s="49"/>
      <c r="N130" s="49" t="s">
        <v>3283</v>
      </c>
      <c r="O130" s="49" t="s">
        <v>3284</v>
      </c>
      <c r="P130" s="49" t="s">
        <v>2590</v>
      </c>
      <c r="Q130" s="49" t="s">
        <v>2482</v>
      </c>
      <c r="R130" s="84"/>
      <c r="S130" s="85" t="s">
        <v>58</v>
      </c>
    </row>
    <row r="131">
      <c r="A131" s="46">
        <v>395.0</v>
      </c>
      <c r="B131" s="70" t="s">
        <v>1483</v>
      </c>
      <c r="C131" s="71" t="s">
        <v>1484</v>
      </c>
      <c r="D131" s="70" t="s">
        <v>1485</v>
      </c>
      <c r="E131" s="88" t="s">
        <v>62</v>
      </c>
      <c r="F131" s="88" t="s">
        <v>62</v>
      </c>
      <c r="G131" s="46" t="s">
        <v>38</v>
      </c>
      <c r="H131" s="70">
        <v>2020.0</v>
      </c>
      <c r="I131" s="49" t="s">
        <v>2997</v>
      </c>
      <c r="J131" s="49" t="s">
        <v>3285</v>
      </c>
      <c r="K131" s="49" t="s">
        <v>3286</v>
      </c>
      <c r="L131" s="49" t="s">
        <v>3158</v>
      </c>
      <c r="M131" s="49" t="s">
        <v>3001</v>
      </c>
      <c r="N131" s="49" t="s">
        <v>3287</v>
      </c>
      <c r="O131" s="49" t="s">
        <v>3288</v>
      </c>
      <c r="P131" s="49" t="s">
        <v>1136</v>
      </c>
      <c r="Q131" s="49" t="s">
        <v>2978</v>
      </c>
      <c r="R131" s="84"/>
      <c r="S131" s="85" t="s">
        <v>58</v>
      </c>
    </row>
    <row r="132">
      <c r="A132" s="46">
        <v>401.0</v>
      </c>
      <c r="B132" s="70" t="s">
        <v>1503</v>
      </c>
      <c r="C132" s="71" t="s">
        <v>1504</v>
      </c>
      <c r="D132" s="70" t="s">
        <v>1505</v>
      </c>
      <c r="E132" s="72" t="s">
        <v>36</v>
      </c>
      <c r="F132" s="72" t="s">
        <v>37</v>
      </c>
      <c r="G132" s="46" t="s">
        <v>38</v>
      </c>
      <c r="H132" s="70">
        <v>2019.0</v>
      </c>
      <c r="I132" s="49" t="s">
        <v>3243</v>
      </c>
      <c r="J132" s="49" t="s">
        <v>3289</v>
      </c>
      <c r="K132" s="49" t="s">
        <v>3290</v>
      </c>
      <c r="L132" s="49" t="s">
        <v>3291</v>
      </c>
      <c r="M132" s="49" t="s">
        <v>3001</v>
      </c>
      <c r="N132" s="49" t="s">
        <v>3292</v>
      </c>
      <c r="O132" s="49" t="s">
        <v>3293</v>
      </c>
      <c r="P132" s="49" t="s">
        <v>1136</v>
      </c>
      <c r="Q132" s="49" t="s">
        <v>2482</v>
      </c>
      <c r="R132" s="84"/>
      <c r="S132" s="85" t="s">
        <v>58</v>
      </c>
    </row>
    <row r="133">
      <c r="A133" s="46">
        <v>406.0</v>
      </c>
      <c r="B133" s="70" t="s">
        <v>1521</v>
      </c>
      <c r="C133" s="71" t="s">
        <v>1522</v>
      </c>
      <c r="D133" s="70" t="s">
        <v>1523</v>
      </c>
      <c r="E133" s="72" t="s">
        <v>36</v>
      </c>
      <c r="F133" s="72" t="s">
        <v>37</v>
      </c>
      <c r="G133" s="46" t="s">
        <v>58</v>
      </c>
      <c r="H133" s="70">
        <v>2020.0</v>
      </c>
      <c r="I133" s="49" t="s">
        <v>2997</v>
      </c>
      <c r="J133" s="49" t="s">
        <v>3294</v>
      </c>
      <c r="K133" s="49" t="s">
        <v>3295</v>
      </c>
      <c r="L133" s="49" t="s">
        <v>3296</v>
      </c>
      <c r="M133" s="49" t="s">
        <v>3001</v>
      </c>
      <c r="N133" s="49" t="s">
        <v>3297</v>
      </c>
      <c r="O133" s="49" t="s">
        <v>3298</v>
      </c>
      <c r="P133" s="49" t="s">
        <v>1136</v>
      </c>
      <c r="Q133" s="49" t="s">
        <v>3254</v>
      </c>
      <c r="R133" s="84"/>
      <c r="S133" s="85" t="s">
        <v>58</v>
      </c>
    </row>
    <row r="134">
      <c r="A134" s="46">
        <v>408.0</v>
      </c>
      <c r="B134" s="70" t="s">
        <v>1528</v>
      </c>
      <c r="C134" s="71" t="s">
        <v>1529</v>
      </c>
      <c r="D134" s="70" t="s">
        <v>1530</v>
      </c>
      <c r="E134" s="83" t="s">
        <v>128</v>
      </c>
      <c r="F134" s="83" t="s">
        <v>128</v>
      </c>
      <c r="G134" s="46" t="s">
        <v>38</v>
      </c>
      <c r="H134" s="70">
        <v>2018.0</v>
      </c>
      <c r="I134" s="49" t="s">
        <v>2997</v>
      </c>
      <c r="J134" s="49" t="s">
        <v>3299</v>
      </c>
      <c r="K134" s="49" t="s">
        <v>3300</v>
      </c>
      <c r="L134" s="49" t="s">
        <v>3301</v>
      </c>
      <c r="M134" s="49" t="s">
        <v>3001</v>
      </c>
      <c r="N134" s="49" t="s">
        <v>3302</v>
      </c>
      <c r="O134" s="49" t="s">
        <v>3303</v>
      </c>
      <c r="P134" s="49" t="s">
        <v>2590</v>
      </c>
      <c r="Q134" s="49" t="s">
        <v>2482</v>
      </c>
      <c r="R134" s="84"/>
      <c r="S134" s="85" t="s">
        <v>58</v>
      </c>
    </row>
    <row r="135">
      <c r="A135" s="46">
        <v>410.0</v>
      </c>
      <c r="B135" s="70" t="s">
        <v>1534</v>
      </c>
      <c r="C135" s="71" t="s">
        <v>1535</v>
      </c>
      <c r="D135" s="70" t="s">
        <v>1536</v>
      </c>
      <c r="E135" s="88" t="s">
        <v>128</v>
      </c>
      <c r="F135" s="88" t="s">
        <v>128</v>
      </c>
      <c r="G135" s="46" t="s">
        <v>38</v>
      </c>
      <c r="H135" s="70">
        <v>2018.0</v>
      </c>
      <c r="I135" s="49" t="s">
        <v>2555</v>
      </c>
      <c r="J135" s="49" t="s">
        <v>3304</v>
      </c>
      <c r="K135" s="49" t="s">
        <v>3305</v>
      </c>
      <c r="L135" s="49" t="s">
        <v>3246</v>
      </c>
      <c r="M135" s="49" t="s">
        <v>3306</v>
      </c>
      <c r="N135" s="49" t="s">
        <v>3307</v>
      </c>
      <c r="O135" s="49" t="s">
        <v>3308</v>
      </c>
      <c r="P135" s="49" t="s">
        <v>2590</v>
      </c>
      <c r="Q135" s="49" t="s">
        <v>2978</v>
      </c>
      <c r="R135" s="84"/>
      <c r="S135" s="85" t="s">
        <v>58</v>
      </c>
    </row>
    <row r="136">
      <c r="A136" s="46">
        <v>414.0</v>
      </c>
      <c r="B136" s="70" t="s">
        <v>1548</v>
      </c>
      <c r="C136" s="71" t="s">
        <v>1549</v>
      </c>
      <c r="D136" s="70" t="s">
        <v>1550</v>
      </c>
      <c r="E136" s="83" t="s">
        <v>128</v>
      </c>
      <c r="F136" s="83" t="s">
        <v>128</v>
      </c>
      <c r="G136" s="46" t="s">
        <v>38</v>
      </c>
      <c r="H136" s="86">
        <v>2020.0</v>
      </c>
      <c r="I136" s="49" t="s">
        <v>2997</v>
      </c>
      <c r="J136" s="49" t="s">
        <v>3309</v>
      </c>
      <c r="K136" s="49" t="s">
        <v>3310</v>
      </c>
      <c r="L136" s="49" t="s">
        <v>3311</v>
      </c>
      <c r="M136" s="49" t="s">
        <v>3306</v>
      </c>
      <c r="N136" s="49" t="s">
        <v>3312</v>
      </c>
      <c r="O136" s="49" t="s">
        <v>3313</v>
      </c>
      <c r="P136" s="49" t="s">
        <v>1136</v>
      </c>
      <c r="Q136" s="49" t="s">
        <v>2482</v>
      </c>
      <c r="R136" s="84"/>
      <c r="S136" s="85" t="s">
        <v>58</v>
      </c>
    </row>
    <row r="137">
      <c r="A137" s="46">
        <v>415.0</v>
      </c>
      <c r="B137" s="70" t="s">
        <v>1551</v>
      </c>
      <c r="C137" s="71" t="s">
        <v>1552</v>
      </c>
      <c r="D137" s="70" t="s">
        <v>199</v>
      </c>
      <c r="E137" s="83" t="s">
        <v>62</v>
      </c>
      <c r="F137" s="83" t="s">
        <v>62</v>
      </c>
      <c r="G137" s="46" t="s">
        <v>58</v>
      </c>
      <c r="H137" s="70">
        <v>2019.0</v>
      </c>
      <c r="I137" s="49" t="s">
        <v>3243</v>
      </c>
      <c r="J137" s="49" t="s">
        <v>3314</v>
      </c>
      <c r="K137" s="49" t="s">
        <v>3315</v>
      </c>
      <c r="L137" s="49" t="s">
        <v>3311</v>
      </c>
      <c r="M137" s="49" t="s">
        <v>3316</v>
      </c>
      <c r="N137" s="49" t="s">
        <v>3317</v>
      </c>
      <c r="O137" s="92" t="s">
        <v>3318</v>
      </c>
      <c r="P137" s="49" t="s">
        <v>1136</v>
      </c>
      <c r="Q137" s="49" t="s">
        <v>2482</v>
      </c>
      <c r="R137" s="84"/>
      <c r="S137" s="85" t="s">
        <v>58</v>
      </c>
    </row>
    <row r="138">
      <c r="A138" s="46">
        <v>418.0</v>
      </c>
      <c r="B138" s="70" t="s">
        <v>1559</v>
      </c>
      <c r="C138" s="71" t="s">
        <v>1560</v>
      </c>
      <c r="D138" s="70" t="s">
        <v>1561</v>
      </c>
      <c r="E138" s="72" t="s">
        <v>36</v>
      </c>
      <c r="F138" s="72" t="s">
        <v>37</v>
      </c>
      <c r="G138" s="46" t="s">
        <v>58</v>
      </c>
      <c r="H138" s="70">
        <v>2019.0</v>
      </c>
      <c r="I138" s="49" t="s">
        <v>3319</v>
      </c>
      <c r="J138" s="49" t="s">
        <v>3320</v>
      </c>
      <c r="K138" s="49" t="s">
        <v>3321</v>
      </c>
      <c r="L138" s="49" t="s">
        <v>3322</v>
      </c>
      <c r="M138" s="49" t="s">
        <v>3323</v>
      </c>
      <c r="N138" s="49" t="s">
        <v>3324</v>
      </c>
      <c r="O138" s="49" t="s">
        <v>3325</v>
      </c>
      <c r="P138" s="49" t="s">
        <v>2590</v>
      </c>
      <c r="Q138" s="49" t="s">
        <v>3254</v>
      </c>
      <c r="R138" s="84"/>
      <c r="S138" s="85" t="s">
        <v>58</v>
      </c>
    </row>
    <row r="139">
      <c r="A139" s="46">
        <v>419.0</v>
      </c>
      <c r="B139" s="70" t="s">
        <v>1563</v>
      </c>
      <c r="C139" s="71" t="s">
        <v>1564</v>
      </c>
      <c r="D139" s="70" t="s">
        <v>1565</v>
      </c>
      <c r="E139" s="89" t="s">
        <v>1566</v>
      </c>
      <c r="F139" s="89" t="s">
        <v>1566</v>
      </c>
      <c r="G139" s="46" t="s">
        <v>38</v>
      </c>
      <c r="H139" s="70">
        <v>2020.0</v>
      </c>
      <c r="I139" s="49" t="s">
        <v>2997</v>
      </c>
      <c r="J139" s="49" t="s">
        <v>3326</v>
      </c>
      <c r="K139" s="49" t="s">
        <v>3327</v>
      </c>
      <c r="L139" s="49" t="s">
        <v>3246</v>
      </c>
      <c r="M139" s="49" t="s">
        <v>3328</v>
      </c>
      <c r="N139" s="49" t="s">
        <v>3329</v>
      </c>
      <c r="O139" s="49" t="s">
        <v>3330</v>
      </c>
      <c r="P139" s="49" t="s">
        <v>1136</v>
      </c>
      <c r="Q139" s="49" t="s">
        <v>2482</v>
      </c>
      <c r="R139" s="84"/>
      <c r="S139" s="85" t="s">
        <v>58</v>
      </c>
    </row>
    <row r="140">
      <c r="A140" s="46">
        <v>420.0</v>
      </c>
      <c r="B140" s="70" t="s">
        <v>1567</v>
      </c>
      <c r="C140" s="71" t="s">
        <v>1568</v>
      </c>
      <c r="D140" s="70" t="s">
        <v>1569</v>
      </c>
      <c r="E140" s="83" t="s">
        <v>128</v>
      </c>
      <c r="F140" s="83" t="s">
        <v>128</v>
      </c>
      <c r="G140" s="46" t="s">
        <v>38</v>
      </c>
      <c r="H140" s="70">
        <v>2020.0</v>
      </c>
      <c r="I140" s="49" t="s">
        <v>2997</v>
      </c>
      <c r="J140" s="49" t="s">
        <v>3331</v>
      </c>
      <c r="K140" s="49" t="s">
        <v>3332</v>
      </c>
      <c r="L140" s="49" t="s">
        <v>3217</v>
      </c>
      <c r="M140" s="49" t="s">
        <v>3001</v>
      </c>
      <c r="N140" s="49" t="s">
        <v>3297</v>
      </c>
      <c r="O140" s="49" t="s">
        <v>3333</v>
      </c>
      <c r="P140" s="49" t="s">
        <v>1136</v>
      </c>
      <c r="Q140" s="49" t="s">
        <v>3254</v>
      </c>
      <c r="R140" s="84"/>
      <c r="S140" s="85" t="s">
        <v>58</v>
      </c>
    </row>
    <row r="141">
      <c r="A141" s="93">
        <v>422.0</v>
      </c>
      <c r="B141" s="58" t="s">
        <v>1573</v>
      </c>
      <c r="C141" s="48" t="s">
        <v>1574</v>
      </c>
      <c r="D141" s="58" t="s">
        <v>1575</v>
      </c>
      <c r="E141" s="59" t="s">
        <v>36</v>
      </c>
      <c r="F141" s="59" t="s">
        <v>37</v>
      </c>
      <c r="G141" s="94" t="s">
        <v>58</v>
      </c>
      <c r="H141" s="58">
        <v>2018.0</v>
      </c>
      <c r="I141" s="49" t="s">
        <v>3334</v>
      </c>
      <c r="J141" s="49" t="s">
        <v>3335</v>
      </c>
      <c r="K141" s="49" t="s">
        <v>3336</v>
      </c>
      <c r="L141" s="49" t="s">
        <v>3337</v>
      </c>
      <c r="M141" s="49" t="s">
        <v>2487</v>
      </c>
      <c r="N141" s="49" t="s">
        <v>3338</v>
      </c>
      <c r="O141" s="49" t="s">
        <v>3339</v>
      </c>
      <c r="P141" s="49" t="s">
        <v>1070</v>
      </c>
      <c r="Q141" s="49" t="s">
        <v>2775</v>
      </c>
      <c r="R141" s="50" t="s">
        <v>3340</v>
      </c>
      <c r="S141" s="85" t="s">
        <v>412</v>
      </c>
    </row>
    <row r="142">
      <c r="A142" s="93">
        <v>426.0</v>
      </c>
      <c r="B142" s="58" t="s">
        <v>1588</v>
      </c>
      <c r="C142" s="54" t="s">
        <v>3341</v>
      </c>
      <c r="D142" s="58" t="s">
        <v>1590</v>
      </c>
      <c r="E142" s="58" t="s">
        <v>62</v>
      </c>
      <c r="F142" s="58" t="s">
        <v>62</v>
      </c>
      <c r="G142" s="93" t="s">
        <v>38</v>
      </c>
      <c r="H142" s="58">
        <v>2018.0</v>
      </c>
      <c r="I142" s="49" t="s">
        <v>2372</v>
      </c>
      <c r="J142" s="49" t="s">
        <v>3342</v>
      </c>
      <c r="K142" s="49" t="s">
        <v>3343</v>
      </c>
      <c r="L142" s="59" t="s">
        <v>3344</v>
      </c>
      <c r="M142" s="49" t="s">
        <v>3345</v>
      </c>
      <c r="N142" s="49" t="s">
        <v>3346</v>
      </c>
      <c r="O142" s="49" t="s">
        <v>3347</v>
      </c>
      <c r="P142" s="49" t="s">
        <v>3348</v>
      </c>
      <c r="Q142" s="49" t="s">
        <v>2775</v>
      </c>
      <c r="R142" s="84"/>
      <c r="S142" s="85" t="s">
        <v>412</v>
      </c>
    </row>
    <row r="143">
      <c r="A143" s="93">
        <v>427.0</v>
      </c>
      <c r="B143" s="58" t="s">
        <v>1592</v>
      </c>
      <c r="C143" s="54" t="s">
        <v>3349</v>
      </c>
      <c r="D143" s="58" t="s">
        <v>1594</v>
      </c>
      <c r="E143" s="58" t="s">
        <v>62</v>
      </c>
      <c r="F143" s="58" t="s">
        <v>62</v>
      </c>
      <c r="G143" s="93" t="s">
        <v>38</v>
      </c>
      <c r="H143" s="58">
        <v>2019.0</v>
      </c>
      <c r="I143" s="49" t="s">
        <v>2519</v>
      </c>
      <c r="J143" s="49" t="s">
        <v>3350</v>
      </c>
      <c r="K143" s="49" t="s">
        <v>3351</v>
      </c>
      <c r="L143" s="49" t="s">
        <v>3352</v>
      </c>
      <c r="M143" s="49" t="s">
        <v>2487</v>
      </c>
      <c r="N143" s="49" t="s">
        <v>3353</v>
      </c>
      <c r="O143" s="49" t="s">
        <v>3354</v>
      </c>
      <c r="P143" s="49" t="s">
        <v>1070</v>
      </c>
      <c r="Q143" s="49" t="s">
        <v>2775</v>
      </c>
      <c r="R143" s="84"/>
      <c r="S143" s="85" t="s">
        <v>412</v>
      </c>
    </row>
    <row r="144">
      <c r="A144" s="93">
        <v>428.0</v>
      </c>
      <c r="B144" s="58" t="s">
        <v>1596</v>
      </c>
      <c r="C144" s="54" t="s">
        <v>3355</v>
      </c>
      <c r="D144" s="59" t="s">
        <v>1598</v>
      </c>
      <c r="E144" s="59" t="s">
        <v>36</v>
      </c>
      <c r="F144" s="59" t="s">
        <v>37</v>
      </c>
      <c r="G144" s="94" t="s">
        <v>58</v>
      </c>
      <c r="H144" s="58">
        <v>2018.0</v>
      </c>
      <c r="I144" s="49" t="s">
        <v>2519</v>
      </c>
      <c r="J144" s="49" t="s">
        <v>3356</v>
      </c>
      <c r="K144" s="49" t="s">
        <v>3357</v>
      </c>
      <c r="L144" s="49" t="s">
        <v>3358</v>
      </c>
      <c r="M144" s="49" t="s">
        <v>3359</v>
      </c>
      <c r="N144" s="49" t="s">
        <v>3360</v>
      </c>
      <c r="O144" s="49" t="s">
        <v>3361</v>
      </c>
      <c r="P144" s="49" t="s">
        <v>1070</v>
      </c>
      <c r="Q144" s="49" t="s">
        <v>2775</v>
      </c>
      <c r="R144" s="84"/>
      <c r="S144" s="85" t="s">
        <v>412</v>
      </c>
    </row>
    <row r="145">
      <c r="A145" s="93">
        <v>429.0</v>
      </c>
      <c r="B145" s="58" t="s">
        <v>1600</v>
      </c>
      <c r="C145" s="54" t="s">
        <v>3362</v>
      </c>
      <c r="D145" s="59" t="s">
        <v>1602</v>
      </c>
      <c r="E145" s="59" t="s">
        <v>36</v>
      </c>
      <c r="F145" s="59" t="s">
        <v>37</v>
      </c>
      <c r="G145" s="94" t="s">
        <v>58</v>
      </c>
      <c r="H145" s="58">
        <v>2018.0</v>
      </c>
      <c r="I145" s="49" t="s">
        <v>2971</v>
      </c>
      <c r="J145" s="49" t="s">
        <v>3363</v>
      </c>
      <c r="K145" s="49" t="s">
        <v>3364</v>
      </c>
      <c r="L145" s="49" t="s">
        <v>3365</v>
      </c>
      <c r="M145" s="49" t="s">
        <v>3366</v>
      </c>
      <c r="N145" s="49" t="s">
        <v>3367</v>
      </c>
      <c r="O145" s="49" t="s">
        <v>3368</v>
      </c>
      <c r="P145" s="49"/>
      <c r="Q145" s="49" t="s">
        <v>2775</v>
      </c>
      <c r="R145" s="84"/>
      <c r="S145" s="85" t="s">
        <v>412</v>
      </c>
    </row>
    <row r="146">
      <c r="A146" s="93">
        <v>431.0</v>
      </c>
      <c r="B146" s="58" t="s">
        <v>1606</v>
      </c>
      <c r="C146" s="54" t="s">
        <v>3369</v>
      </c>
      <c r="D146" s="58" t="s">
        <v>1608</v>
      </c>
      <c r="E146" s="59" t="s">
        <v>1609</v>
      </c>
      <c r="F146" s="59" t="s">
        <v>1610</v>
      </c>
      <c r="G146" s="94" t="s">
        <v>58</v>
      </c>
      <c r="H146" s="58">
        <v>2019.0</v>
      </c>
      <c r="I146" s="49" t="s">
        <v>2519</v>
      </c>
      <c r="J146" s="49" t="s">
        <v>3370</v>
      </c>
      <c r="K146" s="49" t="s">
        <v>3371</v>
      </c>
      <c r="L146" s="49" t="s">
        <v>3372</v>
      </c>
      <c r="M146" s="49" t="s">
        <v>2487</v>
      </c>
      <c r="N146" s="49" t="s">
        <v>3373</v>
      </c>
      <c r="O146" s="49" t="s">
        <v>3374</v>
      </c>
      <c r="P146" s="49" t="s">
        <v>3375</v>
      </c>
      <c r="Q146" s="49" t="s">
        <v>2775</v>
      </c>
      <c r="R146" s="84"/>
      <c r="S146" s="85" t="s">
        <v>412</v>
      </c>
    </row>
    <row r="147">
      <c r="A147" s="93">
        <v>433.0</v>
      </c>
      <c r="B147" s="58" t="s">
        <v>1615</v>
      </c>
      <c r="C147" s="54" t="s">
        <v>3376</v>
      </c>
      <c r="D147" s="59" t="s">
        <v>1617</v>
      </c>
      <c r="E147" s="58" t="s">
        <v>62</v>
      </c>
      <c r="F147" s="58" t="s">
        <v>62</v>
      </c>
      <c r="G147" s="94" t="s">
        <v>38</v>
      </c>
      <c r="H147" s="58">
        <v>2019.0</v>
      </c>
      <c r="I147" s="49" t="s">
        <v>2898</v>
      </c>
      <c r="J147" s="49" t="s">
        <v>3377</v>
      </c>
      <c r="K147" s="49" t="s">
        <v>3378</v>
      </c>
      <c r="L147" s="49" t="s">
        <v>3379</v>
      </c>
      <c r="M147" s="49" t="s">
        <v>2487</v>
      </c>
      <c r="N147" s="49" t="s">
        <v>3380</v>
      </c>
      <c r="O147" s="49" t="s">
        <v>3381</v>
      </c>
      <c r="P147" s="49" t="s">
        <v>1070</v>
      </c>
      <c r="Q147" s="49" t="s">
        <v>3382</v>
      </c>
      <c r="R147" s="84"/>
      <c r="S147" s="85" t="s">
        <v>412</v>
      </c>
    </row>
    <row r="148">
      <c r="A148" s="93">
        <v>436.0</v>
      </c>
      <c r="B148" s="58" t="s">
        <v>1626</v>
      </c>
      <c r="C148" s="54" t="s">
        <v>3383</v>
      </c>
      <c r="D148" s="58" t="s">
        <v>1628</v>
      </c>
      <c r="E148" s="59" t="s">
        <v>1629</v>
      </c>
      <c r="F148" s="59" t="s">
        <v>1630</v>
      </c>
      <c r="G148" s="94" t="s">
        <v>38</v>
      </c>
      <c r="H148" s="58">
        <v>2019.0</v>
      </c>
      <c r="I148" s="49" t="s">
        <v>3384</v>
      </c>
      <c r="J148" s="49" t="s">
        <v>3385</v>
      </c>
      <c r="K148" s="49" t="s">
        <v>3386</v>
      </c>
      <c r="L148" s="49" t="s">
        <v>3387</v>
      </c>
      <c r="M148" s="49" t="s">
        <v>3388</v>
      </c>
      <c r="N148" s="49" t="s">
        <v>3389</v>
      </c>
      <c r="O148" s="49" t="s">
        <v>3390</v>
      </c>
      <c r="P148" s="49" t="s">
        <v>2369</v>
      </c>
      <c r="Q148" s="49" t="s">
        <v>2775</v>
      </c>
      <c r="R148" s="50" t="s">
        <v>3391</v>
      </c>
      <c r="S148" s="85" t="s">
        <v>412</v>
      </c>
    </row>
    <row r="149">
      <c r="A149" s="93">
        <v>437.0</v>
      </c>
      <c r="B149" s="58" t="s">
        <v>1631</v>
      </c>
      <c r="C149" s="54" t="s">
        <v>3392</v>
      </c>
      <c r="D149" s="58" t="s">
        <v>1633</v>
      </c>
      <c r="E149" s="58" t="s">
        <v>128</v>
      </c>
      <c r="F149" s="58" t="s">
        <v>128</v>
      </c>
      <c r="G149" s="95" t="s">
        <v>38</v>
      </c>
      <c r="H149" s="58">
        <v>2018.0</v>
      </c>
      <c r="I149" s="49" t="s">
        <v>2898</v>
      </c>
      <c r="J149" s="49" t="s">
        <v>3393</v>
      </c>
      <c r="K149" s="49" t="s">
        <v>3394</v>
      </c>
      <c r="L149" s="49" t="s">
        <v>3395</v>
      </c>
      <c r="M149" s="49" t="s">
        <v>2487</v>
      </c>
      <c r="N149" s="49" t="s">
        <v>3396</v>
      </c>
      <c r="O149" s="49" t="s">
        <v>3397</v>
      </c>
      <c r="P149" s="49" t="s">
        <v>1070</v>
      </c>
      <c r="Q149" s="49" t="s">
        <v>2775</v>
      </c>
      <c r="R149" s="50"/>
      <c r="S149" s="85" t="s">
        <v>412</v>
      </c>
    </row>
    <row r="150">
      <c r="A150" s="93">
        <v>446.0</v>
      </c>
      <c r="B150" s="58" t="s">
        <v>1663</v>
      </c>
      <c r="C150" s="54" t="s">
        <v>3398</v>
      </c>
      <c r="D150" s="59" t="s">
        <v>1665</v>
      </c>
      <c r="E150" s="59" t="s">
        <v>1666</v>
      </c>
      <c r="F150" s="59" t="s">
        <v>1667</v>
      </c>
      <c r="G150" s="94" t="s">
        <v>38</v>
      </c>
      <c r="H150" s="58">
        <v>2019.0</v>
      </c>
      <c r="I150" s="49" t="s">
        <v>2372</v>
      </c>
      <c r="J150" s="49" t="s">
        <v>3399</v>
      </c>
      <c r="K150" s="49" t="s">
        <v>3400</v>
      </c>
      <c r="L150" s="49" t="s">
        <v>3401</v>
      </c>
      <c r="M150" s="49" t="s">
        <v>3402</v>
      </c>
      <c r="N150" s="49" t="s">
        <v>3403</v>
      </c>
      <c r="O150" s="49" t="s">
        <v>3404</v>
      </c>
      <c r="P150" s="49" t="s">
        <v>1070</v>
      </c>
      <c r="Q150" s="49" t="s">
        <v>2775</v>
      </c>
      <c r="R150" s="50"/>
      <c r="S150" s="85" t="s">
        <v>412</v>
      </c>
    </row>
    <row r="151">
      <c r="A151" s="93">
        <v>448.0</v>
      </c>
      <c r="B151" s="70" t="s">
        <v>1672</v>
      </c>
      <c r="C151" s="71" t="s">
        <v>1673</v>
      </c>
      <c r="D151" s="70" t="s">
        <v>1674</v>
      </c>
      <c r="E151" s="83" t="s">
        <v>62</v>
      </c>
      <c r="F151" s="83" t="s">
        <v>62</v>
      </c>
      <c r="G151" s="46" t="s">
        <v>58</v>
      </c>
      <c r="H151" s="70">
        <v>2019.0</v>
      </c>
      <c r="I151" s="49" t="s">
        <v>3384</v>
      </c>
      <c r="J151" s="49" t="s">
        <v>3405</v>
      </c>
      <c r="K151" s="49" t="s">
        <v>3406</v>
      </c>
      <c r="L151" s="49" t="s">
        <v>3407</v>
      </c>
      <c r="M151" s="49" t="s">
        <v>3408</v>
      </c>
      <c r="N151" s="49"/>
      <c r="O151" s="49" t="s">
        <v>3409</v>
      </c>
      <c r="P151" s="49" t="s">
        <v>3410</v>
      </c>
      <c r="Q151" s="49" t="s">
        <v>2775</v>
      </c>
      <c r="R151" s="50"/>
      <c r="S151" s="85" t="s">
        <v>412</v>
      </c>
    </row>
    <row r="152">
      <c r="A152" s="93">
        <v>450.0</v>
      </c>
      <c r="B152" s="58" t="s">
        <v>1680</v>
      </c>
      <c r="C152" s="96" t="s">
        <v>1681</v>
      </c>
      <c r="D152" s="59" t="s">
        <v>1682</v>
      </c>
      <c r="E152" s="59" t="s">
        <v>36</v>
      </c>
      <c r="F152" s="59" t="s">
        <v>37</v>
      </c>
      <c r="G152" s="94" t="s">
        <v>38</v>
      </c>
      <c r="H152" s="58">
        <v>2019.0</v>
      </c>
      <c r="I152" s="49" t="s">
        <v>3411</v>
      </c>
      <c r="J152" s="49" t="s">
        <v>3412</v>
      </c>
      <c r="K152" s="49" t="s">
        <v>3413</v>
      </c>
      <c r="L152" s="49" t="s">
        <v>3414</v>
      </c>
      <c r="M152" s="49" t="s">
        <v>3415</v>
      </c>
      <c r="N152" s="49" t="s">
        <v>3416</v>
      </c>
      <c r="O152" s="49" t="s">
        <v>3417</v>
      </c>
      <c r="P152" s="49" t="s">
        <v>2856</v>
      </c>
      <c r="Q152" s="63" t="s">
        <v>3418</v>
      </c>
      <c r="R152" s="50"/>
      <c r="S152" s="85" t="s">
        <v>412</v>
      </c>
    </row>
    <row r="153">
      <c r="A153" s="93">
        <v>455.0</v>
      </c>
      <c r="B153" s="58" t="s">
        <v>1697</v>
      </c>
      <c r="C153" s="48" t="s">
        <v>1698</v>
      </c>
      <c r="D153" s="58" t="s">
        <v>1699</v>
      </c>
      <c r="E153" s="59" t="s">
        <v>36</v>
      </c>
      <c r="F153" s="59" t="s">
        <v>37</v>
      </c>
      <c r="G153" s="94" t="s">
        <v>38</v>
      </c>
      <c r="H153" s="58">
        <v>2018.0</v>
      </c>
      <c r="I153" s="49" t="s">
        <v>2372</v>
      </c>
      <c r="J153" s="49" t="s">
        <v>3419</v>
      </c>
      <c r="K153" s="49" t="s">
        <v>3420</v>
      </c>
      <c r="L153" s="49" t="s">
        <v>3421</v>
      </c>
      <c r="M153" s="49" t="s">
        <v>2797</v>
      </c>
      <c r="N153" s="49" t="s">
        <v>3422</v>
      </c>
      <c r="O153" s="49" t="s">
        <v>3423</v>
      </c>
      <c r="P153" s="49" t="s">
        <v>2757</v>
      </c>
      <c r="Q153" s="49" t="s">
        <v>2775</v>
      </c>
      <c r="R153" s="50"/>
      <c r="S153" s="85" t="s">
        <v>412</v>
      </c>
    </row>
    <row r="154">
      <c r="A154" s="93">
        <v>456.0</v>
      </c>
      <c r="B154" s="58" t="s">
        <v>1701</v>
      </c>
      <c r="C154" s="54" t="s">
        <v>3424</v>
      </c>
      <c r="D154" s="58" t="s">
        <v>1703</v>
      </c>
      <c r="E154" s="59" t="s">
        <v>36</v>
      </c>
      <c r="F154" s="59" t="s">
        <v>37</v>
      </c>
      <c r="G154" s="94" t="s">
        <v>58</v>
      </c>
      <c r="H154" s="58">
        <v>2019.0</v>
      </c>
      <c r="I154" s="49" t="s">
        <v>2362</v>
      </c>
      <c r="J154" s="49" t="s">
        <v>3425</v>
      </c>
      <c r="K154" s="49" t="s">
        <v>3426</v>
      </c>
      <c r="L154" s="49" t="s">
        <v>3427</v>
      </c>
      <c r="M154" s="49" t="s">
        <v>2797</v>
      </c>
      <c r="N154" s="49" t="s">
        <v>3428</v>
      </c>
      <c r="O154" s="63" t="s">
        <v>3429</v>
      </c>
      <c r="P154" s="49" t="s">
        <v>1070</v>
      </c>
      <c r="Q154" s="49" t="s">
        <v>2775</v>
      </c>
      <c r="R154" s="50" t="s">
        <v>3430</v>
      </c>
      <c r="S154" s="85" t="s">
        <v>412</v>
      </c>
    </row>
    <row r="155">
      <c r="A155" s="93">
        <v>459.0</v>
      </c>
      <c r="B155" s="58" t="s">
        <v>1711</v>
      </c>
      <c r="C155" s="54" t="s">
        <v>3431</v>
      </c>
      <c r="D155" s="58" t="s">
        <v>1713</v>
      </c>
      <c r="E155" s="58" t="s">
        <v>36</v>
      </c>
      <c r="F155" s="58" t="s">
        <v>37</v>
      </c>
      <c r="G155" s="95" t="s">
        <v>38</v>
      </c>
      <c r="H155" s="58">
        <v>2020.0</v>
      </c>
      <c r="I155" s="49" t="s">
        <v>2372</v>
      </c>
      <c r="J155" s="49" t="s">
        <v>3432</v>
      </c>
      <c r="K155" s="49" t="s">
        <v>3433</v>
      </c>
      <c r="L155" s="49" t="s">
        <v>3434</v>
      </c>
      <c r="M155" s="49" t="s">
        <v>2797</v>
      </c>
      <c r="N155" s="49" t="s">
        <v>3435</v>
      </c>
      <c r="O155" s="49" t="s">
        <v>3436</v>
      </c>
      <c r="P155" s="49" t="s">
        <v>3437</v>
      </c>
      <c r="Q155" s="49" t="s">
        <v>2775</v>
      </c>
      <c r="R155" s="50"/>
      <c r="S155" s="85" t="s">
        <v>412</v>
      </c>
    </row>
    <row r="156">
      <c r="A156" s="93">
        <v>460.0</v>
      </c>
      <c r="B156" s="58" t="s">
        <v>1715</v>
      </c>
      <c r="C156" s="54" t="s">
        <v>3438</v>
      </c>
      <c r="D156" s="58" t="s">
        <v>1717</v>
      </c>
      <c r="E156" s="58" t="s">
        <v>62</v>
      </c>
      <c r="F156" s="58" t="s">
        <v>62</v>
      </c>
      <c r="G156" s="94" t="s">
        <v>38</v>
      </c>
      <c r="H156" s="59">
        <v>2021.0</v>
      </c>
      <c r="I156" s="49" t="s">
        <v>3411</v>
      </c>
      <c r="J156" s="49" t="s">
        <v>3439</v>
      </c>
      <c r="K156" s="49" t="s">
        <v>3440</v>
      </c>
      <c r="L156" s="49" t="s">
        <v>3441</v>
      </c>
      <c r="M156" s="49" t="s">
        <v>2997</v>
      </c>
      <c r="N156" s="49" t="s">
        <v>3442</v>
      </c>
      <c r="O156" s="49" t="s">
        <v>3443</v>
      </c>
      <c r="P156" s="49" t="s">
        <v>3444</v>
      </c>
      <c r="Q156" s="49" t="s">
        <v>2766</v>
      </c>
      <c r="R156" s="50"/>
      <c r="S156" s="85" t="s">
        <v>412</v>
      </c>
    </row>
    <row r="157">
      <c r="A157" s="93">
        <v>461.0</v>
      </c>
      <c r="B157" s="58" t="s">
        <v>1719</v>
      </c>
      <c r="C157" s="54" t="s">
        <v>3445</v>
      </c>
      <c r="D157" s="58" t="s">
        <v>1721</v>
      </c>
      <c r="E157" s="59" t="s">
        <v>80</v>
      </c>
      <c r="F157" s="59" t="s">
        <v>81</v>
      </c>
      <c r="G157" s="94" t="s">
        <v>58</v>
      </c>
      <c r="H157" s="58">
        <v>2019.0</v>
      </c>
      <c r="I157" s="49" t="s">
        <v>2610</v>
      </c>
      <c r="J157" s="49" t="s">
        <v>3446</v>
      </c>
      <c r="K157" s="49" t="s">
        <v>3447</v>
      </c>
      <c r="L157" s="49" t="s">
        <v>3448</v>
      </c>
      <c r="M157" s="49" t="s">
        <v>3449</v>
      </c>
      <c r="N157" s="49" t="s">
        <v>3450</v>
      </c>
      <c r="O157" s="49" t="s">
        <v>3451</v>
      </c>
      <c r="P157" s="49" t="s">
        <v>1070</v>
      </c>
      <c r="Q157" s="49" t="s">
        <v>2775</v>
      </c>
      <c r="R157" s="50"/>
      <c r="S157" s="85" t="s">
        <v>412</v>
      </c>
    </row>
    <row r="158">
      <c r="A158" s="93">
        <v>466.0</v>
      </c>
      <c r="B158" s="58" t="s">
        <v>1737</v>
      </c>
      <c r="C158" s="54" t="s">
        <v>3452</v>
      </c>
      <c r="D158" s="59" t="s">
        <v>1739</v>
      </c>
      <c r="E158" s="58" t="s">
        <v>62</v>
      </c>
      <c r="F158" s="58" t="s">
        <v>62</v>
      </c>
      <c r="G158" s="94" t="s">
        <v>38</v>
      </c>
      <c r="H158" s="58">
        <v>2018.0</v>
      </c>
      <c r="I158" s="49" t="s">
        <v>2449</v>
      </c>
      <c r="J158" s="49" t="s">
        <v>3453</v>
      </c>
      <c r="K158" s="49" t="s">
        <v>3454</v>
      </c>
      <c r="L158" s="49" t="s">
        <v>3455</v>
      </c>
      <c r="M158" s="49" t="s">
        <v>3456</v>
      </c>
      <c r="N158" s="49" t="s">
        <v>3457</v>
      </c>
      <c r="O158" s="49" t="s">
        <v>3458</v>
      </c>
      <c r="P158" s="49" t="s">
        <v>1070</v>
      </c>
      <c r="Q158" s="49" t="s">
        <v>3459</v>
      </c>
      <c r="R158" s="50"/>
      <c r="S158" s="85" t="s">
        <v>412</v>
      </c>
    </row>
    <row r="159">
      <c r="A159" s="93">
        <v>470.0</v>
      </c>
      <c r="B159" s="58" t="s">
        <v>1751</v>
      </c>
      <c r="C159" s="52" t="s">
        <v>3460</v>
      </c>
      <c r="D159" s="58" t="s">
        <v>1753</v>
      </c>
      <c r="E159" s="59" t="s">
        <v>1754</v>
      </c>
      <c r="F159" s="49" t="s">
        <v>1175</v>
      </c>
      <c r="G159" s="94" t="s">
        <v>38</v>
      </c>
      <c r="H159" s="58">
        <v>2018.0</v>
      </c>
      <c r="I159" s="49" t="s">
        <v>3461</v>
      </c>
      <c r="J159" s="49" t="s">
        <v>3462</v>
      </c>
      <c r="K159" s="49" t="s">
        <v>3463</v>
      </c>
      <c r="L159" s="49" t="s">
        <v>3464</v>
      </c>
      <c r="M159" s="49" t="s">
        <v>3465</v>
      </c>
      <c r="N159" s="49" t="s">
        <v>3466</v>
      </c>
      <c r="O159" s="49" t="s">
        <v>3467</v>
      </c>
      <c r="P159" s="49" t="s">
        <v>2369</v>
      </c>
      <c r="Q159" s="49" t="s">
        <v>3468</v>
      </c>
      <c r="R159" s="50"/>
      <c r="S159" s="85" t="s">
        <v>412</v>
      </c>
    </row>
    <row r="160">
      <c r="A160" s="93">
        <v>473.0</v>
      </c>
      <c r="B160" s="58" t="s">
        <v>1765</v>
      </c>
      <c r="C160" s="54" t="s">
        <v>3469</v>
      </c>
      <c r="D160" s="58" t="s">
        <v>340</v>
      </c>
      <c r="E160" s="59" t="s">
        <v>1767</v>
      </c>
      <c r="F160" s="59" t="s">
        <v>1768</v>
      </c>
      <c r="G160" s="94" t="s">
        <v>38</v>
      </c>
      <c r="H160" s="58">
        <v>2019.0</v>
      </c>
      <c r="I160" s="49" t="s">
        <v>3461</v>
      </c>
      <c r="J160" s="49" t="s">
        <v>3470</v>
      </c>
      <c r="K160" s="49" t="s">
        <v>3471</v>
      </c>
      <c r="L160" s="49" t="s">
        <v>3464</v>
      </c>
      <c r="M160" s="49" t="s">
        <v>2479</v>
      </c>
      <c r="N160" s="49" t="s">
        <v>3472</v>
      </c>
      <c r="O160" s="49" t="s">
        <v>3473</v>
      </c>
      <c r="P160" s="49" t="s">
        <v>1070</v>
      </c>
      <c r="Q160" s="49" t="s">
        <v>2775</v>
      </c>
      <c r="R160" s="50" t="s">
        <v>3474</v>
      </c>
      <c r="S160" s="85" t="s">
        <v>412</v>
      </c>
    </row>
    <row r="161">
      <c r="A161" s="93">
        <v>476.0</v>
      </c>
      <c r="B161" s="58" t="s">
        <v>1775</v>
      </c>
      <c r="C161" s="54" t="s">
        <v>3475</v>
      </c>
      <c r="D161" s="58" t="s">
        <v>316</v>
      </c>
      <c r="E161" s="59" t="s">
        <v>1777</v>
      </c>
      <c r="F161" s="59" t="s">
        <v>1778</v>
      </c>
      <c r="G161" s="94" t="s">
        <v>38</v>
      </c>
      <c r="H161" s="58">
        <v>2020.0</v>
      </c>
      <c r="I161" s="49" t="s">
        <v>2618</v>
      </c>
      <c r="J161" s="49" t="s">
        <v>3476</v>
      </c>
      <c r="K161" s="49" t="s">
        <v>3477</v>
      </c>
      <c r="L161" s="49" t="s">
        <v>3478</v>
      </c>
      <c r="M161" s="49" t="s">
        <v>3479</v>
      </c>
      <c r="N161" s="49" t="s">
        <v>3480</v>
      </c>
      <c r="O161" s="49" t="s">
        <v>3481</v>
      </c>
      <c r="P161" s="49" t="s">
        <v>3482</v>
      </c>
      <c r="Q161" s="49" t="s">
        <v>3483</v>
      </c>
      <c r="R161" s="50"/>
      <c r="S161" s="85" t="s">
        <v>412</v>
      </c>
    </row>
    <row r="162">
      <c r="A162" s="93">
        <v>477.0</v>
      </c>
      <c r="B162" s="58" t="s">
        <v>1780</v>
      </c>
      <c r="C162" s="54" t="s">
        <v>3484</v>
      </c>
      <c r="D162" s="58" t="s">
        <v>1782</v>
      </c>
      <c r="E162" s="59" t="s">
        <v>36</v>
      </c>
      <c r="F162" s="59" t="s">
        <v>37</v>
      </c>
      <c r="G162" s="94" t="s">
        <v>58</v>
      </c>
      <c r="H162" s="58">
        <v>2019.0</v>
      </c>
      <c r="I162" s="49" t="s">
        <v>3461</v>
      </c>
      <c r="J162" s="49" t="s">
        <v>3485</v>
      </c>
      <c r="K162" s="49" t="s">
        <v>3486</v>
      </c>
      <c r="L162" s="49" t="s">
        <v>3487</v>
      </c>
      <c r="M162" s="49" t="s">
        <v>2479</v>
      </c>
      <c r="N162" s="49" t="s">
        <v>3488</v>
      </c>
      <c r="O162" s="49" t="s">
        <v>3489</v>
      </c>
      <c r="P162" s="49" t="s">
        <v>3490</v>
      </c>
      <c r="Q162" s="49" t="s">
        <v>2775</v>
      </c>
      <c r="R162" s="50"/>
      <c r="S162" s="85" t="s">
        <v>412</v>
      </c>
    </row>
    <row r="163">
      <c r="A163" s="93">
        <v>479.0</v>
      </c>
      <c r="B163" s="58" t="s">
        <v>1787</v>
      </c>
      <c r="C163" s="54" t="s">
        <v>3491</v>
      </c>
      <c r="D163" s="59" t="s">
        <v>1789</v>
      </c>
      <c r="E163" s="58" t="s">
        <v>128</v>
      </c>
      <c r="F163" s="58" t="s">
        <v>128</v>
      </c>
      <c r="G163" s="94" t="s">
        <v>38</v>
      </c>
      <c r="H163" s="58">
        <v>2018.0</v>
      </c>
      <c r="I163" s="49" t="s">
        <v>2519</v>
      </c>
      <c r="J163" s="49" t="s">
        <v>3492</v>
      </c>
      <c r="K163" s="49" t="s">
        <v>3493</v>
      </c>
      <c r="L163" s="49" t="s">
        <v>3494</v>
      </c>
      <c r="M163" s="49" t="s">
        <v>3495</v>
      </c>
      <c r="N163" s="49" t="s">
        <v>3496</v>
      </c>
      <c r="O163" s="49" t="s">
        <v>3497</v>
      </c>
      <c r="P163" s="49" t="s">
        <v>3498</v>
      </c>
      <c r="Q163" s="49" t="s">
        <v>2681</v>
      </c>
      <c r="R163" s="50"/>
      <c r="S163" s="85" t="s">
        <v>412</v>
      </c>
    </row>
    <row r="164">
      <c r="A164" s="93">
        <v>480.0</v>
      </c>
      <c r="B164" s="58" t="s">
        <v>1791</v>
      </c>
      <c r="C164" s="54" t="s">
        <v>3499</v>
      </c>
      <c r="D164" s="58" t="s">
        <v>1793</v>
      </c>
      <c r="E164" s="58" t="s">
        <v>128</v>
      </c>
      <c r="F164" s="58" t="s">
        <v>128</v>
      </c>
      <c r="G164" s="94" t="s">
        <v>38</v>
      </c>
      <c r="H164" s="58">
        <v>2018.0</v>
      </c>
      <c r="I164" s="49" t="s">
        <v>3500</v>
      </c>
      <c r="J164" s="49" t="s">
        <v>3501</v>
      </c>
      <c r="K164" s="49" t="s">
        <v>3502</v>
      </c>
      <c r="L164" s="49" t="s">
        <v>3503</v>
      </c>
      <c r="M164" s="49" t="s">
        <v>3504</v>
      </c>
      <c r="N164" s="49" t="s">
        <v>3505</v>
      </c>
      <c r="O164" s="49" t="s">
        <v>3506</v>
      </c>
      <c r="P164" s="49" t="s">
        <v>2369</v>
      </c>
      <c r="Q164" s="49" t="s">
        <v>2775</v>
      </c>
      <c r="R164" s="50"/>
      <c r="S164" s="85" t="s">
        <v>412</v>
      </c>
    </row>
    <row r="165">
      <c r="A165" s="93">
        <v>489.0</v>
      </c>
      <c r="B165" s="58" t="s">
        <v>1820</v>
      </c>
      <c r="C165" s="48" t="s">
        <v>1821</v>
      </c>
      <c r="D165" s="58" t="s">
        <v>1822</v>
      </c>
      <c r="E165" s="59" t="s">
        <v>1823</v>
      </c>
      <c r="F165" s="59" t="s">
        <v>1824</v>
      </c>
      <c r="G165" s="94" t="s">
        <v>38</v>
      </c>
      <c r="H165" s="58">
        <v>2019.0</v>
      </c>
      <c r="I165" s="49" t="s">
        <v>2372</v>
      </c>
      <c r="J165" s="49" t="s">
        <v>3507</v>
      </c>
      <c r="K165" s="49" t="s">
        <v>3508</v>
      </c>
      <c r="L165" s="49" t="s">
        <v>3509</v>
      </c>
      <c r="M165" s="49" t="s">
        <v>3510</v>
      </c>
      <c r="N165" s="49" t="s">
        <v>3511</v>
      </c>
      <c r="O165" s="49" t="s">
        <v>3512</v>
      </c>
      <c r="P165" s="49" t="s">
        <v>1070</v>
      </c>
      <c r="Q165" s="49" t="s">
        <v>2775</v>
      </c>
      <c r="R165" s="50"/>
      <c r="S165" s="85" t="s">
        <v>412</v>
      </c>
    </row>
    <row r="166">
      <c r="A166" s="93">
        <v>493.0</v>
      </c>
      <c r="B166" s="58" t="s">
        <v>1838</v>
      </c>
      <c r="C166" s="48" t="s">
        <v>1839</v>
      </c>
      <c r="D166" s="59" t="s">
        <v>1840</v>
      </c>
      <c r="E166" s="59" t="s">
        <v>36</v>
      </c>
      <c r="F166" s="59" t="s">
        <v>37</v>
      </c>
      <c r="G166" s="94" t="s">
        <v>38</v>
      </c>
      <c r="H166" s="58">
        <v>2018.0</v>
      </c>
      <c r="I166" s="49" t="s">
        <v>2519</v>
      </c>
      <c r="J166" s="49" t="s">
        <v>3513</v>
      </c>
      <c r="K166" s="49" t="s">
        <v>3514</v>
      </c>
      <c r="L166" s="49" t="s">
        <v>3515</v>
      </c>
      <c r="M166" s="49" t="s">
        <v>3516</v>
      </c>
      <c r="N166" s="49" t="s">
        <v>3517</v>
      </c>
      <c r="O166" s="49" t="s">
        <v>3518</v>
      </c>
      <c r="P166" s="49" t="s">
        <v>3519</v>
      </c>
      <c r="Q166" s="49" t="s">
        <v>2681</v>
      </c>
      <c r="R166" s="50"/>
      <c r="S166" s="85" t="s">
        <v>412</v>
      </c>
    </row>
    <row r="167">
      <c r="A167" s="93">
        <v>498.0</v>
      </c>
      <c r="B167" s="58" t="s">
        <v>1855</v>
      </c>
      <c r="C167" s="54" t="s">
        <v>3520</v>
      </c>
      <c r="D167" s="59" t="s">
        <v>1857</v>
      </c>
      <c r="E167" s="59" t="s">
        <v>29</v>
      </c>
      <c r="F167" s="59" t="s">
        <v>30</v>
      </c>
      <c r="G167" s="94" t="s">
        <v>38</v>
      </c>
      <c r="H167" s="58">
        <v>2020.0</v>
      </c>
      <c r="I167" s="49" t="s">
        <v>2362</v>
      </c>
      <c r="J167" s="49" t="s">
        <v>3521</v>
      </c>
      <c r="K167" s="49" t="s">
        <v>3522</v>
      </c>
      <c r="L167" s="49" t="s">
        <v>3523</v>
      </c>
      <c r="M167" s="49" t="s">
        <v>3524</v>
      </c>
      <c r="N167" s="49" t="s">
        <v>3525</v>
      </c>
      <c r="O167" s="49" t="s">
        <v>3526</v>
      </c>
      <c r="P167" s="49" t="s">
        <v>2369</v>
      </c>
      <c r="Q167" s="49" t="s">
        <v>3527</v>
      </c>
      <c r="R167" s="50" t="s">
        <v>3528</v>
      </c>
      <c r="S167" s="85" t="s">
        <v>412</v>
      </c>
    </row>
    <row r="168">
      <c r="A168" s="93">
        <v>507.0</v>
      </c>
      <c r="B168" s="58" t="s">
        <v>1883</v>
      </c>
      <c r="C168" s="58" t="s">
        <v>1884</v>
      </c>
      <c r="D168" s="58" t="s">
        <v>1885</v>
      </c>
      <c r="E168" s="59" t="s">
        <v>80</v>
      </c>
      <c r="F168" s="59" t="s">
        <v>81</v>
      </c>
      <c r="G168" s="94" t="s">
        <v>58</v>
      </c>
      <c r="H168" s="58">
        <v>2018.0</v>
      </c>
      <c r="I168" s="49" t="s">
        <v>3529</v>
      </c>
      <c r="J168" s="49" t="s">
        <v>3530</v>
      </c>
      <c r="K168" s="49" t="s">
        <v>3531</v>
      </c>
      <c r="L168" s="49" t="s">
        <v>3532</v>
      </c>
      <c r="M168" s="49" t="s">
        <v>3533</v>
      </c>
      <c r="N168" s="58"/>
      <c r="O168" s="49" t="s">
        <v>3534</v>
      </c>
      <c r="P168" s="49" t="s">
        <v>3535</v>
      </c>
      <c r="Q168" s="49" t="s">
        <v>3536</v>
      </c>
      <c r="R168" s="84"/>
      <c r="S168" s="85" t="s">
        <v>32</v>
      </c>
    </row>
    <row r="169">
      <c r="A169" s="94">
        <v>509.0</v>
      </c>
      <c r="B169" s="58" t="s">
        <v>1890</v>
      </c>
      <c r="C169" s="58" t="s">
        <v>1891</v>
      </c>
      <c r="D169" s="58" t="s">
        <v>1892</v>
      </c>
      <c r="E169" s="59" t="s">
        <v>80</v>
      </c>
      <c r="F169" s="59" t="s">
        <v>81</v>
      </c>
      <c r="G169" s="93" t="s">
        <v>58</v>
      </c>
      <c r="H169" s="58">
        <v>2020.0</v>
      </c>
      <c r="I169" s="49" t="s">
        <v>2898</v>
      </c>
      <c r="J169" s="49" t="s">
        <v>3537</v>
      </c>
      <c r="K169" s="49" t="s">
        <v>3538</v>
      </c>
      <c r="L169" s="49" t="s">
        <v>3539</v>
      </c>
      <c r="M169" s="49" t="s">
        <v>3540</v>
      </c>
      <c r="N169" s="58"/>
      <c r="O169" s="49" t="s">
        <v>3541</v>
      </c>
      <c r="P169" s="49" t="s">
        <v>3542</v>
      </c>
      <c r="Q169" s="58"/>
      <c r="R169" s="84"/>
      <c r="S169" s="85" t="s">
        <v>32</v>
      </c>
    </row>
    <row r="170">
      <c r="A170" s="94">
        <v>513.0</v>
      </c>
      <c r="B170" s="58" t="s">
        <v>1905</v>
      </c>
      <c r="C170" s="58" t="s">
        <v>1906</v>
      </c>
      <c r="D170" s="58" t="s">
        <v>1907</v>
      </c>
      <c r="E170" s="58" t="s">
        <v>62</v>
      </c>
      <c r="F170" s="58" t="s">
        <v>62</v>
      </c>
      <c r="G170" s="94" t="s">
        <v>58</v>
      </c>
      <c r="H170" s="58">
        <v>2019.0</v>
      </c>
      <c r="I170" s="49" t="s">
        <v>3543</v>
      </c>
      <c r="J170" s="49" t="s">
        <v>3544</v>
      </c>
      <c r="K170" s="49"/>
      <c r="L170" s="49" t="s">
        <v>3545</v>
      </c>
      <c r="M170" s="49" t="s">
        <v>3546</v>
      </c>
      <c r="N170" s="58"/>
      <c r="O170" s="49" t="s">
        <v>3547</v>
      </c>
      <c r="P170" s="49" t="s">
        <v>3548</v>
      </c>
      <c r="Q170" s="58"/>
      <c r="R170" s="84"/>
      <c r="S170" s="85" t="s">
        <v>32</v>
      </c>
    </row>
    <row r="171">
      <c r="A171" s="94">
        <v>514.0</v>
      </c>
      <c r="B171" s="58" t="s">
        <v>1908</v>
      </c>
      <c r="C171" s="58" t="s">
        <v>1909</v>
      </c>
      <c r="D171" s="58" t="s">
        <v>1910</v>
      </c>
      <c r="E171" s="59" t="s">
        <v>36</v>
      </c>
      <c r="F171" s="59" t="s">
        <v>37</v>
      </c>
      <c r="G171" s="94" t="s">
        <v>58</v>
      </c>
      <c r="H171" s="58">
        <v>2019.0</v>
      </c>
      <c r="I171" s="49" t="s">
        <v>2372</v>
      </c>
      <c r="J171" s="49" t="s">
        <v>3549</v>
      </c>
      <c r="K171" s="49" t="s">
        <v>3550</v>
      </c>
      <c r="L171" s="49" t="s">
        <v>3551</v>
      </c>
      <c r="M171" s="49" t="s">
        <v>2487</v>
      </c>
      <c r="N171" s="49" t="s">
        <v>3552</v>
      </c>
      <c r="O171" s="49" t="s">
        <v>3553</v>
      </c>
      <c r="P171" s="49" t="s">
        <v>3554</v>
      </c>
      <c r="Q171" s="49" t="s">
        <v>2407</v>
      </c>
      <c r="R171" s="84"/>
      <c r="S171" s="85" t="s">
        <v>32</v>
      </c>
    </row>
    <row r="172">
      <c r="A172" s="94">
        <v>515.0</v>
      </c>
      <c r="B172" s="58" t="s">
        <v>1911</v>
      </c>
      <c r="C172" s="58" t="s">
        <v>1912</v>
      </c>
      <c r="D172" s="58" t="s">
        <v>1913</v>
      </c>
      <c r="E172" s="58" t="s">
        <v>62</v>
      </c>
      <c r="F172" s="58" t="s">
        <v>62</v>
      </c>
      <c r="G172" s="94" t="s">
        <v>38</v>
      </c>
      <c r="H172" s="58">
        <v>2020.0</v>
      </c>
      <c r="I172" s="49" t="s">
        <v>2372</v>
      </c>
      <c r="J172" s="49" t="s">
        <v>3555</v>
      </c>
      <c r="K172" s="49" t="s">
        <v>3556</v>
      </c>
      <c r="L172" s="49" t="s">
        <v>3557</v>
      </c>
      <c r="M172" s="49" t="s">
        <v>2487</v>
      </c>
      <c r="N172" s="49" t="s">
        <v>3558</v>
      </c>
      <c r="O172" s="49" t="s">
        <v>3559</v>
      </c>
      <c r="P172" s="49" t="s">
        <v>2369</v>
      </c>
      <c r="Q172" s="49" t="s">
        <v>2407</v>
      </c>
      <c r="R172" s="84"/>
      <c r="S172" s="85" t="s">
        <v>32</v>
      </c>
    </row>
    <row r="173">
      <c r="A173" s="94">
        <v>518.0</v>
      </c>
      <c r="B173" s="58" t="s">
        <v>1922</v>
      </c>
      <c r="C173" s="58" t="s">
        <v>1923</v>
      </c>
      <c r="D173" s="58" t="s">
        <v>1924</v>
      </c>
      <c r="E173" s="58" t="s">
        <v>62</v>
      </c>
      <c r="F173" s="58" t="s">
        <v>62</v>
      </c>
      <c r="G173" s="94" t="s">
        <v>38</v>
      </c>
      <c r="H173" s="58">
        <v>2020.0</v>
      </c>
      <c r="I173" s="49" t="s">
        <v>3560</v>
      </c>
      <c r="J173" s="49" t="s">
        <v>3561</v>
      </c>
      <c r="K173" s="49" t="s">
        <v>3562</v>
      </c>
      <c r="L173" s="49" t="s">
        <v>3563</v>
      </c>
      <c r="M173" s="49" t="s">
        <v>2487</v>
      </c>
      <c r="N173" s="49" t="s">
        <v>3564</v>
      </c>
      <c r="O173" s="49" t="s">
        <v>3565</v>
      </c>
      <c r="P173" s="49" t="s">
        <v>2581</v>
      </c>
      <c r="Q173" s="49" t="s">
        <v>3566</v>
      </c>
      <c r="R173" s="84"/>
      <c r="S173" s="85" t="s">
        <v>32</v>
      </c>
    </row>
    <row r="174">
      <c r="A174" s="94">
        <v>523.0</v>
      </c>
      <c r="B174" s="58" t="s">
        <v>1938</v>
      </c>
      <c r="C174" s="58" t="s">
        <v>1939</v>
      </c>
      <c r="D174" s="58" t="s">
        <v>1940</v>
      </c>
      <c r="E174" s="59" t="s">
        <v>36</v>
      </c>
      <c r="F174" s="59" t="s">
        <v>37</v>
      </c>
      <c r="G174" s="94" t="s">
        <v>58</v>
      </c>
      <c r="H174" s="58">
        <v>2019.0</v>
      </c>
      <c r="I174" s="49" t="s">
        <v>2372</v>
      </c>
      <c r="J174" s="49" t="s">
        <v>3567</v>
      </c>
      <c r="K174" s="49" t="s">
        <v>3568</v>
      </c>
      <c r="L174" s="49" t="s">
        <v>3569</v>
      </c>
      <c r="M174" s="49" t="s">
        <v>2559</v>
      </c>
      <c r="N174" s="49" t="s">
        <v>3570</v>
      </c>
      <c r="O174" s="49" t="s">
        <v>3571</v>
      </c>
      <c r="P174" s="49" t="s">
        <v>3572</v>
      </c>
      <c r="Q174" s="49" t="s">
        <v>3573</v>
      </c>
      <c r="R174" s="84"/>
      <c r="S174" s="85" t="s">
        <v>32</v>
      </c>
    </row>
    <row r="175">
      <c r="A175" s="94">
        <v>525.0</v>
      </c>
      <c r="B175" s="58" t="s">
        <v>1944</v>
      </c>
      <c r="C175" s="58" t="s">
        <v>1945</v>
      </c>
      <c r="D175" s="58" t="s">
        <v>1946</v>
      </c>
      <c r="E175" s="58" t="s">
        <v>62</v>
      </c>
      <c r="F175" s="58" t="s">
        <v>62</v>
      </c>
      <c r="G175" s="94" t="s">
        <v>58</v>
      </c>
      <c r="H175" s="58">
        <v>2018.0</v>
      </c>
      <c r="I175" s="49" t="s">
        <v>2372</v>
      </c>
      <c r="J175" s="49" t="s">
        <v>3574</v>
      </c>
      <c r="K175" s="49" t="s">
        <v>3575</v>
      </c>
      <c r="L175" s="49" t="s">
        <v>3576</v>
      </c>
      <c r="M175" s="49" t="s">
        <v>2376</v>
      </c>
      <c r="N175" s="49" t="s">
        <v>3577</v>
      </c>
      <c r="O175" s="49" t="s">
        <v>3578</v>
      </c>
      <c r="P175" s="49" t="s">
        <v>2590</v>
      </c>
      <c r="Q175" s="49" t="s">
        <v>3579</v>
      </c>
      <c r="R175" s="84"/>
      <c r="S175" s="85" t="s">
        <v>32</v>
      </c>
    </row>
    <row r="176">
      <c r="A176" s="94">
        <v>526.0</v>
      </c>
      <c r="B176" s="58" t="s">
        <v>1947</v>
      </c>
      <c r="C176" s="58" t="s">
        <v>1948</v>
      </c>
      <c r="D176" s="49" t="s">
        <v>1949</v>
      </c>
      <c r="E176" s="58" t="s">
        <v>128</v>
      </c>
      <c r="F176" s="58" t="s">
        <v>128</v>
      </c>
      <c r="G176" s="94" t="s">
        <v>38</v>
      </c>
      <c r="H176" s="58">
        <v>2019.0</v>
      </c>
      <c r="I176" s="49" t="s">
        <v>3580</v>
      </c>
      <c r="J176" s="49" t="s">
        <v>3581</v>
      </c>
      <c r="K176" s="49" t="s">
        <v>3582</v>
      </c>
      <c r="L176" s="49" t="s">
        <v>3583</v>
      </c>
      <c r="M176" s="49" t="s">
        <v>2696</v>
      </c>
      <c r="N176" s="49" t="s">
        <v>3584</v>
      </c>
      <c r="O176" s="49" t="s">
        <v>3585</v>
      </c>
      <c r="P176" s="49" t="s">
        <v>3586</v>
      </c>
      <c r="Q176" s="49" t="s">
        <v>3587</v>
      </c>
      <c r="R176" s="84"/>
      <c r="S176" s="85" t="s">
        <v>32</v>
      </c>
    </row>
    <row r="177">
      <c r="A177" s="94">
        <v>527.0</v>
      </c>
      <c r="B177" s="58" t="s">
        <v>1950</v>
      </c>
      <c r="C177" s="58" t="s">
        <v>1951</v>
      </c>
      <c r="D177" s="58" t="s">
        <v>1952</v>
      </c>
      <c r="E177" s="58" t="s">
        <v>128</v>
      </c>
      <c r="F177" s="58" t="s">
        <v>128</v>
      </c>
      <c r="G177" s="94" t="s">
        <v>38</v>
      </c>
      <c r="H177" s="58">
        <v>2018.0</v>
      </c>
      <c r="I177" s="49" t="s">
        <v>3588</v>
      </c>
      <c r="J177" s="49" t="s">
        <v>3589</v>
      </c>
      <c r="K177" s="49" t="s">
        <v>3590</v>
      </c>
      <c r="L177" s="49" t="s">
        <v>3591</v>
      </c>
      <c r="M177" s="49" t="s">
        <v>3592</v>
      </c>
      <c r="N177" s="49" t="s">
        <v>3593</v>
      </c>
      <c r="O177" s="49" t="s">
        <v>3594</v>
      </c>
      <c r="P177" s="49" t="s">
        <v>2489</v>
      </c>
      <c r="Q177" s="49" t="s">
        <v>2407</v>
      </c>
      <c r="R177" s="84"/>
      <c r="S177" s="85" t="s">
        <v>32</v>
      </c>
    </row>
    <row r="178">
      <c r="A178" s="94">
        <v>530.0</v>
      </c>
      <c r="B178" s="58" t="s">
        <v>1960</v>
      </c>
      <c r="C178" s="58" t="s">
        <v>1961</v>
      </c>
      <c r="D178" s="59" t="s">
        <v>1962</v>
      </c>
      <c r="E178" s="59" t="s">
        <v>1963</v>
      </c>
      <c r="F178" s="59" t="s">
        <v>1964</v>
      </c>
      <c r="G178" s="94" t="s">
        <v>38</v>
      </c>
      <c r="H178" s="58">
        <v>2019.0</v>
      </c>
      <c r="I178" s="49" t="s">
        <v>2555</v>
      </c>
      <c r="J178" s="49" t="s">
        <v>3595</v>
      </c>
      <c r="K178" s="49" t="s">
        <v>3596</v>
      </c>
      <c r="L178" s="49" t="s">
        <v>3597</v>
      </c>
      <c r="M178" s="49" t="s">
        <v>3598</v>
      </c>
      <c r="N178" s="49" t="s">
        <v>3599</v>
      </c>
      <c r="O178" s="49" t="s">
        <v>3600</v>
      </c>
      <c r="P178" s="49" t="s">
        <v>3601</v>
      </c>
      <c r="Q178" s="49" t="s">
        <v>3602</v>
      </c>
      <c r="R178" s="84"/>
      <c r="S178" s="85" t="s">
        <v>32</v>
      </c>
    </row>
    <row r="179">
      <c r="A179" s="94">
        <v>532.0</v>
      </c>
      <c r="B179" s="58" t="s">
        <v>1968</v>
      </c>
      <c r="C179" s="58" t="s">
        <v>1969</v>
      </c>
      <c r="D179" s="59" t="s">
        <v>1970</v>
      </c>
      <c r="E179" s="59" t="s">
        <v>36</v>
      </c>
      <c r="F179" s="59" t="s">
        <v>37</v>
      </c>
      <c r="G179" s="94" t="s">
        <v>58</v>
      </c>
      <c r="H179" s="58">
        <v>2018.0</v>
      </c>
      <c r="I179" s="49" t="s">
        <v>2449</v>
      </c>
      <c r="J179" s="49" t="s">
        <v>3603</v>
      </c>
      <c r="K179" s="49" t="s">
        <v>3604</v>
      </c>
      <c r="L179" s="49" t="s">
        <v>3605</v>
      </c>
      <c r="M179" s="49" t="s">
        <v>3606</v>
      </c>
      <c r="N179" s="49" t="s">
        <v>3607</v>
      </c>
      <c r="O179" s="49" t="s">
        <v>3608</v>
      </c>
      <c r="P179" s="49" t="s">
        <v>3609</v>
      </c>
      <c r="Q179" s="49" t="s">
        <v>3610</v>
      </c>
      <c r="R179" s="84"/>
      <c r="S179" s="85" t="s">
        <v>32</v>
      </c>
    </row>
    <row r="180">
      <c r="A180" s="94">
        <v>537.0</v>
      </c>
      <c r="B180" s="58" t="s">
        <v>1984</v>
      </c>
      <c r="C180" s="58" t="s">
        <v>1985</v>
      </c>
      <c r="D180" s="58" t="s">
        <v>1986</v>
      </c>
      <c r="E180" s="59" t="s">
        <v>29</v>
      </c>
      <c r="F180" s="59" t="s">
        <v>30</v>
      </c>
      <c r="G180" s="94" t="s">
        <v>38</v>
      </c>
      <c r="H180" s="58">
        <v>2018.0</v>
      </c>
      <c r="I180" s="49" t="s">
        <v>2372</v>
      </c>
      <c r="J180" s="49" t="s">
        <v>3611</v>
      </c>
      <c r="K180" s="49" t="s">
        <v>3612</v>
      </c>
      <c r="L180" s="49" t="s">
        <v>3613</v>
      </c>
      <c r="M180" s="49" t="s">
        <v>3614</v>
      </c>
      <c r="N180" s="49" t="s">
        <v>3615</v>
      </c>
      <c r="O180" s="49" t="s">
        <v>3616</v>
      </c>
      <c r="P180" s="49" t="s">
        <v>3617</v>
      </c>
      <c r="Q180" s="49" t="s">
        <v>2407</v>
      </c>
      <c r="R180" s="84"/>
      <c r="S180" s="85" t="s">
        <v>32</v>
      </c>
    </row>
    <row r="181">
      <c r="A181" s="94">
        <v>538.0</v>
      </c>
      <c r="B181" s="58" t="s">
        <v>1987</v>
      </c>
      <c r="C181" s="58" t="s">
        <v>1988</v>
      </c>
      <c r="D181" s="58" t="s">
        <v>1989</v>
      </c>
      <c r="E181" s="59" t="s">
        <v>80</v>
      </c>
      <c r="F181" s="59" t="s">
        <v>81</v>
      </c>
      <c r="G181" s="94" t="s">
        <v>58</v>
      </c>
      <c r="H181" s="58">
        <v>2018.0</v>
      </c>
      <c r="I181" s="49" t="s">
        <v>2519</v>
      </c>
      <c r="J181" s="49" t="s">
        <v>3618</v>
      </c>
      <c r="K181" s="49" t="s">
        <v>3619</v>
      </c>
      <c r="L181" s="49" t="s">
        <v>3620</v>
      </c>
      <c r="M181" s="49" t="s">
        <v>3621</v>
      </c>
      <c r="N181" s="49" t="s">
        <v>3622</v>
      </c>
      <c r="O181" s="49" t="s">
        <v>3623</v>
      </c>
      <c r="P181" s="49" t="s">
        <v>3624</v>
      </c>
      <c r="Q181" s="49" t="s">
        <v>2407</v>
      </c>
      <c r="R181" s="84"/>
      <c r="S181" s="85" t="s">
        <v>32</v>
      </c>
    </row>
    <row r="182">
      <c r="A182" s="94">
        <v>540.0</v>
      </c>
      <c r="B182" s="58" t="s">
        <v>1994</v>
      </c>
      <c r="C182" s="58" t="s">
        <v>1995</v>
      </c>
      <c r="D182" s="58" t="s">
        <v>1996</v>
      </c>
      <c r="E182" s="59" t="s">
        <v>36</v>
      </c>
      <c r="F182" s="59" t="s">
        <v>37</v>
      </c>
      <c r="G182" s="94" t="s">
        <v>58</v>
      </c>
      <c r="H182" s="58">
        <v>2018.0</v>
      </c>
      <c r="I182" s="49" t="s">
        <v>2372</v>
      </c>
      <c r="J182" s="49" t="s">
        <v>3625</v>
      </c>
      <c r="K182" s="49" t="s">
        <v>3626</v>
      </c>
      <c r="L182" s="49" t="s">
        <v>3627</v>
      </c>
      <c r="M182" s="49" t="s">
        <v>2487</v>
      </c>
      <c r="N182" s="53" t="s">
        <v>3628</v>
      </c>
      <c r="O182" s="49" t="s">
        <v>3629</v>
      </c>
      <c r="P182" s="49" t="s">
        <v>3630</v>
      </c>
      <c r="Q182" s="49" t="s">
        <v>3631</v>
      </c>
      <c r="R182" s="84"/>
      <c r="S182" s="85" t="s">
        <v>32</v>
      </c>
    </row>
    <row r="183">
      <c r="A183" s="94">
        <v>542.0</v>
      </c>
      <c r="B183" s="58" t="s">
        <v>2000</v>
      </c>
      <c r="C183" s="58" t="s">
        <v>2001</v>
      </c>
      <c r="D183" s="58" t="s">
        <v>2002</v>
      </c>
      <c r="E183" s="58" t="s">
        <v>62</v>
      </c>
      <c r="F183" s="58" t="s">
        <v>62</v>
      </c>
      <c r="G183" s="94" t="s">
        <v>38</v>
      </c>
      <c r="H183" s="58">
        <v>2018.0</v>
      </c>
      <c r="I183" s="49" t="s">
        <v>2372</v>
      </c>
      <c r="J183" s="49" t="s">
        <v>3632</v>
      </c>
      <c r="K183" s="53" t="s">
        <v>3633</v>
      </c>
      <c r="L183" s="49" t="s">
        <v>3634</v>
      </c>
      <c r="M183" s="49" t="s">
        <v>3635</v>
      </c>
      <c r="N183" s="49" t="s">
        <v>3636</v>
      </c>
      <c r="O183" s="49" t="s">
        <v>3637</v>
      </c>
      <c r="P183" s="49" t="s">
        <v>3617</v>
      </c>
      <c r="Q183" s="49" t="s">
        <v>2407</v>
      </c>
      <c r="R183" s="84"/>
      <c r="S183" s="85" t="s">
        <v>32</v>
      </c>
    </row>
    <row r="184">
      <c r="A184" s="94">
        <v>546.0</v>
      </c>
      <c r="B184" s="58" t="s">
        <v>2014</v>
      </c>
      <c r="C184" s="58" t="s">
        <v>2015</v>
      </c>
      <c r="D184" s="49" t="s">
        <v>2016</v>
      </c>
      <c r="E184" s="59" t="s">
        <v>36</v>
      </c>
      <c r="F184" s="59" t="s">
        <v>37</v>
      </c>
      <c r="G184" s="94" t="s">
        <v>38</v>
      </c>
      <c r="H184" s="58">
        <v>2020.0</v>
      </c>
      <c r="I184" s="49" t="s">
        <v>2441</v>
      </c>
      <c r="J184" s="49" t="s">
        <v>3638</v>
      </c>
      <c r="K184" s="49" t="s">
        <v>3639</v>
      </c>
      <c r="L184" s="49" t="s">
        <v>3640</v>
      </c>
      <c r="M184" s="49" t="s">
        <v>3641</v>
      </c>
      <c r="N184" s="49" t="s">
        <v>3642</v>
      </c>
      <c r="O184" s="49" t="s">
        <v>3643</v>
      </c>
      <c r="P184" s="49" t="s">
        <v>3644</v>
      </c>
      <c r="Q184" s="49" t="s">
        <v>3645</v>
      </c>
      <c r="R184" s="84"/>
      <c r="S184" s="85" t="s">
        <v>32</v>
      </c>
    </row>
    <row r="185">
      <c r="A185" s="94">
        <v>548.0</v>
      </c>
      <c r="B185" s="58" t="s">
        <v>2020</v>
      </c>
      <c r="C185" s="58" t="s">
        <v>2021</v>
      </c>
      <c r="D185" s="58" t="s">
        <v>1533</v>
      </c>
      <c r="E185" s="58" t="s">
        <v>128</v>
      </c>
      <c r="F185" s="58" t="s">
        <v>128</v>
      </c>
      <c r="G185" s="94" t="s">
        <v>38</v>
      </c>
      <c r="H185" s="58">
        <v>2020.0</v>
      </c>
      <c r="I185" s="49" t="s">
        <v>2372</v>
      </c>
      <c r="J185" s="49" t="s">
        <v>3646</v>
      </c>
      <c r="K185" s="49" t="s">
        <v>3647</v>
      </c>
      <c r="L185" s="49" t="s">
        <v>3648</v>
      </c>
      <c r="M185" s="49" t="s">
        <v>2479</v>
      </c>
      <c r="N185" s="49" t="s">
        <v>3649</v>
      </c>
      <c r="O185" s="49" t="s">
        <v>3650</v>
      </c>
      <c r="P185" s="49" t="s">
        <v>2369</v>
      </c>
      <c r="Q185" s="49" t="s">
        <v>2407</v>
      </c>
      <c r="R185" s="84"/>
      <c r="S185" s="85" t="s">
        <v>32</v>
      </c>
    </row>
    <row r="186">
      <c r="A186" s="94">
        <v>549.0</v>
      </c>
      <c r="B186" s="58" t="s">
        <v>2022</v>
      </c>
      <c r="C186" s="58" t="s">
        <v>2023</v>
      </c>
      <c r="D186" s="58" t="s">
        <v>2024</v>
      </c>
      <c r="E186" s="58" t="s">
        <v>62</v>
      </c>
      <c r="F186" s="58" t="s">
        <v>62</v>
      </c>
      <c r="G186" s="94" t="s">
        <v>38</v>
      </c>
      <c r="H186" s="58">
        <v>2020.0</v>
      </c>
      <c r="I186" s="49" t="s">
        <v>3651</v>
      </c>
      <c r="J186" s="49" t="s">
        <v>3652</v>
      </c>
      <c r="K186" s="49" t="s">
        <v>3653</v>
      </c>
      <c r="L186" s="49" t="s">
        <v>3654</v>
      </c>
      <c r="M186" s="49" t="s">
        <v>3655</v>
      </c>
      <c r="N186" s="49" t="s">
        <v>3656</v>
      </c>
      <c r="O186" s="49" t="s">
        <v>3657</v>
      </c>
      <c r="P186" s="49" t="s">
        <v>2590</v>
      </c>
      <c r="Q186" s="49" t="s">
        <v>2775</v>
      </c>
      <c r="R186" s="84"/>
      <c r="S186" s="85" t="s">
        <v>32</v>
      </c>
    </row>
    <row r="187">
      <c r="A187" s="94">
        <v>550.0</v>
      </c>
      <c r="B187" s="58" t="s">
        <v>2025</v>
      </c>
      <c r="C187" s="58" t="s">
        <v>2026</v>
      </c>
      <c r="D187" s="59" t="s">
        <v>2027</v>
      </c>
      <c r="E187" s="59" t="s">
        <v>36</v>
      </c>
      <c r="F187" s="59" t="s">
        <v>37</v>
      </c>
      <c r="G187" s="94" t="s">
        <v>38</v>
      </c>
      <c r="H187" s="58">
        <v>2020.0</v>
      </c>
      <c r="I187" s="49" t="s">
        <v>2449</v>
      </c>
      <c r="J187" s="49" t="s">
        <v>3658</v>
      </c>
      <c r="K187" s="49" t="s">
        <v>3659</v>
      </c>
      <c r="L187" s="49" t="s">
        <v>3660</v>
      </c>
      <c r="M187" s="49" t="s">
        <v>3661</v>
      </c>
      <c r="N187" s="49" t="s">
        <v>3662</v>
      </c>
      <c r="O187" s="49" t="s">
        <v>3663</v>
      </c>
      <c r="P187" s="49" t="s">
        <v>3664</v>
      </c>
      <c r="Q187" s="49" t="s">
        <v>3665</v>
      </c>
      <c r="R187" s="84"/>
      <c r="S187" s="85" t="s">
        <v>32</v>
      </c>
    </row>
    <row r="188">
      <c r="A188" s="94">
        <v>551.0</v>
      </c>
      <c r="B188" s="58" t="s">
        <v>2028</v>
      </c>
      <c r="C188" s="58" t="s">
        <v>2029</v>
      </c>
      <c r="D188" s="58" t="s">
        <v>2030</v>
      </c>
      <c r="E188" s="59" t="s">
        <v>29</v>
      </c>
      <c r="F188" s="59" t="s">
        <v>30</v>
      </c>
      <c r="G188" s="94" t="s">
        <v>38</v>
      </c>
      <c r="H188" s="58">
        <v>2018.0</v>
      </c>
      <c r="I188" s="49" t="s">
        <v>3666</v>
      </c>
      <c r="J188" s="49" t="s">
        <v>3667</v>
      </c>
      <c r="K188" s="49" t="s">
        <v>3668</v>
      </c>
      <c r="L188" s="49" t="s">
        <v>3669</v>
      </c>
      <c r="M188" s="49" t="s">
        <v>3670</v>
      </c>
      <c r="N188" s="49" t="s">
        <v>3671</v>
      </c>
      <c r="O188" s="49" t="s">
        <v>3672</v>
      </c>
      <c r="P188" s="49" t="s">
        <v>2389</v>
      </c>
      <c r="Q188" s="58"/>
      <c r="R188" s="84"/>
      <c r="S188" s="85" t="s">
        <v>32</v>
      </c>
    </row>
    <row r="189">
      <c r="A189" s="94">
        <v>557.0</v>
      </c>
      <c r="B189" s="58" t="s">
        <v>2048</v>
      </c>
      <c r="C189" s="58" t="s">
        <v>2049</v>
      </c>
      <c r="D189" s="58" t="s">
        <v>2050</v>
      </c>
      <c r="E189" s="59" t="s">
        <v>36</v>
      </c>
      <c r="F189" s="59" t="s">
        <v>37</v>
      </c>
      <c r="G189" s="94" t="s">
        <v>58</v>
      </c>
      <c r="H189" s="58">
        <v>2019.0</v>
      </c>
      <c r="I189" s="49" t="s">
        <v>2997</v>
      </c>
      <c r="J189" s="49" t="s">
        <v>1231</v>
      </c>
      <c r="K189" s="49" t="s">
        <v>3673</v>
      </c>
      <c r="L189" s="49" t="s">
        <v>3674</v>
      </c>
      <c r="M189" s="58"/>
      <c r="N189" s="49" t="s">
        <v>3675</v>
      </c>
      <c r="O189" s="49" t="s">
        <v>3676</v>
      </c>
      <c r="P189" s="49" t="s">
        <v>2369</v>
      </c>
      <c r="Q189" s="49" t="s">
        <v>3677</v>
      </c>
      <c r="R189" s="84"/>
      <c r="S189" s="85" t="s">
        <v>32</v>
      </c>
    </row>
    <row r="190">
      <c r="A190" s="94">
        <v>561.0</v>
      </c>
      <c r="B190" s="58" t="s">
        <v>2061</v>
      </c>
      <c r="C190" s="58" t="s">
        <v>2062</v>
      </c>
      <c r="D190" s="58" t="s">
        <v>2063</v>
      </c>
      <c r="E190" s="59" t="s">
        <v>2064</v>
      </c>
      <c r="F190" s="59" t="s">
        <v>2065</v>
      </c>
      <c r="G190" s="94" t="s">
        <v>38</v>
      </c>
      <c r="H190" s="58">
        <v>2019.0</v>
      </c>
      <c r="I190" s="49" t="s">
        <v>3678</v>
      </c>
      <c r="J190" s="49" t="s">
        <v>3679</v>
      </c>
      <c r="K190" s="49" t="s">
        <v>3680</v>
      </c>
      <c r="L190" s="49" t="s">
        <v>3681</v>
      </c>
      <c r="M190" s="49" t="s">
        <v>3682</v>
      </c>
      <c r="N190" s="49" t="s">
        <v>3683</v>
      </c>
      <c r="O190" s="49" t="s">
        <v>3684</v>
      </c>
      <c r="P190" s="58"/>
      <c r="Q190" s="49" t="s">
        <v>3685</v>
      </c>
      <c r="R190" s="84"/>
      <c r="S190" s="85" t="s">
        <v>32</v>
      </c>
    </row>
    <row r="191">
      <c r="A191" s="94">
        <v>567.0</v>
      </c>
      <c r="B191" s="58" t="s">
        <v>2082</v>
      </c>
      <c r="C191" s="58" t="s">
        <v>2083</v>
      </c>
      <c r="D191" s="58" t="s">
        <v>2084</v>
      </c>
      <c r="E191" s="58" t="s">
        <v>62</v>
      </c>
      <c r="F191" s="58" t="s">
        <v>62</v>
      </c>
      <c r="G191" s="94" t="s">
        <v>38</v>
      </c>
      <c r="H191" s="58">
        <v>2018.0</v>
      </c>
      <c r="I191" s="49" t="s">
        <v>2372</v>
      </c>
      <c r="J191" s="49" t="s">
        <v>3686</v>
      </c>
      <c r="K191" s="49" t="s">
        <v>3687</v>
      </c>
      <c r="L191" s="49" t="s">
        <v>3688</v>
      </c>
      <c r="M191" s="49" t="s">
        <v>3598</v>
      </c>
      <c r="N191" s="49" t="s">
        <v>3689</v>
      </c>
      <c r="O191" s="49" t="s">
        <v>3690</v>
      </c>
      <c r="P191" s="49" t="s">
        <v>3691</v>
      </c>
      <c r="Q191" s="49" t="s">
        <v>3692</v>
      </c>
      <c r="R191" s="84"/>
      <c r="S191" s="85" t="s">
        <v>32</v>
      </c>
    </row>
    <row r="192">
      <c r="A192" s="94">
        <v>570.0</v>
      </c>
      <c r="B192" s="58" t="s">
        <v>2090</v>
      </c>
      <c r="C192" s="58" t="s">
        <v>2091</v>
      </c>
      <c r="D192" s="58" t="s">
        <v>2092</v>
      </c>
      <c r="E192" s="59" t="s">
        <v>2093</v>
      </c>
      <c r="F192" s="59" t="s">
        <v>2094</v>
      </c>
      <c r="G192" s="94" t="s">
        <v>58</v>
      </c>
      <c r="H192" s="58">
        <v>2019.0</v>
      </c>
      <c r="I192" s="49" t="s">
        <v>3693</v>
      </c>
      <c r="J192" s="49" t="s">
        <v>3694</v>
      </c>
      <c r="K192" s="49" t="s">
        <v>3695</v>
      </c>
      <c r="L192" s="49" t="s">
        <v>3696</v>
      </c>
      <c r="M192" s="49" t="s">
        <v>3697</v>
      </c>
      <c r="N192" s="49" t="s">
        <v>3698</v>
      </c>
      <c r="O192" s="49" t="s">
        <v>3699</v>
      </c>
      <c r="P192" s="49" t="s">
        <v>3700</v>
      </c>
      <c r="Q192" s="49" t="s">
        <v>3701</v>
      </c>
      <c r="R192" s="84"/>
      <c r="S192" s="85" t="s">
        <v>32</v>
      </c>
    </row>
    <row r="193">
      <c r="A193" s="94">
        <v>571.0</v>
      </c>
      <c r="B193" s="58" t="s">
        <v>2095</v>
      </c>
      <c r="C193" s="58" t="s">
        <v>2096</v>
      </c>
      <c r="D193" s="58" t="s">
        <v>2097</v>
      </c>
      <c r="E193" s="59" t="s">
        <v>36</v>
      </c>
      <c r="F193" s="59" t="s">
        <v>37</v>
      </c>
      <c r="G193" s="94" t="s">
        <v>58</v>
      </c>
      <c r="H193" s="58">
        <v>2018.0</v>
      </c>
      <c r="I193" s="49" t="s">
        <v>3702</v>
      </c>
      <c r="J193" s="49" t="s">
        <v>3703</v>
      </c>
      <c r="K193" s="49" t="s">
        <v>3704</v>
      </c>
      <c r="L193" s="49" t="s">
        <v>3705</v>
      </c>
      <c r="M193" s="58"/>
      <c r="N193" s="58"/>
      <c r="O193" s="58"/>
      <c r="P193" s="58"/>
      <c r="Q193" s="49" t="s">
        <v>3706</v>
      </c>
      <c r="R193" s="84"/>
      <c r="S193" s="85" t="s">
        <v>32</v>
      </c>
    </row>
    <row r="194">
      <c r="A194" s="94">
        <v>572.0</v>
      </c>
      <c r="B194" s="58" t="s">
        <v>2098</v>
      </c>
      <c r="C194" s="58" t="s">
        <v>2099</v>
      </c>
      <c r="D194" s="58" t="s">
        <v>2100</v>
      </c>
      <c r="E194" s="59" t="s">
        <v>29</v>
      </c>
      <c r="F194" s="59" t="s">
        <v>30</v>
      </c>
      <c r="G194" s="94" t="s">
        <v>38</v>
      </c>
      <c r="H194" s="58">
        <v>2019.0</v>
      </c>
      <c r="I194" s="49" t="s">
        <v>3707</v>
      </c>
      <c r="J194" s="49" t="s">
        <v>3708</v>
      </c>
      <c r="K194" s="49" t="s">
        <v>3709</v>
      </c>
      <c r="L194" s="49" t="s">
        <v>3710</v>
      </c>
      <c r="M194" s="49" t="s">
        <v>3711</v>
      </c>
      <c r="N194" s="49" t="s">
        <v>3712</v>
      </c>
      <c r="O194" s="49" t="s">
        <v>3713</v>
      </c>
      <c r="P194" s="49" t="s">
        <v>3714</v>
      </c>
      <c r="Q194" s="49" t="s">
        <v>3715</v>
      </c>
      <c r="R194" s="84"/>
      <c r="S194" s="85" t="s">
        <v>32</v>
      </c>
    </row>
    <row r="195">
      <c r="A195" s="94">
        <v>573.0</v>
      </c>
      <c r="B195" s="58" t="s">
        <v>2101</v>
      </c>
      <c r="C195" s="58" t="s">
        <v>2102</v>
      </c>
      <c r="D195" s="58" t="s">
        <v>2103</v>
      </c>
      <c r="E195" s="58" t="s">
        <v>128</v>
      </c>
      <c r="F195" s="58" t="s">
        <v>128</v>
      </c>
      <c r="G195" s="94" t="s">
        <v>38</v>
      </c>
      <c r="H195" s="58">
        <v>2018.0</v>
      </c>
      <c r="I195" s="49" t="s">
        <v>2449</v>
      </c>
      <c r="J195" s="49" t="s">
        <v>3716</v>
      </c>
      <c r="K195" s="49" t="s">
        <v>3717</v>
      </c>
      <c r="L195" s="49" t="s">
        <v>3718</v>
      </c>
      <c r="M195" s="49" t="s">
        <v>3719</v>
      </c>
      <c r="N195" s="49" t="s">
        <v>3720</v>
      </c>
      <c r="O195" s="49" t="s">
        <v>3721</v>
      </c>
      <c r="P195" s="49" t="s">
        <v>2590</v>
      </c>
      <c r="Q195" s="49" t="s">
        <v>3722</v>
      </c>
      <c r="R195" s="84"/>
      <c r="S195" s="85" t="s">
        <v>32</v>
      </c>
    </row>
    <row r="196">
      <c r="A196" s="94">
        <v>574.0</v>
      </c>
      <c r="B196" s="58" t="s">
        <v>2104</v>
      </c>
      <c r="C196" s="58" t="s">
        <v>2105</v>
      </c>
      <c r="D196" s="58" t="s">
        <v>1565</v>
      </c>
      <c r="E196" s="58" t="s">
        <v>393</v>
      </c>
      <c r="F196" s="59" t="s">
        <v>394</v>
      </c>
      <c r="G196" s="94" t="s">
        <v>38</v>
      </c>
      <c r="H196" s="58">
        <v>2020.0</v>
      </c>
      <c r="I196" s="49" t="s">
        <v>2618</v>
      </c>
      <c r="J196" s="49" t="s">
        <v>3723</v>
      </c>
      <c r="K196" s="49" t="s">
        <v>3724</v>
      </c>
      <c r="L196" s="49" t="s">
        <v>3725</v>
      </c>
      <c r="M196" s="49" t="s">
        <v>3726</v>
      </c>
      <c r="N196" s="49" t="s">
        <v>3727</v>
      </c>
      <c r="O196" s="49" t="s">
        <v>3728</v>
      </c>
      <c r="P196" s="49" t="s">
        <v>2647</v>
      </c>
      <c r="Q196" s="49" t="s">
        <v>3729</v>
      </c>
      <c r="R196" s="50" t="s">
        <v>3730</v>
      </c>
      <c r="S196" s="85" t="s">
        <v>32</v>
      </c>
    </row>
    <row r="197">
      <c r="A197" s="94">
        <v>579.0</v>
      </c>
      <c r="B197" s="58" t="s">
        <v>2118</v>
      </c>
      <c r="C197" s="58" t="s">
        <v>2119</v>
      </c>
      <c r="D197" s="49" t="s">
        <v>3731</v>
      </c>
      <c r="E197" s="59" t="s">
        <v>36</v>
      </c>
      <c r="F197" s="59" t="s">
        <v>37</v>
      </c>
      <c r="G197" s="94" t="s">
        <v>58</v>
      </c>
      <c r="H197" s="58">
        <v>2018.0</v>
      </c>
      <c r="I197" s="49" t="s">
        <v>2372</v>
      </c>
      <c r="J197" s="49" t="s">
        <v>3732</v>
      </c>
      <c r="K197" s="49" t="s">
        <v>3733</v>
      </c>
      <c r="L197" s="49" t="s">
        <v>3734</v>
      </c>
      <c r="M197" s="49" t="s">
        <v>3735</v>
      </c>
      <c r="N197" s="49" t="s">
        <v>3736</v>
      </c>
      <c r="O197" s="49" t="s">
        <v>3737</v>
      </c>
      <c r="P197" s="49" t="s">
        <v>3738</v>
      </c>
      <c r="Q197" s="49" t="s">
        <v>2407</v>
      </c>
      <c r="R197" s="84"/>
      <c r="S197" s="85" t="s">
        <v>32</v>
      </c>
    </row>
    <row r="198">
      <c r="A198" s="94">
        <v>580.0</v>
      </c>
      <c r="B198" s="58" t="s">
        <v>2121</v>
      </c>
      <c r="C198" s="58" t="s">
        <v>2122</v>
      </c>
      <c r="D198" s="59" t="s">
        <v>2123</v>
      </c>
      <c r="E198" s="59" t="s">
        <v>36</v>
      </c>
      <c r="F198" s="59" t="s">
        <v>37</v>
      </c>
      <c r="G198" s="94" t="s">
        <v>58</v>
      </c>
      <c r="H198" s="58">
        <v>2019.0</v>
      </c>
      <c r="I198" s="49" t="s">
        <v>2449</v>
      </c>
      <c r="J198" s="49" t="s">
        <v>3739</v>
      </c>
      <c r="K198" s="49" t="s">
        <v>3740</v>
      </c>
      <c r="L198" s="49" t="s">
        <v>3741</v>
      </c>
      <c r="M198" s="49" t="s">
        <v>3742</v>
      </c>
      <c r="N198" s="49" t="s">
        <v>3743</v>
      </c>
      <c r="O198" s="49" t="s">
        <v>3744</v>
      </c>
      <c r="P198" s="49" t="s">
        <v>3617</v>
      </c>
      <c r="Q198" s="49" t="s">
        <v>2407</v>
      </c>
      <c r="R198" s="84"/>
      <c r="S198" s="85" t="s">
        <v>32</v>
      </c>
    </row>
    <row r="199">
      <c r="A199" s="94">
        <v>584.0</v>
      </c>
      <c r="B199" s="58" t="s">
        <v>2134</v>
      </c>
      <c r="C199" s="58" t="s">
        <v>2135</v>
      </c>
      <c r="D199" s="58" t="s">
        <v>2136</v>
      </c>
      <c r="E199" s="59" t="s">
        <v>36</v>
      </c>
      <c r="F199" s="59" t="s">
        <v>37</v>
      </c>
      <c r="G199" s="94" t="s">
        <v>58</v>
      </c>
      <c r="H199" s="58">
        <v>2020.0</v>
      </c>
      <c r="I199" s="49" t="s">
        <v>3745</v>
      </c>
      <c r="J199" s="49" t="s">
        <v>3746</v>
      </c>
      <c r="K199" s="49" t="s">
        <v>3747</v>
      </c>
      <c r="L199" s="49" t="s">
        <v>3748</v>
      </c>
      <c r="M199" s="49" t="s">
        <v>3749</v>
      </c>
      <c r="N199" s="49" t="s">
        <v>3750</v>
      </c>
      <c r="O199" s="49" t="s">
        <v>3751</v>
      </c>
      <c r="P199" s="49" t="s">
        <v>2369</v>
      </c>
      <c r="Q199" s="49"/>
      <c r="R199" s="84"/>
      <c r="S199" s="85" t="s">
        <v>32</v>
      </c>
    </row>
    <row r="200">
      <c r="A200" s="94">
        <v>587.0</v>
      </c>
      <c r="B200" s="58" t="s">
        <v>2144</v>
      </c>
      <c r="C200" s="58" t="s">
        <v>2145</v>
      </c>
      <c r="D200" s="58" t="s">
        <v>2146</v>
      </c>
      <c r="E200" s="58" t="s">
        <v>62</v>
      </c>
      <c r="F200" s="58" t="s">
        <v>62</v>
      </c>
      <c r="G200" s="94" t="s">
        <v>38</v>
      </c>
      <c r="H200" s="58">
        <v>2020.0</v>
      </c>
      <c r="I200" s="49" t="s">
        <v>3752</v>
      </c>
      <c r="J200" s="49" t="s">
        <v>3753</v>
      </c>
      <c r="K200" s="49" t="s">
        <v>3754</v>
      </c>
      <c r="L200" s="49" t="s">
        <v>3755</v>
      </c>
      <c r="M200" s="49" t="s">
        <v>3756</v>
      </c>
      <c r="N200" s="49" t="s">
        <v>2951</v>
      </c>
      <c r="O200" s="49" t="s">
        <v>3757</v>
      </c>
      <c r="P200" s="49" t="s">
        <v>2590</v>
      </c>
      <c r="Q200" s="49" t="s">
        <v>3758</v>
      </c>
      <c r="R200" s="84"/>
      <c r="S200" s="85" t="s">
        <v>32</v>
      </c>
    </row>
    <row r="201">
      <c r="A201" s="94">
        <v>588.0</v>
      </c>
      <c r="B201" s="58" t="s">
        <v>2147</v>
      </c>
      <c r="C201" s="58" t="s">
        <v>2148</v>
      </c>
      <c r="D201" s="58" t="s">
        <v>2149</v>
      </c>
      <c r="E201" s="59" t="s">
        <v>36</v>
      </c>
      <c r="F201" s="59" t="s">
        <v>37</v>
      </c>
      <c r="G201" s="94" t="s">
        <v>58</v>
      </c>
      <c r="H201" s="58">
        <v>2020.0</v>
      </c>
      <c r="I201" s="60" t="s">
        <v>3759</v>
      </c>
      <c r="J201" s="49" t="s">
        <v>3760</v>
      </c>
      <c r="K201" s="49"/>
      <c r="L201" s="49" t="s">
        <v>3761</v>
      </c>
      <c r="M201" s="49" t="s">
        <v>3762</v>
      </c>
      <c r="N201" s="49"/>
      <c r="O201" s="49"/>
      <c r="P201" s="49" t="s">
        <v>2389</v>
      </c>
      <c r="Q201" s="58"/>
      <c r="R201" s="84"/>
      <c r="S201" s="85" t="s">
        <v>32</v>
      </c>
    </row>
    <row r="202">
      <c r="A202" s="94">
        <v>590.0</v>
      </c>
      <c r="B202" s="58" t="s">
        <v>2153</v>
      </c>
      <c r="C202" s="58" t="s">
        <v>2154</v>
      </c>
      <c r="D202" s="58" t="s">
        <v>2155</v>
      </c>
      <c r="E202" s="58" t="s">
        <v>128</v>
      </c>
      <c r="F202" s="58" t="s">
        <v>128</v>
      </c>
      <c r="G202" s="94" t="s">
        <v>38</v>
      </c>
      <c r="H202" s="58">
        <v>2020.0</v>
      </c>
      <c r="I202" s="60" t="s">
        <v>3763</v>
      </c>
      <c r="J202" s="49" t="s">
        <v>3764</v>
      </c>
      <c r="K202" s="49" t="s">
        <v>3765</v>
      </c>
      <c r="L202" s="49" t="s">
        <v>3766</v>
      </c>
      <c r="M202" s="49" t="s">
        <v>3767</v>
      </c>
      <c r="N202" s="49" t="s">
        <v>3768</v>
      </c>
      <c r="O202" s="49" t="s">
        <v>3769</v>
      </c>
      <c r="P202" s="49" t="s">
        <v>3770</v>
      </c>
      <c r="Q202" s="58"/>
      <c r="R202" s="84"/>
      <c r="S202" s="85" t="s">
        <v>32</v>
      </c>
    </row>
    <row r="203">
      <c r="A203" s="94">
        <v>591.0</v>
      </c>
      <c r="B203" s="58" t="s">
        <v>2156</v>
      </c>
      <c r="C203" s="58" t="s">
        <v>2157</v>
      </c>
      <c r="D203" s="58" t="s">
        <v>2158</v>
      </c>
      <c r="E203" s="58" t="s">
        <v>62</v>
      </c>
      <c r="F203" s="58" t="s">
        <v>62</v>
      </c>
      <c r="G203" s="94" t="s">
        <v>38</v>
      </c>
      <c r="H203" s="58">
        <v>2019.0</v>
      </c>
      <c r="I203" s="49" t="s">
        <v>2467</v>
      </c>
      <c r="J203" s="49" t="s">
        <v>3771</v>
      </c>
      <c r="K203" s="49" t="s">
        <v>3772</v>
      </c>
      <c r="L203" s="49" t="s">
        <v>3773</v>
      </c>
      <c r="M203" s="49" t="s">
        <v>3774</v>
      </c>
      <c r="N203" s="58"/>
      <c r="O203" s="49" t="s">
        <v>3775</v>
      </c>
      <c r="P203" s="49" t="s">
        <v>3776</v>
      </c>
      <c r="Q203" s="49" t="s">
        <v>3777</v>
      </c>
      <c r="R203" s="84"/>
      <c r="S203" s="85" t="s">
        <v>32</v>
      </c>
    </row>
    <row r="204">
      <c r="A204" s="94">
        <v>592.0</v>
      </c>
      <c r="B204" s="58" t="s">
        <v>2159</v>
      </c>
      <c r="C204" s="58" t="s">
        <v>2160</v>
      </c>
      <c r="D204" s="58" t="s">
        <v>2161</v>
      </c>
      <c r="E204" s="59" t="s">
        <v>36</v>
      </c>
      <c r="F204" s="59" t="s">
        <v>37</v>
      </c>
      <c r="G204" s="94" t="s">
        <v>58</v>
      </c>
      <c r="H204" s="58">
        <v>2018.0</v>
      </c>
      <c r="I204" s="49" t="s">
        <v>2372</v>
      </c>
      <c r="J204" s="49" t="s">
        <v>3778</v>
      </c>
      <c r="K204" s="49" t="s">
        <v>3779</v>
      </c>
      <c r="L204" s="49" t="s">
        <v>3780</v>
      </c>
      <c r="M204" s="49" t="s">
        <v>3781</v>
      </c>
      <c r="N204" s="58"/>
      <c r="O204" s="49" t="s">
        <v>3782</v>
      </c>
      <c r="P204" s="49" t="s">
        <v>3783</v>
      </c>
      <c r="Q204" s="58"/>
      <c r="R204" s="84"/>
      <c r="S204" s="85" t="s">
        <v>32</v>
      </c>
    </row>
    <row r="205">
      <c r="A205" s="94">
        <v>595.0</v>
      </c>
      <c r="B205" s="58" t="s">
        <v>2169</v>
      </c>
      <c r="C205" s="58" t="s">
        <v>2170</v>
      </c>
      <c r="D205" s="59" t="s">
        <v>2171</v>
      </c>
      <c r="E205" s="58" t="s">
        <v>62</v>
      </c>
      <c r="F205" s="58" t="s">
        <v>62</v>
      </c>
      <c r="G205" s="94" t="s">
        <v>38</v>
      </c>
      <c r="H205" s="58">
        <v>2019.0</v>
      </c>
      <c r="I205" s="49" t="s">
        <v>2372</v>
      </c>
      <c r="J205" s="49" t="s">
        <v>3784</v>
      </c>
      <c r="K205" s="49" t="s">
        <v>3785</v>
      </c>
      <c r="L205" s="49" t="s">
        <v>3786</v>
      </c>
      <c r="M205" s="49" t="s">
        <v>2696</v>
      </c>
      <c r="N205" s="49" t="s">
        <v>3787</v>
      </c>
      <c r="O205" s="49" t="s">
        <v>3788</v>
      </c>
      <c r="P205" s="49" t="s">
        <v>2590</v>
      </c>
      <c r="Q205" s="49" t="s">
        <v>2482</v>
      </c>
      <c r="R205" s="84"/>
      <c r="S205" s="85" t="s">
        <v>32</v>
      </c>
    </row>
    <row r="206">
      <c r="A206" s="94">
        <v>596.0</v>
      </c>
      <c r="B206" s="58" t="s">
        <v>2172</v>
      </c>
      <c r="C206" s="58" t="s">
        <v>2173</v>
      </c>
      <c r="D206" s="59" t="s">
        <v>2174</v>
      </c>
      <c r="E206" s="59" t="s">
        <v>36</v>
      </c>
      <c r="F206" s="59" t="s">
        <v>37</v>
      </c>
      <c r="G206" s="94" t="s">
        <v>38</v>
      </c>
      <c r="H206" s="58">
        <v>2019.0</v>
      </c>
      <c r="I206" s="49" t="s">
        <v>2441</v>
      </c>
      <c r="J206" s="49" t="s">
        <v>3789</v>
      </c>
      <c r="K206" s="49" t="s">
        <v>3790</v>
      </c>
      <c r="L206" s="49" t="s">
        <v>3791</v>
      </c>
      <c r="M206" s="49" t="s">
        <v>3792</v>
      </c>
      <c r="N206" s="49" t="s">
        <v>3793</v>
      </c>
      <c r="O206" s="49" t="s">
        <v>3794</v>
      </c>
      <c r="P206" s="49" t="s">
        <v>3795</v>
      </c>
      <c r="Q206" s="49" t="s">
        <v>3796</v>
      </c>
      <c r="R206" s="84"/>
      <c r="S206" s="85" t="s">
        <v>32</v>
      </c>
    </row>
    <row r="207">
      <c r="A207" s="94">
        <v>599.0</v>
      </c>
      <c r="B207" s="58" t="s">
        <v>2182</v>
      </c>
      <c r="C207" s="58" t="s">
        <v>2183</v>
      </c>
      <c r="D207" s="58" t="s">
        <v>2184</v>
      </c>
      <c r="E207" s="59" t="s">
        <v>36</v>
      </c>
      <c r="F207" s="59" t="s">
        <v>37</v>
      </c>
      <c r="G207" s="94" t="s">
        <v>58</v>
      </c>
      <c r="H207" s="49">
        <v>2018.0</v>
      </c>
      <c r="I207" s="49" t="s">
        <v>2449</v>
      </c>
      <c r="J207" s="49" t="s">
        <v>3797</v>
      </c>
      <c r="K207" s="49" t="s">
        <v>3798</v>
      </c>
      <c r="L207" s="49" t="s">
        <v>3799</v>
      </c>
      <c r="M207" s="49" t="s">
        <v>3800</v>
      </c>
      <c r="N207" s="49" t="s">
        <v>3801</v>
      </c>
      <c r="O207" s="49" t="s">
        <v>3802</v>
      </c>
      <c r="P207" s="49" t="s">
        <v>3088</v>
      </c>
      <c r="Q207" s="49" t="s">
        <v>3803</v>
      </c>
      <c r="R207" s="84"/>
      <c r="S207" s="85" t="s">
        <v>32</v>
      </c>
    </row>
    <row r="208">
      <c r="A208" s="94">
        <v>606.0</v>
      </c>
      <c r="B208" s="58" t="s">
        <v>2207</v>
      </c>
      <c r="C208" s="58" t="s">
        <v>2208</v>
      </c>
      <c r="D208" s="58" t="s">
        <v>2209</v>
      </c>
      <c r="E208" s="59" t="s">
        <v>80</v>
      </c>
      <c r="F208" s="59" t="s">
        <v>81</v>
      </c>
      <c r="G208" s="94" t="s">
        <v>58</v>
      </c>
      <c r="H208" s="49">
        <v>2018.0</v>
      </c>
      <c r="I208" s="49" t="s">
        <v>2467</v>
      </c>
      <c r="J208" s="49" t="s">
        <v>3804</v>
      </c>
      <c r="K208" s="49" t="s">
        <v>3805</v>
      </c>
      <c r="L208" s="49" t="s">
        <v>3806</v>
      </c>
      <c r="M208" s="49" t="s">
        <v>3807</v>
      </c>
      <c r="N208" s="49" t="s">
        <v>3808</v>
      </c>
      <c r="O208" s="49" t="s">
        <v>3809</v>
      </c>
      <c r="P208" s="49" t="s">
        <v>3617</v>
      </c>
      <c r="Q208" s="49" t="s">
        <v>2407</v>
      </c>
      <c r="R208" s="84"/>
      <c r="S208" s="85" t="s">
        <v>32</v>
      </c>
    </row>
    <row r="209">
      <c r="A209" s="97">
        <v>607.0</v>
      </c>
      <c r="B209" s="58" t="s">
        <v>2210</v>
      </c>
      <c r="C209" s="58" t="s">
        <v>2211</v>
      </c>
      <c r="D209" s="59" t="s">
        <v>2212</v>
      </c>
      <c r="E209" s="59" t="s">
        <v>36</v>
      </c>
      <c r="F209" s="59" t="s">
        <v>37</v>
      </c>
      <c r="G209" s="94" t="s">
        <v>38</v>
      </c>
      <c r="H209" s="58">
        <v>2020.0</v>
      </c>
      <c r="I209" s="49" t="s">
        <v>2372</v>
      </c>
      <c r="J209" s="49" t="s">
        <v>3810</v>
      </c>
      <c r="K209" s="49" t="s">
        <v>3811</v>
      </c>
      <c r="L209" s="49" t="s">
        <v>3812</v>
      </c>
      <c r="M209" s="49" t="s">
        <v>2487</v>
      </c>
      <c r="N209" s="49" t="s">
        <v>3813</v>
      </c>
      <c r="O209" s="49" t="s">
        <v>3814</v>
      </c>
      <c r="P209" s="49" t="s">
        <v>2590</v>
      </c>
      <c r="Q209" s="49" t="s">
        <v>3815</v>
      </c>
      <c r="R209" s="84"/>
      <c r="S209" s="85" t="s">
        <v>32</v>
      </c>
    </row>
    <row r="210">
      <c r="A210" s="94">
        <v>611.0</v>
      </c>
      <c r="B210" s="58" t="s">
        <v>2223</v>
      </c>
      <c r="C210" s="58" t="s">
        <v>2224</v>
      </c>
      <c r="D210" s="58" t="s">
        <v>2225</v>
      </c>
      <c r="E210" s="59" t="s">
        <v>36</v>
      </c>
      <c r="F210" s="59" t="s">
        <v>37</v>
      </c>
      <c r="G210" s="94" t="s">
        <v>58</v>
      </c>
      <c r="H210" s="58">
        <v>2018.0</v>
      </c>
      <c r="I210" s="49" t="s">
        <v>2362</v>
      </c>
      <c r="J210" s="49" t="s">
        <v>3816</v>
      </c>
      <c r="K210" s="49" t="s">
        <v>3817</v>
      </c>
      <c r="L210" s="49" t="s">
        <v>3818</v>
      </c>
      <c r="M210" s="49" t="s">
        <v>3819</v>
      </c>
      <c r="N210" s="49" t="s">
        <v>3820</v>
      </c>
      <c r="O210" s="49" t="s">
        <v>3821</v>
      </c>
      <c r="P210" s="49" t="s">
        <v>2581</v>
      </c>
      <c r="Q210" s="49" t="s">
        <v>2407</v>
      </c>
      <c r="R210" s="84"/>
      <c r="S210" s="85" t="s">
        <v>32</v>
      </c>
    </row>
    <row r="211">
      <c r="A211" s="94">
        <v>612.0</v>
      </c>
      <c r="B211" s="58" t="s">
        <v>2226</v>
      </c>
      <c r="C211" s="58" t="s">
        <v>2227</v>
      </c>
      <c r="D211" s="49" t="s">
        <v>2228</v>
      </c>
      <c r="E211" s="58" t="s">
        <v>128</v>
      </c>
      <c r="F211" s="58" t="s">
        <v>128</v>
      </c>
      <c r="G211" s="94" t="s">
        <v>38</v>
      </c>
      <c r="H211" s="58">
        <v>2020.0</v>
      </c>
      <c r="I211" s="49" t="s">
        <v>2467</v>
      </c>
      <c r="J211" s="49" t="s">
        <v>3822</v>
      </c>
      <c r="K211" s="49" t="s">
        <v>3823</v>
      </c>
      <c r="L211" s="49" t="s">
        <v>3824</v>
      </c>
      <c r="M211" s="49" t="s">
        <v>3825</v>
      </c>
      <c r="N211" s="49" t="s">
        <v>3826</v>
      </c>
      <c r="O211" s="49" t="s">
        <v>3827</v>
      </c>
      <c r="P211" s="49" t="s">
        <v>2503</v>
      </c>
      <c r="Q211" s="49" t="s">
        <v>3828</v>
      </c>
      <c r="R211" s="84"/>
      <c r="S211" s="85" t="s">
        <v>32</v>
      </c>
    </row>
    <row r="212">
      <c r="A212" s="94">
        <v>615.0</v>
      </c>
      <c r="B212" s="58" t="s">
        <v>2235</v>
      </c>
      <c r="C212" s="58" t="s">
        <v>2236</v>
      </c>
      <c r="D212" s="58" t="s">
        <v>2237</v>
      </c>
      <c r="E212" s="59" t="s">
        <v>36</v>
      </c>
      <c r="F212" s="59" t="s">
        <v>2238</v>
      </c>
      <c r="G212" s="94" t="s">
        <v>58</v>
      </c>
      <c r="H212" s="58">
        <v>2019.0</v>
      </c>
      <c r="I212" s="49" t="s">
        <v>2372</v>
      </c>
      <c r="J212" s="49" t="s">
        <v>3829</v>
      </c>
      <c r="K212" s="49" t="s">
        <v>3830</v>
      </c>
      <c r="L212" s="49" t="s">
        <v>3831</v>
      </c>
      <c r="M212" s="58"/>
      <c r="N212" s="49" t="s">
        <v>3832</v>
      </c>
      <c r="O212" s="49" t="s">
        <v>3833</v>
      </c>
      <c r="P212" s="49" t="s">
        <v>3834</v>
      </c>
      <c r="Q212" s="49" t="s">
        <v>2407</v>
      </c>
      <c r="R212" s="84"/>
      <c r="S212" s="85" t="s">
        <v>32</v>
      </c>
    </row>
    <row r="213">
      <c r="A213" s="94">
        <v>616.0</v>
      </c>
      <c r="B213" s="58" t="s">
        <v>2239</v>
      </c>
      <c r="C213" s="58" t="s">
        <v>2240</v>
      </c>
      <c r="D213" s="58" t="s">
        <v>2241</v>
      </c>
      <c r="E213" s="58" t="s">
        <v>128</v>
      </c>
      <c r="F213" s="58" t="s">
        <v>128</v>
      </c>
      <c r="G213" s="94" t="s">
        <v>38</v>
      </c>
      <c r="H213" s="58">
        <v>2020.0</v>
      </c>
      <c r="I213" s="49" t="s">
        <v>2372</v>
      </c>
      <c r="J213" s="49" t="s">
        <v>3835</v>
      </c>
      <c r="K213" s="49"/>
      <c r="L213" s="49" t="s">
        <v>3836</v>
      </c>
      <c r="M213" s="49" t="s">
        <v>3837</v>
      </c>
      <c r="N213" s="49" t="s">
        <v>3838</v>
      </c>
      <c r="O213" s="49" t="s">
        <v>3839</v>
      </c>
      <c r="P213" s="49" t="s">
        <v>3840</v>
      </c>
      <c r="Q213" s="49" t="s">
        <v>2407</v>
      </c>
      <c r="R213" s="84"/>
      <c r="S213" s="85" t="s">
        <v>32</v>
      </c>
    </row>
    <row r="214">
      <c r="A214" s="94">
        <v>617.0</v>
      </c>
      <c r="B214" s="58" t="s">
        <v>2242</v>
      </c>
      <c r="C214" s="58" t="s">
        <v>2243</v>
      </c>
      <c r="D214" s="49" t="s">
        <v>3841</v>
      </c>
      <c r="E214" s="59" t="s">
        <v>36</v>
      </c>
      <c r="F214" s="59" t="s">
        <v>37</v>
      </c>
      <c r="G214" s="94" t="s">
        <v>58</v>
      </c>
      <c r="H214" s="58">
        <v>2018.0</v>
      </c>
      <c r="I214" s="49" t="s">
        <v>2618</v>
      </c>
      <c r="J214" s="49" t="s">
        <v>3842</v>
      </c>
      <c r="K214" s="49"/>
      <c r="L214" s="49" t="s">
        <v>3843</v>
      </c>
      <c r="M214" s="49" t="s">
        <v>3844</v>
      </c>
      <c r="N214" s="49" t="s">
        <v>3845</v>
      </c>
      <c r="O214" s="49" t="s">
        <v>3846</v>
      </c>
      <c r="P214" s="49" t="s">
        <v>2369</v>
      </c>
      <c r="Q214" s="49" t="s">
        <v>3847</v>
      </c>
      <c r="R214" s="84"/>
      <c r="S214" s="85" t="s">
        <v>32</v>
      </c>
    </row>
    <row r="215">
      <c r="A215" s="94">
        <v>623.0</v>
      </c>
      <c r="B215" s="58" t="s">
        <v>2262</v>
      </c>
      <c r="C215" s="58" t="s">
        <v>2263</v>
      </c>
      <c r="D215" s="58" t="s">
        <v>2264</v>
      </c>
      <c r="E215" s="58" t="s">
        <v>128</v>
      </c>
      <c r="F215" s="58" t="s">
        <v>128</v>
      </c>
      <c r="G215" s="94" t="s">
        <v>38</v>
      </c>
      <c r="H215" s="58">
        <v>2019.0</v>
      </c>
      <c r="I215" s="49" t="s">
        <v>2467</v>
      </c>
      <c r="J215" s="49" t="s">
        <v>3848</v>
      </c>
      <c r="K215" s="49" t="s">
        <v>3849</v>
      </c>
      <c r="L215" s="49" t="s">
        <v>3850</v>
      </c>
      <c r="M215" s="49" t="s">
        <v>3851</v>
      </c>
      <c r="N215" s="49" t="s">
        <v>3852</v>
      </c>
      <c r="O215" s="49" t="s">
        <v>3853</v>
      </c>
      <c r="P215" s="49" t="s">
        <v>2647</v>
      </c>
      <c r="Q215" s="49" t="s">
        <v>3854</v>
      </c>
      <c r="R215" s="84"/>
      <c r="S215" s="85" t="s">
        <v>32</v>
      </c>
    </row>
    <row r="216">
      <c r="A216" s="94">
        <v>625.0</v>
      </c>
      <c r="B216" s="58" t="s">
        <v>2268</v>
      </c>
      <c r="C216" s="58" t="s">
        <v>2269</v>
      </c>
      <c r="D216" s="58" t="s">
        <v>2270</v>
      </c>
      <c r="E216" s="58" t="s">
        <v>128</v>
      </c>
      <c r="F216" s="58" t="s">
        <v>128</v>
      </c>
      <c r="G216" s="94" t="s">
        <v>38</v>
      </c>
      <c r="H216" s="49">
        <v>2020.0</v>
      </c>
      <c r="I216" s="49" t="s">
        <v>2618</v>
      </c>
      <c r="J216" s="49" t="s">
        <v>3855</v>
      </c>
      <c r="K216" s="49"/>
      <c r="L216" s="49" t="s">
        <v>3856</v>
      </c>
      <c r="M216" s="49" t="s">
        <v>3857</v>
      </c>
      <c r="N216" s="49" t="s">
        <v>3858</v>
      </c>
      <c r="O216" s="49" t="s">
        <v>3859</v>
      </c>
      <c r="P216" s="49" t="s">
        <v>2369</v>
      </c>
      <c r="Q216" s="49" t="s">
        <v>3860</v>
      </c>
      <c r="R216" s="61" t="s">
        <v>3861</v>
      </c>
      <c r="S216" s="85" t="s">
        <v>32</v>
      </c>
    </row>
    <row r="217">
      <c r="A217" s="94">
        <v>627.0</v>
      </c>
      <c r="B217" s="58" t="s">
        <v>2275</v>
      </c>
      <c r="C217" s="58" t="s">
        <v>2276</v>
      </c>
      <c r="D217" s="58" t="s">
        <v>1533</v>
      </c>
      <c r="E217" s="58" t="s">
        <v>128</v>
      </c>
      <c r="F217" s="58" t="s">
        <v>128</v>
      </c>
      <c r="G217" s="94" t="s">
        <v>38</v>
      </c>
      <c r="H217" s="58">
        <v>2020.0</v>
      </c>
      <c r="I217" s="49" t="s">
        <v>2372</v>
      </c>
      <c r="J217" s="49" t="s">
        <v>1405</v>
      </c>
      <c r="K217" s="49" t="s">
        <v>3862</v>
      </c>
      <c r="L217" s="49" t="s">
        <v>3863</v>
      </c>
      <c r="M217" s="49" t="s">
        <v>3864</v>
      </c>
      <c r="N217" s="49" t="s">
        <v>3865</v>
      </c>
      <c r="O217" s="49" t="s">
        <v>3866</v>
      </c>
      <c r="P217" s="49" t="s">
        <v>3068</v>
      </c>
      <c r="Q217" s="49" t="s">
        <v>2482</v>
      </c>
      <c r="R217" s="84"/>
      <c r="S217" s="85" t="s">
        <v>32</v>
      </c>
    </row>
    <row r="218">
      <c r="A218" s="94">
        <v>628.0</v>
      </c>
      <c r="B218" s="58" t="s">
        <v>2277</v>
      </c>
      <c r="C218" s="58" t="s">
        <v>2278</v>
      </c>
      <c r="D218" s="58" t="s">
        <v>2279</v>
      </c>
      <c r="E218" s="59" t="s">
        <v>2280</v>
      </c>
      <c r="F218" s="59" t="s">
        <v>2281</v>
      </c>
      <c r="G218" s="94" t="s">
        <v>38</v>
      </c>
      <c r="H218" s="58">
        <v>2018.0</v>
      </c>
      <c r="I218" s="49" t="s">
        <v>2372</v>
      </c>
      <c r="J218" s="49" t="s">
        <v>3867</v>
      </c>
      <c r="K218" s="58"/>
      <c r="L218" s="49" t="s">
        <v>3868</v>
      </c>
      <c r="M218" s="49" t="s">
        <v>3869</v>
      </c>
      <c r="N218" s="49" t="s">
        <v>3870</v>
      </c>
      <c r="O218" s="49" t="s">
        <v>3871</v>
      </c>
      <c r="P218" s="49" t="s">
        <v>3617</v>
      </c>
      <c r="Q218" s="49" t="s">
        <v>2482</v>
      </c>
      <c r="R218" s="84"/>
      <c r="S218" s="85" t="s">
        <v>32</v>
      </c>
    </row>
    <row r="219">
      <c r="A219" s="94">
        <v>629.0</v>
      </c>
      <c r="B219" s="58" t="s">
        <v>2282</v>
      </c>
      <c r="C219" s="58" t="s">
        <v>2283</v>
      </c>
      <c r="D219" s="58" t="s">
        <v>2284</v>
      </c>
      <c r="E219" s="58" t="s">
        <v>62</v>
      </c>
      <c r="F219" s="58" t="s">
        <v>62</v>
      </c>
      <c r="G219" s="94" t="s">
        <v>38</v>
      </c>
      <c r="H219" s="58">
        <v>2019.0</v>
      </c>
      <c r="I219" s="49" t="s">
        <v>2372</v>
      </c>
      <c r="J219" s="49" t="s">
        <v>3872</v>
      </c>
      <c r="K219" s="49" t="s">
        <v>3873</v>
      </c>
      <c r="L219" s="49" t="s">
        <v>3874</v>
      </c>
      <c r="M219" s="49" t="s">
        <v>3875</v>
      </c>
      <c r="N219" s="49" t="s">
        <v>3876</v>
      </c>
      <c r="O219" s="49" t="s">
        <v>3877</v>
      </c>
      <c r="P219" s="49" t="s">
        <v>3878</v>
      </c>
      <c r="Q219" s="49" t="s">
        <v>2482</v>
      </c>
      <c r="R219" s="84"/>
      <c r="S219" s="85" t="s">
        <v>32</v>
      </c>
    </row>
    <row r="220">
      <c r="A220" s="94">
        <v>631.0</v>
      </c>
      <c r="B220" s="58" t="s">
        <v>2289</v>
      </c>
      <c r="C220" s="58" t="s">
        <v>2290</v>
      </c>
      <c r="D220" s="58" t="s">
        <v>2291</v>
      </c>
      <c r="E220" s="59" t="s">
        <v>36</v>
      </c>
      <c r="F220" s="59" t="s">
        <v>37</v>
      </c>
      <c r="G220" s="94" t="s">
        <v>58</v>
      </c>
      <c r="H220" s="58">
        <v>2018.0</v>
      </c>
      <c r="I220" s="49" t="s">
        <v>3879</v>
      </c>
      <c r="J220" s="49" t="s">
        <v>3880</v>
      </c>
      <c r="K220" s="49"/>
      <c r="L220" s="49" t="s">
        <v>3881</v>
      </c>
      <c r="M220" s="49" t="s">
        <v>2661</v>
      </c>
      <c r="N220" s="49" t="s">
        <v>3882</v>
      </c>
      <c r="O220" s="49" t="s">
        <v>3883</v>
      </c>
      <c r="P220" s="49" t="s">
        <v>3884</v>
      </c>
      <c r="Q220" s="58"/>
      <c r="R220" s="84"/>
      <c r="S220" s="85" t="s">
        <v>32</v>
      </c>
    </row>
    <row r="221">
      <c r="A221" s="94">
        <v>632.0</v>
      </c>
      <c r="B221" s="58" t="s">
        <v>2292</v>
      </c>
      <c r="C221" s="58" t="s">
        <v>2293</v>
      </c>
      <c r="D221" s="58" t="s">
        <v>2294</v>
      </c>
      <c r="E221" s="58" t="s">
        <v>128</v>
      </c>
      <c r="F221" s="58" t="s">
        <v>128</v>
      </c>
      <c r="G221" s="94" t="s">
        <v>38</v>
      </c>
      <c r="H221" s="49">
        <v>2019.0</v>
      </c>
      <c r="I221" s="49" t="s">
        <v>3885</v>
      </c>
      <c r="J221" s="49" t="s">
        <v>3886</v>
      </c>
      <c r="K221" s="49" t="s">
        <v>3887</v>
      </c>
      <c r="L221" s="49" t="s">
        <v>3888</v>
      </c>
      <c r="M221" s="49" t="s">
        <v>3889</v>
      </c>
      <c r="N221" s="49" t="s">
        <v>3890</v>
      </c>
      <c r="O221" s="49" t="s">
        <v>3891</v>
      </c>
      <c r="P221" s="49" t="s">
        <v>3892</v>
      </c>
      <c r="Q221" s="49" t="s">
        <v>3893</v>
      </c>
      <c r="R221" s="84"/>
      <c r="S221" s="85" t="s">
        <v>32</v>
      </c>
    </row>
    <row r="222">
      <c r="A222" s="94">
        <v>633.0</v>
      </c>
      <c r="B222" s="58" t="s">
        <v>2295</v>
      </c>
      <c r="C222" s="58" t="s">
        <v>2296</v>
      </c>
      <c r="D222" s="58" t="s">
        <v>118</v>
      </c>
      <c r="E222" s="59" t="s">
        <v>36</v>
      </c>
      <c r="F222" s="59" t="s">
        <v>37</v>
      </c>
      <c r="G222" s="94" t="s">
        <v>38</v>
      </c>
      <c r="H222" s="58">
        <v>2019.0</v>
      </c>
      <c r="I222" s="49" t="s">
        <v>3894</v>
      </c>
      <c r="J222" s="49" t="s">
        <v>3895</v>
      </c>
      <c r="K222" s="49" t="s">
        <v>3896</v>
      </c>
      <c r="L222" s="49" t="s">
        <v>3897</v>
      </c>
      <c r="M222" s="49" t="s">
        <v>3898</v>
      </c>
      <c r="N222" s="49" t="s">
        <v>3899</v>
      </c>
      <c r="O222" s="49" t="s">
        <v>3900</v>
      </c>
      <c r="P222" s="49" t="s">
        <v>2503</v>
      </c>
      <c r="Q222" s="49"/>
      <c r="R222" s="84"/>
      <c r="S222" s="85" t="s">
        <v>32</v>
      </c>
    </row>
    <row r="223">
      <c r="A223" s="94">
        <v>646.0</v>
      </c>
      <c r="B223" s="58" t="s">
        <v>2336</v>
      </c>
      <c r="C223" s="58" t="s">
        <v>2337</v>
      </c>
      <c r="D223" s="58" t="s">
        <v>2338</v>
      </c>
      <c r="E223" s="59" t="s">
        <v>36</v>
      </c>
      <c r="F223" s="59" t="s">
        <v>37</v>
      </c>
      <c r="G223" s="94" t="s">
        <v>38</v>
      </c>
      <c r="H223" s="58">
        <v>2018.0</v>
      </c>
      <c r="I223" s="49" t="s">
        <v>2372</v>
      </c>
      <c r="J223" s="49" t="s">
        <v>3901</v>
      </c>
      <c r="K223" s="49" t="s">
        <v>3902</v>
      </c>
      <c r="L223" s="49" t="s">
        <v>3903</v>
      </c>
      <c r="M223" s="49" t="s">
        <v>3904</v>
      </c>
      <c r="N223" s="49" t="s">
        <v>3905</v>
      </c>
      <c r="O223" s="49" t="s">
        <v>3906</v>
      </c>
      <c r="P223" s="49" t="s">
        <v>3907</v>
      </c>
      <c r="Q223" s="49" t="s">
        <v>2407</v>
      </c>
      <c r="R223" s="84"/>
      <c r="S223" s="85" t="s">
        <v>32</v>
      </c>
    </row>
    <row r="224">
      <c r="A224" s="94">
        <v>647.0</v>
      </c>
      <c r="B224" s="58" t="s">
        <v>2339</v>
      </c>
      <c r="C224" s="58" t="s">
        <v>2340</v>
      </c>
      <c r="D224" s="58" t="s">
        <v>2341</v>
      </c>
      <c r="E224" s="58" t="s">
        <v>62</v>
      </c>
      <c r="F224" s="58" t="s">
        <v>62</v>
      </c>
      <c r="G224" s="94" t="s">
        <v>38</v>
      </c>
      <c r="H224" s="58">
        <v>2019.0</v>
      </c>
      <c r="I224" s="49" t="s">
        <v>2372</v>
      </c>
      <c r="J224" s="49" t="s">
        <v>3908</v>
      </c>
      <c r="K224" s="49" t="s">
        <v>3909</v>
      </c>
      <c r="L224" s="49" t="s">
        <v>3910</v>
      </c>
      <c r="M224" s="49" t="s">
        <v>3911</v>
      </c>
      <c r="N224" s="49" t="s">
        <v>3912</v>
      </c>
      <c r="O224" s="49" t="s">
        <v>3913</v>
      </c>
      <c r="P224" s="49" t="s">
        <v>2369</v>
      </c>
      <c r="Q224" s="49" t="s">
        <v>2407</v>
      </c>
      <c r="R224" s="84"/>
      <c r="S224" s="85" t="s">
        <v>32</v>
      </c>
    </row>
    <row r="225">
      <c r="A225" s="94">
        <v>650.0</v>
      </c>
      <c r="B225" s="58" t="s">
        <v>2349</v>
      </c>
      <c r="C225" s="58" t="s">
        <v>2350</v>
      </c>
      <c r="D225" s="58" t="s">
        <v>2351</v>
      </c>
      <c r="E225" s="58" t="s">
        <v>62</v>
      </c>
      <c r="F225" s="58" t="s">
        <v>62</v>
      </c>
      <c r="G225" s="94" t="s">
        <v>38</v>
      </c>
      <c r="H225" s="58">
        <v>2019.0</v>
      </c>
      <c r="I225" s="49" t="s">
        <v>2372</v>
      </c>
      <c r="J225" s="49" t="s">
        <v>3914</v>
      </c>
      <c r="K225" s="49" t="s">
        <v>3915</v>
      </c>
      <c r="L225" s="49" t="s">
        <v>3916</v>
      </c>
      <c r="M225" s="49"/>
      <c r="N225" s="58"/>
      <c r="O225" s="49" t="s">
        <v>3917</v>
      </c>
      <c r="P225" s="49" t="s">
        <v>2369</v>
      </c>
      <c r="Q225" s="49" t="s">
        <v>3918</v>
      </c>
      <c r="R225" s="84"/>
      <c r="S225" s="85" t="s">
        <v>32</v>
      </c>
    </row>
  </sheetData>
  <conditionalFormatting sqref="A81:H82 A86:H86 A91:B91 C91:C140 D91:F91 G91:G140 H91 A94:B140 D94:F140 H94:H140 C148 G148 B151:H151">
    <cfRule type="expression" dxfId="0" priority="1">
      <formula>$W81="Yes"</formula>
    </cfRule>
  </conditionalFormatting>
  <conditionalFormatting sqref="A81:H82 A86:H86 A91:B91 C91:C140 D91:F91 G91:G140 H91 A94:B140 D94:F140 H94:H140 C148 G148 B151:H151">
    <cfRule type="expression" dxfId="1" priority="2">
      <formula>$W81="No"</formula>
    </cfRule>
  </conditionalFormatting>
  <conditionalFormatting sqref="A81:H82 A86:H86 A91:B91 C91:C140 D91:F91 G91:G140 H91 A94:B140 D94:F140 H94:H140 C148 G148 B151:H151">
    <cfRule type="expression" dxfId="2" priority="3">
      <formula>$X81="Yes"</formula>
    </cfRule>
  </conditionalFormatting>
  <conditionalFormatting sqref="A81:H82 A86:H86 A91:B91 C91:C140 D91:F91 G91:G140 H91 A94:B140 D94:F140 H94:H140 C148 G148 B151:H151">
    <cfRule type="expression" dxfId="1" priority="4">
      <formula>$X81="No"</formula>
    </cfRule>
  </conditionalFormatting>
  <dataValidations>
    <dataValidation type="list" allowBlank="1" sqref="G2:G43 G83:G85 G87:G90 G92:G93 G141:G150 G152:G225">
      <formula1>'Tag Descriptions'!$A$3:$A$5</formula1>
    </dataValidation>
    <dataValidation type="list" allowBlank="1" showInputMessage="1" showErrorMessage="1" prompt="Workshop, Conference, Journal" sqref="G44:G82 G86 G91 G94:G140 G151">
      <formula1>'Tag Descriptions'!$A$3:$A$5</formula1>
    </dataValidation>
    <dataValidation type="list" allowBlank="1" showInputMessage="1" showErrorMessage="1" prompt="C: Christiaan Beels, F: Floris Boeve, S: Sophie Vos" sqref="S2:S225">
      <formula1>"C,F,S"</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42"/>
    <hyperlink r:id="rId16" ref="C43"/>
    <hyperlink r:id="rId17" ref="C44"/>
    <hyperlink r:id="rId18" ref="C45"/>
    <hyperlink r:id="rId19" ref="C46"/>
    <hyperlink r:id="rId20" ref="C47"/>
    <hyperlink r:id="rId21" ref="C48"/>
    <hyperlink r:id="rId22" ref="C49"/>
    <hyperlink r:id="rId23" ref="C50"/>
    <hyperlink r:id="rId24" ref="C51"/>
    <hyperlink r:id="rId25" ref="C52"/>
    <hyperlink r:id="rId26" ref="C53"/>
    <hyperlink r:id="rId27" ref="C54"/>
    <hyperlink r:id="rId28" ref="C55"/>
    <hyperlink r:id="rId29" ref="C56"/>
    <hyperlink r:id="rId30" ref="C57"/>
    <hyperlink r:id="rId31" ref="C58"/>
    <hyperlink r:id="rId32" ref="C59"/>
    <hyperlink r:id="rId33" ref="C60"/>
    <hyperlink r:id="rId34" ref="C61"/>
    <hyperlink r:id="rId35" ref="C62"/>
    <hyperlink r:id="rId36" ref="C63"/>
    <hyperlink r:id="rId37" ref="C64"/>
    <hyperlink r:id="rId38" ref="C65"/>
    <hyperlink r:id="rId39" ref="C66"/>
    <hyperlink r:id="rId40" ref="C67"/>
    <hyperlink r:id="rId41" ref="C68"/>
    <hyperlink r:id="rId42" ref="C69"/>
    <hyperlink r:id="rId43" ref="C70"/>
    <hyperlink r:id="rId44" ref="C71"/>
    <hyperlink r:id="rId45" ref="C72"/>
    <hyperlink r:id="rId46" ref="C73"/>
    <hyperlink r:id="rId47" ref="C74"/>
    <hyperlink r:id="rId48" ref="C75"/>
    <hyperlink r:id="rId49" ref="C76"/>
    <hyperlink r:id="rId50" ref="C77"/>
    <hyperlink r:id="rId51" ref="C78"/>
    <hyperlink r:id="rId52" ref="C79"/>
    <hyperlink r:id="rId53" ref="C80"/>
    <hyperlink r:id="rId54" ref="C81"/>
    <hyperlink r:id="rId55" ref="C82"/>
    <hyperlink r:id="rId56" ref="C83"/>
    <hyperlink r:id="rId57" ref="C84"/>
    <hyperlink r:id="rId58" ref="C85"/>
    <hyperlink r:id="rId59" ref="C86"/>
    <hyperlink r:id="rId60" ref="C87"/>
    <hyperlink r:id="rId61" ref="C88"/>
    <hyperlink r:id="rId62" ref="C89"/>
    <hyperlink r:id="rId63" ref="C90"/>
    <hyperlink r:id="rId64" ref="C91"/>
    <hyperlink r:id="rId65" ref="C92"/>
    <hyperlink r:id="rId66" ref="C93"/>
    <hyperlink r:id="rId67" ref="C94"/>
    <hyperlink r:id="rId68" ref="C95"/>
    <hyperlink r:id="rId69" ref="C96"/>
    <hyperlink r:id="rId70" ref="C97"/>
    <hyperlink r:id="rId71" ref="C98"/>
    <hyperlink r:id="rId72" ref="C99"/>
    <hyperlink r:id="rId73" ref="C100"/>
    <hyperlink r:id="rId74" ref="C101"/>
    <hyperlink r:id="rId75" ref="C102"/>
    <hyperlink r:id="rId76" ref="C103"/>
    <hyperlink r:id="rId77" ref="C104"/>
    <hyperlink r:id="rId78" ref="C105"/>
    <hyperlink r:id="rId79" ref="C106"/>
    <hyperlink r:id="rId80" ref="C107"/>
    <hyperlink r:id="rId81" ref="C108"/>
    <hyperlink r:id="rId82" ref="C109"/>
    <hyperlink r:id="rId83" ref="C110"/>
    <hyperlink r:id="rId84" ref="C111"/>
    <hyperlink r:id="rId85" ref="C112"/>
    <hyperlink r:id="rId86" ref="C113"/>
    <hyperlink r:id="rId87" ref="C114"/>
    <hyperlink r:id="rId88" ref="C115"/>
    <hyperlink r:id="rId89" ref="C116"/>
    <hyperlink r:id="rId90" ref="C117"/>
    <hyperlink r:id="rId91" ref="C118"/>
    <hyperlink r:id="rId92" ref="C119"/>
    <hyperlink r:id="rId93" ref="C120"/>
    <hyperlink r:id="rId94" ref="C121"/>
    <hyperlink r:id="rId95" ref="C122"/>
    <hyperlink r:id="rId96" ref="C123"/>
    <hyperlink r:id="rId97" ref="C124"/>
    <hyperlink r:id="rId98" ref="C125"/>
    <hyperlink r:id="rId99" ref="C126"/>
    <hyperlink r:id="rId100" ref="C127"/>
    <hyperlink r:id="rId101" ref="C128"/>
    <hyperlink r:id="rId102" ref="C129"/>
    <hyperlink r:id="rId103" ref="C130"/>
    <hyperlink r:id="rId104" ref="C131"/>
    <hyperlink r:id="rId105" ref="C132"/>
    <hyperlink r:id="rId106" ref="C133"/>
    <hyperlink r:id="rId107" ref="C134"/>
    <hyperlink r:id="rId108" ref="C135"/>
    <hyperlink r:id="rId109" ref="C136"/>
    <hyperlink r:id="rId110" ref="C137"/>
    <hyperlink r:id="rId111" ref="C138"/>
    <hyperlink r:id="rId112" ref="C139"/>
    <hyperlink r:id="rId113" ref="C140"/>
    <hyperlink r:id="rId114" ref="C141"/>
    <hyperlink r:id="rId115" ref="C142"/>
    <hyperlink r:id="rId116" ref="C143"/>
    <hyperlink r:id="rId117" ref="C144"/>
    <hyperlink r:id="rId118" ref="C145"/>
    <hyperlink r:id="rId119" ref="C146"/>
    <hyperlink r:id="rId120" ref="C147"/>
    <hyperlink r:id="rId121" ref="C148"/>
    <hyperlink r:id="rId122" ref="C149"/>
    <hyperlink r:id="rId123" ref="C150"/>
    <hyperlink r:id="rId124" ref="C151"/>
    <hyperlink r:id="rId125" ref="C152"/>
    <hyperlink r:id="rId126" ref="C153"/>
    <hyperlink r:id="rId127" ref="C154"/>
    <hyperlink r:id="rId128" ref="C155"/>
    <hyperlink r:id="rId129" ref="C156"/>
    <hyperlink r:id="rId130" ref="C157"/>
    <hyperlink r:id="rId131" ref="C158"/>
    <hyperlink r:id="rId132" ref="C159"/>
    <hyperlink r:id="rId133" ref="C160"/>
    <hyperlink r:id="rId134" ref="C161"/>
    <hyperlink r:id="rId135" ref="C162"/>
    <hyperlink r:id="rId136" ref="C163"/>
    <hyperlink r:id="rId137" ref="C164"/>
    <hyperlink r:id="rId138" ref="C165"/>
    <hyperlink r:id="rId139" ref="C166"/>
    <hyperlink r:id="rId140" ref="C167"/>
  </hyperlinks>
  <drawing r:id="rId141"/>
  <tableParts count="1">
    <tablePart r:id="rId1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29"/>
    <col customWidth="1" min="2" max="2" width="91.57"/>
    <col customWidth="1" min="3" max="4" width="32.0"/>
    <col customWidth="1" min="5" max="5" width="31.86"/>
    <col customWidth="1" min="6" max="6" width="16.43"/>
    <col customWidth="1" min="7" max="7" width="9.57"/>
    <col customWidth="1" min="8" max="8" width="7.14"/>
    <col customWidth="1" min="9" max="17" width="21.57"/>
    <col customWidth="1" min="18" max="18" width="28.0"/>
  </cols>
  <sheetData>
    <row r="1">
      <c r="A1" s="40" t="s">
        <v>0</v>
      </c>
      <c r="B1" s="40" t="s">
        <v>1</v>
      </c>
      <c r="C1" s="41" t="s">
        <v>2</v>
      </c>
      <c r="D1" s="40" t="s">
        <v>3</v>
      </c>
      <c r="E1" s="40" t="s">
        <v>4</v>
      </c>
      <c r="F1" s="41" t="s">
        <v>5</v>
      </c>
      <c r="G1" s="41" t="s">
        <v>6</v>
      </c>
      <c r="H1" s="42" t="s">
        <v>7</v>
      </c>
      <c r="I1" s="43" t="s">
        <v>2352</v>
      </c>
      <c r="J1" s="43" t="s">
        <v>2353</v>
      </c>
      <c r="K1" s="43" t="s">
        <v>2354</v>
      </c>
      <c r="L1" s="43" t="s">
        <v>2355</v>
      </c>
      <c r="M1" s="43" t="s">
        <v>2356</v>
      </c>
      <c r="N1" s="43" t="s">
        <v>2357</v>
      </c>
      <c r="O1" s="43" t="s">
        <v>2358</v>
      </c>
      <c r="P1" s="43" t="s">
        <v>2359</v>
      </c>
      <c r="Q1" s="43" t="s">
        <v>2360</v>
      </c>
      <c r="R1" s="44" t="s">
        <v>25</v>
      </c>
      <c r="S1" s="45" t="s">
        <v>24</v>
      </c>
    </row>
    <row r="2">
      <c r="A2" s="46">
        <v>6.0</v>
      </c>
      <c r="B2" s="47" t="s">
        <v>55</v>
      </c>
      <c r="C2" s="48" t="s">
        <v>2361</v>
      </c>
      <c r="D2" s="47" t="s">
        <v>57</v>
      </c>
      <c r="E2" s="49" t="s">
        <v>36</v>
      </c>
      <c r="F2" s="49" t="s">
        <v>37</v>
      </c>
      <c r="G2" s="46" t="s">
        <v>58</v>
      </c>
      <c r="H2" s="47">
        <v>2019.0</v>
      </c>
      <c r="I2" s="49" t="s">
        <v>3919</v>
      </c>
      <c r="J2" s="49" t="s">
        <v>3920</v>
      </c>
      <c r="K2" s="49"/>
      <c r="L2" s="49" t="s">
        <v>3921</v>
      </c>
      <c r="M2" s="49" t="s">
        <v>3922</v>
      </c>
      <c r="N2" s="49" t="s">
        <v>3923</v>
      </c>
      <c r="O2" s="49" t="s">
        <v>3924</v>
      </c>
      <c r="P2" s="49" t="s">
        <v>2590</v>
      </c>
      <c r="Q2" s="49"/>
      <c r="R2" s="50"/>
      <c r="S2" s="51" t="s">
        <v>32</v>
      </c>
    </row>
    <row r="3">
      <c r="A3" s="46">
        <v>7.0</v>
      </c>
      <c r="B3" s="47" t="s">
        <v>59</v>
      </c>
      <c r="C3" s="52" t="s">
        <v>2371</v>
      </c>
      <c r="D3" s="47" t="s">
        <v>61</v>
      </c>
      <c r="E3" s="47" t="s">
        <v>62</v>
      </c>
      <c r="F3" s="47" t="s">
        <v>62</v>
      </c>
      <c r="G3" s="46" t="s">
        <v>38</v>
      </c>
      <c r="H3" s="47">
        <v>2019.0</v>
      </c>
      <c r="I3" s="49" t="s">
        <v>3919</v>
      </c>
      <c r="J3" s="49" t="s">
        <v>3920</v>
      </c>
      <c r="K3" s="49" t="s">
        <v>3925</v>
      </c>
      <c r="L3" s="49" t="s">
        <v>3921</v>
      </c>
      <c r="M3" s="49" t="s">
        <v>3926</v>
      </c>
      <c r="N3" s="49" t="s">
        <v>3927</v>
      </c>
      <c r="O3" s="49" t="s">
        <v>3928</v>
      </c>
      <c r="P3" s="49" t="s">
        <v>3929</v>
      </c>
      <c r="Q3" s="49" t="s">
        <v>2407</v>
      </c>
      <c r="R3" s="50"/>
      <c r="S3" s="51" t="s">
        <v>32</v>
      </c>
    </row>
    <row r="4">
      <c r="A4" s="46">
        <v>10.0</v>
      </c>
      <c r="B4" s="47" t="s">
        <v>71</v>
      </c>
      <c r="C4" s="52" t="s">
        <v>2381</v>
      </c>
      <c r="D4" s="49" t="s">
        <v>73</v>
      </c>
      <c r="E4" s="49" t="s">
        <v>36</v>
      </c>
      <c r="F4" s="49" t="s">
        <v>37</v>
      </c>
      <c r="G4" s="46" t="s">
        <v>58</v>
      </c>
      <c r="H4" s="47">
        <v>2020.0</v>
      </c>
      <c r="I4" s="49" t="s">
        <v>3930</v>
      </c>
      <c r="J4" s="49" t="s">
        <v>3931</v>
      </c>
      <c r="K4" s="49" t="s">
        <v>3932</v>
      </c>
      <c r="L4" s="49" t="s">
        <v>3921</v>
      </c>
      <c r="M4" s="49" t="s">
        <v>3933</v>
      </c>
      <c r="N4" s="49" t="s">
        <v>3934</v>
      </c>
      <c r="O4" s="49" t="s">
        <v>3924</v>
      </c>
      <c r="P4" s="49" t="s">
        <v>2929</v>
      </c>
      <c r="Q4" s="49" t="s">
        <v>3935</v>
      </c>
      <c r="R4" s="50"/>
      <c r="S4" s="51" t="s">
        <v>32</v>
      </c>
    </row>
    <row r="5">
      <c r="A5" s="46">
        <v>11.0</v>
      </c>
      <c r="B5" s="47" t="s">
        <v>74</v>
      </c>
      <c r="C5" s="52" t="s">
        <v>2391</v>
      </c>
      <c r="D5" s="47" t="s">
        <v>76</v>
      </c>
      <c r="E5" s="49" t="s">
        <v>29</v>
      </c>
      <c r="F5" s="49" t="s">
        <v>30</v>
      </c>
      <c r="G5" s="46" t="s">
        <v>38</v>
      </c>
      <c r="H5" s="47">
        <v>2019.0</v>
      </c>
      <c r="I5" s="49" t="s">
        <v>3919</v>
      </c>
      <c r="J5" s="49" t="s">
        <v>3920</v>
      </c>
      <c r="K5" s="49"/>
      <c r="L5" s="49" t="s">
        <v>3921</v>
      </c>
      <c r="M5" s="49" t="s">
        <v>3936</v>
      </c>
      <c r="N5" s="49"/>
      <c r="O5" s="49" t="s">
        <v>3924</v>
      </c>
      <c r="P5" s="49" t="s">
        <v>3937</v>
      </c>
      <c r="Q5" s="49" t="s">
        <v>3938</v>
      </c>
      <c r="R5" s="50"/>
      <c r="S5" s="51" t="s">
        <v>32</v>
      </c>
    </row>
    <row r="6">
      <c r="A6" s="46">
        <v>13.0</v>
      </c>
      <c r="B6" s="47" t="s">
        <v>41</v>
      </c>
      <c r="C6" s="52" t="s">
        <v>2399</v>
      </c>
      <c r="D6" s="47" t="s">
        <v>84</v>
      </c>
      <c r="E6" s="47" t="s">
        <v>62</v>
      </c>
      <c r="F6" s="47" t="s">
        <v>62</v>
      </c>
      <c r="G6" s="46" t="s">
        <v>58</v>
      </c>
      <c r="H6" s="47">
        <v>2018.0</v>
      </c>
      <c r="I6" s="49" t="s">
        <v>3939</v>
      </c>
      <c r="J6" s="49" t="s">
        <v>3940</v>
      </c>
      <c r="K6" s="49"/>
      <c r="L6" s="49" t="s">
        <v>3921</v>
      </c>
      <c r="M6" s="49" t="s">
        <v>3922</v>
      </c>
      <c r="N6" s="49"/>
      <c r="O6" s="49" t="s">
        <v>3928</v>
      </c>
      <c r="P6" s="49" t="s">
        <v>3941</v>
      </c>
      <c r="Q6" s="49" t="s">
        <v>2407</v>
      </c>
      <c r="R6" s="50"/>
      <c r="S6" s="51" t="s">
        <v>32</v>
      </c>
    </row>
    <row r="7">
      <c r="A7" s="46">
        <v>16.0</v>
      </c>
      <c r="B7" s="47" t="s">
        <v>94</v>
      </c>
      <c r="C7" s="48" t="s">
        <v>95</v>
      </c>
      <c r="D7" s="47" t="s">
        <v>96</v>
      </c>
      <c r="E7" s="47" t="s">
        <v>62</v>
      </c>
      <c r="F7" s="47" t="s">
        <v>62</v>
      </c>
      <c r="G7" s="46" t="s">
        <v>38</v>
      </c>
      <c r="H7" s="47">
        <v>2020.0</v>
      </c>
      <c r="I7" s="49" t="s">
        <v>3919</v>
      </c>
      <c r="J7" s="49" t="s">
        <v>3931</v>
      </c>
      <c r="K7" s="49"/>
      <c r="L7" s="49" t="s">
        <v>3921</v>
      </c>
      <c r="M7" s="49" t="s">
        <v>3942</v>
      </c>
      <c r="N7" s="49" t="s">
        <v>2503</v>
      </c>
      <c r="O7" s="49" t="s">
        <v>3924</v>
      </c>
      <c r="P7" s="49" t="s">
        <v>2590</v>
      </c>
      <c r="Q7" s="49" t="s">
        <v>3943</v>
      </c>
      <c r="R7" s="50"/>
      <c r="S7" s="51" t="s">
        <v>32</v>
      </c>
    </row>
    <row r="8">
      <c r="A8" s="46">
        <v>17.0</v>
      </c>
      <c r="B8" s="47" t="s">
        <v>97</v>
      </c>
      <c r="C8" s="48" t="s">
        <v>98</v>
      </c>
      <c r="D8" s="47" t="s">
        <v>99</v>
      </c>
      <c r="E8" s="49" t="s">
        <v>100</v>
      </c>
      <c r="F8" s="49" t="s">
        <v>101</v>
      </c>
      <c r="G8" s="46" t="s">
        <v>38</v>
      </c>
      <c r="H8" s="47">
        <v>2020.0</v>
      </c>
      <c r="I8" s="49" t="s">
        <v>3919</v>
      </c>
      <c r="J8" s="49" t="s">
        <v>3944</v>
      </c>
      <c r="K8" s="53" t="s">
        <v>3945</v>
      </c>
      <c r="L8" s="49" t="s">
        <v>3921</v>
      </c>
      <c r="M8" s="49" t="s">
        <v>3926</v>
      </c>
      <c r="N8" s="49" t="s">
        <v>3923</v>
      </c>
      <c r="O8" s="49" t="s">
        <v>3928</v>
      </c>
      <c r="P8" s="49" t="s">
        <v>2590</v>
      </c>
      <c r="Q8" s="49" t="s">
        <v>2407</v>
      </c>
      <c r="R8" s="50"/>
      <c r="S8" s="51" t="s">
        <v>32</v>
      </c>
    </row>
    <row r="9">
      <c r="A9" s="46">
        <v>21.0</v>
      </c>
      <c r="B9" s="47" t="s">
        <v>116</v>
      </c>
      <c r="C9" s="54" t="s">
        <v>3946</v>
      </c>
      <c r="D9" s="47" t="s">
        <v>118</v>
      </c>
      <c r="E9" s="47" t="s">
        <v>62</v>
      </c>
      <c r="F9" s="47" t="s">
        <v>62</v>
      </c>
      <c r="G9" s="46" t="s">
        <v>38</v>
      </c>
      <c r="H9" s="47">
        <v>2019.0</v>
      </c>
      <c r="I9" s="49" t="s">
        <v>3919</v>
      </c>
      <c r="J9" s="49" t="s">
        <v>3920</v>
      </c>
      <c r="K9" s="49" t="s">
        <v>3947</v>
      </c>
      <c r="L9" s="49" t="s">
        <v>3921</v>
      </c>
      <c r="M9" s="49" t="s">
        <v>3926</v>
      </c>
      <c r="N9" s="49" t="s">
        <v>3948</v>
      </c>
      <c r="O9" s="49" t="s">
        <v>3949</v>
      </c>
      <c r="P9" s="49" t="s">
        <v>3950</v>
      </c>
      <c r="Q9" s="49" t="s">
        <v>3951</v>
      </c>
      <c r="R9" s="50"/>
      <c r="S9" s="51" t="s">
        <v>32</v>
      </c>
    </row>
    <row r="10">
      <c r="A10" s="46">
        <v>32.0</v>
      </c>
      <c r="B10" s="47" t="s">
        <v>153</v>
      </c>
      <c r="C10" s="54" t="s">
        <v>3952</v>
      </c>
      <c r="D10" s="47" t="s">
        <v>155</v>
      </c>
      <c r="E10" s="49" t="s">
        <v>156</v>
      </c>
      <c r="F10" s="55" t="s">
        <v>157</v>
      </c>
      <c r="G10" s="46" t="s">
        <v>38</v>
      </c>
      <c r="H10" s="49">
        <v>2018.0</v>
      </c>
      <c r="I10" s="49" t="s">
        <v>3919</v>
      </c>
      <c r="J10" s="49" t="s">
        <v>3953</v>
      </c>
      <c r="K10" s="49" t="s">
        <v>3954</v>
      </c>
      <c r="L10" s="49" t="s">
        <v>3921</v>
      </c>
      <c r="M10" s="49" t="s">
        <v>3955</v>
      </c>
      <c r="N10" s="49" t="s">
        <v>3956</v>
      </c>
      <c r="O10" s="49" t="s">
        <v>3928</v>
      </c>
      <c r="P10" s="49" t="s">
        <v>3957</v>
      </c>
      <c r="Q10" s="49" t="s">
        <v>3958</v>
      </c>
      <c r="R10" s="50"/>
      <c r="S10" s="51" t="s">
        <v>32</v>
      </c>
    </row>
    <row r="11">
      <c r="A11" s="46">
        <v>33.0</v>
      </c>
      <c r="B11" s="47" t="s">
        <v>158</v>
      </c>
      <c r="C11" s="54" t="s">
        <v>3959</v>
      </c>
      <c r="D11" s="49" t="s">
        <v>160</v>
      </c>
      <c r="E11" s="49" t="s">
        <v>36</v>
      </c>
      <c r="F11" s="49" t="s">
        <v>37</v>
      </c>
      <c r="G11" s="46" t="s">
        <v>58</v>
      </c>
      <c r="H11" s="47">
        <v>2018.0</v>
      </c>
      <c r="I11" s="49" t="s">
        <v>3930</v>
      </c>
      <c r="J11" s="49" t="s">
        <v>3931</v>
      </c>
      <c r="K11" s="49"/>
      <c r="L11" s="49" t="s">
        <v>3921</v>
      </c>
      <c r="M11" s="49" t="s">
        <v>2445</v>
      </c>
      <c r="N11" s="49" t="s">
        <v>3960</v>
      </c>
      <c r="O11" s="49" t="s">
        <v>3928</v>
      </c>
      <c r="P11" s="49" t="s">
        <v>2929</v>
      </c>
      <c r="Q11" s="49" t="s">
        <v>3961</v>
      </c>
      <c r="R11" s="50"/>
      <c r="S11" s="51" t="s">
        <v>32</v>
      </c>
    </row>
    <row r="12">
      <c r="A12" s="56">
        <v>34.0</v>
      </c>
      <c r="B12" s="47" t="s">
        <v>161</v>
      </c>
      <c r="C12" s="52" t="s">
        <v>2448</v>
      </c>
      <c r="D12" s="47" t="s">
        <v>163</v>
      </c>
      <c r="E12" s="47" t="s">
        <v>62</v>
      </c>
      <c r="F12" s="47" t="s">
        <v>62</v>
      </c>
      <c r="G12" s="56" t="s">
        <v>38</v>
      </c>
      <c r="H12" s="47">
        <v>2019.0</v>
      </c>
      <c r="I12" s="49" t="s">
        <v>3919</v>
      </c>
      <c r="J12" s="49" t="s">
        <v>3920</v>
      </c>
      <c r="K12" s="49" t="s">
        <v>3925</v>
      </c>
      <c r="L12" s="49" t="s">
        <v>3921</v>
      </c>
      <c r="M12" s="49" t="s">
        <v>3922</v>
      </c>
      <c r="N12" s="49" t="s">
        <v>3923</v>
      </c>
      <c r="O12" s="49" t="s">
        <v>3928</v>
      </c>
      <c r="P12" s="49" t="s">
        <v>2590</v>
      </c>
      <c r="Q12" s="49" t="s">
        <v>3962</v>
      </c>
      <c r="R12" s="50"/>
      <c r="S12" s="51" t="s">
        <v>32</v>
      </c>
    </row>
    <row r="13">
      <c r="A13" s="46">
        <v>38.0</v>
      </c>
      <c r="B13" s="47" t="s">
        <v>176</v>
      </c>
      <c r="C13" s="52" t="s">
        <v>2457</v>
      </c>
      <c r="D13" s="49" t="s">
        <v>178</v>
      </c>
      <c r="E13" s="47" t="s">
        <v>62</v>
      </c>
      <c r="F13" s="47" t="s">
        <v>62</v>
      </c>
      <c r="G13" s="46" t="s">
        <v>58</v>
      </c>
      <c r="H13" s="47">
        <v>2019.0</v>
      </c>
      <c r="I13" s="49" t="s">
        <v>3930</v>
      </c>
      <c r="J13" s="49" t="s">
        <v>3931</v>
      </c>
      <c r="K13" s="49"/>
      <c r="L13" s="49" t="s">
        <v>3921</v>
      </c>
      <c r="M13" s="49" t="s">
        <v>3963</v>
      </c>
      <c r="N13" s="49" t="s">
        <v>3964</v>
      </c>
      <c r="O13" s="49" t="s">
        <v>3928</v>
      </c>
      <c r="P13" s="49" t="s">
        <v>2929</v>
      </c>
      <c r="Q13" s="49" t="s">
        <v>3965</v>
      </c>
      <c r="R13" s="50"/>
      <c r="S13" s="51" t="s">
        <v>32</v>
      </c>
    </row>
    <row r="14">
      <c r="A14" s="46">
        <v>40.0</v>
      </c>
      <c r="B14" s="47" t="s">
        <v>183</v>
      </c>
      <c r="C14" s="52" t="s">
        <v>2466</v>
      </c>
      <c r="D14" s="47" t="s">
        <v>185</v>
      </c>
      <c r="E14" s="49" t="s">
        <v>36</v>
      </c>
      <c r="F14" s="49" t="s">
        <v>37</v>
      </c>
      <c r="G14" s="46" t="s">
        <v>58</v>
      </c>
      <c r="H14" s="47">
        <v>2019.0</v>
      </c>
      <c r="I14" s="49" t="s">
        <v>3966</v>
      </c>
      <c r="J14" s="49" t="s">
        <v>3967</v>
      </c>
      <c r="K14" s="49" t="s">
        <v>3925</v>
      </c>
      <c r="L14" s="49" t="s">
        <v>3921</v>
      </c>
      <c r="M14" s="49" t="s">
        <v>3968</v>
      </c>
      <c r="N14" s="49" t="s">
        <v>2503</v>
      </c>
      <c r="O14" s="49" t="s">
        <v>3928</v>
      </c>
      <c r="P14" s="49" t="s">
        <v>2503</v>
      </c>
      <c r="Q14" s="49"/>
      <c r="R14" s="50"/>
      <c r="S14" s="51" t="s">
        <v>32</v>
      </c>
    </row>
    <row r="15">
      <c r="A15" s="57">
        <v>44.0</v>
      </c>
      <c r="B15" s="58" t="s">
        <v>197</v>
      </c>
      <c r="C15" s="52" t="s">
        <v>2475</v>
      </c>
      <c r="D15" s="58" t="s">
        <v>199</v>
      </c>
      <c r="E15" s="59" t="s">
        <v>36</v>
      </c>
      <c r="F15" s="59" t="s">
        <v>37</v>
      </c>
      <c r="G15" s="46" t="s">
        <v>58</v>
      </c>
      <c r="H15" s="58">
        <v>2019.0</v>
      </c>
      <c r="I15" s="49" t="s">
        <v>3919</v>
      </c>
      <c r="J15" s="49" t="s">
        <v>3969</v>
      </c>
      <c r="K15" s="49"/>
      <c r="L15" s="49" t="s">
        <v>3921</v>
      </c>
      <c r="M15" s="49" t="s">
        <v>3926</v>
      </c>
      <c r="N15" s="49" t="s">
        <v>3970</v>
      </c>
      <c r="O15" s="49" t="s">
        <v>3928</v>
      </c>
      <c r="P15" s="49" t="s">
        <v>2590</v>
      </c>
      <c r="Q15" s="49" t="s">
        <v>2407</v>
      </c>
      <c r="R15" s="50"/>
      <c r="S15" s="51" t="s">
        <v>32</v>
      </c>
    </row>
    <row r="16">
      <c r="A16" s="57">
        <v>49.0</v>
      </c>
      <c r="B16" s="58" t="s">
        <v>215</v>
      </c>
      <c r="C16" s="58" t="s">
        <v>216</v>
      </c>
      <c r="D16" s="58" t="s">
        <v>217</v>
      </c>
      <c r="E16" s="59" t="s">
        <v>80</v>
      </c>
      <c r="F16" s="59" t="s">
        <v>81</v>
      </c>
      <c r="G16" s="46" t="s">
        <v>58</v>
      </c>
      <c r="H16" s="58">
        <v>2020.0</v>
      </c>
      <c r="I16" s="49" t="s">
        <v>3966</v>
      </c>
      <c r="J16" s="49" t="s">
        <v>3931</v>
      </c>
      <c r="K16" s="49" t="s">
        <v>3932</v>
      </c>
      <c r="L16" s="49" t="s">
        <v>3921</v>
      </c>
      <c r="M16" s="49" t="s">
        <v>3926</v>
      </c>
      <c r="N16" s="58"/>
      <c r="O16" s="49" t="s">
        <v>3924</v>
      </c>
      <c r="P16" s="49" t="s">
        <v>2590</v>
      </c>
      <c r="Q16" s="49" t="s">
        <v>3971</v>
      </c>
      <c r="R16" s="50"/>
      <c r="S16" s="51" t="s">
        <v>32</v>
      </c>
    </row>
    <row r="17">
      <c r="A17" s="57">
        <v>51.0</v>
      </c>
      <c r="B17" s="58" t="s">
        <v>221</v>
      </c>
      <c r="C17" s="58" t="s">
        <v>222</v>
      </c>
      <c r="D17" s="58" t="s">
        <v>223</v>
      </c>
      <c r="E17" s="59" t="s">
        <v>80</v>
      </c>
      <c r="F17" s="59" t="s">
        <v>81</v>
      </c>
      <c r="G17" s="46" t="s">
        <v>58</v>
      </c>
      <c r="H17" s="58">
        <v>2020.0</v>
      </c>
      <c r="I17" s="49" t="s">
        <v>3939</v>
      </c>
      <c r="J17" s="49" t="s">
        <v>3972</v>
      </c>
      <c r="K17" s="49" t="s">
        <v>3954</v>
      </c>
      <c r="L17" s="49" t="s">
        <v>3973</v>
      </c>
      <c r="M17" s="49" t="s">
        <v>3974</v>
      </c>
      <c r="N17" s="58"/>
      <c r="O17" s="49" t="s">
        <v>3924</v>
      </c>
      <c r="P17" s="49" t="s">
        <v>2929</v>
      </c>
      <c r="Q17" s="58"/>
      <c r="R17" s="50"/>
      <c r="S17" s="51" t="s">
        <v>32</v>
      </c>
    </row>
    <row r="18">
      <c r="A18" s="57">
        <v>53.0</v>
      </c>
      <c r="B18" s="58" t="s">
        <v>228</v>
      </c>
      <c r="C18" s="58" t="s">
        <v>229</v>
      </c>
      <c r="D18" s="49" t="s">
        <v>230</v>
      </c>
      <c r="E18" s="59" t="s">
        <v>36</v>
      </c>
      <c r="F18" s="59" t="s">
        <v>37</v>
      </c>
      <c r="G18" s="46" t="s">
        <v>38</v>
      </c>
      <c r="H18" s="58">
        <v>2018.0</v>
      </c>
      <c r="I18" s="49" t="s">
        <v>3919</v>
      </c>
      <c r="J18" s="49" t="s">
        <v>3967</v>
      </c>
      <c r="K18" s="49"/>
      <c r="L18" s="49" t="s">
        <v>3921</v>
      </c>
      <c r="M18" s="49" t="s">
        <v>3926</v>
      </c>
      <c r="N18" s="49" t="s">
        <v>2503</v>
      </c>
      <c r="O18" s="49" t="s">
        <v>3928</v>
      </c>
      <c r="P18" s="49" t="s">
        <v>2503</v>
      </c>
      <c r="Q18" s="49" t="s">
        <v>3954</v>
      </c>
      <c r="R18" s="50"/>
      <c r="S18" s="51" t="s">
        <v>32</v>
      </c>
    </row>
    <row r="19">
      <c r="A19" s="57">
        <v>54.0</v>
      </c>
      <c r="B19" s="58" t="s">
        <v>231</v>
      </c>
      <c r="C19" s="58" t="s">
        <v>232</v>
      </c>
      <c r="D19" s="58" t="s">
        <v>233</v>
      </c>
      <c r="E19" s="58" t="s">
        <v>62</v>
      </c>
      <c r="F19" s="58" t="s">
        <v>62</v>
      </c>
      <c r="G19" s="46" t="s">
        <v>38</v>
      </c>
      <c r="H19" s="58">
        <v>2020.0</v>
      </c>
      <c r="I19" s="49" t="s">
        <v>3966</v>
      </c>
      <c r="J19" s="49" t="s">
        <v>3920</v>
      </c>
      <c r="K19" s="49" t="s">
        <v>3932</v>
      </c>
      <c r="L19" s="49" t="s">
        <v>3921</v>
      </c>
      <c r="M19" s="49" t="s">
        <v>3955</v>
      </c>
      <c r="N19" s="49" t="s">
        <v>3956</v>
      </c>
      <c r="O19" s="49" t="s">
        <v>3928</v>
      </c>
      <c r="P19" s="49" t="s">
        <v>2590</v>
      </c>
      <c r="Q19" s="49"/>
      <c r="R19" s="50"/>
      <c r="S19" s="51" t="s">
        <v>32</v>
      </c>
    </row>
    <row r="20">
      <c r="A20" s="57">
        <v>56.0</v>
      </c>
      <c r="B20" s="58" t="s">
        <v>238</v>
      </c>
      <c r="C20" s="58" t="s">
        <v>239</v>
      </c>
      <c r="D20" s="58" t="s">
        <v>240</v>
      </c>
      <c r="E20" s="58" t="s">
        <v>128</v>
      </c>
      <c r="F20" s="58" t="s">
        <v>128</v>
      </c>
      <c r="G20" s="46" t="s">
        <v>38</v>
      </c>
      <c r="H20" s="58">
        <v>2020.0</v>
      </c>
      <c r="I20" s="49" t="s">
        <v>3919</v>
      </c>
      <c r="J20" s="49" t="s">
        <v>3920</v>
      </c>
      <c r="K20" s="49" t="s">
        <v>3932</v>
      </c>
      <c r="L20" s="49" t="s">
        <v>3921</v>
      </c>
      <c r="M20" s="49" t="s">
        <v>3975</v>
      </c>
      <c r="N20" s="49" t="s">
        <v>3976</v>
      </c>
      <c r="O20" s="49" t="s">
        <v>3924</v>
      </c>
      <c r="P20" s="49" t="s">
        <v>2590</v>
      </c>
      <c r="Q20" s="49" t="s">
        <v>3943</v>
      </c>
      <c r="R20" s="50"/>
      <c r="S20" s="51" t="s">
        <v>32</v>
      </c>
    </row>
    <row r="21">
      <c r="A21" s="57">
        <v>57.0</v>
      </c>
      <c r="B21" s="58" t="s">
        <v>241</v>
      </c>
      <c r="C21" s="58" t="s">
        <v>242</v>
      </c>
      <c r="D21" s="58" t="s">
        <v>243</v>
      </c>
      <c r="E21" s="59" t="s">
        <v>36</v>
      </c>
      <c r="F21" s="59" t="s">
        <v>37</v>
      </c>
      <c r="G21" s="46" t="s">
        <v>58</v>
      </c>
      <c r="H21" s="58">
        <v>2019.0</v>
      </c>
      <c r="I21" s="49" t="s">
        <v>3966</v>
      </c>
      <c r="J21" s="49" t="s">
        <v>3972</v>
      </c>
      <c r="K21" s="49" t="s">
        <v>3932</v>
      </c>
      <c r="L21" s="49" t="s">
        <v>3977</v>
      </c>
      <c r="M21" s="49" t="s">
        <v>3978</v>
      </c>
      <c r="N21" s="49" t="s">
        <v>3979</v>
      </c>
      <c r="O21" s="49" t="s">
        <v>3924</v>
      </c>
      <c r="P21" s="49" t="s">
        <v>2929</v>
      </c>
      <c r="Q21" s="49" t="s">
        <v>3943</v>
      </c>
      <c r="R21" s="50"/>
      <c r="S21" s="51" t="s">
        <v>32</v>
      </c>
    </row>
    <row r="22">
      <c r="A22" s="57">
        <v>58.0</v>
      </c>
      <c r="B22" s="58" t="s">
        <v>244</v>
      </c>
      <c r="C22" s="58" t="s">
        <v>245</v>
      </c>
      <c r="D22" s="58" t="s">
        <v>246</v>
      </c>
      <c r="E22" s="59" t="s">
        <v>36</v>
      </c>
      <c r="F22" s="59" t="s">
        <v>37</v>
      </c>
      <c r="G22" s="46" t="s">
        <v>58</v>
      </c>
      <c r="H22" s="58">
        <v>2019.0</v>
      </c>
      <c r="I22" s="49" t="s">
        <v>3919</v>
      </c>
      <c r="J22" s="49" t="s">
        <v>3931</v>
      </c>
      <c r="K22" s="49"/>
      <c r="L22" s="49" t="s">
        <v>3921</v>
      </c>
      <c r="M22" s="49" t="s">
        <v>3926</v>
      </c>
      <c r="N22" s="49" t="s">
        <v>3980</v>
      </c>
      <c r="O22" s="49" t="s">
        <v>3928</v>
      </c>
      <c r="P22" s="49" t="s">
        <v>2590</v>
      </c>
      <c r="Q22" s="49"/>
      <c r="R22" s="50"/>
      <c r="S22" s="51" t="s">
        <v>32</v>
      </c>
    </row>
    <row r="23">
      <c r="A23" s="57">
        <v>59.0</v>
      </c>
      <c r="B23" s="58" t="s">
        <v>247</v>
      </c>
      <c r="C23" s="58" t="s">
        <v>248</v>
      </c>
      <c r="D23" s="58" t="s">
        <v>249</v>
      </c>
      <c r="E23" s="59" t="s">
        <v>36</v>
      </c>
      <c r="F23" s="59" t="s">
        <v>37</v>
      </c>
      <c r="G23" s="46" t="s">
        <v>58</v>
      </c>
      <c r="H23" s="58">
        <v>2019.0</v>
      </c>
      <c r="I23" s="49" t="s">
        <v>3919</v>
      </c>
      <c r="J23" s="49" t="s">
        <v>3967</v>
      </c>
      <c r="K23" s="49" t="s">
        <v>3981</v>
      </c>
      <c r="L23" s="49" t="s">
        <v>3921</v>
      </c>
      <c r="M23" s="49" t="s">
        <v>3982</v>
      </c>
      <c r="N23" s="58"/>
      <c r="O23" s="49" t="s">
        <v>3949</v>
      </c>
      <c r="P23" s="49" t="s">
        <v>2503</v>
      </c>
      <c r="Q23" s="49" t="s">
        <v>3954</v>
      </c>
      <c r="R23" s="50"/>
      <c r="S23" s="51" t="s">
        <v>32</v>
      </c>
    </row>
    <row r="24">
      <c r="A24" s="46">
        <v>68.0</v>
      </c>
      <c r="B24" s="58" t="s">
        <v>282</v>
      </c>
      <c r="C24" s="58" t="s">
        <v>283</v>
      </c>
      <c r="D24" s="58" t="s">
        <v>284</v>
      </c>
      <c r="E24" s="58" t="s">
        <v>62</v>
      </c>
      <c r="F24" s="58" t="s">
        <v>62</v>
      </c>
      <c r="G24" s="46" t="s">
        <v>38</v>
      </c>
      <c r="H24" s="58">
        <v>2019.0</v>
      </c>
      <c r="I24" s="49" t="s">
        <v>3966</v>
      </c>
      <c r="J24" s="49" t="s">
        <v>3920</v>
      </c>
      <c r="K24" s="49"/>
      <c r="L24" s="49" t="s">
        <v>3921</v>
      </c>
      <c r="M24" s="49" t="s">
        <v>3922</v>
      </c>
      <c r="N24" s="49" t="s">
        <v>3983</v>
      </c>
      <c r="O24" s="49" t="s">
        <v>3924</v>
      </c>
      <c r="P24" s="49" t="s">
        <v>3984</v>
      </c>
      <c r="Q24" s="49" t="s">
        <v>2407</v>
      </c>
      <c r="R24" s="50"/>
      <c r="S24" s="51" t="s">
        <v>32</v>
      </c>
    </row>
    <row r="25">
      <c r="A25" s="46">
        <v>73.0</v>
      </c>
      <c r="B25" s="58" t="s">
        <v>298</v>
      </c>
      <c r="C25" s="58" t="s">
        <v>299</v>
      </c>
      <c r="D25" s="58" t="s">
        <v>300</v>
      </c>
      <c r="E25" s="59" t="s">
        <v>80</v>
      </c>
      <c r="F25" s="59" t="s">
        <v>81</v>
      </c>
      <c r="G25" s="46" t="s">
        <v>58</v>
      </c>
      <c r="H25" s="58">
        <v>2019.0</v>
      </c>
      <c r="I25" s="49" t="s">
        <v>3930</v>
      </c>
      <c r="J25" s="49" t="s">
        <v>3931</v>
      </c>
      <c r="K25" s="49"/>
      <c r="L25" s="49" t="s">
        <v>3921</v>
      </c>
      <c r="M25" s="49" t="s">
        <v>3985</v>
      </c>
      <c r="N25" s="49" t="s">
        <v>3986</v>
      </c>
      <c r="O25" s="49" t="s">
        <v>3928</v>
      </c>
      <c r="P25" s="49" t="s">
        <v>3987</v>
      </c>
      <c r="Q25" s="49" t="s">
        <v>3965</v>
      </c>
      <c r="R25" s="50"/>
      <c r="S25" s="51" t="s">
        <v>32</v>
      </c>
    </row>
    <row r="26">
      <c r="A26" s="46">
        <v>74.0</v>
      </c>
      <c r="B26" s="58" t="s">
        <v>301</v>
      </c>
      <c r="C26" s="58" t="s">
        <v>302</v>
      </c>
      <c r="D26" s="58" t="s">
        <v>303</v>
      </c>
      <c r="E26" s="59" t="s">
        <v>36</v>
      </c>
      <c r="F26" s="59" t="s">
        <v>37</v>
      </c>
      <c r="G26" s="46" t="s">
        <v>58</v>
      </c>
      <c r="H26" s="58">
        <v>2019.0</v>
      </c>
      <c r="I26" s="49" t="s">
        <v>3919</v>
      </c>
      <c r="J26" s="49" t="s">
        <v>3920</v>
      </c>
      <c r="K26" s="49" t="s">
        <v>3954</v>
      </c>
      <c r="L26" s="49" t="s">
        <v>3921</v>
      </c>
      <c r="M26" s="49" t="s">
        <v>3922</v>
      </c>
      <c r="N26" s="49" t="s">
        <v>3988</v>
      </c>
      <c r="O26" s="49" t="s">
        <v>3924</v>
      </c>
      <c r="P26" s="49" t="s">
        <v>3989</v>
      </c>
      <c r="Q26" s="49" t="s">
        <v>2407</v>
      </c>
      <c r="R26" s="50"/>
      <c r="S26" s="51" t="s">
        <v>32</v>
      </c>
    </row>
    <row r="27">
      <c r="A27" s="57">
        <v>77.0</v>
      </c>
      <c r="B27" s="58" t="s">
        <v>311</v>
      </c>
      <c r="C27" s="58" t="s">
        <v>312</v>
      </c>
      <c r="D27" s="58" t="s">
        <v>313</v>
      </c>
      <c r="E27" s="58" t="s">
        <v>128</v>
      </c>
      <c r="F27" s="58" t="s">
        <v>128</v>
      </c>
      <c r="G27" s="46" t="s">
        <v>38</v>
      </c>
      <c r="H27" s="58">
        <v>2018.0</v>
      </c>
      <c r="I27" s="49" t="s">
        <v>3919</v>
      </c>
      <c r="J27" s="49" t="s">
        <v>3990</v>
      </c>
      <c r="K27" s="49" t="s">
        <v>3991</v>
      </c>
      <c r="L27" s="49" t="s">
        <v>3921</v>
      </c>
      <c r="M27" s="58"/>
      <c r="N27" s="49" t="s">
        <v>3992</v>
      </c>
      <c r="O27" s="49" t="s">
        <v>3924</v>
      </c>
      <c r="P27" s="49" t="s">
        <v>3993</v>
      </c>
      <c r="Q27" s="49" t="s">
        <v>3994</v>
      </c>
      <c r="R27" s="50"/>
      <c r="S27" s="51" t="s">
        <v>32</v>
      </c>
    </row>
    <row r="28">
      <c r="A28" s="57">
        <v>78.0</v>
      </c>
      <c r="B28" s="58" t="s">
        <v>314</v>
      </c>
      <c r="C28" s="58" t="s">
        <v>315</v>
      </c>
      <c r="D28" s="58" t="s">
        <v>316</v>
      </c>
      <c r="E28" s="59" t="s">
        <v>317</v>
      </c>
      <c r="F28" s="59" t="s">
        <v>318</v>
      </c>
      <c r="G28" s="46" t="s">
        <v>38</v>
      </c>
      <c r="H28" s="58">
        <v>2019.0</v>
      </c>
      <c r="I28" s="49" t="s">
        <v>3919</v>
      </c>
      <c r="J28" s="49" t="s">
        <v>3995</v>
      </c>
      <c r="K28" s="49" t="s">
        <v>3925</v>
      </c>
      <c r="L28" s="49" t="s">
        <v>3921</v>
      </c>
      <c r="M28" s="49"/>
      <c r="N28" s="49" t="s">
        <v>3960</v>
      </c>
      <c r="O28" s="49" t="s">
        <v>3924</v>
      </c>
      <c r="P28" s="49" t="s">
        <v>2929</v>
      </c>
      <c r="Q28" s="49"/>
      <c r="R28" s="50"/>
      <c r="S28" s="51" t="s">
        <v>32</v>
      </c>
    </row>
    <row r="29">
      <c r="A29" s="57">
        <v>79.0</v>
      </c>
      <c r="B29" s="58" t="s">
        <v>319</v>
      </c>
      <c r="C29" s="58" t="s">
        <v>320</v>
      </c>
      <c r="D29" s="49" t="s">
        <v>321</v>
      </c>
      <c r="E29" s="59" t="s">
        <v>36</v>
      </c>
      <c r="F29" s="59" t="s">
        <v>37</v>
      </c>
      <c r="G29" s="46" t="s">
        <v>38</v>
      </c>
      <c r="H29" s="58">
        <v>2019.0</v>
      </c>
      <c r="I29" s="49" t="s">
        <v>3966</v>
      </c>
      <c r="J29" s="49" t="s">
        <v>3920</v>
      </c>
      <c r="K29" s="49"/>
      <c r="L29" s="49" t="s">
        <v>3921</v>
      </c>
      <c r="M29" s="49" t="s">
        <v>3982</v>
      </c>
      <c r="N29" s="49" t="s">
        <v>3996</v>
      </c>
      <c r="O29" s="49" t="s">
        <v>3924</v>
      </c>
      <c r="P29" s="49" t="s">
        <v>3997</v>
      </c>
      <c r="Q29" s="49" t="s">
        <v>3998</v>
      </c>
      <c r="R29" s="50"/>
      <c r="S29" s="51" t="s">
        <v>32</v>
      </c>
    </row>
    <row r="30">
      <c r="A30" s="57">
        <v>81.0</v>
      </c>
      <c r="B30" s="58" t="s">
        <v>325</v>
      </c>
      <c r="C30" s="58" t="s">
        <v>326</v>
      </c>
      <c r="D30" s="58" t="s">
        <v>327</v>
      </c>
      <c r="E30" s="58" t="s">
        <v>62</v>
      </c>
      <c r="F30" s="58" t="s">
        <v>62</v>
      </c>
      <c r="G30" s="46" t="s">
        <v>38</v>
      </c>
      <c r="H30" s="58">
        <v>2020.0</v>
      </c>
      <c r="I30" s="49" t="s">
        <v>3966</v>
      </c>
      <c r="J30" s="49" t="s">
        <v>3931</v>
      </c>
      <c r="K30" s="49"/>
      <c r="L30" s="49" t="s">
        <v>3921</v>
      </c>
      <c r="M30" s="49" t="s">
        <v>3922</v>
      </c>
      <c r="N30" s="49" t="s">
        <v>3999</v>
      </c>
      <c r="O30" s="49" t="s">
        <v>3949</v>
      </c>
      <c r="P30" s="49" t="s">
        <v>2590</v>
      </c>
      <c r="Q30" s="58"/>
      <c r="R30" s="50"/>
      <c r="S30" s="51" t="s">
        <v>32</v>
      </c>
    </row>
    <row r="31">
      <c r="A31" s="57">
        <v>82.0</v>
      </c>
      <c r="B31" s="58" t="s">
        <v>328</v>
      </c>
      <c r="C31" s="58" t="s">
        <v>329</v>
      </c>
      <c r="D31" s="58" t="s">
        <v>330</v>
      </c>
      <c r="E31" s="59" t="s">
        <v>36</v>
      </c>
      <c r="F31" s="59" t="s">
        <v>37</v>
      </c>
      <c r="G31" s="46" t="s">
        <v>38</v>
      </c>
      <c r="H31" s="58">
        <v>2019.0</v>
      </c>
      <c r="I31" s="49" t="s">
        <v>3919</v>
      </c>
      <c r="J31" s="60" t="s">
        <v>4000</v>
      </c>
      <c r="K31" s="49" t="s">
        <v>3925</v>
      </c>
      <c r="L31" s="49" t="s">
        <v>3921</v>
      </c>
      <c r="M31" s="49" t="s">
        <v>3922</v>
      </c>
      <c r="N31" s="49" t="s">
        <v>2503</v>
      </c>
      <c r="O31" s="49" t="s">
        <v>3928</v>
      </c>
      <c r="P31" s="49" t="s">
        <v>3997</v>
      </c>
      <c r="Q31" s="49"/>
      <c r="R31" s="50"/>
      <c r="S31" s="51" t="s">
        <v>32</v>
      </c>
    </row>
    <row r="32">
      <c r="A32" s="57">
        <v>84.0</v>
      </c>
      <c r="B32" s="58" t="s">
        <v>335</v>
      </c>
      <c r="C32" s="58" t="s">
        <v>336</v>
      </c>
      <c r="D32" s="58" t="s">
        <v>337</v>
      </c>
      <c r="E32" s="59" t="s">
        <v>29</v>
      </c>
      <c r="F32" s="59" t="s">
        <v>30</v>
      </c>
      <c r="G32" s="46" t="s">
        <v>38</v>
      </c>
      <c r="H32" s="58">
        <v>2018.0</v>
      </c>
      <c r="I32" s="49" t="s">
        <v>4001</v>
      </c>
      <c r="J32" s="53" t="s">
        <v>3995</v>
      </c>
      <c r="K32" s="49"/>
      <c r="L32" s="49" t="s">
        <v>3921</v>
      </c>
      <c r="M32" s="49" t="s">
        <v>4002</v>
      </c>
      <c r="N32" s="49" t="s">
        <v>4003</v>
      </c>
      <c r="O32" s="49" t="s">
        <v>3924</v>
      </c>
      <c r="P32" s="49" t="s">
        <v>2929</v>
      </c>
      <c r="Q32" s="49" t="s">
        <v>4004</v>
      </c>
      <c r="R32" s="50"/>
      <c r="S32" s="51" t="s">
        <v>32</v>
      </c>
    </row>
    <row r="33">
      <c r="A33" s="57">
        <v>85.0</v>
      </c>
      <c r="B33" s="58" t="s">
        <v>338</v>
      </c>
      <c r="C33" s="58" t="s">
        <v>339</v>
      </c>
      <c r="D33" s="58" t="s">
        <v>340</v>
      </c>
      <c r="E33" s="59" t="s">
        <v>341</v>
      </c>
      <c r="F33" s="59" t="s">
        <v>342</v>
      </c>
      <c r="G33" s="46" t="s">
        <v>38</v>
      </c>
      <c r="H33" s="58">
        <v>2019.0</v>
      </c>
      <c r="I33" s="49" t="s">
        <v>3919</v>
      </c>
      <c r="J33" s="49" t="s">
        <v>3931</v>
      </c>
      <c r="K33" s="49" t="s">
        <v>4005</v>
      </c>
      <c r="L33" s="49" t="s">
        <v>3921</v>
      </c>
      <c r="M33" s="49" t="s">
        <v>3926</v>
      </c>
      <c r="N33" s="49" t="s">
        <v>4006</v>
      </c>
      <c r="O33" s="49" t="s">
        <v>3928</v>
      </c>
      <c r="P33" s="49" t="s">
        <v>2590</v>
      </c>
      <c r="Q33" s="49" t="s">
        <v>2407</v>
      </c>
      <c r="R33" s="50"/>
      <c r="S33" s="51" t="s">
        <v>32</v>
      </c>
    </row>
    <row r="34">
      <c r="A34" s="46">
        <v>87.0</v>
      </c>
      <c r="B34" s="58" t="s">
        <v>137</v>
      </c>
      <c r="C34" s="58" t="s">
        <v>346</v>
      </c>
      <c r="D34" s="49" t="s">
        <v>347</v>
      </c>
      <c r="E34" s="58" t="s">
        <v>62</v>
      </c>
      <c r="F34" s="58" t="s">
        <v>62</v>
      </c>
      <c r="G34" s="46" t="s">
        <v>58</v>
      </c>
      <c r="H34" s="58">
        <v>2019.0</v>
      </c>
      <c r="I34" s="49" t="s">
        <v>3919</v>
      </c>
      <c r="J34" s="49" t="s">
        <v>3931</v>
      </c>
      <c r="K34" s="49" t="s">
        <v>3947</v>
      </c>
      <c r="L34" s="49" t="s">
        <v>3921</v>
      </c>
      <c r="M34" s="49" t="s">
        <v>3926</v>
      </c>
      <c r="N34" s="49" t="s">
        <v>4007</v>
      </c>
      <c r="O34" s="49" t="s">
        <v>3949</v>
      </c>
      <c r="P34" s="49" t="s">
        <v>3997</v>
      </c>
      <c r="Q34" s="49" t="s">
        <v>2407</v>
      </c>
      <c r="R34" s="50"/>
      <c r="S34" s="51" t="s">
        <v>32</v>
      </c>
    </row>
    <row r="35">
      <c r="A35" s="57">
        <v>90.0</v>
      </c>
      <c r="B35" s="58" t="s">
        <v>355</v>
      </c>
      <c r="C35" s="58" t="s">
        <v>356</v>
      </c>
      <c r="D35" s="58" t="s">
        <v>357</v>
      </c>
      <c r="E35" s="59" t="s">
        <v>36</v>
      </c>
      <c r="F35" s="59" t="s">
        <v>37</v>
      </c>
      <c r="G35" s="46" t="s">
        <v>58</v>
      </c>
      <c r="H35" s="58">
        <v>2019.0</v>
      </c>
      <c r="I35" s="49" t="s">
        <v>3919</v>
      </c>
      <c r="J35" s="49" t="s">
        <v>3967</v>
      </c>
      <c r="K35" s="49" t="s">
        <v>3947</v>
      </c>
      <c r="L35" s="49" t="s">
        <v>3921</v>
      </c>
      <c r="M35" s="58"/>
      <c r="N35" s="49" t="s">
        <v>2503</v>
      </c>
      <c r="O35" s="49" t="s">
        <v>3949</v>
      </c>
      <c r="P35" s="49" t="s">
        <v>2590</v>
      </c>
      <c r="Q35" s="49" t="s">
        <v>4008</v>
      </c>
      <c r="R35" s="50"/>
      <c r="S35" s="51" t="s">
        <v>32</v>
      </c>
    </row>
    <row r="36">
      <c r="A36" s="57">
        <v>91.0</v>
      </c>
      <c r="B36" s="58" t="s">
        <v>358</v>
      </c>
      <c r="C36" s="58" t="s">
        <v>359</v>
      </c>
      <c r="D36" s="58" t="s">
        <v>360</v>
      </c>
      <c r="E36" s="58" t="s">
        <v>128</v>
      </c>
      <c r="F36" s="58" t="s">
        <v>128</v>
      </c>
      <c r="G36" s="46" t="s">
        <v>38</v>
      </c>
      <c r="H36" s="58">
        <v>2020.0</v>
      </c>
      <c r="I36" s="49" t="s">
        <v>4009</v>
      </c>
      <c r="J36" s="49" t="s">
        <v>3940</v>
      </c>
      <c r="K36" s="49"/>
      <c r="L36" s="49" t="s">
        <v>3921</v>
      </c>
      <c r="M36" s="49" t="s">
        <v>4010</v>
      </c>
      <c r="N36" s="49" t="s">
        <v>4011</v>
      </c>
      <c r="O36" s="49" t="s">
        <v>3949</v>
      </c>
      <c r="P36" s="49" t="s">
        <v>2929</v>
      </c>
      <c r="Q36" s="49" t="s">
        <v>4004</v>
      </c>
      <c r="R36" s="50"/>
      <c r="S36" s="51" t="s">
        <v>32</v>
      </c>
    </row>
    <row r="37">
      <c r="A37" s="57">
        <v>94.0</v>
      </c>
      <c r="B37" s="58" t="s">
        <v>368</v>
      </c>
      <c r="C37" s="58" t="s">
        <v>369</v>
      </c>
      <c r="D37" s="58" t="s">
        <v>370</v>
      </c>
      <c r="E37" s="58" t="s">
        <v>128</v>
      </c>
      <c r="F37" s="58" t="s">
        <v>128</v>
      </c>
      <c r="G37" s="46" t="s">
        <v>38</v>
      </c>
      <c r="H37" s="58">
        <v>2019.0</v>
      </c>
      <c r="I37" s="49" t="s">
        <v>3919</v>
      </c>
      <c r="J37" s="49" t="s">
        <v>3920</v>
      </c>
      <c r="K37" s="49" t="s">
        <v>3947</v>
      </c>
      <c r="L37" s="49" t="s">
        <v>3921</v>
      </c>
      <c r="M37" s="49" t="s">
        <v>3922</v>
      </c>
      <c r="N37" s="58"/>
      <c r="O37" s="49" t="s">
        <v>3924</v>
      </c>
      <c r="P37" s="49" t="s">
        <v>3987</v>
      </c>
      <c r="Q37" s="49" t="s">
        <v>2407</v>
      </c>
      <c r="R37" s="50"/>
      <c r="S37" s="51" t="s">
        <v>32</v>
      </c>
    </row>
    <row r="38">
      <c r="A38" s="57">
        <v>97.0</v>
      </c>
      <c r="B38" s="58" t="s">
        <v>377</v>
      </c>
      <c r="C38" s="58" t="s">
        <v>378</v>
      </c>
      <c r="D38" s="58" t="s">
        <v>379</v>
      </c>
      <c r="E38" s="59" t="s">
        <v>36</v>
      </c>
      <c r="F38" s="59" t="s">
        <v>37</v>
      </c>
      <c r="G38" s="46" t="s">
        <v>58</v>
      </c>
      <c r="H38" s="58">
        <v>2020.0</v>
      </c>
      <c r="I38" s="49" t="s">
        <v>3930</v>
      </c>
      <c r="J38" s="49" t="s">
        <v>3931</v>
      </c>
      <c r="K38" s="49" t="s">
        <v>3932</v>
      </c>
      <c r="L38" s="49" t="s">
        <v>3921</v>
      </c>
      <c r="M38" s="49" t="s">
        <v>3965</v>
      </c>
      <c r="N38" s="49" t="s">
        <v>4012</v>
      </c>
      <c r="O38" s="49" t="s">
        <v>3928</v>
      </c>
      <c r="P38" s="49" t="s">
        <v>2590</v>
      </c>
      <c r="Q38" s="49" t="s">
        <v>2407</v>
      </c>
      <c r="R38" s="50"/>
      <c r="S38" s="51" t="s">
        <v>32</v>
      </c>
    </row>
    <row r="39">
      <c r="A39" s="57">
        <v>99.0</v>
      </c>
      <c r="B39" s="58" t="s">
        <v>384</v>
      </c>
      <c r="C39" s="58" t="s">
        <v>385</v>
      </c>
      <c r="D39" s="58" t="s">
        <v>386</v>
      </c>
      <c r="E39" s="59" t="s">
        <v>36</v>
      </c>
      <c r="F39" s="59" t="s">
        <v>37</v>
      </c>
      <c r="G39" s="46" t="s">
        <v>38</v>
      </c>
      <c r="H39" s="58">
        <v>2019.0</v>
      </c>
      <c r="I39" s="49" t="s">
        <v>3966</v>
      </c>
      <c r="J39" s="49" t="s">
        <v>4000</v>
      </c>
      <c r="K39" s="49" t="s">
        <v>3954</v>
      </c>
      <c r="L39" s="49" t="s">
        <v>3921</v>
      </c>
      <c r="M39" s="49" t="s">
        <v>4013</v>
      </c>
      <c r="N39" s="49" t="s">
        <v>4014</v>
      </c>
      <c r="O39" s="49" t="s">
        <v>3928</v>
      </c>
      <c r="P39" s="49" t="s">
        <v>3997</v>
      </c>
      <c r="Q39" s="49" t="s">
        <v>3958</v>
      </c>
      <c r="R39" s="61"/>
      <c r="S39" s="51" t="s">
        <v>32</v>
      </c>
    </row>
    <row r="40">
      <c r="A40" s="57">
        <v>100.0</v>
      </c>
      <c r="B40" s="58" t="s">
        <v>387</v>
      </c>
      <c r="C40" s="58" t="s">
        <v>388</v>
      </c>
      <c r="D40" s="58" t="s">
        <v>389</v>
      </c>
      <c r="E40" s="58" t="s">
        <v>128</v>
      </c>
      <c r="F40" s="58" t="s">
        <v>128</v>
      </c>
      <c r="G40" s="46" t="s">
        <v>38</v>
      </c>
      <c r="H40" s="58">
        <v>2018.0</v>
      </c>
      <c r="I40" s="49" t="s">
        <v>3919</v>
      </c>
      <c r="J40" s="49" t="s">
        <v>3944</v>
      </c>
      <c r="K40" s="49"/>
      <c r="L40" s="49" t="s">
        <v>3921</v>
      </c>
      <c r="M40" s="49" t="s">
        <v>3922</v>
      </c>
      <c r="N40" s="49" t="s">
        <v>4015</v>
      </c>
      <c r="O40" s="49" t="s">
        <v>3924</v>
      </c>
      <c r="P40" s="49" t="s">
        <v>4016</v>
      </c>
      <c r="Q40" s="49" t="s">
        <v>2407</v>
      </c>
      <c r="R40" s="50"/>
      <c r="S40" s="51" t="s">
        <v>32</v>
      </c>
    </row>
    <row r="41">
      <c r="A41" s="46">
        <v>101.0</v>
      </c>
      <c r="B41" s="47" t="s">
        <v>390</v>
      </c>
      <c r="C41" s="47" t="s">
        <v>391</v>
      </c>
      <c r="D41" s="49" t="s">
        <v>392</v>
      </c>
      <c r="E41" s="47" t="s">
        <v>393</v>
      </c>
      <c r="F41" s="49" t="s">
        <v>394</v>
      </c>
      <c r="G41" s="46" t="s">
        <v>38</v>
      </c>
      <c r="H41" s="58">
        <v>2019.0</v>
      </c>
      <c r="I41" s="49" t="s">
        <v>3919</v>
      </c>
      <c r="J41" s="49" t="s">
        <v>4000</v>
      </c>
      <c r="K41" s="49"/>
      <c r="L41" s="49" t="s">
        <v>3921</v>
      </c>
      <c r="M41" s="49" t="s">
        <v>3926</v>
      </c>
      <c r="N41" s="49" t="s">
        <v>3956</v>
      </c>
      <c r="O41" s="49" t="s">
        <v>3928</v>
      </c>
      <c r="P41" s="49" t="s">
        <v>3987</v>
      </c>
      <c r="Q41" s="49" t="s">
        <v>2407</v>
      </c>
      <c r="R41" s="50"/>
      <c r="S41" s="51" t="s">
        <v>32</v>
      </c>
    </row>
    <row r="42">
      <c r="A42" s="46">
        <v>105.0</v>
      </c>
      <c r="B42" s="47" t="s">
        <v>407</v>
      </c>
      <c r="C42" s="54" t="s">
        <v>4017</v>
      </c>
      <c r="D42" s="47" t="s">
        <v>409</v>
      </c>
      <c r="E42" s="49" t="s">
        <v>410</v>
      </c>
      <c r="F42" s="49" t="s">
        <v>411</v>
      </c>
      <c r="G42" s="46" t="s">
        <v>38</v>
      </c>
      <c r="H42" s="47">
        <v>2018.0</v>
      </c>
      <c r="I42" s="49" t="s">
        <v>3939</v>
      </c>
      <c r="J42" s="49" t="s">
        <v>4018</v>
      </c>
      <c r="K42" s="49" t="s">
        <v>3954</v>
      </c>
      <c r="L42" s="49" t="s">
        <v>3973</v>
      </c>
      <c r="M42" s="49" t="s">
        <v>3968</v>
      </c>
      <c r="N42" s="49" t="s">
        <v>4019</v>
      </c>
      <c r="O42" s="49" t="s">
        <v>3949</v>
      </c>
      <c r="P42" s="49" t="s">
        <v>2929</v>
      </c>
      <c r="Q42" s="49"/>
      <c r="R42" s="50"/>
      <c r="S42" s="51" t="s">
        <v>412</v>
      </c>
    </row>
    <row r="43">
      <c r="A43" s="46">
        <v>119.0</v>
      </c>
      <c r="B43" s="47" t="s">
        <v>467</v>
      </c>
      <c r="C43" s="54" t="s">
        <v>4020</v>
      </c>
      <c r="D43" s="47" t="s">
        <v>469</v>
      </c>
      <c r="E43" s="47" t="s">
        <v>62</v>
      </c>
      <c r="F43" s="47" t="s">
        <v>62</v>
      </c>
      <c r="G43" s="46" t="s">
        <v>38</v>
      </c>
      <c r="H43" s="47">
        <v>2018.0</v>
      </c>
      <c r="I43" s="49" t="s">
        <v>3966</v>
      </c>
      <c r="J43" s="49" t="s">
        <v>3931</v>
      </c>
      <c r="K43" s="49" t="s">
        <v>4021</v>
      </c>
      <c r="L43" s="49" t="s">
        <v>3921</v>
      </c>
      <c r="M43" s="49" t="s">
        <v>3975</v>
      </c>
      <c r="N43" s="49" t="s">
        <v>4022</v>
      </c>
      <c r="O43" s="49" t="s">
        <v>3924</v>
      </c>
      <c r="P43" s="49" t="s">
        <v>3997</v>
      </c>
      <c r="Q43" s="49"/>
      <c r="R43" s="50"/>
      <c r="S43" s="51" t="s">
        <v>412</v>
      </c>
    </row>
    <row r="44">
      <c r="A44" s="46">
        <v>121.0</v>
      </c>
      <c r="B44" s="49" t="s">
        <v>475</v>
      </c>
      <c r="C44" s="54" t="s">
        <v>4023</v>
      </c>
      <c r="D44" s="49" t="s">
        <v>477</v>
      </c>
      <c r="E44" s="49" t="s">
        <v>36</v>
      </c>
      <c r="F44" s="49" t="s">
        <v>37</v>
      </c>
      <c r="G44" s="46" t="s">
        <v>38</v>
      </c>
      <c r="H44" s="49">
        <v>2019.0</v>
      </c>
      <c r="I44" s="49" t="s">
        <v>3919</v>
      </c>
      <c r="J44" s="49" t="s">
        <v>4024</v>
      </c>
      <c r="K44" s="49" t="s">
        <v>4025</v>
      </c>
      <c r="L44" s="49" t="s">
        <v>3921</v>
      </c>
      <c r="M44" s="49" t="s">
        <v>3926</v>
      </c>
      <c r="N44" s="49" t="s">
        <v>4026</v>
      </c>
      <c r="O44" s="49" t="s">
        <v>3928</v>
      </c>
      <c r="P44" s="49" t="s">
        <v>4027</v>
      </c>
      <c r="Q44" s="49" t="s">
        <v>2407</v>
      </c>
      <c r="R44" s="50"/>
      <c r="S44" s="51" t="s">
        <v>412</v>
      </c>
    </row>
    <row r="45">
      <c r="A45" s="46">
        <v>122.0</v>
      </c>
      <c r="B45" s="49" t="s">
        <v>479</v>
      </c>
      <c r="C45" s="54" t="s">
        <v>4028</v>
      </c>
      <c r="D45" s="49" t="s">
        <v>481</v>
      </c>
      <c r="E45" s="49" t="s">
        <v>36</v>
      </c>
      <c r="F45" s="49" t="s">
        <v>37</v>
      </c>
      <c r="G45" s="46" t="s">
        <v>38</v>
      </c>
      <c r="H45" s="49">
        <v>2019.0</v>
      </c>
      <c r="I45" s="49" t="s">
        <v>3966</v>
      </c>
      <c r="J45" s="49" t="s">
        <v>3967</v>
      </c>
      <c r="K45" s="49" t="s">
        <v>3947</v>
      </c>
      <c r="L45" s="49" t="s">
        <v>3921</v>
      </c>
      <c r="M45" s="49" t="s">
        <v>3982</v>
      </c>
      <c r="N45" s="49" t="s">
        <v>4029</v>
      </c>
      <c r="O45" s="49" t="s">
        <v>3928</v>
      </c>
      <c r="P45" s="49" t="s">
        <v>2503</v>
      </c>
      <c r="Q45" s="49"/>
      <c r="R45" s="50"/>
      <c r="S45" s="51" t="s">
        <v>412</v>
      </c>
    </row>
    <row r="46">
      <c r="A46" s="46">
        <v>123.0</v>
      </c>
      <c r="B46" s="49" t="s">
        <v>483</v>
      </c>
      <c r="C46" s="54" t="s">
        <v>4030</v>
      </c>
      <c r="D46" s="49" t="s">
        <v>485</v>
      </c>
      <c r="E46" s="49" t="s">
        <v>128</v>
      </c>
      <c r="F46" s="49" t="s">
        <v>128</v>
      </c>
      <c r="G46" s="46" t="s">
        <v>38</v>
      </c>
      <c r="H46" s="49">
        <v>2021.0</v>
      </c>
      <c r="I46" s="49" t="s">
        <v>3919</v>
      </c>
      <c r="J46" s="49" t="s">
        <v>4024</v>
      </c>
      <c r="K46" s="49" t="s">
        <v>3925</v>
      </c>
      <c r="L46" s="49" t="s">
        <v>3921</v>
      </c>
      <c r="M46" s="49" t="s">
        <v>3922</v>
      </c>
      <c r="N46" s="62" t="s">
        <v>3923</v>
      </c>
      <c r="O46" s="49" t="s">
        <v>3928</v>
      </c>
      <c r="P46" s="49" t="s">
        <v>4027</v>
      </c>
      <c r="Q46" s="63" t="s">
        <v>2407</v>
      </c>
      <c r="R46" s="50"/>
      <c r="S46" s="51" t="s">
        <v>412</v>
      </c>
    </row>
    <row r="47">
      <c r="A47" s="46">
        <v>128.0</v>
      </c>
      <c r="B47" s="49" t="s">
        <v>500</v>
      </c>
      <c r="C47" s="54" t="s">
        <v>4031</v>
      </c>
      <c r="D47" s="49" t="s">
        <v>502</v>
      </c>
      <c r="E47" s="49" t="s">
        <v>62</v>
      </c>
      <c r="F47" s="49" t="s">
        <v>62</v>
      </c>
      <c r="G47" s="46" t="s">
        <v>38</v>
      </c>
      <c r="H47" s="49">
        <v>2019.0</v>
      </c>
      <c r="I47" s="49" t="s">
        <v>3919</v>
      </c>
      <c r="J47" s="49" t="s">
        <v>4000</v>
      </c>
      <c r="K47" s="49" t="s">
        <v>3925</v>
      </c>
      <c r="L47" s="49" t="s">
        <v>3921</v>
      </c>
      <c r="M47" s="49" t="s">
        <v>3926</v>
      </c>
      <c r="N47" s="49" t="s">
        <v>4032</v>
      </c>
      <c r="O47" s="49" t="s">
        <v>3928</v>
      </c>
      <c r="P47" s="49" t="s">
        <v>4033</v>
      </c>
      <c r="Q47" s="49" t="s">
        <v>2407</v>
      </c>
      <c r="R47" s="50"/>
      <c r="S47" s="51" t="s">
        <v>412</v>
      </c>
    </row>
    <row r="48">
      <c r="A48" s="46">
        <v>136.0</v>
      </c>
      <c r="B48" s="49" t="s">
        <v>529</v>
      </c>
      <c r="C48" s="54" t="s">
        <v>4034</v>
      </c>
      <c r="D48" s="49" t="s">
        <v>531</v>
      </c>
      <c r="E48" s="49" t="s">
        <v>128</v>
      </c>
      <c r="F48" s="49" t="s">
        <v>128</v>
      </c>
      <c r="G48" s="46" t="s">
        <v>38</v>
      </c>
      <c r="H48" s="49">
        <v>2018.0</v>
      </c>
      <c r="I48" s="49" t="s">
        <v>3966</v>
      </c>
      <c r="J48" s="49" t="s">
        <v>3931</v>
      </c>
      <c r="K48" s="49" t="s">
        <v>3932</v>
      </c>
      <c r="L48" s="49" t="s">
        <v>3921</v>
      </c>
      <c r="M48" s="49" t="s">
        <v>3926</v>
      </c>
      <c r="N48" s="49" t="s">
        <v>4035</v>
      </c>
      <c r="O48" s="49" t="s">
        <v>3924</v>
      </c>
      <c r="P48" s="49" t="s">
        <v>4036</v>
      </c>
      <c r="Q48" s="49"/>
      <c r="R48" s="50"/>
      <c r="S48" s="51" t="s">
        <v>412</v>
      </c>
    </row>
    <row r="49">
      <c r="A49" s="46">
        <v>141.0</v>
      </c>
      <c r="B49" s="49" t="s">
        <v>546</v>
      </c>
      <c r="C49" s="54" t="s">
        <v>4037</v>
      </c>
      <c r="D49" s="49" t="s">
        <v>548</v>
      </c>
      <c r="E49" s="49" t="s">
        <v>36</v>
      </c>
      <c r="F49" s="49" t="s">
        <v>37</v>
      </c>
      <c r="G49" s="46" t="s">
        <v>38</v>
      </c>
      <c r="H49" s="58">
        <v>2018.0</v>
      </c>
      <c r="I49" s="49" t="s">
        <v>4038</v>
      </c>
      <c r="J49" s="49" t="s">
        <v>4039</v>
      </c>
      <c r="K49" s="49" t="s">
        <v>3954</v>
      </c>
      <c r="L49" s="49" t="s">
        <v>3977</v>
      </c>
      <c r="M49" s="49" t="s">
        <v>3926</v>
      </c>
      <c r="N49" s="49" t="s">
        <v>4040</v>
      </c>
      <c r="O49" s="49" t="s">
        <v>3949</v>
      </c>
      <c r="P49" s="49" t="s">
        <v>4041</v>
      </c>
      <c r="Q49" s="49" t="s">
        <v>2407</v>
      </c>
      <c r="R49" s="50" t="s">
        <v>4042</v>
      </c>
      <c r="S49" s="51" t="s">
        <v>412</v>
      </c>
    </row>
    <row r="50">
      <c r="A50" s="46">
        <v>147.0</v>
      </c>
      <c r="B50" s="49" t="s">
        <v>567</v>
      </c>
      <c r="C50" s="54" t="s">
        <v>4043</v>
      </c>
      <c r="D50" s="49" t="s">
        <v>569</v>
      </c>
      <c r="E50" s="49" t="s">
        <v>36</v>
      </c>
      <c r="F50" s="49" t="s">
        <v>37</v>
      </c>
      <c r="G50" s="46" t="s">
        <v>38</v>
      </c>
      <c r="H50" s="49">
        <v>2019.0</v>
      </c>
      <c r="I50" s="49" t="s">
        <v>3966</v>
      </c>
      <c r="J50" s="49" t="s">
        <v>4044</v>
      </c>
      <c r="K50" s="49" t="s">
        <v>3954</v>
      </c>
      <c r="L50" s="49" t="s">
        <v>3921</v>
      </c>
      <c r="M50" s="49" t="s">
        <v>3922</v>
      </c>
      <c r="N50" s="49" t="s">
        <v>4045</v>
      </c>
      <c r="O50" s="49" t="s">
        <v>3928</v>
      </c>
      <c r="P50" s="49" t="s">
        <v>4036</v>
      </c>
      <c r="Q50" s="49"/>
      <c r="R50" s="50" t="s">
        <v>4046</v>
      </c>
      <c r="S50" s="51" t="s">
        <v>412</v>
      </c>
    </row>
    <row r="51">
      <c r="A51" s="46">
        <v>150.0</v>
      </c>
      <c r="B51" s="49" t="s">
        <v>578</v>
      </c>
      <c r="C51" s="54" t="s">
        <v>4047</v>
      </c>
      <c r="D51" s="49" t="s">
        <v>580</v>
      </c>
      <c r="E51" s="49" t="s">
        <v>36</v>
      </c>
      <c r="F51" s="49" t="s">
        <v>37</v>
      </c>
      <c r="G51" s="46" t="s">
        <v>58</v>
      </c>
      <c r="H51" s="49">
        <v>2019.0</v>
      </c>
      <c r="I51" s="49" t="s">
        <v>3966</v>
      </c>
      <c r="J51" s="49" t="s">
        <v>3967</v>
      </c>
      <c r="K51" s="49" t="s">
        <v>3954</v>
      </c>
      <c r="L51" s="49" t="s">
        <v>3921</v>
      </c>
      <c r="M51" s="49" t="s">
        <v>3982</v>
      </c>
      <c r="N51" s="49" t="s">
        <v>3923</v>
      </c>
      <c r="O51" s="49" t="s">
        <v>3928</v>
      </c>
      <c r="P51" s="49" t="s">
        <v>2503</v>
      </c>
      <c r="Q51" s="49"/>
      <c r="R51" s="50" t="s">
        <v>4048</v>
      </c>
      <c r="S51" s="51" t="s">
        <v>412</v>
      </c>
    </row>
    <row r="52">
      <c r="A52" s="46">
        <v>152.0</v>
      </c>
      <c r="B52" s="64" t="s">
        <v>586</v>
      </c>
      <c r="C52" s="65" t="s">
        <v>4049</v>
      </c>
      <c r="D52" s="64" t="s">
        <v>588</v>
      </c>
      <c r="E52" s="64" t="s">
        <v>589</v>
      </c>
      <c r="F52" s="64" t="s">
        <v>590</v>
      </c>
      <c r="G52" s="66" t="s">
        <v>38</v>
      </c>
      <c r="H52" s="64">
        <v>2019.0</v>
      </c>
      <c r="I52" s="49" t="s">
        <v>3919</v>
      </c>
      <c r="J52" s="49" t="s">
        <v>3967</v>
      </c>
      <c r="K52" s="49" t="s">
        <v>4050</v>
      </c>
      <c r="L52" s="49" t="s">
        <v>3921</v>
      </c>
      <c r="M52" s="49" t="s">
        <v>3926</v>
      </c>
      <c r="N52" s="49" t="s">
        <v>3948</v>
      </c>
      <c r="O52" s="49" t="s">
        <v>3928</v>
      </c>
      <c r="P52" s="49" t="s">
        <v>2503</v>
      </c>
      <c r="Q52" s="49"/>
      <c r="R52" s="50"/>
      <c r="S52" s="51" t="s">
        <v>412</v>
      </c>
    </row>
    <row r="53">
      <c r="A53" s="46">
        <v>154.0</v>
      </c>
      <c r="B53" s="64" t="s">
        <v>596</v>
      </c>
      <c r="C53" s="65" t="s">
        <v>4051</v>
      </c>
      <c r="D53" s="64" t="s">
        <v>598</v>
      </c>
      <c r="E53" s="64" t="s">
        <v>599</v>
      </c>
      <c r="F53" s="64" t="s">
        <v>600</v>
      </c>
      <c r="G53" s="66" t="s">
        <v>38</v>
      </c>
      <c r="H53" s="64">
        <v>2019.0</v>
      </c>
      <c r="I53" s="49" t="s">
        <v>3919</v>
      </c>
      <c r="J53" s="49" t="s">
        <v>3967</v>
      </c>
      <c r="K53" s="49" t="s">
        <v>3947</v>
      </c>
      <c r="L53" s="49" t="s">
        <v>3921</v>
      </c>
      <c r="M53" s="49"/>
      <c r="N53" s="49"/>
      <c r="O53" s="49" t="s">
        <v>3928</v>
      </c>
      <c r="P53" s="49" t="s">
        <v>2503</v>
      </c>
      <c r="Q53" s="49" t="s">
        <v>2407</v>
      </c>
      <c r="R53" s="50"/>
      <c r="S53" s="51" t="s">
        <v>412</v>
      </c>
    </row>
    <row r="54">
      <c r="A54" s="46">
        <v>156.0</v>
      </c>
      <c r="B54" s="47" t="s">
        <v>606</v>
      </c>
      <c r="C54" s="54" t="s">
        <v>4052</v>
      </c>
      <c r="D54" s="47" t="s">
        <v>608</v>
      </c>
      <c r="E54" s="47" t="s">
        <v>62</v>
      </c>
      <c r="F54" s="49" t="s">
        <v>62</v>
      </c>
      <c r="G54" s="46" t="s">
        <v>38</v>
      </c>
      <c r="H54" s="47">
        <v>2018.0</v>
      </c>
      <c r="I54" s="49" t="s">
        <v>4053</v>
      </c>
      <c r="J54" s="49" t="s">
        <v>4054</v>
      </c>
      <c r="K54" s="49" t="s">
        <v>3954</v>
      </c>
      <c r="L54" s="49" t="s">
        <v>3973</v>
      </c>
      <c r="M54" s="49" t="s">
        <v>4055</v>
      </c>
      <c r="N54" s="49" t="s">
        <v>3979</v>
      </c>
      <c r="O54" s="49" t="s">
        <v>3928</v>
      </c>
      <c r="P54" s="49" t="s">
        <v>3937</v>
      </c>
      <c r="Q54" s="49" t="s">
        <v>2407</v>
      </c>
      <c r="R54" s="50" t="s">
        <v>4056</v>
      </c>
      <c r="S54" s="51" t="s">
        <v>412</v>
      </c>
    </row>
    <row r="55">
      <c r="A55" s="46">
        <v>168.0</v>
      </c>
      <c r="B55" s="47" t="s">
        <v>648</v>
      </c>
      <c r="C55" s="54" t="s">
        <v>4057</v>
      </c>
      <c r="D55" s="49" t="s">
        <v>650</v>
      </c>
      <c r="E55" s="49" t="s">
        <v>651</v>
      </c>
      <c r="F55" s="49" t="s">
        <v>2792</v>
      </c>
      <c r="G55" s="56" t="s">
        <v>38</v>
      </c>
      <c r="H55" s="47">
        <v>2020.0</v>
      </c>
      <c r="I55" s="49" t="s">
        <v>3919</v>
      </c>
      <c r="J55" s="49" t="s">
        <v>4000</v>
      </c>
      <c r="K55" s="49" t="s">
        <v>4050</v>
      </c>
      <c r="L55" s="49" t="s">
        <v>3921</v>
      </c>
      <c r="M55" s="49" t="s">
        <v>3926</v>
      </c>
      <c r="N55" s="49"/>
      <c r="O55" s="49" t="s">
        <v>3928</v>
      </c>
      <c r="P55" s="49" t="s">
        <v>3937</v>
      </c>
      <c r="Q55" s="49" t="s">
        <v>2407</v>
      </c>
      <c r="R55" s="50"/>
      <c r="S55" s="51" t="s">
        <v>412</v>
      </c>
    </row>
    <row r="56">
      <c r="A56" s="46">
        <v>169.0</v>
      </c>
      <c r="B56" s="64" t="s">
        <v>654</v>
      </c>
      <c r="C56" s="65" t="s">
        <v>4058</v>
      </c>
      <c r="D56" s="64" t="s">
        <v>656</v>
      </c>
      <c r="E56" s="64" t="s">
        <v>29</v>
      </c>
      <c r="F56" s="64" t="s">
        <v>30</v>
      </c>
      <c r="G56" s="66" t="s">
        <v>38</v>
      </c>
      <c r="H56" s="64">
        <v>2019.0</v>
      </c>
      <c r="I56" s="49" t="s">
        <v>3966</v>
      </c>
      <c r="J56" s="49" t="s">
        <v>3931</v>
      </c>
      <c r="K56" s="49" t="s">
        <v>3947</v>
      </c>
      <c r="L56" s="49" t="s">
        <v>3921</v>
      </c>
      <c r="M56" s="49" t="s">
        <v>3982</v>
      </c>
      <c r="N56" s="49"/>
      <c r="O56" s="49" t="s">
        <v>3928</v>
      </c>
      <c r="P56" s="49" t="s">
        <v>2503</v>
      </c>
      <c r="Q56" s="49"/>
      <c r="R56" s="50"/>
      <c r="S56" s="51" t="s">
        <v>412</v>
      </c>
    </row>
    <row r="57">
      <c r="A57" s="46">
        <v>170.0</v>
      </c>
      <c r="B57" s="47" t="s">
        <v>658</v>
      </c>
      <c r="C57" s="54" t="s">
        <v>4059</v>
      </c>
      <c r="D57" s="49" t="s">
        <v>660</v>
      </c>
      <c r="E57" s="47" t="s">
        <v>36</v>
      </c>
      <c r="F57" s="47" t="s">
        <v>37</v>
      </c>
      <c r="G57" s="56" t="s">
        <v>58</v>
      </c>
      <c r="H57" s="47">
        <v>2018.0</v>
      </c>
      <c r="I57" s="49" t="s">
        <v>3919</v>
      </c>
      <c r="J57" s="49" t="s">
        <v>4044</v>
      </c>
      <c r="K57" s="49" t="s">
        <v>4050</v>
      </c>
      <c r="L57" s="49" t="s">
        <v>3921</v>
      </c>
      <c r="M57" s="49" t="s">
        <v>3926</v>
      </c>
      <c r="N57" s="49"/>
      <c r="O57" s="49" t="s">
        <v>3928</v>
      </c>
      <c r="P57" s="49" t="s">
        <v>3937</v>
      </c>
      <c r="Q57" s="49" t="s">
        <v>2407</v>
      </c>
      <c r="R57" s="50"/>
      <c r="S57" s="51" t="s">
        <v>412</v>
      </c>
    </row>
    <row r="58">
      <c r="A58" s="46">
        <v>171.0</v>
      </c>
      <c r="B58" s="47" t="s">
        <v>662</v>
      </c>
      <c r="C58" s="52" t="s">
        <v>663</v>
      </c>
      <c r="D58" s="47" t="s">
        <v>664</v>
      </c>
      <c r="E58" s="47" t="s">
        <v>80</v>
      </c>
      <c r="F58" s="47" t="s">
        <v>81</v>
      </c>
      <c r="G58" s="56" t="s">
        <v>58</v>
      </c>
      <c r="H58" s="47">
        <v>2019.0</v>
      </c>
      <c r="I58" s="49" t="s">
        <v>3966</v>
      </c>
      <c r="J58" s="49" t="s">
        <v>3967</v>
      </c>
      <c r="K58" s="49" t="s">
        <v>4050</v>
      </c>
      <c r="L58" s="49" t="s">
        <v>3921</v>
      </c>
      <c r="M58" s="49" t="s">
        <v>3982</v>
      </c>
      <c r="N58" s="49" t="s">
        <v>3948</v>
      </c>
      <c r="O58" s="49" t="s">
        <v>3928</v>
      </c>
      <c r="P58" s="49" t="s">
        <v>2503</v>
      </c>
      <c r="Q58" s="49"/>
      <c r="R58" s="50"/>
      <c r="S58" s="51" t="s">
        <v>412</v>
      </c>
    </row>
    <row r="59">
      <c r="A59" s="46">
        <v>174.0</v>
      </c>
      <c r="B59" s="47" t="s">
        <v>672</v>
      </c>
      <c r="C59" s="54" t="s">
        <v>4060</v>
      </c>
      <c r="D59" s="49" t="s">
        <v>674</v>
      </c>
      <c r="E59" s="47" t="s">
        <v>62</v>
      </c>
      <c r="F59" s="47" t="s">
        <v>62</v>
      </c>
      <c r="G59" s="46" t="s">
        <v>58</v>
      </c>
      <c r="H59" s="49">
        <v>2018.0</v>
      </c>
      <c r="I59" s="49" t="s">
        <v>3939</v>
      </c>
      <c r="J59" s="49" t="s">
        <v>4061</v>
      </c>
      <c r="K59" s="49" t="s">
        <v>3954</v>
      </c>
      <c r="L59" s="49" t="s">
        <v>3973</v>
      </c>
      <c r="M59" s="49" t="s">
        <v>3926</v>
      </c>
      <c r="N59" s="49" t="s">
        <v>4062</v>
      </c>
      <c r="O59" s="49" t="s">
        <v>3949</v>
      </c>
      <c r="P59" s="49"/>
      <c r="Q59" s="49"/>
      <c r="R59" s="50"/>
      <c r="S59" s="51" t="s">
        <v>412</v>
      </c>
    </row>
    <row r="60">
      <c r="A60" s="46">
        <v>177.0</v>
      </c>
      <c r="B60" s="47" t="s">
        <v>683</v>
      </c>
      <c r="C60" s="54" t="s">
        <v>4063</v>
      </c>
      <c r="D60" s="47" t="s">
        <v>685</v>
      </c>
      <c r="E60" s="47" t="s">
        <v>393</v>
      </c>
      <c r="F60" s="49" t="s">
        <v>394</v>
      </c>
      <c r="G60" s="46" t="s">
        <v>38</v>
      </c>
      <c r="H60" s="47">
        <v>2018.0</v>
      </c>
      <c r="I60" s="49" t="s">
        <v>3966</v>
      </c>
      <c r="J60" s="49" t="s">
        <v>3967</v>
      </c>
      <c r="K60" s="49" t="s">
        <v>3947</v>
      </c>
      <c r="L60" s="49" t="s">
        <v>3921</v>
      </c>
      <c r="M60" s="49"/>
      <c r="N60" s="49" t="s">
        <v>4064</v>
      </c>
      <c r="O60" s="49" t="s">
        <v>3928</v>
      </c>
      <c r="P60" s="49" t="s">
        <v>2590</v>
      </c>
      <c r="Q60" s="49"/>
      <c r="R60" s="50"/>
      <c r="S60" s="51" t="s">
        <v>412</v>
      </c>
    </row>
    <row r="61">
      <c r="A61" s="46">
        <v>179.0</v>
      </c>
      <c r="B61" s="47" t="s">
        <v>691</v>
      </c>
      <c r="C61" s="54" t="s">
        <v>4065</v>
      </c>
      <c r="D61" s="47" t="s">
        <v>693</v>
      </c>
      <c r="E61" s="47" t="s">
        <v>466</v>
      </c>
      <c r="F61" s="47" t="s">
        <v>466</v>
      </c>
      <c r="G61" s="46" t="s">
        <v>58</v>
      </c>
      <c r="H61" s="47">
        <v>2019.0</v>
      </c>
      <c r="I61" s="49" t="s">
        <v>3919</v>
      </c>
      <c r="J61" s="49" t="s">
        <v>4066</v>
      </c>
      <c r="K61" s="49" t="s">
        <v>3932</v>
      </c>
      <c r="L61" s="49" t="s">
        <v>3921</v>
      </c>
      <c r="M61" s="49"/>
      <c r="N61" s="49" t="s">
        <v>3970</v>
      </c>
      <c r="O61" s="49" t="s">
        <v>3928</v>
      </c>
      <c r="P61" s="49" t="s">
        <v>2590</v>
      </c>
      <c r="Q61" s="49"/>
      <c r="R61" s="50"/>
      <c r="S61" s="51" t="s">
        <v>412</v>
      </c>
    </row>
    <row r="62">
      <c r="A62" s="46">
        <v>181.0</v>
      </c>
      <c r="B62" s="47" t="s">
        <v>699</v>
      </c>
      <c r="C62" s="54" t="s">
        <v>4067</v>
      </c>
      <c r="D62" s="47" t="s">
        <v>701</v>
      </c>
      <c r="E62" s="47" t="s">
        <v>128</v>
      </c>
      <c r="F62" s="47" t="s">
        <v>128</v>
      </c>
      <c r="G62" s="46" t="s">
        <v>38</v>
      </c>
      <c r="H62" s="47">
        <v>2020.0</v>
      </c>
      <c r="I62" s="49" t="s">
        <v>4068</v>
      </c>
      <c r="J62" s="49" t="s">
        <v>4069</v>
      </c>
      <c r="K62" s="49" t="s">
        <v>4050</v>
      </c>
      <c r="L62" s="49" t="s">
        <v>3921</v>
      </c>
      <c r="M62" s="49" t="s">
        <v>4070</v>
      </c>
      <c r="N62" s="49" t="s">
        <v>4071</v>
      </c>
      <c r="O62" s="49" t="s">
        <v>3928</v>
      </c>
      <c r="P62" s="49" t="s">
        <v>4036</v>
      </c>
      <c r="Q62" s="49" t="s">
        <v>2407</v>
      </c>
      <c r="R62" s="50" t="s">
        <v>4072</v>
      </c>
      <c r="S62" s="51" t="s">
        <v>412</v>
      </c>
    </row>
    <row r="63">
      <c r="A63" s="46">
        <v>183.0</v>
      </c>
      <c r="B63" s="47" t="s">
        <v>706</v>
      </c>
      <c r="C63" s="54" t="s">
        <v>4073</v>
      </c>
      <c r="D63" s="49" t="s">
        <v>708</v>
      </c>
      <c r="E63" s="49" t="s">
        <v>80</v>
      </c>
      <c r="F63" s="49" t="s">
        <v>81</v>
      </c>
      <c r="G63" s="46" t="s">
        <v>58</v>
      </c>
      <c r="H63" s="47">
        <v>2019.0</v>
      </c>
      <c r="I63" s="49" t="s">
        <v>3919</v>
      </c>
      <c r="J63" s="49" t="s">
        <v>3967</v>
      </c>
      <c r="K63" s="49" t="s">
        <v>4050</v>
      </c>
      <c r="L63" s="49" t="s">
        <v>3921</v>
      </c>
      <c r="M63" s="49" t="s">
        <v>3926</v>
      </c>
      <c r="N63" s="49" t="s">
        <v>3999</v>
      </c>
      <c r="O63" s="49" t="s">
        <v>3928</v>
      </c>
      <c r="P63" s="49" t="s">
        <v>2503</v>
      </c>
      <c r="Q63" s="49"/>
      <c r="R63" s="50"/>
      <c r="S63" s="51" t="s">
        <v>412</v>
      </c>
    </row>
    <row r="64">
      <c r="A64" s="46">
        <v>184.0</v>
      </c>
      <c r="B64" s="47" t="s">
        <v>710</v>
      </c>
      <c r="C64" s="54" t="s">
        <v>4074</v>
      </c>
      <c r="D64" s="47" t="s">
        <v>712</v>
      </c>
      <c r="E64" s="47" t="s">
        <v>62</v>
      </c>
      <c r="F64" s="47" t="s">
        <v>62</v>
      </c>
      <c r="G64" s="46" t="s">
        <v>38</v>
      </c>
      <c r="H64" s="47">
        <v>2018.0</v>
      </c>
      <c r="I64" s="49" t="s">
        <v>3919</v>
      </c>
      <c r="J64" s="49" t="s">
        <v>3967</v>
      </c>
      <c r="K64" s="49" t="s">
        <v>3932</v>
      </c>
      <c r="L64" s="49" t="s">
        <v>3921</v>
      </c>
      <c r="M64" s="49" t="s">
        <v>3926</v>
      </c>
      <c r="N64" s="49" t="s">
        <v>4075</v>
      </c>
      <c r="O64" s="49" t="s">
        <v>3928</v>
      </c>
      <c r="P64" s="49" t="s">
        <v>2590</v>
      </c>
      <c r="Q64" s="49" t="s">
        <v>2407</v>
      </c>
      <c r="R64" s="50" t="s">
        <v>4076</v>
      </c>
      <c r="S64" s="51" t="s">
        <v>412</v>
      </c>
    </row>
    <row r="65">
      <c r="A65" s="46">
        <v>186.0</v>
      </c>
      <c r="B65" s="47" t="s">
        <v>717</v>
      </c>
      <c r="C65" s="54" t="s">
        <v>4077</v>
      </c>
      <c r="D65" s="47" t="s">
        <v>240</v>
      </c>
      <c r="E65" s="47" t="s">
        <v>62</v>
      </c>
      <c r="F65" s="47" t="s">
        <v>62</v>
      </c>
      <c r="G65" s="46" t="s">
        <v>38</v>
      </c>
      <c r="H65" s="47">
        <v>2020.0</v>
      </c>
      <c r="I65" s="49" t="s">
        <v>3919</v>
      </c>
      <c r="J65" s="49" t="s">
        <v>4000</v>
      </c>
      <c r="K65" s="49" t="s">
        <v>3991</v>
      </c>
      <c r="L65" s="49" t="s">
        <v>3921</v>
      </c>
      <c r="M65" s="49" t="s">
        <v>3926</v>
      </c>
      <c r="N65" s="63" t="s">
        <v>3923</v>
      </c>
      <c r="O65" s="49" t="s">
        <v>3928</v>
      </c>
      <c r="P65" s="49" t="s">
        <v>3937</v>
      </c>
      <c r="Q65" s="49" t="s">
        <v>2407</v>
      </c>
      <c r="R65" s="50"/>
      <c r="S65" s="51" t="s">
        <v>412</v>
      </c>
    </row>
    <row r="66">
      <c r="A66" s="46">
        <v>188.0</v>
      </c>
      <c r="B66" s="47" t="s">
        <v>723</v>
      </c>
      <c r="C66" s="54" t="s">
        <v>4078</v>
      </c>
      <c r="D66" s="49" t="s">
        <v>725</v>
      </c>
      <c r="E66" s="49" t="s">
        <v>36</v>
      </c>
      <c r="F66" s="49" t="s">
        <v>37</v>
      </c>
      <c r="G66" s="46" t="s">
        <v>58</v>
      </c>
      <c r="H66" s="47">
        <v>2020.0</v>
      </c>
      <c r="I66" s="49" t="s">
        <v>3966</v>
      </c>
      <c r="J66" s="49" t="s">
        <v>3995</v>
      </c>
      <c r="K66" s="49" t="s">
        <v>3954</v>
      </c>
      <c r="L66" s="49" t="s">
        <v>3921</v>
      </c>
      <c r="M66" s="49" t="s">
        <v>3926</v>
      </c>
      <c r="N66" s="49" t="s">
        <v>4079</v>
      </c>
      <c r="O66" s="49" t="s">
        <v>3928</v>
      </c>
      <c r="P66" s="49" t="s">
        <v>2929</v>
      </c>
      <c r="Q66" s="49" t="s">
        <v>4080</v>
      </c>
      <c r="R66" s="50"/>
      <c r="S66" s="51" t="s">
        <v>412</v>
      </c>
    </row>
    <row r="67">
      <c r="A67" s="46">
        <v>189.0</v>
      </c>
      <c r="B67" s="47" t="s">
        <v>727</v>
      </c>
      <c r="C67" s="54" t="s">
        <v>4081</v>
      </c>
      <c r="D67" s="49" t="s">
        <v>729</v>
      </c>
      <c r="E67" s="47" t="s">
        <v>62</v>
      </c>
      <c r="F67" s="47" t="s">
        <v>62</v>
      </c>
      <c r="G67" s="46" t="s">
        <v>58</v>
      </c>
      <c r="H67" s="47">
        <v>2020.0</v>
      </c>
      <c r="I67" s="49" t="s">
        <v>3919</v>
      </c>
      <c r="J67" s="49" t="s">
        <v>3995</v>
      </c>
      <c r="K67" s="49" t="s">
        <v>4082</v>
      </c>
      <c r="L67" s="49" t="s">
        <v>3921</v>
      </c>
      <c r="M67" s="49" t="s">
        <v>3926</v>
      </c>
      <c r="N67" s="49" t="s">
        <v>3923</v>
      </c>
      <c r="O67" s="49" t="s">
        <v>3928</v>
      </c>
      <c r="P67" s="49" t="s">
        <v>3937</v>
      </c>
      <c r="Q67" s="49" t="s">
        <v>2407</v>
      </c>
      <c r="R67" s="50"/>
      <c r="S67" s="51" t="s">
        <v>412</v>
      </c>
    </row>
    <row r="68">
      <c r="A68" s="46">
        <v>190.0</v>
      </c>
      <c r="B68" s="47" t="s">
        <v>731</v>
      </c>
      <c r="C68" s="54" t="s">
        <v>4083</v>
      </c>
      <c r="D68" s="47" t="s">
        <v>733</v>
      </c>
      <c r="E68" s="49" t="s">
        <v>36</v>
      </c>
      <c r="F68" s="49" t="s">
        <v>37</v>
      </c>
      <c r="G68" s="46" t="s">
        <v>58</v>
      </c>
      <c r="H68" s="47">
        <v>2018.0</v>
      </c>
      <c r="I68" s="49" t="s">
        <v>3919</v>
      </c>
      <c r="J68" s="49" t="s">
        <v>3967</v>
      </c>
      <c r="K68" s="49" t="s">
        <v>3954</v>
      </c>
      <c r="L68" s="49" t="s">
        <v>3977</v>
      </c>
      <c r="M68" s="49" t="s">
        <v>3922</v>
      </c>
      <c r="N68" s="49" t="s">
        <v>4084</v>
      </c>
      <c r="O68" s="49" t="s">
        <v>3928</v>
      </c>
      <c r="P68" s="49" t="s">
        <v>2503</v>
      </c>
      <c r="Q68" s="49" t="s">
        <v>4085</v>
      </c>
      <c r="R68" s="50" t="s">
        <v>4086</v>
      </c>
      <c r="S68" s="51" t="s">
        <v>412</v>
      </c>
    </row>
    <row r="69">
      <c r="A69" s="46">
        <v>192.0</v>
      </c>
      <c r="B69" s="47" t="s">
        <v>737</v>
      </c>
      <c r="C69" s="54" t="s">
        <v>4087</v>
      </c>
      <c r="D69" s="47" t="s">
        <v>739</v>
      </c>
      <c r="E69" s="47" t="s">
        <v>128</v>
      </c>
      <c r="F69" s="47" t="s">
        <v>128</v>
      </c>
      <c r="G69" s="46" t="s">
        <v>38</v>
      </c>
      <c r="H69" s="47">
        <v>2019.0</v>
      </c>
      <c r="I69" s="49" t="s">
        <v>3966</v>
      </c>
      <c r="J69" s="49" t="s">
        <v>3967</v>
      </c>
      <c r="K69" s="49" t="s">
        <v>4088</v>
      </c>
      <c r="L69" s="49" t="s">
        <v>3921</v>
      </c>
      <c r="M69" s="49" t="s">
        <v>3982</v>
      </c>
      <c r="N69" s="49" t="s">
        <v>4089</v>
      </c>
      <c r="O69" s="49" t="s">
        <v>3928</v>
      </c>
      <c r="P69" s="49" t="s">
        <v>2503</v>
      </c>
      <c r="Q69" s="49" t="s">
        <v>4090</v>
      </c>
      <c r="R69" s="50" t="s">
        <v>4091</v>
      </c>
      <c r="S69" s="51" t="s">
        <v>412</v>
      </c>
    </row>
    <row r="70">
      <c r="A70" s="46">
        <v>193.0</v>
      </c>
      <c r="B70" s="47" t="s">
        <v>741</v>
      </c>
      <c r="C70" s="54" t="s">
        <v>4092</v>
      </c>
      <c r="D70" s="47" t="s">
        <v>743</v>
      </c>
      <c r="E70" s="47" t="s">
        <v>128</v>
      </c>
      <c r="F70" s="47" t="s">
        <v>128</v>
      </c>
      <c r="G70" s="46" t="s">
        <v>38</v>
      </c>
      <c r="H70" s="47">
        <v>2019.0</v>
      </c>
      <c r="I70" s="49" t="s">
        <v>3966</v>
      </c>
      <c r="J70" s="49" t="s">
        <v>4093</v>
      </c>
      <c r="K70" s="49" t="s">
        <v>4050</v>
      </c>
      <c r="L70" s="49" t="s">
        <v>3921</v>
      </c>
      <c r="M70" s="49" t="s">
        <v>3926</v>
      </c>
      <c r="N70" s="49" t="s">
        <v>4094</v>
      </c>
      <c r="O70" s="49" t="s">
        <v>3928</v>
      </c>
      <c r="P70" s="49" t="s">
        <v>3937</v>
      </c>
      <c r="Q70" s="49" t="s">
        <v>2407</v>
      </c>
      <c r="R70" s="50"/>
      <c r="S70" s="51" t="s">
        <v>412</v>
      </c>
    </row>
    <row r="71">
      <c r="A71" s="46">
        <v>194.0</v>
      </c>
      <c r="B71" s="47" t="s">
        <v>745</v>
      </c>
      <c r="C71" s="54" t="s">
        <v>4095</v>
      </c>
      <c r="D71" s="47" t="s">
        <v>747</v>
      </c>
      <c r="E71" s="47" t="s">
        <v>62</v>
      </c>
      <c r="F71" s="47" t="s">
        <v>62</v>
      </c>
      <c r="G71" s="46" t="s">
        <v>38</v>
      </c>
      <c r="H71" s="47">
        <v>2020.0</v>
      </c>
      <c r="I71" s="49" t="s">
        <v>3919</v>
      </c>
      <c r="J71" s="49" t="s">
        <v>4044</v>
      </c>
      <c r="K71" s="49" t="s">
        <v>3932</v>
      </c>
      <c r="L71" s="49" t="s">
        <v>3921</v>
      </c>
      <c r="M71" s="49" t="s">
        <v>3926</v>
      </c>
      <c r="N71" s="49" t="s">
        <v>4096</v>
      </c>
      <c r="O71" s="49" t="s">
        <v>3928</v>
      </c>
      <c r="P71" s="49" t="s">
        <v>4097</v>
      </c>
      <c r="Q71" s="49" t="s">
        <v>4098</v>
      </c>
      <c r="R71" s="50"/>
      <c r="S71" s="51" t="s">
        <v>412</v>
      </c>
    </row>
    <row r="72">
      <c r="A72" s="46">
        <v>195.0</v>
      </c>
      <c r="B72" s="47" t="s">
        <v>749</v>
      </c>
      <c r="C72" s="54" t="s">
        <v>4099</v>
      </c>
      <c r="D72" s="49" t="s">
        <v>751</v>
      </c>
      <c r="E72" s="49" t="s">
        <v>36</v>
      </c>
      <c r="F72" s="49" t="s">
        <v>37</v>
      </c>
      <c r="G72" s="46" t="s">
        <v>58</v>
      </c>
      <c r="H72" s="47">
        <v>2020.0</v>
      </c>
      <c r="I72" s="49" t="s">
        <v>3966</v>
      </c>
      <c r="J72" s="49" t="s">
        <v>3967</v>
      </c>
      <c r="K72" s="49" t="s">
        <v>3954</v>
      </c>
      <c r="L72" s="49" t="s">
        <v>3921</v>
      </c>
      <c r="M72" s="49" t="s">
        <v>3926</v>
      </c>
      <c r="N72" s="49" t="s">
        <v>3960</v>
      </c>
      <c r="O72" s="49" t="s">
        <v>3928</v>
      </c>
      <c r="P72" s="49" t="s">
        <v>2929</v>
      </c>
      <c r="Q72" s="49" t="s">
        <v>3954</v>
      </c>
      <c r="R72" s="50" t="s">
        <v>4100</v>
      </c>
      <c r="S72" s="51" t="s">
        <v>412</v>
      </c>
    </row>
    <row r="73">
      <c r="A73" s="46">
        <v>199.0</v>
      </c>
      <c r="B73" s="47" t="s">
        <v>765</v>
      </c>
      <c r="C73" s="54" t="s">
        <v>4101</v>
      </c>
      <c r="D73" s="47" t="s">
        <v>767</v>
      </c>
      <c r="E73" s="49" t="s">
        <v>36</v>
      </c>
      <c r="F73" s="49" t="s">
        <v>37</v>
      </c>
      <c r="G73" s="46" t="s">
        <v>58</v>
      </c>
      <c r="H73" s="47">
        <v>2019.0</v>
      </c>
      <c r="I73" s="49" t="s">
        <v>3966</v>
      </c>
      <c r="J73" s="49" t="s">
        <v>4102</v>
      </c>
      <c r="K73" s="49" t="s">
        <v>3954</v>
      </c>
      <c r="L73" s="49" t="s">
        <v>3921</v>
      </c>
      <c r="M73" s="49" t="s">
        <v>3926</v>
      </c>
      <c r="N73" s="49" t="s">
        <v>4094</v>
      </c>
      <c r="O73" s="49" t="s">
        <v>3928</v>
      </c>
      <c r="P73" s="49" t="s">
        <v>4036</v>
      </c>
      <c r="Q73" s="49" t="s">
        <v>2407</v>
      </c>
      <c r="R73" s="50" t="s">
        <v>4103</v>
      </c>
      <c r="S73" s="51" t="s">
        <v>412</v>
      </c>
    </row>
    <row r="74">
      <c r="A74" s="46">
        <v>200.0</v>
      </c>
      <c r="B74" s="47" t="s">
        <v>769</v>
      </c>
      <c r="C74" s="54" t="s">
        <v>4104</v>
      </c>
      <c r="D74" s="47" t="s">
        <v>771</v>
      </c>
      <c r="E74" s="47" t="s">
        <v>772</v>
      </c>
      <c r="F74" s="47" t="s">
        <v>773</v>
      </c>
      <c r="G74" s="56" t="s">
        <v>38</v>
      </c>
      <c r="H74" s="47">
        <v>2020.0</v>
      </c>
      <c r="I74" s="49" t="s">
        <v>3966</v>
      </c>
      <c r="J74" s="49" t="s">
        <v>4105</v>
      </c>
      <c r="K74" s="49" t="s">
        <v>3954</v>
      </c>
      <c r="L74" s="49" t="s">
        <v>3921</v>
      </c>
      <c r="M74" s="49" t="s">
        <v>3922</v>
      </c>
      <c r="N74" s="49" t="s">
        <v>4106</v>
      </c>
      <c r="O74" s="49" t="s">
        <v>3928</v>
      </c>
      <c r="P74" s="49" t="s">
        <v>4036</v>
      </c>
      <c r="Q74" s="49" t="s">
        <v>2407</v>
      </c>
      <c r="R74" s="50" t="s">
        <v>4107</v>
      </c>
      <c r="S74" s="51" t="s">
        <v>412</v>
      </c>
    </row>
    <row r="75">
      <c r="A75" s="46">
        <v>201.0</v>
      </c>
      <c r="B75" s="47" t="s">
        <v>775</v>
      </c>
      <c r="C75" s="54" t="s">
        <v>4108</v>
      </c>
      <c r="D75" s="47" t="s">
        <v>777</v>
      </c>
      <c r="E75" s="49" t="s">
        <v>778</v>
      </c>
      <c r="F75" s="49" t="s">
        <v>779</v>
      </c>
      <c r="G75" s="46" t="s">
        <v>38</v>
      </c>
      <c r="H75" s="49">
        <v>2019.0</v>
      </c>
      <c r="I75" s="49" t="s">
        <v>3919</v>
      </c>
      <c r="J75" s="49" t="s">
        <v>4000</v>
      </c>
      <c r="K75" s="49" t="s">
        <v>3991</v>
      </c>
      <c r="L75" s="49" t="s">
        <v>3921</v>
      </c>
      <c r="M75" s="49" t="s">
        <v>3922</v>
      </c>
      <c r="N75" s="49" t="s">
        <v>2647</v>
      </c>
      <c r="O75" s="49" t="s">
        <v>3928</v>
      </c>
      <c r="P75" s="49" t="s">
        <v>4036</v>
      </c>
      <c r="Q75" s="49" t="s">
        <v>2407</v>
      </c>
      <c r="R75" s="50"/>
      <c r="S75" s="51" t="s">
        <v>412</v>
      </c>
    </row>
    <row r="76">
      <c r="A76" s="46">
        <v>203.0</v>
      </c>
      <c r="B76" s="47" t="s">
        <v>787</v>
      </c>
      <c r="C76" s="54" t="s">
        <v>4109</v>
      </c>
      <c r="D76" s="49" t="s">
        <v>789</v>
      </c>
      <c r="E76" s="49" t="s">
        <v>790</v>
      </c>
      <c r="F76" s="49" t="s">
        <v>791</v>
      </c>
      <c r="G76" s="46" t="s">
        <v>38</v>
      </c>
      <c r="H76" s="47">
        <v>2018.0</v>
      </c>
      <c r="I76" s="49" t="s">
        <v>3919</v>
      </c>
      <c r="J76" s="49" t="s">
        <v>3967</v>
      </c>
      <c r="K76" s="49" t="s">
        <v>4110</v>
      </c>
      <c r="L76" s="49" t="s">
        <v>3921</v>
      </c>
      <c r="M76" s="49" t="s">
        <v>3922</v>
      </c>
      <c r="N76" s="49" t="s">
        <v>2647</v>
      </c>
      <c r="O76" s="49" t="s">
        <v>3928</v>
      </c>
      <c r="P76" s="49" t="s">
        <v>2503</v>
      </c>
      <c r="Q76" s="49"/>
      <c r="R76" s="50"/>
      <c r="S76" s="51" t="s">
        <v>412</v>
      </c>
    </row>
    <row r="77">
      <c r="A77" s="46">
        <v>204.0</v>
      </c>
      <c r="B77" s="47" t="s">
        <v>793</v>
      </c>
      <c r="C77" s="54" t="s">
        <v>4111</v>
      </c>
      <c r="D77" s="47" t="s">
        <v>795</v>
      </c>
      <c r="E77" s="49" t="s">
        <v>796</v>
      </c>
      <c r="F77" s="49" t="s">
        <v>797</v>
      </c>
      <c r="G77" s="46" t="s">
        <v>58</v>
      </c>
      <c r="H77" s="47">
        <v>2018.0</v>
      </c>
      <c r="I77" s="49" t="s">
        <v>3966</v>
      </c>
      <c r="J77" s="49" t="s">
        <v>3931</v>
      </c>
      <c r="K77" s="49" t="s">
        <v>4112</v>
      </c>
      <c r="L77" s="49" t="s">
        <v>3921</v>
      </c>
      <c r="M77" s="49" t="s">
        <v>3982</v>
      </c>
      <c r="N77" s="49" t="s">
        <v>4113</v>
      </c>
      <c r="O77" s="49" t="s">
        <v>3928</v>
      </c>
      <c r="P77" s="49" t="s">
        <v>4114</v>
      </c>
      <c r="Q77" s="49" t="s">
        <v>3943</v>
      </c>
      <c r="R77" s="50" t="s">
        <v>4115</v>
      </c>
      <c r="S77" s="51" t="s">
        <v>412</v>
      </c>
    </row>
    <row r="78">
      <c r="A78" s="46">
        <v>206.0</v>
      </c>
      <c r="B78" s="47" t="s">
        <v>802</v>
      </c>
      <c r="C78" s="54" t="s">
        <v>4116</v>
      </c>
      <c r="D78" s="47" t="s">
        <v>79</v>
      </c>
      <c r="E78" s="49" t="s">
        <v>804</v>
      </c>
      <c r="F78" s="49" t="s">
        <v>805</v>
      </c>
      <c r="G78" s="46" t="s">
        <v>38</v>
      </c>
      <c r="H78" s="47">
        <v>2019.0</v>
      </c>
      <c r="I78" s="49" t="s">
        <v>3919</v>
      </c>
      <c r="J78" s="49" t="s">
        <v>3931</v>
      </c>
      <c r="K78" s="49" t="s">
        <v>3932</v>
      </c>
      <c r="L78" s="49" t="s">
        <v>3921</v>
      </c>
      <c r="M78" s="49" t="s">
        <v>3968</v>
      </c>
      <c r="N78" s="49" t="s">
        <v>4117</v>
      </c>
      <c r="O78" s="49" t="s">
        <v>3928</v>
      </c>
      <c r="P78" s="49" t="s">
        <v>4114</v>
      </c>
      <c r="Q78" s="49" t="s">
        <v>2407</v>
      </c>
      <c r="R78" s="50"/>
      <c r="S78" s="51" t="s">
        <v>412</v>
      </c>
    </row>
    <row r="79">
      <c r="A79" s="46">
        <v>207.0</v>
      </c>
      <c r="B79" s="47" t="s">
        <v>807</v>
      </c>
      <c r="C79" s="54" t="s">
        <v>4118</v>
      </c>
      <c r="D79" s="49" t="s">
        <v>809</v>
      </c>
      <c r="E79" s="47" t="s">
        <v>128</v>
      </c>
      <c r="F79" s="47" t="s">
        <v>128</v>
      </c>
      <c r="G79" s="46" t="s">
        <v>38</v>
      </c>
      <c r="H79" s="47">
        <v>2018.0</v>
      </c>
      <c r="I79" s="49" t="s">
        <v>3966</v>
      </c>
      <c r="J79" s="49" t="s">
        <v>4044</v>
      </c>
      <c r="K79" s="49" t="s">
        <v>4112</v>
      </c>
      <c r="L79" s="49" t="s">
        <v>3921</v>
      </c>
      <c r="M79" s="49" t="s">
        <v>3968</v>
      </c>
      <c r="N79" s="49" t="s">
        <v>4119</v>
      </c>
      <c r="O79" s="49" t="s">
        <v>3928</v>
      </c>
      <c r="P79" s="49" t="s">
        <v>4114</v>
      </c>
      <c r="Q79" s="49" t="s">
        <v>2407</v>
      </c>
      <c r="R79" s="50" t="s">
        <v>4115</v>
      </c>
      <c r="S79" s="51" t="s">
        <v>412</v>
      </c>
    </row>
    <row r="80">
      <c r="A80" s="46">
        <v>211.0</v>
      </c>
      <c r="B80" s="67" t="s">
        <v>821</v>
      </c>
      <c r="C80" s="68" t="s">
        <v>4120</v>
      </c>
      <c r="D80" s="67" t="s">
        <v>823</v>
      </c>
      <c r="E80" s="69" t="s">
        <v>29</v>
      </c>
      <c r="F80" s="69" t="s">
        <v>30</v>
      </c>
      <c r="G80" s="66" t="s">
        <v>38</v>
      </c>
      <c r="H80" s="67">
        <v>2019.0</v>
      </c>
      <c r="I80" s="49" t="s">
        <v>3966</v>
      </c>
      <c r="J80" s="49" t="s">
        <v>3967</v>
      </c>
      <c r="K80" s="49" t="s">
        <v>4121</v>
      </c>
      <c r="L80" s="63" t="s">
        <v>3921</v>
      </c>
      <c r="M80" s="49" t="s">
        <v>3982</v>
      </c>
      <c r="N80" s="49" t="s">
        <v>4014</v>
      </c>
      <c r="O80" s="49" t="s">
        <v>3928</v>
      </c>
      <c r="P80" s="49" t="s">
        <v>2503</v>
      </c>
      <c r="Q80" s="63"/>
      <c r="R80" s="50"/>
      <c r="S80" s="51" t="s">
        <v>412</v>
      </c>
    </row>
    <row r="81">
      <c r="A81" s="46">
        <v>213.0</v>
      </c>
      <c r="B81" s="70" t="s">
        <v>828</v>
      </c>
      <c r="C81" s="71" t="s">
        <v>829</v>
      </c>
      <c r="D81" s="70" t="s">
        <v>830</v>
      </c>
      <c r="E81" s="72" t="s">
        <v>831</v>
      </c>
      <c r="F81" s="72" t="s">
        <v>832</v>
      </c>
      <c r="G81" s="46" t="s">
        <v>38</v>
      </c>
      <c r="H81" s="70">
        <v>2018.0</v>
      </c>
      <c r="I81" s="49" t="s">
        <v>3919</v>
      </c>
      <c r="J81" s="49" t="s">
        <v>3920</v>
      </c>
      <c r="K81" s="49"/>
      <c r="L81" s="49" t="s">
        <v>3921</v>
      </c>
      <c r="M81" s="49" t="s">
        <v>3982</v>
      </c>
      <c r="N81" s="49" t="s">
        <v>4122</v>
      </c>
      <c r="O81" s="49" t="s">
        <v>3924</v>
      </c>
      <c r="P81" s="49" t="s">
        <v>1070</v>
      </c>
      <c r="Q81" s="49" t="s">
        <v>2407</v>
      </c>
      <c r="R81" s="50"/>
      <c r="S81" s="51" t="s">
        <v>58</v>
      </c>
    </row>
    <row r="82">
      <c r="A82" s="73">
        <v>214.0</v>
      </c>
      <c r="B82" s="74" t="s">
        <v>834</v>
      </c>
      <c r="C82" s="75" t="s">
        <v>835</v>
      </c>
      <c r="D82" s="74" t="s">
        <v>836</v>
      </c>
      <c r="E82" s="76" t="s">
        <v>62</v>
      </c>
      <c r="F82" s="76" t="s">
        <v>62</v>
      </c>
      <c r="G82" s="77" t="s">
        <v>38</v>
      </c>
      <c r="H82" s="78">
        <v>2019.0</v>
      </c>
      <c r="I82" s="49" t="s">
        <v>3966</v>
      </c>
      <c r="J82" s="77" t="s">
        <v>3931</v>
      </c>
      <c r="K82" s="49" t="s">
        <v>3932</v>
      </c>
      <c r="L82" s="49" t="s">
        <v>3921</v>
      </c>
      <c r="M82" s="49" t="s">
        <v>3926</v>
      </c>
      <c r="N82" s="49" t="s">
        <v>4123</v>
      </c>
      <c r="O82" s="77" t="s">
        <v>3928</v>
      </c>
      <c r="P82" s="36" t="s">
        <v>1070</v>
      </c>
      <c r="Q82" s="49" t="s">
        <v>2407</v>
      </c>
      <c r="R82" s="50" t="s">
        <v>4124</v>
      </c>
      <c r="S82" s="51" t="s">
        <v>58</v>
      </c>
    </row>
    <row r="83">
      <c r="A83" s="56">
        <v>219.0</v>
      </c>
      <c r="B83" s="47" t="s">
        <v>855</v>
      </c>
      <c r="C83" s="79" t="s">
        <v>856</v>
      </c>
      <c r="D83" s="47" t="s">
        <v>857</v>
      </c>
      <c r="E83" s="47" t="s">
        <v>128</v>
      </c>
      <c r="F83" s="47" t="s">
        <v>128</v>
      </c>
      <c r="G83" s="56" t="s">
        <v>38</v>
      </c>
      <c r="H83" s="58">
        <v>2020.0</v>
      </c>
      <c r="I83" s="49" t="s">
        <v>3919</v>
      </c>
      <c r="J83" s="49" t="s">
        <v>3931</v>
      </c>
      <c r="K83" s="49"/>
      <c r="L83" s="49" t="s">
        <v>3921</v>
      </c>
      <c r="M83" s="49" t="s">
        <v>3982</v>
      </c>
      <c r="N83" s="49" t="s">
        <v>3923</v>
      </c>
      <c r="O83" s="49" t="s">
        <v>3928</v>
      </c>
      <c r="P83" s="49" t="s">
        <v>4125</v>
      </c>
      <c r="Q83" s="49" t="s">
        <v>2407</v>
      </c>
      <c r="R83" s="50"/>
      <c r="S83" s="51" t="s">
        <v>58</v>
      </c>
    </row>
    <row r="84">
      <c r="A84" s="56">
        <v>220.0</v>
      </c>
      <c r="B84" s="47" t="s">
        <v>859</v>
      </c>
      <c r="C84" s="79" t="s">
        <v>860</v>
      </c>
      <c r="D84" s="47" t="s">
        <v>861</v>
      </c>
      <c r="E84" s="47" t="s">
        <v>62</v>
      </c>
      <c r="F84" s="47" t="s">
        <v>62</v>
      </c>
      <c r="G84" s="56" t="s">
        <v>38</v>
      </c>
      <c r="H84" s="47">
        <v>2019.0</v>
      </c>
      <c r="I84" s="49" t="s">
        <v>3966</v>
      </c>
      <c r="J84" s="49" t="s">
        <v>3920</v>
      </c>
      <c r="K84" s="49" t="s">
        <v>4005</v>
      </c>
      <c r="L84" s="49" t="s">
        <v>3921</v>
      </c>
      <c r="M84" s="49" t="s">
        <v>3926</v>
      </c>
      <c r="N84" s="49" t="s">
        <v>4123</v>
      </c>
      <c r="O84" s="49" t="s">
        <v>3928</v>
      </c>
      <c r="P84" s="49" t="s">
        <v>1070</v>
      </c>
      <c r="Q84" s="49" t="s">
        <v>4008</v>
      </c>
      <c r="R84" s="50"/>
      <c r="S84" s="51" t="s">
        <v>58</v>
      </c>
    </row>
    <row r="85">
      <c r="A85" s="56">
        <v>222.0</v>
      </c>
      <c r="B85" s="47" t="s">
        <v>866</v>
      </c>
      <c r="C85" s="79" t="s">
        <v>867</v>
      </c>
      <c r="D85" s="47" t="s">
        <v>868</v>
      </c>
      <c r="E85" s="47" t="s">
        <v>393</v>
      </c>
      <c r="F85" s="47" t="s">
        <v>394</v>
      </c>
      <c r="G85" s="56" t="s">
        <v>38</v>
      </c>
      <c r="H85" s="47">
        <v>2019.0</v>
      </c>
      <c r="I85" s="49" t="s">
        <v>3919</v>
      </c>
      <c r="J85" s="49" t="s">
        <v>3920</v>
      </c>
      <c r="K85" s="49" t="s">
        <v>3954</v>
      </c>
      <c r="L85" s="49" t="s">
        <v>3921</v>
      </c>
      <c r="M85" s="49" t="s">
        <v>3926</v>
      </c>
      <c r="N85" s="49" t="s">
        <v>4014</v>
      </c>
      <c r="O85" s="49" t="s">
        <v>3928</v>
      </c>
      <c r="P85" s="49" t="s">
        <v>1070</v>
      </c>
      <c r="Q85" s="49" t="s">
        <v>4008</v>
      </c>
      <c r="R85" s="50" t="s">
        <v>4126</v>
      </c>
      <c r="S85" s="51" t="s">
        <v>58</v>
      </c>
    </row>
    <row r="86">
      <c r="A86" s="73">
        <v>223.0</v>
      </c>
      <c r="B86" s="74" t="s">
        <v>869</v>
      </c>
      <c r="C86" s="75" t="s">
        <v>870</v>
      </c>
      <c r="D86" s="74" t="s">
        <v>871</v>
      </c>
      <c r="E86" s="80" t="s">
        <v>872</v>
      </c>
      <c r="F86" s="80" t="s">
        <v>872</v>
      </c>
      <c r="G86" s="77" t="s">
        <v>38</v>
      </c>
      <c r="H86" s="78">
        <v>2018.0</v>
      </c>
      <c r="I86" s="49" t="s">
        <v>3919</v>
      </c>
      <c r="J86" s="77" t="s">
        <v>3920</v>
      </c>
      <c r="K86" s="49" t="s">
        <v>3954</v>
      </c>
      <c r="L86" s="49" t="s">
        <v>3921</v>
      </c>
      <c r="M86" s="49"/>
      <c r="N86" s="49" t="s">
        <v>1070</v>
      </c>
      <c r="O86" s="49" t="s">
        <v>3928</v>
      </c>
      <c r="P86" s="49" t="s">
        <v>1070</v>
      </c>
      <c r="Q86" s="49" t="s">
        <v>2407</v>
      </c>
      <c r="R86" s="50" t="s">
        <v>4127</v>
      </c>
      <c r="S86" s="51" t="s">
        <v>58</v>
      </c>
    </row>
    <row r="87">
      <c r="A87" s="56">
        <v>225.0</v>
      </c>
      <c r="B87" s="47" t="s">
        <v>877</v>
      </c>
      <c r="C87" s="79" t="s">
        <v>878</v>
      </c>
      <c r="D87" s="47" t="s">
        <v>79</v>
      </c>
      <c r="E87" s="47" t="s">
        <v>62</v>
      </c>
      <c r="F87" s="47" t="s">
        <v>62</v>
      </c>
      <c r="G87" s="56" t="s">
        <v>58</v>
      </c>
      <c r="H87" s="47">
        <v>2018.0</v>
      </c>
      <c r="I87" s="49" t="s">
        <v>3919</v>
      </c>
      <c r="J87" s="49" t="s">
        <v>3967</v>
      </c>
      <c r="K87" s="49"/>
      <c r="L87" s="49" t="s">
        <v>3921</v>
      </c>
      <c r="M87" s="49" t="s">
        <v>3922</v>
      </c>
      <c r="N87" s="49" t="s">
        <v>4128</v>
      </c>
      <c r="O87" s="49" t="s">
        <v>4129</v>
      </c>
      <c r="P87" s="49" t="s">
        <v>2503</v>
      </c>
      <c r="Q87" s="49"/>
      <c r="S87" s="51" t="s">
        <v>58</v>
      </c>
    </row>
    <row r="88">
      <c r="A88" s="56">
        <v>230.0</v>
      </c>
      <c r="B88" s="47" t="s">
        <v>893</v>
      </c>
      <c r="C88" s="79" t="s">
        <v>894</v>
      </c>
      <c r="D88" s="47" t="s">
        <v>895</v>
      </c>
      <c r="E88" s="47" t="s">
        <v>896</v>
      </c>
      <c r="F88" s="47" t="s">
        <v>896</v>
      </c>
      <c r="G88" s="56" t="s">
        <v>38</v>
      </c>
      <c r="H88" s="58">
        <v>2018.0</v>
      </c>
      <c r="I88" s="49" t="s">
        <v>3919</v>
      </c>
      <c r="J88" s="49" t="s">
        <v>3920</v>
      </c>
      <c r="K88" s="49" t="s">
        <v>3954</v>
      </c>
      <c r="L88" s="49" t="s">
        <v>3921</v>
      </c>
      <c r="M88" s="49" t="s">
        <v>3926</v>
      </c>
      <c r="N88" s="49" t="s">
        <v>4123</v>
      </c>
      <c r="O88" s="49" t="s">
        <v>3928</v>
      </c>
      <c r="P88" s="49" t="s">
        <v>1070</v>
      </c>
      <c r="Q88" s="49" t="s">
        <v>2407</v>
      </c>
      <c r="R88" s="50" t="s">
        <v>4130</v>
      </c>
      <c r="S88" s="51" t="s">
        <v>58</v>
      </c>
    </row>
    <row r="89">
      <c r="A89" s="56">
        <v>233.0</v>
      </c>
      <c r="B89" s="47" t="s">
        <v>904</v>
      </c>
      <c r="C89" s="79" t="s">
        <v>905</v>
      </c>
      <c r="D89" s="47" t="s">
        <v>906</v>
      </c>
      <c r="E89" s="47" t="s">
        <v>62</v>
      </c>
      <c r="F89" s="47" t="s">
        <v>62</v>
      </c>
      <c r="G89" s="56" t="s">
        <v>38</v>
      </c>
      <c r="H89" s="58">
        <v>2020.0</v>
      </c>
      <c r="I89" s="49" t="s">
        <v>3919</v>
      </c>
      <c r="J89" s="49" t="s">
        <v>4000</v>
      </c>
      <c r="K89" s="49" t="s">
        <v>3954</v>
      </c>
      <c r="L89" s="49" t="s">
        <v>3921</v>
      </c>
      <c r="M89" s="49" t="s">
        <v>3922</v>
      </c>
      <c r="N89" s="49" t="s">
        <v>3923</v>
      </c>
      <c r="O89" s="49" t="s">
        <v>3928</v>
      </c>
      <c r="P89" s="49" t="s">
        <v>1070</v>
      </c>
      <c r="Q89" s="49" t="s">
        <v>2407</v>
      </c>
      <c r="R89" s="50" t="s">
        <v>4131</v>
      </c>
      <c r="S89" s="51" t="s">
        <v>58</v>
      </c>
    </row>
    <row r="90">
      <c r="A90" s="56">
        <v>235.0</v>
      </c>
      <c r="B90" s="47" t="s">
        <v>911</v>
      </c>
      <c r="C90" s="79" t="s">
        <v>912</v>
      </c>
      <c r="D90" s="47" t="s">
        <v>913</v>
      </c>
      <c r="E90" s="47" t="s">
        <v>914</v>
      </c>
      <c r="F90" s="47" t="s">
        <v>915</v>
      </c>
      <c r="G90" s="56" t="s">
        <v>38</v>
      </c>
      <c r="H90" s="58">
        <v>2020.0</v>
      </c>
      <c r="I90" s="49" t="s">
        <v>3966</v>
      </c>
      <c r="J90" s="49" t="s">
        <v>3967</v>
      </c>
      <c r="K90" s="49" t="s">
        <v>3932</v>
      </c>
      <c r="L90" s="49" t="s">
        <v>3921</v>
      </c>
      <c r="M90" s="49" t="s">
        <v>3926</v>
      </c>
      <c r="N90" s="49" t="s">
        <v>3948</v>
      </c>
      <c r="O90" s="49" t="s">
        <v>3928</v>
      </c>
      <c r="P90" s="49" t="s">
        <v>2503</v>
      </c>
      <c r="Q90" s="49" t="s">
        <v>4008</v>
      </c>
      <c r="R90" s="50"/>
      <c r="S90" s="51" t="s">
        <v>58</v>
      </c>
    </row>
    <row r="91">
      <c r="A91" s="73">
        <v>239.0</v>
      </c>
      <c r="B91" s="74" t="s">
        <v>928</v>
      </c>
      <c r="C91" s="75" t="s">
        <v>929</v>
      </c>
      <c r="D91" s="74" t="s">
        <v>930</v>
      </c>
      <c r="E91" s="81" t="s">
        <v>29</v>
      </c>
      <c r="F91" s="81" t="s">
        <v>30</v>
      </c>
      <c r="G91" s="77" t="s">
        <v>38</v>
      </c>
      <c r="H91" s="82">
        <v>2020.0</v>
      </c>
      <c r="I91" s="49" t="s">
        <v>4132</v>
      </c>
      <c r="J91" s="77" t="s">
        <v>4000</v>
      </c>
      <c r="K91" s="77" t="s">
        <v>4050</v>
      </c>
      <c r="L91" s="49" t="s">
        <v>3921</v>
      </c>
      <c r="M91" s="49" t="s">
        <v>3965</v>
      </c>
      <c r="N91" s="49" t="s">
        <v>4133</v>
      </c>
      <c r="O91" s="77" t="s">
        <v>3928</v>
      </c>
      <c r="P91" s="49" t="s">
        <v>1070</v>
      </c>
      <c r="Q91" s="49"/>
      <c r="R91" s="50"/>
      <c r="S91" s="51"/>
    </row>
    <row r="92">
      <c r="A92" s="56">
        <v>241.0</v>
      </c>
      <c r="B92" s="47" t="s">
        <v>936</v>
      </c>
      <c r="C92" s="79" t="s">
        <v>937</v>
      </c>
      <c r="D92" s="47" t="s">
        <v>938</v>
      </c>
      <c r="E92" s="47" t="s">
        <v>36</v>
      </c>
      <c r="F92" s="47" t="s">
        <v>37</v>
      </c>
      <c r="G92" s="46" t="s">
        <v>58</v>
      </c>
      <c r="H92" s="47">
        <v>2018.0</v>
      </c>
      <c r="I92" s="49" t="s">
        <v>3919</v>
      </c>
      <c r="J92" s="49" t="s">
        <v>3967</v>
      </c>
      <c r="K92" s="49" t="s">
        <v>3947</v>
      </c>
      <c r="L92" s="49" t="s">
        <v>3921</v>
      </c>
      <c r="M92" s="49" t="s">
        <v>3922</v>
      </c>
      <c r="N92" s="49" t="s">
        <v>2503</v>
      </c>
      <c r="O92" s="49" t="s">
        <v>3928</v>
      </c>
      <c r="P92" s="49" t="s">
        <v>2503</v>
      </c>
      <c r="Q92" s="49" t="s">
        <v>3951</v>
      </c>
      <c r="R92" s="50"/>
      <c r="S92" s="51" t="s">
        <v>58</v>
      </c>
    </row>
    <row r="93">
      <c r="A93" s="56">
        <v>248.0</v>
      </c>
      <c r="B93" s="47" t="s">
        <v>961</v>
      </c>
      <c r="C93" s="79" t="s">
        <v>962</v>
      </c>
      <c r="D93" s="47" t="s">
        <v>963</v>
      </c>
      <c r="E93" s="47" t="s">
        <v>36</v>
      </c>
      <c r="F93" s="47" t="s">
        <v>37</v>
      </c>
      <c r="G93" s="46" t="s">
        <v>58</v>
      </c>
      <c r="H93" s="47">
        <v>2019.0</v>
      </c>
      <c r="I93" s="49" t="s">
        <v>3966</v>
      </c>
      <c r="J93" s="49" t="s">
        <v>3967</v>
      </c>
      <c r="K93" s="49" t="s">
        <v>3954</v>
      </c>
      <c r="L93" s="49" t="s">
        <v>3921</v>
      </c>
      <c r="M93" s="49" t="s">
        <v>3922</v>
      </c>
      <c r="N93" s="49" t="s">
        <v>2503</v>
      </c>
      <c r="O93" s="49" t="s">
        <v>3928</v>
      </c>
      <c r="P93" s="49" t="s">
        <v>2503</v>
      </c>
      <c r="Q93" s="49" t="s">
        <v>4008</v>
      </c>
      <c r="R93" s="50" t="s">
        <v>4134</v>
      </c>
      <c r="S93" s="51" t="s">
        <v>58</v>
      </c>
    </row>
    <row r="94">
      <c r="A94" s="46">
        <v>260.0</v>
      </c>
      <c r="B94" s="70" t="s">
        <v>1006</v>
      </c>
      <c r="C94" s="71" t="s">
        <v>1007</v>
      </c>
      <c r="D94" s="70" t="s">
        <v>1008</v>
      </c>
      <c r="E94" s="83" t="s">
        <v>62</v>
      </c>
      <c r="F94" s="83" t="s">
        <v>62</v>
      </c>
      <c r="G94" s="46" t="s">
        <v>38</v>
      </c>
      <c r="H94" s="70">
        <v>2019.0</v>
      </c>
      <c r="I94" s="49" t="s">
        <v>3966</v>
      </c>
      <c r="J94" s="49" t="s">
        <v>3931</v>
      </c>
      <c r="K94" s="49" t="s">
        <v>3954</v>
      </c>
      <c r="L94" s="49" t="s">
        <v>3921</v>
      </c>
      <c r="M94" s="49" t="s">
        <v>3982</v>
      </c>
      <c r="N94" s="49" t="s">
        <v>2503</v>
      </c>
      <c r="O94" s="49" t="s">
        <v>3928</v>
      </c>
      <c r="P94" s="49" t="s">
        <v>2503</v>
      </c>
      <c r="Q94" s="49" t="s">
        <v>3943</v>
      </c>
      <c r="R94" s="50" t="s">
        <v>4135</v>
      </c>
      <c r="S94" s="51" t="s">
        <v>58</v>
      </c>
    </row>
    <row r="95">
      <c r="A95" s="46">
        <v>261.0</v>
      </c>
      <c r="B95" s="70" t="s">
        <v>1010</v>
      </c>
      <c r="C95" s="71" t="s">
        <v>1011</v>
      </c>
      <c r="D95" s="70" t="s">
        <v>1012</v>
      </c>
      <c r="E95" s="72" t="s">
        <v>36</v>
      </c>
      <c r="F95" s="72" t="s">
        <v>37</v>
      </c>
      <c r="G95" s="46" t="s">
        <v>38</v>
      </c>
      <c r="H95" s="70">
        <v>2019.0</v>
      </c>
      <c r="I95" s="49" t="s">
        <v>3966</v>
      </c>
      <c r="J95" s="49" t="s">
        <v>4136</v>
      </c>
      <c r="K95" s="49" t="s">
        <v>3932</v>
      </c>
      <c r="L95" s="49" t="s">
        <v>3921</v>
      </c>
      <c r="M95" s="49" t="s">
        <v>3926</v>
      </c>
      <c r="N95" s="49" t="s">
        <v>4123</v>
      </c>
      <c r="O95" s="49" t="s">
        <v>3928</v>
      </c>
      <c r="P95" s="49" t="s">
        <v>1070</v>
      </c>
      <c r="Q95" s="49" t="s">
        <v>3951</v>
      </c>
      <c r="R95" s="84"/>
      <c r="S95" s="85" t="s">
        <v>58</v>
      </c>
    </row>
    <row r="96">
      <c r="A96" s="46">
        <v>266.0</v>
      </c>
      <c r="B96" s="70" t="s">
        <v>1029</v>
      </c>
      <c r="C96" s="71" t="s">
        <v>1030</v>
      </c>
      <c r="D96" s="70" t="s">
        <v>1031</v>
      </c>
      <c r="E96" s="72" t="s">
        <v>1032</v>
      </c>
      <c r="F96" s="72" t="s">
        <v>1033</v>
      </c>
      <c r="G96" s="46" t="s">
        <v>38</v>
      </c>
      <c r="H96" s="86">
        <v>2018.0</v>
      </c>
      <c r="I96" s="49" t="s">
        <v>3966</v>
      </c>
      <c r="J96" s="49" t="s">
        <v>4000</v>
      </c>
      <c r="K96" s="49" t="s">
        <v>4137</v>
      </c>
      <c r="L96" s="49" t="s">
        <v>3921</v>
      </c>
      <c r="M96" s="49" t="s">
        <v>3926</v>
      </c>
      <c r="N96" s="49" t="s">
        <v>1070</v>
      </c>
      <c r="O96" s="49" t="s">
        <v>3928</v>
      </c>
      <c r="P96" s="49" t="s">
        <v>1070</v>
      </c>
      <c r="Q96" s="49" t="s">
        <v>2407</v>
      </c>
      <c r="R96" s="84"/>
      <c r="S96" s="85" t="s">
        <v>58</v>
      </c>
    </row>
    <row r="97">
      <c r="A97" s="46">
        <v>275.0</v>
      </c>
      <c r="B97" s="70" t="s">
        <v>1063</v>
      </c>
      <c r="C97" s="71" t="s">
        <v>1064</v>
      </c>
      <c r="D97" s="70" t="s">
        <v>1065</v>
      </c>
      <c r="E97" s="83" t="s">
        <v>393</v>
      </c>
      <c r="F97" s="87" t="s">
        <v>394</v>
      </c>
      <c r="G97" s="46" t="s">
        <v>38</v>
      </c>
      <c r="H97" s="70">
        <v>2020.0</v>
      </c>
      <c r="I97" s="49" t="s">
        <v>3919</v>
      </c>
      <c r="J97" s="49" t="s">
        <v>3967</v>
      </c>
      <c r="K97" s="49" t="s">
        <v>3947</v>
      </c>
      <c r="L97" s="49" t="s">
        <v>3921</v>
      </c>
      <c r="M97" s="49" t="s">
        <v>3926</v>
      </c>
      <c r="N97" s="49" t="s">
        <v>2503</v>
      </c>
      <c r="O97" s="49" t="s">
        <v>3928</v>
      </c>
      <c r="P97" s="49" t="s">
        <v>2503</v>
      </c>
      <c r="Q97" s="49" t="s">
        <v>4008</v>
      </c>
      <c r="R97" s="84"/>
      <c r="S97" s="85" t="s">
        <v>58</v>
      </c>
    </row>
    <row r="98">
      <c r="A98" s="46">
        <v>276.0</v>
      </c>
      <c r="B98" s="70" t="s">
        <v>1067</v>
      </c>
      <c r="C98" s="71" t="s">
        <v>1068</v>
      </c>
      <c r="D98" s="70" t="s">
        <v>1069</v>
      </c>
      <c r="E98" s="88" t="s">
        <v>128</v>
      </c>
      <c r="F98" s="88" t="s">
        <v>128</v>
      </c>
      <c r="G98" s="46" t="s">
        <v>38</v>
      </c>
      <c r="H98" s="70">
        <v>2019.0</v>
      </c>
      <c r="I98" s="49" t="s">
        <v>3966</v>
      </c>
      <c r="J98" s="49" t="s">
        <v>3920</v>
      </c>
      <c r="K98" s="49" t="s">
        <v>4138</v>
      </c>
      <c r="L98" s="49" t="s">
        <v>3921</v>
      </c>
      <c r="M98" s="49" t="s">
        <v>3922</v>
      </c>
      <c r="N98" s="49" t="s">
        <v>4006</v>
      </c>
      <c r="O98" s="49" t="s">
        <v>3928</v>
      </c>
      <c r="P98" s="49" t="s">
        <v>1070</v>
      </c>
      <c r="Q98" s="49" t="s">
        <v>3943</v>
      </c>
      <c r="R98" s="84"/>
      <c r="S98" s="85" t="s">
        <v>58</v>
      </c>
    </row>
    <row r="99">
      <c r="A99" s="46">
        <v>278.0</v>
      </c>
      <c r="B99" s="70" t="s">
        <v>1074</v>
      </c>
      <c r="C99" s="71" t="s">
        <v>1075</v>
      </c>
      <c r="D99" s="70" t="s">
        <v>1076</v>
      </c>
      <c r="E99" s="72" t="s">
        <v>36</v>
      </c>
      <c r="F99" s="72" t="s">
        <v>37</v>
      </c>
      <c r="G99" s="46" t="s">
        <v>38</v>
      </c>
      <c r="H99" s="70">
        <v>2019.0</v>
      </c>
      <c r="I99" s="49" t="s">
        <v>3966</v>
      </c>
      <c r="J99" s="49" t="s">
        <v>3995</v>
      </c>
      <c r="K99" s="49" t="s">
        <v>3954</v>
      </c>
      <c r="L99" s="49" t="s">
        <v>3921</v>
      </c>
      <c r="M99" s="49" t="s">
        <v>3926</v>
      </c>
      <c r="N99" s="49" t="s">
        <v>4139</v>
      </c>
      <c r="O99" s="49" t="s">
        <v>3924</v>
      </c>
      <c r="P99" s="49" t="s">
        <v>1070</v>
      </c>
      <c r="Q99" s="49" t="s">
        <v>4008</v>
      </c>
      <c r="R99" s="50" t="s">
        <v>4140</v>
      </c>
      <c r="S99" s="85" t="s">
        <v>58</v>
      </c>
    </row>
    <row r="100">
      <c r="A100" s="46">
        <v>284.0</v>
      </c>
      <c r="B100" s="70" t="s">
        <v>1096</v>
      </c>
      <c r="C100" s="71" t="s">
        <v>1097</v>
      </c>
      <c r="D100" s="70" t="s">
        <v>1098</v>
      </c>
      <c r="E100" s="83" t="s">
        <v>128</v>
      </c>
      <c r="F100" s="83" t="s">
        <v>128</v>
      </c>
      <c r="G100" s="46" t="s">
        <v>38</v>
      </c>
      <c r="H100" s="70">
        <v>2018.0</v>
      </c>
      <c r="I100" s="49" t="s">
        <v>3966</v>
      </c>
      <c r="J100" s="49" t="s">
        <v>4141</v>
      </c>
      <c r="K100" s="49" t="s">
        <v>3954</v>
      </c>
      <c r="L100" s="49" t="s">
        <v>3921</v>
      </c>
      <c r="M100" s="49" t="s">
        <v>3922</v>
      </c>
      <c r="N100" s="58"/>
      <c r="O100" s="49" t="s">
        <v>3928</v>
      </c>
      <c r="P100" s="49" t="s">
        <v>1070</v>
      </c>
      <c r="Q100" s="49" t="s">
        <v>2407</v>
      </c>
      <c r="R100" s="50" t="s">
        <v>4142</v>
      </c>
      <c r="S100" s="85" t="s">
        <v>58</v>
      </c>
    </row>
    <row r="101">
      <c r="A101" s="46">
        <v>287.0</v>
      </c>
      <c r="B101" s="70" t="s">
        <v>1108</v>
      </c>
      <c r="C101" s="71" t="s">
        <v>1109</v>
      </c>
      <c r="D101" s="70" t="s">
        <v>1110</v>
      </c>
      <c r="E101" s="83" t="s">
        <v>62</v>
      </c>
      <c r="F101" s="83" t="s">
        <v>62</v>
      </c>
      <c r="G101" s="46" t="s">
        <v>58</v>
      </c>
      <c r="H101" s="70">
        <v>2019.0</v>
      </c>
      <c r="I101" s="49" t="s">
        <v>3919</v>
      </c>
      <c r="J101" s="49" t="s">
        <v>3920</v>
      </c>
      <c r="K101" s="49" t="s">
        <v>3954</v>
      </c>
      <c r="L101" s="49" t="s">
        <v>3921</v>
      </c>
      <c r="M101" s="49" t="s">
        <v>3922</v>
      </c>
      <c r="N101" s="49" t="s">
        <v>4143</v>
      </c>
      <c r="O101" s="49" t="s">
        <v>3924</v>
      </c>
      <c r="P101" s="49" t="s">
        <v>1070</v>
      </c>
      <c r="Q101" s="49" t="s">
        <v>3943</v>
      </c>
      <c r="R101" s="50" t="s">
        <v>4144</v>
      </c>
      <c r="S101" s="85" t="s">
        <v>58</v>
      </c>
    </row>
    <row r="102">
      <c r="A102" s="46">
        <v>289.0</v>
      </c>
      <c r="B102" s="70" t="s">
        <v>1116</v>
      </c>
      <c r="C102" s="71" t="s">
        <v>1117</v>
      </c>
      <c r="D102" s="70" t="s">
        <v>1118</v>
      </c>
      <c r="E102" s="72" t="s">
        <v>36</v>
      </c>
      <c r="F102" s="72" t="s">
        <v>37</v>
      </c>
      <c r="G102" s="46" t="s">
        <v>58</v>
      </c>
      <c r="H102" s="70">
        <v>2020.0</v>
      </c>
      <c r="I102" s="49" t="s">
        <v>3939</v>
      </c>
      <c r="J102" s="49" t="s">
        <v>4054</v>
      </c>
      <c r="K102" s="49" t="s">
        <v>3954</v>
      </c>
      <c r="L102" s="49" t="s">
        <v>3921</v>
      </c>
      <c r="M102" s="49" t="s">
        <v>3926</v>
      </c>
      <c r="N102" s="58"/>
      <c r="O102" s="49" t="s">
        <v>3928</v>
      </c>
      <c r="P102" s="49"/>
      <c r="Q102" s="49" t="s">
        <v>4004</v>
      </c>
      <c r="R102" s="50" t="s">
        <v>4145</v>
      </c>
      <c r="S102" s="85" t="s">
        <v>58</v>
      </c>
    </row>
    <row r="103">
      <c r="A103" s="46">
        <v>290.0</v>
      </c>
      <c r="B103" s="70" t="s">
        <v>1120</v>
      </c>
      <c r="C103" s="71" t="s">
        <v>1121</v>
      </c>
      <c r="D103" s="70" t="s">
        <v>1122</v>
      </c>
      <c r="E103" s="72" t="s">
        <v>36</v>
      </c>
      <c r="F103" s="72" t="s">
        <v>37</v>
      </c>
      <c r="G103" s="46" t="s">
        <v>58</v>
      </c>
      <c r="H103" s="70">
        <v>2018.0</v>
      </c>
      <c r="I103" s="49" t="s">
        <v>3919</v>
      </c>
      <c r="J103" s="49" t="s">
        <v>3931</v>
      </c>
      <c r="K103" s="49"/>
      <c r="L103" s="49" t="s">
        <v>3921</v>
      </c>
      <c r="M103" s="49" t="s">
        <v>3922</v>
      </c>
      <c r="N103" s="49" t="s">
        <v>4146</v>
      </c>
      <c r="O103" s="49" t="s">
        <v>3928</v>
      </c>
      <c r="P103" s="49" t="s">
        <v>2590</v>
      </c>
      <c r="Q103" s="49" t="s">
        <v>2407</v>
      </c>
      <c r="R103" s="84"/>
      <c r="S103" s="85" t="s">
        <v>58</v>
      </c>
    </row>
    <row r="104">
      <c r="A104" s="46">
        <v>293.0</v>
      </c>
      <c r="B104" s="70" t="s">
        <v>1130</v>
      </c>
      <c r="C104" s="71" t="s">
        <v>1131</v>
      </c>
      <c r="D104" s="70" t="s">
        <v>930</v>
      </c>
      <c r="E104" s="72" t="s">
        <v>29</v>
      </c>
      <c r="F104" s="72" t="s">
        <v>30</v>
      </c>
      <c r="G104" s="46" t="s">
        <v>38</v>
      </c>
      <c r="H104" s="70">
        <v>2020.0</v>
      </c>
      <c r="I104" s="49" t="s">
        <v>3919</v>
      </c>
      <c r="J104" s="49" t="s">
        <v>4147</v>
      </c>
      <c r="K104" s="49" t="s">
        <v>3954</v>
      </c>
      <c r="L104" s="49" t="s">
        <v>3921</v>
      </c>
      <c r="M104" s="49" t="s">
        <v>3922</v>
      </c>
      <c r="N104" s="49" t="s">
        <v>3923</v>
      </c>
      <c r="O104" s="49" t="s">
        <v>3928</v>
      </c>
      <c r="P104" s="49" t="s">
        <v>1070</v>
      </c>
      <c r="Q104" s="49" t="s">
        <v>3943</v>
      </c>
      <c r="R104" s="50" t="s">
        <v>4148</v>
      </c>
      <c r="S104" s="85" t="s">
        <v>58</v>
      </c>
    </row>
    <row r="105">
      <c r="A105" s="46">
        <v>294.0</v>
      </c>
      <c r="B105" s="70" t="s">
        <v>1133</v>
      </c>
      <c r="C105" s="71" t="s">
        <v>1134</v>
      </c>
      <c r="D105" s="70" t="s">
        <v>1135</v>
      </c>
      <c r="E105" s="72" t="s">
        <v>36</v>
      </c>
      <c r="F105" s="72" t="s">
        <v>37</v>
      </c>
      <c r="G105" s="46" t="s">
        <v>38</v>
      </c>
      <c r="H105" s="70">
        <v>2019.0</v>
      </c>
      <c r="I105" s="49" t="s">
        <v>3919</v>
      </c>
      <c r="J105" s="49" t="s">
        <v>4147</v>
      </c>
      <c r="K105" s="49" t="s">
        <v>3954</v>
      </c>
      <c r="L105" s="49" t="s">
        <v>3921</v>
      </c>
      <c r="M105" s="49" t="s">
        <v>3926</v>
      </c>
      <c r="N105" s="49" t="s">
        <v>4014</v>
      </c>
      <c r="O105" s="49" t="s">
        <v>3928</v>
      </c>
      <c r="P105" s="49" t="s">
        <v>1070</v>
      </c>
      <c r="Q105" s="49" t="s">
        <v>2407</v>
      </c>
      <c r="R105" s="50" t="s">
        <v>4149</v>
      </c>
      <c r="S105" s="85" t="s">
        <v>58</v>
      </c>
    </row>
    <row r="106">
      <c r="A106" s="46">
        <v>298.0</v>
      </c>
      <c r="B106" s="70" t="s">
        <v>1147</v>
      </c>
      <c r="C106" s="71" t="s">
        <v>1148</v>
      </c>
      <c r="D106" s="70" t="s">
        <v>1149</v>
      </c>
      <c r="E106" s="72" t="s">
        <v>36</v>
      </c>
      <c r="F106" s="72" t="s">
        <v>37</v>
      </c>
      <c r="G106" s="46" t="s">
        <v>58</v>
      </c>
      <c r="H106" s="70">
        <v>2019.0</v>
      </c>
      <c r="I106" s="49" t="s">
        <v>3939</v>
      </c>
      <c r="J106" s="49" t="s">
        <v>4061</v>
      </c>
      <c r="K106" s="49"/>
      <c r="L106" s="49" t="s">
        <v>3921</v>
      </c>
      <c r="M106" s="49" t="s">
        <v>3922</v>
      </c>
      <c r="N106" s="49" t="s">
        <v>3923</v>
      </c>
      <c r="O106" s="49" t="s">
        <v>3928</v>
      </c>
      <c r="P106" s="49" t="s">
        <v>1070</v>
      </c>
      <c r="Q106" s="49" t="s">
        <v>4008</v>
      </c>
      <c r="R106" s="84"/>
      <c r="S106" s="85" t="s">
        <v>58</v>
      </c>
    </row>
    <row r="107">
      <c r="A107" s="46">
        <v>305.0</v>
      </c>
      <c r="B107" s="70" t="s">
        <v>1171</v>
      </c>
      <c r="C107" s="71" t="s">
        <v>1172</v>
      </c>
      <c r="D107" s="70" t="s">
        <v>1173</v>
      </c>
      <c r="E107" s="72" t="s">
        <v>1174</v>
      </c>
      <c r="F107" s="72" t="s">
        <v>1175</v>
      </c>
      <c r="G107" s="46" t="s">
        <v>38</v>
      </c>
      <c r="H107" s="70">
        <v>2018.0</v>
      </c>
      <c r="I107" s="49" t="s">
        <v>3966</v>
      </c>
      <c r="J107" s="49" t="s">
        <v>3931</v>
      </c>
      <c r="K107" s="49"/>
      <c r="L107" s="49" t="s">
        <v>3921</v>
      </c>
      <c r="M107" s="49" t="s">
        <v>3926</v>
      </c>
      <c r="N107" s="49" t="s">
        <v>4014</v>
      </c>
      <c r="O107" s="49" t="s">
        <v>3928</v>
      </c>
      <c r="P107" s="49" t="s">
        <v>1070</v>
      </c>
      <c r="Q107" s="49" t="s">
        <v>2407</v>
      </c>
      <c r="R107" s="84"/>
      <c r="S107" s="85" t="s">
        <v>58</v>
      </c>
    </row>
    <row r="108">
      <c r="A108" s="46">
        <v>314.0</v>
      </c>
      <c r="B108" s="70" t="s">
        <v>1205</v>
      </c>
      <c r="C108" s="71" t="s">
        <v>1206</v>
      </c>
      <c r="D108" s="70" t="s">
        <v>1207</v>
      </c>
      <c r="E108" s="72" t="s">
        <v>36</v>
      </c>
      <c r="F108" s="72" t="s">
        <v>37</v>
      </c>
      <c r="G108" s="46" t="s">
        <v>3150</v>
      </c>
      <c r="H108" s="70">
        <v>2019.0</v>
      </c>
      <c r="I108" s="49" t="s">
        <v>3966</v>
      </c>
      <c r="J108" s="49" t="s">
        <v>4024</v>
      </c>
      <c r="K108" s="49" t="s">
        <v>3954</v>
      </c>
      <c r="L108" s="49" t="s">
        <v>3921</v>
      </c>
      <c r="M108" s="49" t="s">
        <v>3926</v>
      </c>
      <c r="N108" s="49" t="s">
        <v>4139</v>
      </c>
      <c r="O108" s="49" t="s">
        <v>3928</v>
      </c>
      <c r="P108" s="49" t="s">
        <v>4027</v>
      </c>
      <c r="Q108" s="49" t="s">
        <v>3958</v>
      </c>
      <c r="R108" s="50" t="s">
        <v>4150</v>
      </c>
      <c r="S108" s="85" t="s">
        <v>58</v>
      </c>
    </row>
    <row r="109">
      <c r="A109" s="46">
        <v>316.0</v>
      </c>
      <c r="B109" s="70" t="s">
        <v>1213</v>
      </c>
      <c r="C109" s="71" t="s">
        <v>1214</v>
      </c>
      <c r="D109" s="70" t="s">
        <v>1215</v>
      </c>
      <c r="E109" s="72" t="s">
        <v>29</v>
      </c>
      <c r="F109" s="72" t="s">
        <v>30</v>
      </c>
      <c r="G109" s="46" t="s">
        <v>38</v>
      </c>
      <c r="H109" s="70">
        <v>2019.0</v>
      </c>
      <c r="I109" s="49" t="s">
        <v>3966</v>
      </c>
      <c r="J109" s="49" t="s">
        <v>3920</v>
      </c>
      <c r="K109" s="49" t="s">
        <v>3954</v>
      </c>
      <c r="L109" s="49" t="s">
        <v>3921</v>
      </c>
      <c r="M109" s="49" t="s">
        <v>3922</v>
      </c>
      <c r="N109" s="49" t="s">
        <v>4151</v>
      </c>
      <c r="O109" s="49" t="s">
        <v>3924</v>
      </c>
      <c r="P109" s="49" t="s">
        <v>1070</v>
      </c>
      <c r="Q109" s="49" t="s">
        <v>2407</v>
      </c>
      <c r="R109" s="50" t="s">
        <v>4152</v>
      </c>
      <c r="S109" s="85" t="s">
        <v>58</v>
      </c>
    </row>
    <row r="110">
      <c r="A110" s="46">
        <v>320.0</v>
      </c>
      <c r="B110" s="70" t="s">
        <v>1228</v>
      </c>
      <c r="C110" s="71" t="s">
        <v>1229</v>
      </c>
      <c r="D110" s="70" t="s">
        <v>1230</v>
      </c>
      <c r="E110" s="88" t="s">
        <v>62</v>
      </c>
      <c r="F110" s="88" t="s">
        <v>62</v>
      </c>
      <c r="G110" s="46" t="s">
        <v>38</v>
      </c>
      <c r="H110" s="70">
        <v>2020.0</v>
      </c>
      <c r="I110" s="49" t="s">
        <v>3966</v>
      </c>
      <c r="J110" s="49" t="s">
        <v>3931</v>
      </c>
      <c r="K110" s="49" t="s">
        <v>3991</v>
      </c>
      <c r="L110" s="49" t="s">
        <v>3921</v>
      </c>
      <c r="M110" s="49" t="s">
        <v>3926</v>
      </c>
      <c r="N110" s="49" t="s">
        <v>3979</v>
      </c>
      <c r="O110" s="49" t="s">
        <v>3928</v>
      </c>
      <c r="P110" s="49" t="s">
        <v>2590</v>
      </c>
      <c r="Q110" s="49" t="s">
        <v>2407</v>
      </c>
      <c r="R110" s="84"/>
      <c r="S110" s="85" t="s">
        <v>58</v>
      </c>
    </row>
    <row r="111">
      <c r="A111" s="46">
        <v>323.0</v>
      </c>
      <c r="B111" s="70" t="s">
        <v>1238</v>
      </c>
      <c r="C111" s="71" t="s">
        <v>1239</v>
      </c>
      <c r="D111" s="70" t="s">
        <v>1240</v>
      </c>
      <c r="E111" s="72" t="s">
        <v>36</v>
      </c>
      <c r="F111" s="72" t="s">
        <v>37</v>
      </c>
      <c r="G111" s="46" t="s">
        <v>38</v>
      </c>
      <c r="H111" s="70">
        <v>2018.0</v>
      </c>
      <c r="I111" s="49" t="s">
        <v>3966</v>
      </c>
      <c r="J111" s="49" t="s">
        <v>3931</v>
      </c>
      <c r="K111" s="49" t="s">
        <v>3947</v>
      </c>
      <c r="L111" s="49" t="s">
        <v>3921</v>
      </c>
      <c r="M111" s="49" t="s">
        <v>3926</v>
      </c>
      <c r="N111" s="49" t="s">
        <v>4151</v>
      </c>
      <c r="O111" s="49" t="s">
        <v>3928</v>
      </c>
      <c r="P111" s="49" t="s">
        <v>2590</v>
      </c>
      <c r="Q111" s="49" t="s">
        <v>2407</v>
      </c>
      <c r="R111" s="84"/>
      <c r="S111" s="85" t="s">
        <v>58</v>
      </c>
    </row>
    <row r="112">
      <c r="A112" s="46">
        <v>325.0</v>
      </c>
      <c r="B112" s="70" t="s">
        <v>1245</v>
      </c>
      <c r="C112" s="71" t="s">
        <v>1246</v>
      </c>
      <c r="D112" s="70" t="s">
        <v>1247</v>
      </c>
      <c r="E112" s="72" t="s">
        <v>36</v>
      </c>
      <c r="F112" s="72" t="s">
        <v>37</v>
      </c>
      <c r="G112" s="46" t="s">
        <v>38</v>
      </c>
      <c r="H112" s="70">
        <v>2020.0</v>
      </c>
      <c r="I112" s="49" t="s">
        <v>3966</v>
      </c>
      <c r="J112" s="49" t="s">
        <v>3931</v>
      </c>
      <c r="K112" s="49" t="s">
        <v>3954</v>
      </c>
      <c r="L112" s="49" t="s">
        <v>3921</v>
      </c>
      <c r="M112" s="49" t="s">
        <v>3922</v>
      </c>
      <c r="N112" s="49" t="s">
        <v>3999</v>
      </c>
      <c r="O112" s="49" t="s">
        <v>3924</v>
      </c>
      <c r="P112" s="49"/>
      <c r="Q112" s="49" t="s">
        <v>2407</v>
      </c>
      <c r="R112" s="50" t="s">
        <v>4153</v>
      </c>
      <c r="S112" s="85" t="s">
        <v>58</v>
      </c>
    </row>
    <row r="113">
      <c r="A113" s="46">
        <v>326.0</v>
      </c>
      <c r="B113" s="70" t="s">
        <v>1249</v>
      </c>
      <c r="C113" s="71" t="s">
        <v>1250</v>
      </c>
      <c r="D113" s="70" t="s">
        <v>1251</v>
      </c>
      <c r="E113" s="88" t="s">
        <v>62</v>
      </c>
      <c r="F113" s="88" t="s">
        <v>62</v>
      </c>
      <c r="G113" s="46" t="s">
        <v>38</v>
      </c>
      <c r="H113" s="70">
        <v>2020.0</v>
      </c>
      <c r="I113" s="49" t="s">
        <v>3966</v>
      </c>
      <c r="J113" s="49" t="s">
        <v>3931</v>
      </c>
      <c r="K113" s="49" t="s">
        <v>4121</v>
      </c>
      <c r="L113" s="49" t="s">
        <v>3921</v>
      </c>
      <c r="M113" s="49" t="s">
        <v>3926</v>
      </c>
      <c r="N113" s="49" t="s">
        <v>3979</v>
      </c>
      <c r="O113" s="49" t="s">
        <v>3928</v>
      </c>
      <c r="P113" s="49" t="s">
        <v>1070</v>
      </c>
      <c r="Q113" s="49" t="s">
        <v>3951</v>
      </c>
      <c r="R113" s="50" t="s">
        <v>4154</v>
      </c>
      <c r="S113" s="85" t="s">
        <v>58</v>
      </c>
    </row>
    <row r="114">
      <c r="A114" s="46">
        <v>327.0</v>
      </c>
      <c r="B114" s="70" t="s">
        <v>1253</v>
      </c>
      <c r="C114" s="71" t="s">
        <v>1254</v>
      </c>
      <c r="D114" s="70" t="s">
        <v>1255</v>
      </c>
      <c r="E114" s="83" t="s">
        <v>128</v>
      </c>
      <c r="F114" s="83" t="s">
        <v>128</v>
      </c>
      <c r="G114" s="46" t="s">
        <v>38</v>
      </c>
      <c r="H114" s="70">
        <v>2018.0</v>
      </c>
      <c r="I114" s="49" t="s">
        <v>3930</v>
      </c>
      <c r="J114" s="49" t="s">
        <v>3931</v>
      </c>
      <c r="K114" s="49" t="s">
        <v>3954</v>
      </c>
      <c r="L114" s="49" t="s">
        <v>3921</v>
      </c>
      <c r="M114" s="49" t="s">
        <v>3965</v>
      </c>
      <c r="N114" s="49" t="s">
        <v>4014</v>
      </c>
      <c r="O114" s="49" t="s">
        <v>3928</v>
      </c>
      <c r="P114" s="49" t="s">
        <v>2590</v>
      </c>
      <c r="Q114" s="49" t="s">
        <v>2407</v>
      </c>
      <c r="R114" s="84"/>
      <c r="S114" s="85" t="s">
        <v>58</v>
      </c>
    </row>
    <row r="115">
      <c r="A115" s="46">
        <v>330.0</v>
      </c>
      <c r="B115" s="70" t="s">
        <v>1264</v>
      </c>
      <c r="C115" s="71" t="s">
        <v>1265</v>
      </c>
      <c r="D115" s="70" t="s">
        <v>1266</v>
      </c>
      <c r="E115" s="89" t="s">
        <v>1084</v>
      </c>
      <c r="F115" s="89" t="s">
        <v>1084</v>
      </c>
      <c r="G115" s="46" t="s">
        <v>38</v>
      </c>
      <c r="H115" s="70">
        <v>2019.0</v>
      </c>
      <c r="I115" s="49" t="s">
        <v>3966</v>
      </c>
      <c r="J115" s="49" t="s">
        <v>4069</v>
      </c>
      <c r="K115" s="49" t="s">
        <v>3954</v>
      </c>
      <c r="L115" s="49" t="s">
        <v>3921</v>
      </c>
      <c r="M115" s="49" t="s">
        <v>3926</v>
      </c>
      <c r="N115" s="49" t="s">
        <v>3956</v>
      </c>
      <c r="O115" s="49" t="s">
        <v>3928</v>
      </c>
      <c r="P115" s="49" t="s">
        <v>1070</v>
      </c>
      <c r="Q115" s="49" t="s">
        <v>2407</v>
      </c>
      <c r="R115" s="50" t="s">
        <v>4155</v>
      </c>
      <c r="S115" s="85" t="s">
        <v>58</v>
      </c>
    </row>
    <row r="116">
      <c r="A116" s="46">
        <v>334.0</v>
      </c>
      <c r="B116" s="70" t="s">
        <v>1279</v>
      </c>
      <c r="C116" s="71" t="s">
        <v>1280</v>
      </c>
      <c r="D116" s="70" t="s">
        <v>1281</v>
      </c>
      <c r="E116" s="72" t="s">
        <v>36</v>
      </c>
      <c r="F116" s="72" t="s">
        <v>37</v>
      </c>
      <c r="G116" s="46" t="s">
        <v>58</v>
      </c>
      <c r="H116" s="70">
        <v>2019.0</v>
      </c>
      <c r="I116" s="49" t="s">
        <v>3939</v>
      </c>
      <c r="J116" s="49" t="s">
        <v>4054</v>
      </c>
      <c r="K116" s="49" t="s">
        <v>3932</v>
      </c>
      <c r="L116" s="49" t="s">
        <v>3921</v>
      </c>
      <c r="M116" s="49" t="s">
        <v>3922</v>
      </c>
      <c r="N116" s="49" t="s">
        <v>3979</v>
      </c>
      <c r="O116" s="49" t="s">
        <v>3949</v>
      </c>
      <c r="P116" s="49"/>
      <c r="Q116" s="49" t="s">
        <v>2407</v>
      </c>
      <c r="R116" s="84"/>
      <c r="S116" s="85" t="s">
        <v>58</v>
      </c>
    </row>
    <row r="117">
      <c r="A117" s="46">
        <v>335.0</v>
      </c>
      <c r="B117" s="70" t="s">
        <v>1283</v>
      </c>
      <c r="C117" s="71" t="s">
        <v>1284</v>
      </c>
      <c r="D117" s="70" t="s">
        <v>1285</v>
      </c>
      <c r="E117" s="72" t="s">
        <v>36</v>
      </c>
      <c r="F117" s="72" t="s">
        <v>37</v>
      </c>
      <c r="G117" s="46" t="s">
        <v>58</v>
      </c>
      <c r="H117" s="70">
        <v>2020.0</v>
      </c>
      <c r="I117" s="49" t="s">
        <v>3966</v>
      </c>
      <c r="J117" s="49" t="s">
        <v>3931</v>
      </c>
      <c r="K117" s="49"/>
      <c r="L117" s="49" t="s">
        <v>3921</v>
      </c>
      <c r="M117" s="49" t="s">
        <v>3926</v>
      </c>
      <c r="N117" s="49"/>
      <c r="O117" s="49" t="s">
        <v>3928</v>
      </c>
      <c r="P117" s="49" t="s">
        <v>2590</v>
      </c>
      <c r="Q117" s="49" t="s">
        <v>2407</v>
      </c>
      <c r="R117" s="84"/>
      <c r="S117" s="85" t="s">
        <v>58</v>
      </c>
    </row>
    <row r="118">
      <c r="A118" s="46">
        <v>340.0</v>
      </c>
      <c r="B118" s="70" t="s">
        <v>1299</v>
      </c>
      <c r="C118" s="71" t="s">
        <v>1300</v>
      </c>
      <c r="D118" s="70" t="s">
        <v>1301</v>
      </c>
      <c r="E118" s="83" t="s">
        <v>62</v>
      </c>
      <c r="F118" s="83" t="s">
        <v>62</v>
      </c>
      <c r="G118" s="46" t="s">
        <v>58</v>
      </c>
      <c r="H118" s="70">
        <v>2018.0</v>
      </c>
      <c r="I118" s="49" t="s">
        <v>3966</v>
      </c>
      <c r="J118" s="49" t="s">
        <v>3920</v>
      </c>
      <c r="K118" s="49" t="s">
        <v>3954</v>
      </c>
      <c r="L118" s="49" t="s">
        <v>3921</v>
      </c>
      <c r="M118" s="49" t="s">
        <v>3926</v>
      </c>
      <c r="N118" s="49" t="s">
        <v>3923</v>
      </c>
      <c r="O118" s="49" t="s">
        <v>3928</v>
      </c>
      <c r="P118" s="49" t="s">
        <v>4156</v>
      </c>
      <c r="Q118" s="58"/>
      <c r="R118" s="50" t="s">
        <v>4157</v>
      </c>
      <c r="S118" s="85" t="s">
        <v>58</v>
      </c>
    </row>
    <row r="119">
      <c r="A119" s="66">
        <v>350.0</v>
      </c>
      <c r="B119" s="67" t="s">
        <v>1331</v>
      </c>
      <c r="C119" s="90" t="s">
        <v>1332</v>
      </c>
      <c r="D119" s="67" t="s">
        <v>1333</v>
      </c>
      <c r="E119" s="69" t="s">
        <v>36</v>
      </c>
      <c r="F119" s="69" t="s">
        <v>37</v>
      </c>
      <c r="G119" s="66" t="s">
        <v>58</v>
      </c>
      <c r="H119" s="67">
        <v>2019.0</v>
      </c>
      <c r="I119" s="49" t="s">
        <v>3919</v>
      </c>
      <c r="J119" s="49" t="s">
        <v>3920</v>
      </c>
      <c r="K119" s="49" t="s">
        <v>3932</v>
      </c>
      <c r="L119" s="49" t="s">
        <v>3921</v>
      </c>
      <c r="M119" s="49" t="s">
        <v>3926</v>
      </c>
      <c r="N119" s="49" t="s">
        <v>3956</v>
      </c>
      <c r="O119" s="49" t="s">
        <v>3928</v>
      </c>
      <c r="P119" s="49" t="s">
        <v>1070</v>
      </c>
      <c r="Q119" s="49" t="s">
        <v>2407</v>
      </c>
      <c r="R119" s="84"/>
      <c r="S119" s="85" t="s">
        <v>58</v>
      </c>
    </row>
    <row r="120">
      <c r="A120" s="46">
        <v>351.0</v>
      </c>
      <c r="B120" s="86" t="s">
        <v>1334</v>
      </c>
      <c r="C120" s="91" t="s">
        <v>1335</v>
      </c>
      <c r="D120" s="86" t="s">
        <v>1336</v>
      </c>
      <c r="E120" s="88" t="s">
        <v>128</v>
      </c>
      <c r="F120" s="88" t="s">
        <v>128</v>
      </c>
      <c r="G120" s="46" t="s">
        <v>38</v>
      </c>
      <c r="H120" s="86">
        <v>2018.0</v>
      </c>
      <c r="I120" s="49" t="s">
        <v>3966</v>
      </c>
      <c r="J120" s="49" t="s">
        <v>3920</v>
      </c>
      <c r="K120" s="49"/>
      <c r="L120" s="49" t="s">
        <v>3921</v>
      </c>
      <c r="M120" s="49" t="s">
        <v>3922</v>
      </c>
      <c r="N120" s="49" t="s">
        <v>4151</v>
      </c>
      <c r="O120" s="49" t="s">
        <v>3928</v>
      </c>
      <c r="P120" s="49" t="s">
        <v>1070</v>
      </c>
      <c r="Q120" s="49" t="s">
        <v>2407</v>
      </c>
      <c r="R120" s="84"/>
      <c r="S120" s="85" t="s">
        <v>58</v>
      </c>
    </row>
    <row r="121">
      <c r="A121" s="46">
        <v>359.0</v>
      </c>
      <c r="B121" s="70" t="s">
        <v>1361</v>
      </c>
      <c r="C121" s="71" t="s">
        <v>1362</v>
      </c>
      <c r="D121" s="70" t="s">
        <v>118</v>
      </c>
      <c r="E121" s="72" t="s">
        <v>80</v>
      </c>
      <c r="F121" s="72" t="s">
        <v>81</v>
      </c>
      <c r="G121" s="46" t="s">
        <v>58</v>
      </c>
      <c r="H121" s="70">
        <v>2020.0</v>
      </c>
      <c r="I121" s="49" t="s">
        <v>3919</v>
      </c>
      <c r="J121" s="49" t="s">
        <v>3920</v>
      </c>
      <c r="K121" s="49" t="s">
        <v>3947</v>
      </c>
      <c r="L121" s="49" t="s">
        <v>3921</v>
      </c>
      <c r="M121" s="49" t="s">
        <v>3926</v>
      </c>
      <c r="N121" s="49" t="s">
        <v>4151</v>
      </c>
      <c r="O121" s="49" t="s">
        <v>3928</v>
      </c>
      <c r="P121" s="49" t="s">
        <v>1070</v>
      </c>
      <c r="Q121" s="49" t="s">
        <v>4008</v>
      </c>
      <c r="R121" s="84"/>
      <c r="S121" s="85" t="s">
        <v>58</v>
      </c>
    </row>
    <row r="122">
      <c r="A122" s="46">
        <v>362.0</v>
      </c>
      <c r="B122" s="70" t="s">
        <v>1370</v>
      </c>
      <c r="C122" s="71" t="s">
        <v>1371</v>
      </c>
      <c r="D122" s="70" t="s">
        <v>1372</v>
      </c>
      <c r="E122" s="72" t="s">
        <v>36</v>
      </c>
      <c r="F122" s="72" t="s">
        <v>37</v>
      </c>
      <c r="G122" s="46" t="s">
        <v>38</v>
      </c>
      <c r="H122" s="70">
        <v>2018.0</v>
      </c>
      <c r="I122" s="49" t="s">
        <v>4132</v>
      </c>
      <c r="J122" s="49" t="s">
        <v>3931</v>
      </c>
      <c r="K122" s="49" t="s">
        <v>3932</v>
      </c>
      <c r="L122" s="49" t="s">
        <v>3921</v>
      </c>
      <c r="M122" s="49" t="s">
        <v>3922</v>
      </c>
      <c r="N122" s="49" t="s">
        <v>3960</v>
      </c>
      <c r="O122" s="49" t="s">
        <v>3924</v>
      </c>
      <c r="P122" s="49" t="s">
        <v>2590</v>
      </c>
      <c r="Q122" s="49" t="s">
        <v>4004</v>
      </c>
      <c r="R122" s="84"/>
      <c r="S122" s="85" t="s">
        <v>58</v>
      </c>
    </row>
    <row r="123">
      <c r="A123" s="46">
        <v>371.0</v>
      </c>
      <c r="B123" s="70" t="s">
        <v>1402</v>
      </c>
      <c r="C123" s="71" t="s">
        <v>1403</v>
      </c>
      <c r="D123" s="70" t="s">
        <v>1404</v>
      </c>
      <c r="E123" s="72" t="s">
        <v>36</v>
      </c>
      <c r="F123" s="72" t="s">
        <v>37</v>
      </c>
      <c r="G123" s="46" t="s">
        <v>38</v>
      </c>
      <c r="H123" s="86">
        <v>2019.0</v>
      </c>
      <c r="I123" s="49" t="s">
        <v>3966</v>
      </c>
      <c r="J123" s="49" t="s">
        <v>3931</v>
      </c>
      <c r="K123" s="49" t="s">
        <v>3954</v>
      </c>
      <c r="L123" s="49" t="s">
        <v>3921</v>
      </c>
      <c r="M123" s="49" t="s">
        <v>3926</v>
      </c>
      <c r="N123" s="49" t="s">
        <v>4151</v>
      </c>
      <c r="O123" s="49" t="s">
        <v>3928</v>
      </c>
      <c r="P123" s="49" t="s">
        <v>2590</v>
      </c>
      <c r="Q123" s="49" t="s">
        <v>4008</v>
      </c>
      <c r="R123" s="50" t="s">
        <v>4158</v>
      </c>
      <c r="S123" s="85" t="s">
        <v>58</v>
      </c>
    </row>
    <row r="124">
      <c r="A124" s="46">
        <v>373.0</v>
      </c>
      <c r="B124" s="70" t="s">
        <v>1410</v>
      </c>
      <c r="C124" s="71" t="s">
        <v>1411</v>
      </c>
      <c r="D124" s="70" t="s">
        <v>1412</v>
      </c>
      <c r="E124" s="72" t="s">
        <v>36</v>
      </c>
      <c r="F124" s="72" t="s">
        <v>37</v>
      </c>
      <c r="G124" s="46" t="s">
        <v>58</v>
      </c>
      <c r="H124" s="70">
        <v>2019.0</v>
      </c>
      <c r="I124" s="49" t="s">
        <v>3919</v>
      </c>
      <c r="J124" s="49" t="s">
        <v>3931</v>
      </c>
      <c r="K124" s="49" t="s">
        <v>4050</v>
      </c>
      <c r="L124" s="49" t="s">
        <v>3921</v>
      </c>
      <c r="M124" s="49" t="s">
        <v>3926</v>
      </c>
      <c r="N124" s="49" t="s">
        <v>3923</v>
      </c>
      <c r="O124" s="49" t="s">
        <v>3928</v>
      </c>
      <c r="P124" s="49" t="s">
        <v>2590</v>
      </c>
      <c r="Q124" s="49" t="s">
        <v>2407</v>
      </c>
      <c r="R124" s="84"/>
      <c r="S124" s="85" t="s">
        <v>58</v>
      </c>
    </row>
    <row r="125">
      <c r="A125" s="46">
        <v>376.0</v>
      </c>
      <c r="B125" s="70" t="s">
        <v>1419</v>
      </c>
      <c r="C125" s="71" t="s">
        <v>1420</v>
      </c>
      <c r="D125" s="70" t="s">
        <v>1421</v>
      </c>
      <c r="E125" s="83" t="s">
        <v>62</v>
      </c>
      <c r="F125" s="83" t="s">
        <v>62</v>
      </c>
      <c r="G125" s="46" t="s">
        <v>58</v>
      </c>
      <c r="H125" s="70">
        <v>2018.0</v>
      </c>
      <c r="I125" s="49" t="s">
        <v>3966</v>
      </c>
      <c r="J125" s="49" t="s">
        <v>3931</v>
      </c>
      <c r="K125" s="49"/>
      <c r="L125" s="49" t="s">
        <v>3921</v>
      </c>
      <c r="M125" s="49"/>
      <c r="N125" s="49" t="s">
        <v>3999</v>
      </c>
      <c r="O125" s="49" t="s">
        <v>3924</v>
      </c>
      <c r="P125" s="49" t="s">
        <v>2590</v>
      </c>
      <c r="Q125" s="49"/>
      <c r="R125" s="84"/>
      <c r="S125" s="85" t="s">
        <v>58</v>
      </c>
    </row>
    <row r="126">
      <c r="A126" s="46">
        <v>377.0</v>
      </c>
      <c r="B126" s="70" t="s">
        <v>1422</v>
      </c>
      <c r="C126" s="71" t="s">
        <v>1423</v>
      </c>
      <c r="D126" s="70" t="s">
        <v>1157</v>
      </c>
      <c r="E126" s="83" t="s">
        <v>128</v>
      </c>
      <c r="F126" s="83" t="s">
        <v>128</v>
      </c>
      <c r="G126" s="46" t="s">
        <v>38</v>
      </c>
      <c r="H126" s="70">
        <v>2018.0</v>
      </c>
      <c r="I126" s="49" t="s">
        <v>3966</v>
      </c>
      <c r="J126" s="49" t="s">
        <v>3931</v>
      </c>
      <c r="K126" s="49" t="s">
        <v>3932</v>
      </c>
      <c r="L126" s="49" t="s">
        <v>3921</v>
      </c>
      <c r="M126" s="49" t="s">
        <v>3926</v>
      </c>
      <c r="N126" s="49" t="s">
        <v>4159</v>
      </c>
      <c r="O126" s="49" t="s">
        <v>3928</v>
      </c>
      <c r="P126" s="49"/>
      <c r="Q126" s="49" t="s">
        <v>2407</v>
      </c>
      <c r="R126" s="84"/>
      <c r="S126" s="85" t="s">
        <v>58</v>
      </c>
    </row>
    <row r="127">
      <c r="A127" s="46">
        <v>378.0</v>
      </c>
      <c r="B127" s="70" t="s">
        <v>1425</v>
      </c>
      <c r="C127" s="71" t="s">
        <v>1426</v>
      </c>
      <c r="D127" s="70" t="s">
        <v>1427</v>
      </c>
      <c r="E127" s="88" t="s">
        <v>128</v>
      </c>
      <c r="F127" s="88" t="s">
        <v>128</v>
      </c>
      <c r="G127" s="46" t="s">
        <v>38</v>
      </c>
      <c r="H127" s="86">
        <v>2019.0</v>
      </c>
      <c r="I127" s="49" t="s">
        <v>3919</v>
      </c>
      <c r="J127" s="49" t="s">
        <v>3920</v>
      </c>
      <c r="K127" s="49" t="s">
        <v>3925</v>
      </c>
      <c r="L127" s="49" t="s">
        <v>3921</v>
      </c>
      <c r="M127" s="49" t="s">
        <v>3926</v>
      </c>
      <c r="N127" s="49" t="s">
        <v>4014</v>
      </c>
      <c r="O127" s="49" t="s">
        <v>3928</v>
      </c>
      <c r="P127" s="49" t="s">
        <v>1070</v>
      </c>
      <c r="Q127" s="49" t="s">
        <v>2407</v>
      </c>
      <c r="R127" s="84"/>
      <c r="S127" s="85" t="s">
        <v>58</v>
      </c>
    </row>
    <row r="128">
      <c r="A128" s="46">
        <v>382.0</v>
      </c>
      <c r="B128" s="70" t="s">
        <v>1438</v>
      </c>
      <c r="C128" s="71" t="s">
        <v>1439</v>
      </c>
      <c r="D128" s="70" t="s">
        <v>1440</v>
      </c>
      <c r="E128" s="72" t="s">
        <v>36</v>
      </c>
      <c r="F128" s="72" t="s">
        <v>37</v>
      </c>
      <c r="G128" s="46" t="s">
        <v>58</v>
      </c>
      <c r="H128" s="70">
        <v>2018.0</v>
      </c>
      <c r="I128" s="49" t="s">
        <v>3966</v>
      </c>
      <c r="J128" s="49" t="s">
        <v>3995</v>
      </c>
      <c r="K128" s="49" t="s">
        <v>3954</v>
      </c>
      <c r="L128" s="49" t="s">
        <v>3921</v>
      </c>
      <c r="M128" s="49" t="s">
        <v>3922</v>
      </c>
      <c r="N128" s="49" t="s">
        <v>1070</v>
      </c>
      <c r="O128" s="49" t="s">
        <v>3928</v>
      </c>
      <c r="P128" s="49" t="s">
        <v>1070</v>
      </c>
      <c r="Q128" s="49"/>
      <c r="R128" s="50" t="s">
        <v>4160</v>
      </c>
      <c r="S128" s="85" t="s">
        <v>58</v>
      </c>
    </row>
    <row r="129">
      <c r="A129" s="46">
        <v>384.0</v>
      </c>
      <c r="B129" s="70" t="s">
        <v>1444</v>
      </c>
      <c r="C129" s="71" t="s">
        <v>1445</v>
      </c>
      <c r="D129" s="70" t="s">
        <v>1446</v>
      </c>
      <c r="E129" s="83" t="s">
        <v>128</v>
      </c>
      <c r="F129" s="83" t="s">
        <v>128</v>
      </c>
      <c r="G129" s="46" t="s">
        <v>38</v>
      </c>
      <c r="H129" s="70">
        <v>2018.0</v>
      </c>
      <c r="I129" s="49" t="s">
        <v>3966</v>
      </c>
      <c r="J129" s="49" t="s">
        <v>3274</v>
      </c>
      <c r="K129" s="49"/>
      <c r="L129" s="49" t="s">
        <v>3921</v>
      </c>
      <c r="M129" s="49" t="s">
        <v>3982</v>
      </c>
      <c r="N129" s="49" t="s">
        <v>2503</v>
      </c>
      <c r="O129" s="49" t="s">
        <v>3928</v>
      </c>
      <c r="P129" s="49" t="s">
        <v>2503</v>
      </c>
      <c r="Q129" s="49"/>
      <c r="R129" s="84"/>
      <c r="S129" s="85" t="s">
        <v>58</v>
      </c>
    </row>
    <row r="130">
      <c r="A130" s="46">
        <v>385.0</v>
      </c>
      <c r="B130" s="70" t="s">
        <v>1448</v>
      </c>
      <c r="C130" s="71" t="s">
        <v>1449</v>
      </c>
      <c r="D130" s="70" t="s">
        <v>1450</v>
      </c>
      <c r="E130" s="72" t="s">
        <v>36</v>
      </c>
      <c r="F130" s="72" t="s">
        <v>37</v>
      </c>
      <c r="G130" s="46" t="s">
        <v>38</v>
      </c>
      <c r="H130" s="70">
        <v>2019.0</v>
      </c>
      <c r="I130" s="49" t="s">
        <v>3966</v>
      </c>
      <c r="J130" s="49" t="s">
        <v>3931</v>
      </c>
      <c r="K130" s="49"/>
      <c r="L130" s="49" t="s">
        <v>3921</v>
      </c>
      <c r="M130" s="49"/>
      <c r="N130" s="49" t="s">
        <v>3999</v>
      </c>
      <c r="O130" s="49" t="s">
        <v>3928</v>
      </c>
      <c r="P130" s="49" t="s">
        <v>2590</v>
      </c>
      <c r="Q130" s="49" t="s">
        <v>2407</v>
      </c>
      <c r="R130" s="84"/>
      <c r="S130" s="85" t="s">
        <v>58</v>
      </c>
    </row>
    <row r="131">
      <c r="A131" s="46">
        <v>395.0</v>
      </c>
      <c r="B131" s="70" t="s">
        <v>1483</v>
      </c>
      <c r="C131" s="71" t="s">
        <v>1484</v>
      </c>
      <c r="D131" s="70" t="s">
        <v>1485</v>
      </c>
      <c r="E131" s="88" t="s">
        <v>62</v>
      </c>
      <c r="F131" s="88" t="s">
        <v>62</v>
      </c>
      <c r="G131" s="46" t="s">
        <v>38</v>
      </c>
      <c r="H131" s="70">
        <v>2020.0</v>
      </c>
      <c r="I131" s="49" t="s">
        <v>3966</v>
      </c>
      <c r="J131" s="49" t="s">
        <v>3920</v>
      </c>
      <c r="K131" s="49" t="s">
        <v>4161</v>
      </c>
      <c r="L131" s="49" t="s">
        <v>3921</v>
      </c>
      <c r="M131" s="49" t="s">
        <v>3926</v>
      </c>
      <c r="N131" s="49" t="s">
        <v>4162</v>
      </c>
      <c r="O131" s="49" t="s">
        <v>3924</v>
      </c>
      <c r="P131" s="49" t="s">
        <v>1070</v>
      </c>
      <c r="Q131" s="49" t="s">
        <v>2407</v>
      </c>
      <c r="R131" s="84"/>
      <c r="S131" s="85" t="s">
        <v>58</v>
      </c>
    </row>
    <row r="132">
      <c r="A132" s="46">
        <v>401.0</v>
      </c>
      <c r="B132" s="70" t="s">
        <v>1503</v>
      </c>
      <c r="C132" s="71" t="s">
        <v>1504</v>
      </c>
      <c r="D132" s="70" t="s">
        <v>1505</v>
      </c>
      <c r="E132" s="72" t="s">
        <v>36</v>
      </c>
      <c r="F132" s="72" t="s">
        <v>37</v>
      </c>
      <c r="G132" s="46" t="s">
        <v>38</v>
      </c>
      <c r="H132" s="70">
        <v>2019.0</v>
      </c>
      <c r="I132" s="49" t="s">
        <v>3919</v>
      </c>
      <c r="J132" s="49" t="s">
        <v>4044</v>
      </c>
      <c r="K132" s="49" t="s">
        <v>3954</v>
      </c>
      <c r="L132" s="49" t="s">
        <v>3921</v>
      </c>
      <c r="M132" s="49" t="s">
        <v>3926</v>
      </c>
      <c r="N132" s="49" t="s">
        <v>1070</v>
      </c>
      <c r="O132" s="49" t="s">
        <v>3928</v>
      </c>
      <c r="P132" s="49" t="s">
        <v>1070</v>
      </c>
      <c r="Q132" s="49" t="s">
        <v>2407</v>
      </c>
      <c r="R132" s="50" t="s">
        <v>4163</v>
      </c>
      <c r="S132" s="85" t="s">
        <v>58</v>
      </c>
    </row>
    <row r="133">
      <c r="A133" s="46">
        <v>406.0</v>
      </c>
      <c r="B133" s="70" t="s">
        <v>1521</v>
      </c>
      <c r="C133" s="71" t="s">
        <v>1522</v>
      </c>
      <c r="D133" s="70" t="s">
        <v>1523</v>
      </c>
      <c r="E133" s="72" t="s">
        <v>36</v>
      </c>
      <c r="F133" s="72" t="s">
        <v>37</v>
      </c>
      <c r="G133" s="46" t="s">
        <v>58</v>
      </c>
      <c r="H133" s="70">
        <v>2020.0</v>
      </c>
      <c r="I133" s="49" t="s">
        <v>3966</v>
      </c>
      <c r="J133" s="49" t="s">
        <v>3920</v>
      </c>
      <c r="K133" s="49" t="s">
        <v>3954</v>
      </c>
      <c r="L133" s="49" t="s">
        <v>3921</v>
      </c>
      <c r="M133" s="49" t="s">
        <v>3926</v>
      </c>
      <c r="N133" s="49" t="s">
        <v>2647</v>
      </c>
      <c r="O133" s="49" t="s">
        <v>3924</v>
      </c>
      <c r="P133" s="49" t="s">
        <v>1070</v>
      </c>
      <c r="Q133" s="49"/>
      <c r="R133" s="50" t="s">
        <v>4164</v>
      </c>
      <c r="S133" s="85" t="s">
        <v>58</v>
      </c>
    </row>
    <row r="134">
      <c r="A134" s="46">
        <v>408.0</v>
      </c>
      <c r="B134" s="70" t="s">
        <v>1528</v>
      </c>
      <c r="C134" s="71" t="s">
        <v>1529</v>
      </c>
      <c r="D134" s="70" t="s">
        <v>1530</v>
      </c>
      <c r="E134" s="83" t="s">
        <v>128</v>
      </c>
      <c r="F134" s="83" t="s">
        <v>128</v>
      </c>
      <c r="G134" s="46" t="s">
        <v>38</v>
      </c>
      <c r="H134" s="70">
        <v>2018.0</v>
      </c>
      <c r="I134" s="49" t="s">
        <v>3966</v>
      </c>
      <c r="J134" s="49" t="s">
        <v>3931</v>
      </c>
      <c r="K134" s="49" t="s">
        <v>4165</v>
      </c>
      <c r="L134" s="49" t="s">
        <v>3921</v>
      </c>
      <c r="M134" s="49" t="s">
        <v>3926</v>
      </c>
      <c r="N134" s="49" t="s">
        <v>4166</v>
      </c>
      <c r="O134" s="49" t="s">
        <v>3928</v>
      </c>
      <c r="P134" s="49" t="s">
        <v>2590</v>
      </c>
      <c r="Q134" s="49" t="s">
        <v>2407</v>
      </c>
      <c r="R134" s="84"/>
      <c r="S134" s="85" t="s">
        <v>58</v>
      </c>
    </row>
    <row r="135">
      <c r="A135" s="46">
        <v>410.0</v>
      </c>
      <c r="B135" s="70" t="s">
        <v>1534</v>
      </c>
      <c r="C135" s="71" t="s">
        <v>1535</v>
      </c>
      <c r="D135" s="70" t="s">
        <v>1536</v>
      </c>
      <c r="E135" s="88" t="s">
        <v>128</v>
      </c>
      <c r="F135" s="88" t="s">
        <v>128</v>
      </c>
      <c r="G135" s="46" t="s">
        <v>38</v>
      </c>
      <c r="H135" s="70">
        <v>2018.0</v>
      </c>
      <c r="I135" s="49" t="s">
        <v>3919</v>
      </c>
      <c r="J135" s="49" t="s">
        <v>3931</v>
      </c>
      <c r="K135" s="49" t="s">
        <v>4167</v>
      </c>
      <c r="L135" s="49" t="s">
        <v>3921</v>
      </c>
      <c r="M135" s="49" t="s">
        <v>3922</v>
      </c>
      <c r="N135" s="49" t="s">
        <v>4151</v>
      </c>
      <c r="O135" s="49" t="s">
        <v>3928</v>
      </c>
      <c r="P135" s="49" t="s">
        <v>2590</v>
      </c>
      <c r="Q135" s="49" t="s">
        <v>2407</v>
      </c>
      <c r="R135" s="84"/>
      <c r="S135" s="85" t="s">
        <v>58</v>
      </c>
    </row>
    <row r="136">
      <c r="A136" s="46">
        <v>414.0</v>
      </c>
      <c r="B136" s="70" t="s">
        <v>1548</v>
      </c>
      <c r="C136" s="71" t="s">
        <v>1549</v>
      </c>
      <c r="D136" s="70" t="s">
        <v>1550</v>
      </c>
      <c r="E136" s="83" t="s">
        <v>128</v>
      </c>
      <c r="F136" s="83" t="s">
        <v>128</v>
      </c>
      <c r="G136" s="46" t="s">
        <v>38</v>
      </c>
      <c r="H136" s="86">
        <v>2020.0</v>
      </c>
      <c r="I136" s="49" t="s">
        <v>3966</v>
      </c>
      <c r="J136" s="49" t="s">
        <v>3920</v>
      </c>
      <c r="K136" s="49" t="s">
        <v>3945</v>
      </c>
      <c r="L136" s="49" t="s">
        <v>3921</v>
      </c>
      <c r="M136" s="49" t="s">
        <v>3922</v>
      </c>
      <c r="N136" s="49" t="s">
        <v>4014</v>
      </c>
      <c r="O136" s="49" t="s">
        <v>3924</v>
      </c>
      <c r="P136" s="49" t="s">
        <v>1070</v>
      </c>
      <c r="Q136" s="49" t="s">
        <v>2407</v>
      </c>
      <c r="R136" s="84"/>
      <c r="S136" s="85" t="s">
        <v>58</v>
      </c>
    </row>
    <row r="137">
      <c r="A137" s="46">
        <v>415.0</v>
      </c>
      <c r="B137" s="70" t="s">
        <v>1551</v>
      </c>
      <c r="C137" s="71" t="s">
        <v>1552</v>
      </c>
      <c r="D137" s="70" t="s">
        <v>199</v>
      </c>
      <c r="E137" s="83" t="s">
        <v>62</v>
      </c>
      <c r="F137" s="83" t="s">
        <v>62</v>
      </c>
      <c r="G137" s="46" t="s">
        <v>58</v>
      </c>
      <c r="H137" s="70">
        <v>2019.0</v>
      </c>
      <c r="I137" s="49" t="s">
        <v>3919</v>
      </c>
      <c r="J137" s="49" t="s">
        <v>3920</v>
      </c>
      <c r="K137" s="49"/>
      <c r="L137" s="49" t="s">
        <v>3921</v>
      </c>
      <c r="M137" s="49" t="s">
        <v>3922</v>
      </c>
      <c r="N137" s="49" t="s">
        <v>3999</v>
      </c>
      <c r="O137" s="49" t="s">
        <v>3928</v>
      </c>
      <c r="P137" s="49" t="s">
        <v>1070</v>
      </c>
      <c r="Q137" s="49" t="s">
        <v>2407</v>
      </c>
      <c r="R137" s="84"/>
      <c r="S137" s="85" t="s">
        <v>58</v>
      </c>
    </row>
    <row r="138">
      <c r="A138" s="46">
        <v>418.0</v>
      </c>
      <c r="B138" s="70" t="s">
        <v>1559</v>
      </c>
      <c r="C138" s="71" t="s">
        <v>1560</v>
      </c>
      <c r="D138" s="70" t="s">
        <v>1561</v>
      </c>
      <c r="E138" s="72" t="s">
        <v>36</v>
      </c>
      <c r="F138" s="72" t="s">
        <v>37</v>
      </c>
      <c r="G138" s="46" t="s">
        <v>58</v>
      </c>
      <c r="H138" s="70">
        <v>2019.0</v>
      </c>
      <c r="I138" s="49" t="s">
        <v>3939</v>
      </c>
      <c r="J138" s="49" t="s">
        <v>4168</v>
      </c>
      <c r="K138" s="49" t="s">
        <v>3932</v>
      </c>
      <c r="L138" s="49" t="s">
        <v>3921</v>
      </c>
      <c r="M138" s="49" t="s">
        <v>3922</v>
      </c>
      <c r="N138" s="49" t="s">
        <v>4169</v>
      </c>
      <c r="O138" s="49" t="s">
        <v>3928</v>
      </c>
      <c r="P138" s="49" t="s">
        <v>2929</v>
      </c>
      <c r="Q138" s="49"/>
      <c r="R138" s="84"/>
      <c r="S138" s="85" t="s">
        <v>58</v>
      </c>
    </row>
    <row r="139">
      <c r="A139" s="46">
        <v>419.0</v>
      </c>
      <c r="B139" s="70" t="s">
        <v>1563</v>
      </c>
      <c r="C139" s="71" t="s">
        <v>1564</v>
      </c>
      <c r="D139" s="70" t="s">
        <v>1565</v>
      </c>
      <c r="E139" s="89" t="s">
        <v>1566</v>
      </c>
      <c r="F139" s="89" t="s">
        <v>1566</v>
      </c>
      <c r="G139" s="46" t="s">
        <v>38</v>
      </c>
      <c r="H139" s="70">
        <v>2020.0</v>
      </c>
      <c r="I139" s="49" t="s">
        <v>3966</v>
      </c>
      <c r="J139" s="49" t="s">
        <v>3920</v>
      </c>
      <c r="K139" s="49" t="s">
        <v>3932</v>
      </c>
      <c r="L139" s="49" t="s">
        <v>3921</v>
      </c>
      <c r="M139" s="49" t="s">
        <v>3922</v>
      </c>
      <c r="N139" s="49" t="s">
        <v>3960</v>
      </c>
      <c r="O139" s="49" t="s">
        <v>3928</v>
      </c>
      <c r="P139" s="49" t="s">
        <v>1070</v>
      </c>
      <c r="Q139" s="49" t="s">
        <v>2407</v>
      </c>
      <c r="R139" s="50" t="s">
        <v>4124</v>
      </c>
      <c r="S139" s="85" t="s">
        <v>58</v>
      </c>
    </row>
    <row r="140">
      <c r="A140" s="46">
        <v>420.0</v>
      </c>
      <c r="B140" s="70" t="s">
        <v>1567</v>
      </c>
      <c r="C140" s="71" t="s">
        <v>1568</v>
      </c>
      <c r="D140" s="70" t="s">
        <v>1569</v>
      </c>
      <c r="E140" s="83" t="s">
        <v>128</v>
      </c>
      <c r="F140" s="83" t="s">
        <v>128</v>
      </c>
      <c r="G140" s="46" t="s">
        <v>38</v>
      </c>
      <c r="H140" s="70">
        <v>2020.0</v>
      </c>
      <c r="I140" s="49" t="s">
        <v>3966</v>
      </c>
      <c r="J140" s="49" t="s">
        <v>4000</v>
      </c>
      <c r="K140" s="49" t="s">
        <v>4050</v>
      </c>
      <c r="L140" s="49" t="s">
        <v>3921</v>
      </c>
      <c r="M140" s="49" t="s">
        <v>3926</v>
      </c>
      <c r="N140" s="49" t="s">
        <v>2647</v>
      </c>
      <c r="O140" s="49" t="s">
        <v>3924</v>
      </c>
      <c r="P140" s="49" t="s">
        <v>4016</v>
      </c>
      <c r="Q140" s="49"/>
      <c r="R140" s="84"/>
      <c r="S140" s="85" t="s">
        <v>58</v>
      </c>
    </row>
    <row r="141">
      <c r="A141" s="93">
        <v>422.0</v>
      </c>
      <c r="B141" s="58" t="s">
        <v>1573</v>
      </c>
      <c r="C141" s="48" t="s">
        <v>1574</v>
      </c>
      <c r="D141" s="58" t="s">
        <v>1575</v>
      </c>
      <c r="E141" s="59" t="s">
        <v>36</v>
      </c>
      <c r="F141" s="59" t="s">
        <v>37</v>
      </c>
      <c r="G141" s="94" t="s">
        <v>58</v>
      </c>
      <c r="H141" s="58">
        <v>2018.0</v>
      </c>
      <c r="I141" s="49" t="s">
        <v>3919</v>
      </c>
      <c r="J141" s="49" t="s">
        <v>4093</v>
      </c>
      <c r="K141" s="49" t="s">
        <v>3954</v>
      </c>
      <c r="L141" s="49" t="s">
        <v>3921</v>
      </c>
      <c r="M141" s="49" t="s">
        <v>3926</v>
      </c>
      <c r="N141" s="49" t="s">
        <v>4170</v>
      </c>
      <c r="O141" s="49" t="s">
        <v>3928</v>
      </c>
      <c r="P141" s="49" t="s">
        <v>4036</v>
      </c>
      <c r="Q141" s="49" t="s">
        <v>2407</v>
      </c>
      <c r="R141" s="50"/>
      <c r="S141" s="85" t="s">
        <v>412</v>
      </c>
    </row>
    <row r="142">
      <c r="A142" s="93">
        <v>426.0</v>
      </c>
      <c r="B142" s="58" t="s">
        <v>1588</v>
      </c>
      <c r="C142" s="54" t="s">
        <v>4171</v>
      </c>
      <c r="D142" s="58" t="s">
        <v>1590</v>
      </c>
      <c r="E142" s="58" t="s">
        <v>62</v>
      </c>
      <c r="F142" s="58" t="s">
        <v>62</v>
      </c>
      <c r="G142" s="93" t="s">
        <v>38</v>
      </c>
      <c r="H142" s="58">
        <v>2018.0</v>
      </c>
      <c r="I142" s="49" t="s">
        <v>3919</v>
      </c>
      <c r="J142" s="49" t="s">
        <v>4172</v>
      </c>
      <c r="K142" s="49" t="s">
        <v>3925</v>
      </c>
      <c r="L142" s="49" t="s">
        <v>3921</v>
      </c>
      <c r="M142" s="49" t="s">
        <v>3926</v>
      </c>
      <c r="N142" s="49" t="s">
        <v>4173</v>
      </c>
      <c r="O142" s="49" t="s">
        <v>3924</v>
      </c>
      <c r="P142" s="49" t="s">
        <v>4174</v>
      </c>
      <c r="Q142" s="49" t="s">
        <v>2407</v>
      </c>
      <c r="R142" s="50" t="s">
        <v>4175</v>
      </c>
      <c r="S142" s="85" t="s">
        <v>412</v>
      </c>
    </row>
    <row r="143">
      <c r="A143" s="93">
        <v>427.0</v>
      </c>
      <c r="B143" s="58" t="s">
        <v>1592</v>
      </c>
      <c r="C143" s="54" t="s">
        <v>4176</v>
      </c>
      <c r="D143" s="58" t="s">
        <v>1594</v>
      </c>
      <c r="E143" s="58" t="s">
        <v>62</v>
      </c>
      <c r="F143" s="58" t="s">
        <v>62</v>
      </c>
      <c r="G143" s="93" t="s">
        <v>38</v>
      </c>
      <c r="H143" s="58">
        <v>2019.0</v>
      </c>
      <c r="I143" s="49" t="s">
        <v>3919</v>
      </c>
      <c r="J143" s="49" t="s">
        <v>4177</v>
      </c>
      <c r="K143" s="49" t="s">
        <v>3925</v>
      </c>
      <c r="L143" s="49" t="s">
        <v>3921</v>
      </c>
      <c r="M143" s="49" t="s">
        <v>3926</v>
      </c>
      <c r="N143" s="49" t="s">
        <v>3956</v>
      </c>
      <c r="O143" s="49" t="s">
        <v>3928</v>
      </c>
      <c r="P143" s="49" t="s">
        <v>4036</v>
      </c>
      <c r="Q143" s="49" t="s">
        <v>2407</v>
      </c>
      <c r="R143" s="84"/>
      <c r="S143" s="85" t="s">
        <v>412</v>
      </c>
    </row>
    <row r="144">
      <c r="A144" s="93">
        <v>428.0</v>
      </c>
      <c r="B144" s="58" t="s">
        <v>1596</v>
      </c>
      <c r="C144" s="54" t="s">
        <v>4178</v>
      </c>
      <c r="D144" s="59" t="s">
        <v>1598</v>
      </c>
      <c r="E144" s="59" t="s">
        <v>36</v>
      </c>
      <c r="F144" s="59" t="s">
        <v>37</v>
      </c>
      <c r="G144" s="94" t="s">
        <v>58</v>
      </c>
      <c r="H144" s="58">
        <v>2018.0</v>
      </c>
      <c r="I144" s="49" t="s">
        <v>3966</v>
      </c>
      <c r="J144" s="49" t="s">
        <v>4179</v>
      </c>
      <c r="K144" s="49" t="s">
        <v>3954</v>
      </c>
      <c r="L144" s="49" t="s">
        <v>3921</v>
      </c>
      <c r="M144" s="49" t="s">
        <v>4070</v>
      </c>
      <c r="N144" s="49" t="s">
        <v>3956</v>
      </c>
      <c r="O144" s="49" t="s">
        <v>3928</v>
      </c>
      <c r="P144" s="49" t="s">
        <v>4036</v>
      </c>
      <c r="Q144" s="49" t="s">
        <v>2407</v>
      </c>
      <c r="R144" s="84"/>
      <c r="S144" s="85" t="s">
        <v>412</v>
      </c>
    </row>
    <row r="145">
      <c r="A145" s="93">
        <v>429.0</v>
      </c>
      <c r="B145" s="58" t="s">
        <v>1600</v>
      </c>
      <c r="C145" s="54" t="s">
        <v>4180</v>
      </c>
      <c r="D145" s="59" t="s">
        <v>1602</v>
      </c>
      <c r="E145" s="59" t="s">
        <v>36</v>
      </c>
      <c r="F145" s="59" t="s">
        <v>37</v>
      </c>
      <c r="G145" s="94" t="s">
        <v>58</v>
      </c>
      <c r="H145" s="58">
        <v>2018.0</v>
      </c>
      <c r="I145" s="49" t="s">
        <v>3919</v>
      </c>
      <c r="J145" s="49" t="s">
        <v>3931</v>
      </c>
      <c r="K145" s="49" t="s">
        <v>3932</v>
      </c>
      <c r="L145" s="49" t="s">
        <v>3921</v>
      </c>
      <c r="M145" s="49" t="s">
        <v>3968</v>
      </c>
      <c r="N145" s="49" t="s">
        <v>4181</v>
      </c>
      <c r="O145" s="49" t="s">
        <v>3924</v>
      </c>
      <c r="P145" s="49" t="s">
        <v>2929</v>
      </c>
      <c r="Q145" s="49" t="s">
        <v>2407</v>
      </c>
      <c r="R145" s="84"/>
      <c r="S145" s="85" t="s">
        <v>412</v>
      </c>
    </row>
    <row r="146">
      <c r="A146" s="93">
        <v>431.0</v>
      </c>
      <c r="B146" s="58" t="s">
        <v>1606</v>
      </c>
      <c r="C146" s="54" t="s">
        <v>4182</v>
      </c>
      <c r="D146" s="58" t="s">
        <v>1608</v>
      </c>
      <c r="E146" s="59" t="s">
        <v>1609</v>
      </c>
      <c r="F146" s="59" t="s">
        <v>1610</v>
      </c>
      <c r="G146" s="94" t="s">
        <v>58</v>
      </c>
      <c r="H146" s="58">
        <v>2019.0</v>
      </c>
      <c r="I146" s="49" t="s">
        <v>3919</v>
      </c>
      <c r="J146" s="49" t="s">
        <v>4102</v>
      </c>
      <c r="K146" s="49" t="s">
        <v>3954</v>
      </c>
      <c r="L146" s="49" t="s">
        <v>3921</v>
      </c>
      <c r="M146" s="49" t="s">
        <v>3926</v>
      </c>
      <c r="N146" s="49" t="s">
        <v>4183</v>
      </c>
      <c r="O146" s="49" t="s">
        <v>3928</v>
      </c>
      <c r="P146" s="49" t="s">
        <v>4036</v>
      </c>
      <c r="Q146" s="49" t="s">
        <v>2407</v>
      </c>
      <c r="R146" s="84"/>
      <c r="S146" s="85" t="s">
        <v>412</v>
      </c>
    </row>
    <row r="147">
      <c r="A147" s="93">
        <v>433.0</v>
      </c>
      <c r="B147" s="58" t="s">
        <v>1615</v>
      </c>
      <c r="C147" s="54" t="s">
        <v>4184</v>
      </c>
      <c r="D147" s="59" t="s">
        <v>1617</v>
      </c>
      <c r="E147" s="58" t="s">
        <v>62</v>
      </c>
      <c r="F147" s="58" t="s">
        <v>62</v>
      </c>
      <c r="G147" s="94" t="s">
        <v>38</v>
      </c>
      <c r="H147" s="58">
        <v>2019.0</v>
      </c>
      <c r="I147" s="49" t="s">
        <v>3919</v>
      </c>
      <c r="J147" s="49" t="s">
        <v>4179</v>
      </c>
      <c r="K147" s="49" t="s">
        <v>3954</v>
      </c>
      <c r="L147" s="49" t="s">
        <v>3921</v>
      </c>
      <c r="M147" s="49" t="s">
        <v>3926</v>
      </c>
      <c r="N147" s="49" t="s">
        <v>4185</v>
      </c>
      <c r="O147" s="49" t="s">
        <v>3928</v>
      </c>
      <c r="P147" s="49" t="s">
        <v>3937</v>
      </c>
      <c r="Q147" s="49" t="s">
        <v>4008</v>
      </c>
      <c r="R147" s="50" t="s">
        <v>4186</v>
      </c>
      <c r="S147" s="85" t="s">
        <v>412</v>
      </c>
    </row>
    <row r="148">
      <c r="A148" s="93">
        <v>436.0</v>
      </c>
      <c r="B148" s="58" t="s">
        <v>1626</v>
      </c>
      <c r="C148" s="54" t="s">
        <v>4187</v>
      </c>
      <c r="D148" s="58" t="s">
        <v>1628</v>
      </c>
      <c r="E148" s="59" t="s">
        <v>1629</v>
      </c>
      <c r="F148" s="59" t="s">
        <v>1630</v>
      </c>
      <c r="G148" s="94" t="s">
        <v>38</v>
      </c>
      <c r="H148" s="58">
        <v>2019.0</v>
      </c>
      <c r="I148" s="49" t="s">
        <v>3939</v>
      </c>
      <c r="J148" s="49" t="s">
        <v>4054</v>
      </c>
      <c r="K148" s="49" t="s">
        <v>3954</v>
      </c>
      <c r="L148" s="49" t="s">
        <v>3973</v>
      </c>
      <c r="M148" s="49" t="s">
        <v>3922</v>
      </c>
      <c r="N148" s="49" t="s">
        <v>3954</v>
      </c>
      <c r="O148" s="49" t="s">
        <v>3949</v>
      </c>
      <c r="P148" s="49" t="s">
        <v>2590</v>
      </c>
      <c r="Q148" s="49" t="s">
        <v>2407</v>
      </c>
      <c r="R148" s="50"/>
      <c r="S148" s="85" t="s">
        <v>412</v>
      </c>
    </row>
    <row r="149">
      <c r="A149" s="93">
        <v>437.0</v>
      </c>
      <c r="B149" s="58" t="s">
        <v>1631</v>
      </c>
      <c r="C149" s="54" t="s">
        <v>4188</v>
      </c>
      <c r="D149" s="58" t="s">
        <v>1633</v>
      </c>
      <c r="E149" s="58" t="s">
        <v>128</v>
      </c>
      <c r="F149" s="58" t="s">
        <v>128</v>
      </c>
      <c r="G149" s="95" t="s">
        <v>38</v>
      </c>
      <c r="H149" s="58">
        <v>2018.0</v>
      </c>
      <c r="I149" s="49" t="s">
        <v>3919</v>
      </c>
      <c r="J149" s="49" t="s">
        <v>4105</v>
      </c>
      <c r="K149" s="49" t="s">
        <v>3932</v>
      </c>
      <c r="L149" s="49" t="s">
        <v>3921</v>
      </c>
      <c r="M149" s="49" t="s">
        <v>4189</v>
      </c>
      <c r="N149" s="49" t="s">
        <v>4190</v>
      </c>
      <c r="O149" s="49" t="s">
        <v>3928</v>
      </c>
      <c r="P149" s="49" t="s">
        <v>3937</v>
      </c>
      <c r="Q149" s="49" t="s">
        <v>2407</v>
      </c>
      <c r="R149" s="50"/>
      <c r="S149" s="85" t="s">
        <v>412</v>
      </c>
    </row>
    <row r="150">
      <c r="A150" s="93">
        <v>446.0</v>
      </c>
      <c r="B150" s="58" t="s">
        <v>1663</v>
      </c>
      <c r="C150" s="54" t="s">
        <v>4191</v>
      </c>
      <c r="D150" s="59" t="s">
        <v>1665</v>
      </c>
      <c r="E150" s="59" t="s">
        <v>1666</v>
      </c>
      <c r="F150" s="59" t="s">
        <v>1667</v>
      </c>
      <c r="G150" s="94" t="s">
        <v>38</v>
      </c>
      <c r="H150" s="58">
        <v>2019.0</v>
      </c>
      <c r="I150" s="49" t="s">
        <v>3966</v>
      </c>
      <c r="J150" s="49" t="s">
        <v>4192</v>
      </c>
      <c r="K150" s="49" t="s">
        <v>3954</v>
      </c>
      <c r="L150" s="49" t="s">
        <v>3921</v>
      </c>
      <c r="M150" s="49" t="s">
        <v>3926</v>
      </c>
      <c r="N150" s="49" t="s">
        <v>4193</v>
      </c>
      <c r="O150" s="49" t="s">
        <v>3928</v>
      </c>
      <c r="P150" s="49" t="s">
        <v>4036</v>
      </c>
      <c r="Q150" s="49" t="s">
        <v>2407</v>
      </c>
      <c r="R150" s="50"/>
      <c r="S150" s="85" t="s">
        <v>412</v>
      </c>
    </row>
    <row r="151">
      <c r="A151" s="93">
        <v>448.0</v>
      </c>
      <c r="B151" s="70" t="s">
        <v>1672</v>
      </c>
      <c r="C151" s="71" t="s">
        <v>1673</v>
      </c>
      <c r="D151" s="70" t="s">
        <v>1674</v>
      </c>
      <c r="E151" s="83" t="s">
        <v>62</v>
      </c>
      <c r="F151" s="83" t="s">
        <v>62</v>
      </c>
      <c r="G151" s="46" t="s">
        <v>58</v>
      </c>
      <c r="H151" s="70">
        <v>2019.0</v>
      </c>
      <c r="I151" s="49" t="s">
        <v>3939</v>
      </c>
      <c r="J151" s="49" t="s">
        <v>3972</v>
      </c>
      <c r="K151" s="49" t="s">
        <v>4194</v>
      </c>
      <c r="L151" s="49" t="s">
        <v>3977</v>
      </c>
      <c r="M151" s="49" t="s">
        <v>3926</v>
      </c>
      <c r="N151" s="49"/>
      <c r="O151" s="49" t="s">
        <v>3949</v>
      </c>
      <c r="P151" s="49" t="s">
        <v>2929</v>
      </c>
      <c r="Q151" s="49" t="s">
        <v>2407</v>
      </c>
      <c r="R151" s="50"/>
      <c r="S151" s="85" t="s">
        <v>412</v>
      </c>
    </row>
    <row r="152">
      <c r="A152" s="93">
        <v>450.0</v>
      </c>
      <c r="B152" s="58" t="s">
        <v>1680</v>
      </c>
      <c r="C152" s="96" t="s">
        <v>1681</v>
      </c>
      <c r="D152" s="59" t="s">
        <v>1682</v>
      </c>
      <c r="E152" s="59" t="s">
        <v>36</v>
      </c>
      <c r="F152" s="59" t="s">
        <v>37</v>
      </c>
      <c r="G152" s="94" t="s">
        <v>38</v>
      </c>
      <c r="H152" s="58">
        <v>2019.0</v>
      </c>
      <c r="I152" s="49" t="s">
        <v>3966</v>
      </c>
      <c r="J152" s="49" t="s">
        <v>3967</v>
      </c>
      <c r="K152" s="49" t="s">
        <v>3954</v>
      </c>
      <c r="L152" s="49" t="s">
        <v>3921</v>
      </c>
      <c r="M152" s="49" t="s">
        <v>3926</v>
      </c>
      <c r="N152" s="49" t="s">
        <v>3948</v>
      </c>
      <c r="O152" s="49" t="s">
        <v>3924</v>
      </c>
      <c r="P152" s="49" t="s">
        <v>2503</v>
      </c>
      <c r="Q152" s="63"/>
      <c r="R152" s="50"/>
      <c r="S152" s="85" t="s">
        <v>412</v>
      </c>
    </row>
    <row r="153">
      <c r="A153" s="93">
        <v>455.0</v>
      </c>
      <c r="B153" s="58" t="s">
        <v>1697</v>
      </c>
      <c r="C153" s="48" t="s">
        <v>1698</v>
      </c>
      <c r="D153" s="58" t="s">
        <v>1699</v>
      </c>
      <c r="E153" s="59" t="s">
        <v>36</v>
      </c>
      <c r="F153" s="59" t="s">
        <v>37</v>
      </c>
      <c r="G153" s="94" t="s">
        <v>38</v>
      </c>
      <c r="H153" s="58">
        <v>2018.0</v>
      </c>
      <c r="I153" s="49" t="s">
        <v>3919</v>
      </c>
      <c r="J153" s="49" t="s">
        <v>4105</v>
      </c>
      <c r="K153" s="49" t="s">
        <v>3925</v>
      </c>
      <c r="L153" s="49" t="s">
        <v>3921</v>
      </c>
      <c r="M153" s="49" t="s">
        <v>3926</v>
      </c>
      <c r="N153" s="49" t="s">
        <v>4040</v>
      </c>
      <c r="O153" s="49" t="s">
        <v>3928</v>
      </c>
      <c r="P153" s="49" t="s">
        <v>3937</v>
      </c>
      <c r="Q153" s="49" t="s">
        <v>2407</v>
      </c>
      <c r="R153" s="50"/>
      <c r="S153" s="85" t="s">
        <v>412</v>
      </c>
    </row>
    <row r="154">
      <c r="A154" s="93">
        <v>456.0</v>
      </c>
      <c r="B154" s="58" t="s">
        <v>1701</v>
      </c>
      <c r="C154" s="54" t="s">
        <v>4195</v>
      </c>
      <c r="D154" s="58" t="s">
        <v>1703</v>
      </c>
      <c r="E154" s="59" t="s">
        <v>36</v>
      </c>
      <c r="F154" s="59" t="s">
        <v>37</v>
      </c>
      <c r="G154" s="94" t="s">
        <v>58</v>
      </c>
      <c r="H154" s="58">
        <v>2019.0</v>
      </c>
      <c r="I154" s="49" t="s">
        <v>3966</v>
      </c>
      <c r="J154" s="49" t="s">
        <v>4196</v>
      </c>
      <c r="K154" s="49" t="s">
        <v>3954</v>
      </c>
      <c r="L154" s="49" t="s">
        <v>3921</v>
      </c>
      <c r="M154" s="49" t="s">
        <v>4197</v>
      </c>
      <c r="N154" s="49" t="s">
        <v>4123</v>
      </c>
      <c r="O154" s="63" t="s">
        <v>3928</v>
      </c>
      <c r="P154" s="49" t="s">
        <v>4036</v>
      </c>
      <c r="Q154" s="49" t="s">
        <v>2407</v>
      </c>
      <c r="R154" s="50"/>
      <c r="S154" s="85" t="s">
        <v>412</v>
      </c>
    </row>
    <row r="155">
      <c r="A155" s="93">
        <v>459.0</v>
      </c>
      <c r="B155" s="58" t="s">
        <v>1711</v>
      </c>
      <c r="C155" s="54" t="s">
        <v>4198</v>
      </c>
      <c r="D155" s="58" t="s">
        <v>1713</v>
      </c>
      <c r="E155" s="58" t="s">
        <v>36</v>
      </c>
      <c r="F155" s="58" t="s">
        <v>37</v>
      </c>
      <c r="G155" s="95" t="s">
        <v>38</v>
      </c>
      <c r="H155" s="58">
        <v>2020.0</v>
      </c>
      <c r="I155" s="49" t="s">
        <v>3919</v>
      </c>
      <c r="J155" s="49" t="s">
        <v>3931</v>
      </c>
      <c r="K155" s="49" t="s">
        <v>3932</v>
      </c>
      <c r="L155" s="49" t="s">
        <v>3921</v>
      </c>
      <c r="M155" s="49" t="s">
        <v>3926</v>
      </c>
      <c r="N155" s="49" t="s">
        <v>3923</v>
      </c>
      <c r="O155" s="49" t="s">
        <v>3928</v>
      </c>
      <c r="P155" s="49" t="s">
        <v>2590</v>
      </c>
      <c r="Q155" s="49" t="s">
        <v>2407</v>
      </c>
      <c r="R155" s="50"/>
      <c r="S155" s="85" t="s">
        <v>412</v>
      </c>
    </row>
    <row r="156">
      <c r="A156" s="93">
        <v>460.0</v>
      </c>
      <c r="B156" s="58" t="s">
        <v>1715</v>
      </c>
      <c r="C156" s="54" t="s">
        <v>4199</v>
      </c>
      <c r="D156" s="58" t="s">
        <v>1717</v>
      </c>
      <c r="E156" s="58" t="s">
        <v>62</v>
      </c>
      <c r="F156" s="58" t="s">
        <v>62</v>
      </c>
      <c r="G156" s="94" t="s">
        <v>38</v>
      </c>
      <c r="H156" s="59">
        <v>2021.0</v>
      </c>
      <c r="I156" s="49" t="s">
        <v>3966</v>
      </c>
      <c r="J156" s="49" t="s">
        <v>3967</v>
      </c>
      <c r="K156" s="49" t="s">
        <v>3947</v>
      </c>
      <c r="L156" s="49" t="s">
        <v>3921</v>
      </c>
      <c r="M156" s="49" t="s">
        <v>3982</v>
      </c>
      <c r="N156" s="49" t="s">
        <v>3948</v>
      </c>
      <c r="O156" s="49" t="s">
        <v>3928</v>
      </c>
      <c r="P156" s="49" t="s">
        <v>2503</v>
      </c>
      <c r="Q156" s="49"/>
      <c r="R156" s="50"/>
      <c r="S156" s="85" t="s">
        <v>412</v>
      </c>
    </row>
    <row r="157">
      <c r="A157" s="93">
        <v>461.0</v>
      </c>
      <c r="B157" s="58" t="s">
        <v>1719</v>
      </c>
      <c r="C157" s="54" t="s">
        <v>4200</v>
      </c>
      <c r="D157" s="58" t="s">
        <v>1721</v>
      </c>
      <c r="E157" s="59" t="s">
        <v>80</v>
      </c>
      <c r="F157" s="59" t="s">
        <v>81</v>
      </c>
      <c r="G157" s="94" t="s">
        <v>58</v>
      </c>
      <c r="H157" s="58">
        <v>2019.0</v>
      </c>
      <c r="I157" s="49" t="s">
        <v>3966</v>
      </c>
      <c r="J157" s="49" t="s">
        <v>4201</v>
      </c>
      <c r="K157" s="49" t="s">
        <v>3954</v>
      </c>
      <c r="L157" s="49" t="s">
        <v>3921</v>
      </c>
      <c r="M157" s="49" t="s">
        <v>3982</v>
      </c>
      <c r="N157" s="49" t="s">
        <v>4202</v>
      </c>
      <c r="O157" s="49" t="s">
        <v>3928</v>
      </c>
      <c r="P157" s="49" t="s">
        <v>3987</v>
      </c>
      <c r="Q157" s="49" t="s">
        <v>2407</v>
      </c>
      <c r="R157" s="50"/>
      <c r="S157" s="85" t="s">
        <v>412</v>
      </c>
    </row>
    <row r="158">
      <c r="A158" s="93">
        <v>466.0</v>
      </c>
      <c r="B158" s="58" t="s">
        <v>1737</v>
      </c>
      <c r="C158" s="54" t="s">
        <v>4203</v>
      </c>
      <c r="D158" s="59" t="s">
        <v>1739</v>
      </c>
      <c r="E158" s="58" t="s">
        <v>62</v>
      </c>
      <c r="F158" s="58" t="s">
        <v>62</v>
      </c>
      <c r="G158" s="94" t="s">
        <v>38</v>
      </c>
      <c r="H158" s="58">
        <v>2018.0</v>
      </c>
      <c r="I158" s="49" t="s">
        <v>4068</v>
      </c>
      <c r="J158" s="49" t="s">
        <v>4204</v>
      </c>
      <c r="K158" s="49" t="s">
        <v>4205</v>
      </c>
      <c r="L158" s="49" t="s">
        <v>3921</v>
      </c>
      <c r="M158" s="49" t="s">
        <v>3982</v>
      </c>
      <c r="N158" s="49" t="s">
        <v>3999</v>
      </c>
      <c r="O158" s="49" t="s">
        <v>4206</v>
      </c>
      <c r="P158" s="49" t="s">
        <v>3937</v>
      </c>
      <c r="Q158" s="49" t="s">
        <v>4008</v>
      </c>
      <c r="R158" s="50"/>
      <c r="S158" s="85" t="s">
        <v>412</v>
      </c>
    </row>
    <row r="159">
      <c r="A159" s="93">
        <v>470.0</v>
      </c>
      <c r="B159" s="58" t="s">
        <v>1751</v>
      </c>
      <c r="C159" s="52" t="s">
        <v>3460</v>
      </c>
      <c r="D159" s="58" t="s">
        <v>1753</v>
      </c>
      <c r="E159" s="59" t="s">
        <v>1754</v>
      </c>
      <c r="F159" s="49" t="s">
        <v>1175</v>
      </c>
      <c r="G159" s="94" t="s">
        <v>38</v>
      </c>
      <c r="H159" s="58">
        <v>2018.0</v>
      </c>
      <c r="I159" s="49" t="s">
        <v>4207</v>
      </c>
      <c r="J159" s="49" t="s">
        <v>4208</v>
      </c>
      <c r="K159" s="49" t="s">
        <v>3954</v>
      </c>
      <c r="L159" s="49" t="s">
        <v>3921</v>
      </c>
      <c r="M159" s="49" t="s">
        <v>3968</v>
      </c>
      <c r="N159" s="49" t="s">
        <v>3960</v>
      </c>
      <c r="O159" s="49" t="s">
        <v>3928</v>
      </c>
      <c r="P159" s="49" t="s">
        <v>2929</v>
      </c>
      <c r="Q159" s="49" t="s">
        <v>4209</v>
      </c>
      <c r="R159" s="50"/>
      <c r="S159" s="85" t="s">
        <v>412</v>
      </c>
    </row>
    <row r="160">
      <c r="A160" s="93">
        <v>473.0</v>
      </c>
      <c r="B160" s="58" t="s">
        <v>1765</v>
      </c>
      <c r="C160" s="54" t="s">
        <v>4210</v>
      </c>
      <c r="D160" s="58" t="s">
        <v>340</v>
      </c>
      <c r="E160" s="59" t="s">
        <v>1767</v>
      </c>
      <c r="F160" s="59" t="s">
        <v>1768</v>
      </c>
      <c r="G160" s="94" t="s">
        <v>38</v>
      </c>
      <c r="H160" s="58">
        <v>2019.0</v>
      </c>
      <c r="I160" s="49" t="s">
        <v>3919</v>
      </c>
      <c r="J160" s="49" t="s">
        <v>3931</v>
      </c>
      <c r="K160" s="49" t="s">
        <v>3954</v>
      </c>
      <c r="L160" s="49" t="s">
        <v>3921</v>
      </c>
      <c r="M160" s="49" t="s">
        <v>3926</v>
      </c>
      <c r="N160" s="49" t="s">
        <v>4014</v>
      </c>
      <c r="O160" s="49" t="s">
        <v>3928</v>
      </c>
      <c r="P160" s="49" t="s">
        <v>3937</v>
      </c>
      <c r="Q160" s="49" t="s">
        <v>2407</v>
      </c>
      <c r="R160" s="50"/>
      <c r="S160" s="85" t="s">
        <v>412</v>
      </c>
    </row>
    <row r="161">
      <c r="A161" s="93">
        <v>476.0</v>
      </c>
      <c r="B161" s="58" t="s">
        <v>1775</v>
      </c>
      <c r="C161" s="54" t="s">
        <v>4211</v>
      </c>
      <c r="D161" s="58" t="s">
        <v>316</v>
      </c>
      <c r="E161" s="59" t="s">
        <v>1777</v>
      </c>
      <c r="F161" s="59" t="s">
        <v>1778</v>
      </c>
      <c r="G161" s="94" t="s">
        <v>38</v>
      </c>
      <c r="H161" s="58">
        <v>2020.0</v>
      </c>
      <c r="I161" s="49" t="s">
        <v>4009</v>
      </c>
      <c r="J161" s="49" t="s">
        <v>4212</v>
      </c>
      <c r="K161" s="49" t="s">
        <v>4082</v>
      </c>
      <c r="L161" s="49" t="s">
        <v>3921</v>
      </c>
      <c r="M161" s="49" t="s">
        <v>3926</v>
      </c>
      <c r="N161" s="49" t="s">
        <v>4213</v>
      </c>
      <c r="O161" s="49" t="s">
        <v>3928</v>
      </c>
      <c r="P161" s="49" t="s">
        <v>2929</v>
      </c>
      <c r="Q161" s="49" t="s">
        <v>4008</v>
      </c>
      <c r="R161" s="50"/>
      <c r="S161" s="85" t="s">
        <v>412</v>
      </c>
    </row>
    <row r="162">
      <c r="A162" s="93">
        <v>477.0</v>
      </c>
      <c r="B162" s="58" t="s">
        <v>1780</v>
      </c>
      <c r="C162" s="54" t="s">
        <v>4214</v>
      </c>
      <c r="D162" s="58" t="s">
        <v>1782</v>
      </c>
      <c r="E162" s="59" t="s">
        <v>36</v>
      </c>
      <c r="F162" s="59" t="s">
        <v>37</v>
      </c>
      <c r="G162" s="94" t="s">
        <v>58</v>
      </c>
      <c r="H162" s="58">
        <v>2019.0</v>
      </c>
      <c r="I162" s="49" t="s">
        <v>3966</v>
      </c>
      <c r="J162" s="49" t="s">
        <v>4215</v>
      </c>
      <c r="K162" s="49" t="s">
        <v>4216</v>
      </c>
      <c r="L162" s="49" t="s">
        <v>3921</v>
      </c>
      <c r="M162" s="49" t="s">
        <v>3982</v>
      </c>
      <c r="N162" s="49" t="s">
        <v>4026</v>
      </c>
      <c r="O162" s="49" t="s">
        <v>4217</v>
      </c>
      <c r="P162" s="49" t="s">
        <v>3937</v>
      </c>
      <c r="Q162" s="49" t="s">
        <v>2407</v>
      </c>
      <c r="R162" s="50"/>
      <c r="S162" s="85" t="s">
        <v>412</v>
      </c>
    </row>
    <row r="163">
      <c r="A163" s="93">
        <v>479.0</v>
      </c>
      <c r="B163" s="58" t="s">
        <v>1787</v>
      </c>
      <c r="C163" s="54" t="s">
        <v>4218</v>
      </c>
      <c r="D163" s="59" t="s">
        <v>1789</v>
      </c>
      <c r="E163" s="58" t="s">
        <v>128</v>
      </c>
      <c r="F163" s="58" t="s">
        <v>128</v>
      </c>
      <c r="G163" s="94" t="s">
        <v>38</v>
      </c>
      <c r="H163" s="58">
        <v>2018.0</v>
      </c>
      <c r="I163" s="49" t="s">
        <v>4219</v>
      </c>
      <c r="J163" s="49" t="s">
        <v>4220</v>
      </c>
      <c r="K163" s="49" t="s">
        <v>3954</v>
      </c>
      <c r="L163" s="49" t="s">
        <v>3973</v>
      </c>
      <c r="M163" s="49" t="s">
        <v>3982</v>
      </c>
      <c r="N163" s="49" t="s">
        <v>4151</v>
      </c>
      <c r="O163" s="49" t="s">
        <v>3928</v>
      </c>
      <c r="P163" s="49" t="s">
        <v>2503</v>
      </c>
      <c r="Q163" s="49"/>
      <c r="R163" s="50"/>
      <c r="S163" s="85" t="s">
        <v>412</v>
      </c>
    </row>
    <row r="164">
      <c r="A164" s="93">
        <v>480.0</v>
      </c>
      <c r="B164" s="58" t="s">
        <v>1791</v>
      </c>
      <c r="C164" s="54" t="s">
        <v>4221</v>
      </c>
      <c r="D164" s="58" t="s">
        <v>1793</v>
      </c>
      <c r="E164" s="58" t="s">
        <v>128</v>
      </c>
      <c r="F164" s="58" t="s">
        <v>128</v>
      </c>
      <c r="G164" s="94" t="s">
        <v>38</v>
      </c>
      <c r="H164" s="58">
        <v>2018.0</v>
      </c>
      <c r="I164" s="49" t="s">
        <v>4222</v>
      </c>
      <c r="J164" s="49" t="s">
        <v>4215</v>
      </c>
      <c r="K164" s="49" t="s">
        <v>3954</v>
      </c>
      <c r="L164" s="49" t="s">
        <v>3921</v>
      </c>
      <c r="M164" s="49" t="s">
        <v>3926</v>
      </c>
      <c r="N164" s="49" t="s">
        <v>4223</v>
      </c>
      <c r="O164" s="49" t="s">
        <v>4206</v>
      </c>
      <c r="P164" s="49" t="s">
        <v>3950</v>
      </c>
      <c r="Q164" s="49" t="s">
        <v>2407</v>
      </c>
      <c r="R164" s="50"/>
      <c r="S164" s="85" t="s">
        <v>412</v>
      </c>
    </row>
    <row r="165">
      <c r="A165" s="93">
        <v>489.0</v>
      </c>
      <c r="B165" s="58" t="s">
        <v>1820</v>
      </c>
      <c r="C165" s="48" t="s">
        <v>1821</v>
      </c>
      <c r="D165" s="58" t="s">
        <v>1822</v>
      </c>
      <c r="E165" s="59" t="s">
        <v>1823</v>
      </c>
      <c r="F165" s="59" t="s">
        <v>1824</v>
      </c>
      <c r="G165" s="94" t="s">
        <v>38</v>
      </c>
      <c r="H165" s="58">
        <v>2019.0</v>
      </c>
      <c r="I165" s="49" t="s">
        <v>3919</v>
      </c>
      <c r="J165" s="49" t="s">
        <v>4224</v>
      </c>
      <c r="K165" s="49" t="s">
        <v>3954</v>
      </c>
      <c r="L165" s="49" t="s">
        <v>3921</v>
      </c>
      <c r="M165" s="49" t="s">
        <v>3968</v>
      </c>
      <c r="N165" s="49" t="s">
        <v>4123</v>
      </c>
      <c r="O165" s="49" t="s">
        <v>3928</v>
      </c>
      <c r="P165" s="49" t="s">
        <v>4036</v>
      </c>
      <c r="Q165" s="49" t="s">
        <v>2407</v>
      </c>
      <c r="R165" s="50"/>
      <c r="S165" s="85" t="s">
        <v>412</v>
      </c>
    </row>
    <row r="166">
      <c r="A166" s="93">
        <v>493.0</v>
      </c>
      <c r="B166" s="58" t="s">
        <v>1838</v>
      </c>
      <c r="C166" s="48" t="s">
        <v>1839</v>
      </c>
      <c r="D166" s="59" t="s">
        <v>1840</v>
      </c>
      <c r="E166" s="59" t="s">
        <v>36</v>
      </c>
      <c r="F166" s="59" t="s">
        <v>37</v>
      </c>
      <c r="G166" s="94" t="s">
        <v>38</v>
      </c>
      <c r="H166" s="58">
        <v>2018.0</v>
      </c>
      <c r="I166" s="49" t="s">
        <v>3966</v>
      </c>
      <c r="J166" s="49" t="s">
        <v>3931</v>
      </c>
      <c r="K166" s="49" t="s">
        <v>4050</v>
      </c>
      <c r="L166" s="49" t="s">
        <v>3921</v>
      </c>
      <c r="M166" s="49" t="s">
        <v>3982</v>
      </c>
      <c r="N166" s="49" t="s">
        <v>3923</v>
      </c>
      <c r="O166" s="49" t="s">
        <v>3928</v>
      </c>
      <c r="P166" s="49" t="s">
        <v>2590</v>
      </c>
      <c r="Q166" s="49"/>
      <c r="R166" s="50"/>
      <c r="S166" s="85" t="s">
        <v>412</v>
      </c>
    </row>
    <row r="167">
      <c r="A167" s="93">
        <v>498.0</v>
      </c>
      <c r="B167" s="58" t="s">
        <v>1855</v>
      </c>
      <c r="C167" s="54" t="s">
        <v>4225</v>
      </c>
      <c r="D167" s="59" t="s">
        <v>1857</v>
      </c>
      <c r="E167" s="59" t="s">
        <v>29</v>
      </c>
      <c r="F167" s="59" t="s">
        <v>30</v>
      </c>
      <c r="G167" s="94" t="s">
        <v>38</v>
      </c>
      <c r="H167" s="58">
        <v>2020.0</v>
      </c>
      <c r="I167" s="49" t="s">
        <v>4226</v>
      </c>
      <c r="J167" s="49" t="s">
        <v>3931</v>
      </c>
      <c r="K167" s="49" t="s">
        <v>3932</v>
      </c>
      <c r="L167" s="49" t="s">
        <v>3921</v>
      </c>
      <c r="M167" s="49" t="s">
        <v>4227</v>
      </c>
      <c r="N167" s="49" t="s">
        <v>4228</v>
      </c>
      <c r="O167" s="49" t="s">
        <v>3924</v>
      </c>
      <c r="P167" s="49" t="s">
        <v>2590</v>
      </c>
      <c r="Q167" s="49" t="s">
        <v>3954</v>
      </c>
      <c r="R167" s="50"/>
      <c r="S167" s="85" t="s">
        <v>412</v>
      </c>
    </row>
    <row r="168">
      <c r="A168" s="93">
        <v>507.0</v>
      </c>
      <c r="B168" s="58" t="s">
        <v>1883</v>
      </c>
      <c r="C168" s="58" t="s">
        <v>1884</v>
      </c>
      <c r="D168" s="58" t="s">
        <v>1885</v>
      </c>
      <c r="E168" s="59" t="s">
        <v>80</v>
      </c>
      <c r="F168" s="59" t="s">
        <v>81</v>
      </c>
      <c r="G168" s="94" t="s">
        <v>58</v>
      </c>
      <c r="H168" s="58">
        <v>2018.0</v>
      </c>
      <c r="I168" s="49" t="s">
        <v>3939</v>
      </c>
      <c r="J168" s="49" t="s">
        <v>4229</v>
      </c>
      <c r="K168" s="49"/>
      <c r="L168" s="49" t="s">
        <v>3921</v>
      </c>
      <c r="M168" s="49" t="s">
        <v>3978</v>
      </c>
      <c r="N168" s="58"/>
      <c r="O168" s="49" t="s">
        <v>3949</v>
      </c>
      <c r="P168" s="49" t="s">
        <v>2929</v>
      </c>
      <c r="Q168" s="49" t="s">
        <v>2407</v>
      </c>
      <c r="R168" s="84"/>
      <c r="S168" s="85" t="s">
        <v>32</v>
      </c>
    </row>
    <row r="169">
      <c r="A169" s="94">
        <v>509.0</v>
      </c>
      <c r="B169" s="58" t="s">
        <v>1890</v>
      </c>
      <c r="C169" s="58" t="s">
        <v>1891</v>
      </c>
      <c r="D169" s="58" t="s">
        <v>1892</v>
      </c>
      <c r="E169" s="59" t="s">
        <v>80</v>
      </c>
      <c r="F169" s="59" t="s">
        <v>81</v>
      </c>
      <c r="G169" s="93" t="s">
        <v>58</v>
      </c>
      <c r="H169" s="58">
        <v>2020.0</v>
      </c>
      <c r="I169" s="49" t="s">
        <v>3919</v>
      </c>
      <c r="J169" s="49" t="s">
        <v>3931</v>
      </c>
      <c r="K169" s="49"/>
      <c r="L169" s="49" t="s">
        <v>3921</v>
      </c>
      <c r="M169" s="49" t="s">
        <v>3926</v>
      </c>
      <c r="N169" s="58"/>
      <c r="O169" s="49" t="s">
        <v>3928</v>
      </c>
      <c r="P169" s="49" t="s">
        <v>2590</v>
      </c>
      <c r="Q169" s="58"/>
      <c r="R169" s="84"/>
      <c r="S169" s="85" t="s">
        <v>32</v>
      </c>
    </row>
    <row r="170">
      <c r="A170" s="94">
        <v>513.0</v>
      </c>
      <c r="B170" s="58" t="s">
        <v>1905</v>
      </c>
      <c r="C170" s="58" t="s">
        <v>1906</v>
      </c>
      <c r="D170" s="58" t="s">
        <v>1907</v>
      </c>
      <c r="E170" s="58" t="s">
        <v>62</v>
      </c>
      <c r="F170" s="58" t="s">
        <v>62</v>
      </c>
      <c r="G170" s="94" t="s">
        <v>58</v>
      </c>
      <c r="H170" s="58">
        <v>2019.0</v>
      </c>
      <c r="I170" s="49" t="s">
        <v>3939</v>
      </c>
      <c r="J170" s="49" t="s">
        <v>4061</v>
      </c>
      <c r="K170" s="49"/>
      <c r="L170" s="49" t="s">
        <v>3921</v>
      </c>
      <c r="M170" s="49" t="s">
        <v>3982</v>
      </c>
      <c r="N170" s="58"/>
      <c r="O170" s="49" t="s">
        <v>3924</v>
      </c>
      <c r="P170" s="49" t="s">
        <v>3987</v>
      </c>
      <c r="Q170" s="58"/>
      <c r="R170" s="84"/>
      <c r="S170" s="85" t="s">
        <v>32</v>
      </c>
    </row>
    <row r="171">
      <c r="A171" s="94">
        <v>514.0</v>
      </c>
      <c r="B171" s="58" t="s">
        <v>1908</v>
      </c>
      <c r="C171" s="58" t="s">
        <v>1909</v>
      </c>
      <c r="D171" s="58" t="s">
        <v>1910</v>
      </c>
      <c r="E171" s="59" t="s">
        <v>36</v>
      </c>
      <c r="F171" s="59" t="s">
        <v>37</v>
      </c>
      <c r="G171" s="94" t="s">
        <v>58</v>
      </c>
      <c r="H171" s="58">
        <v>2019.0</v>
      </c>
      <c r="I171" s="49" t="s">
        <v>3919</v>
      </c>
      <c r="J171" s="49" t="s">
        <v>4230</v>
      </c>
      <c r="K171" s="49"/>
      <c r="L171" s="49" t="s">
        <v>3921</v>
      </c>
      <c r="M171" s="49" t="s">
        <v>3926</v>
      </c>
      <c r="N171" s="49" t="s">
        <v>4231</v>
      </c>
      <c r="O171" s="49" t="s">
        <v>3928</v>
      </c>
      <c r="P171" s="49" t="s">
        <v>3987</v>
      </c>
      <c r="Q171" s="49" t="s">
        <v>2407</v>
      </c>
      <c r="R171" s="84"/>
      <c r="S171" s="85" t="s">
        <v>32</v>
      </c>
    </row>
    <row r="172">
      <c r="A172" s="94">
        <v>515.0</v>
      </c>
      <c r="B172" s="58" t="s">
        <v>1911</v>
      </c>
      <c r="C172" s="58" t="s">
        <v>1912</v>
      </c>
      <c r="D172" s="58" t="s">
        <v>1913</v>
      </c>
      <c r="E172" s="58" t="s">
        <v>62</v>
      </c>
      <c r="F172" s="58" t="s">
        <v>62</v>
      </c>
      <c r="G172" s="94" t="s">
        <v>38</v>
      </c>
      <c r="H172" s="58">
        <v>2020.0</v>
      </c>
      <c r="I172" s="49" t="s">
        <v>3919</v>
      </c>
      <c r="J172" s="49" t="s">
        <v>3931</v>
      </c>
      <c r="K172" s="49" t="s">
        <v>3925</v>
      </c>
      <c r="L172" s="49" t="s">
        <v>3921</v>
      </c>
      <c r="M172" s="49" t="s">
        <v>3926</v>
      </c>
      <c r="N172" s="49" t="s">
        <v>3970</v>
      </c>
      <c r="O172" s="49" t="s">
        <v>3928</v>
      </c>
      <c r="P172" s="49" t="s">
        <v>2590</v>
      </c>
      <c r="Q172" s="49" t="s">
        <v>2407</v>
      </c>
      <c r="R172" s="84"/>
      <c r="S172" s="85" t="s">
        <v>32</v>
      </c>
    </row>
    <row r="173">
      <c r="A173" s="94">
        <v>518.0</v>
      </c>
      <c r="B173" s="58" t="s">
        <v>1922</v>
      </c>
      <c r="C173" s="58" t="s">
        <v>1923</v>
      </c>
      <c r="D173" s="58" t="s">
        <v>1924</v>
      </c>
      <c r="E173" s="58" t="s">
        <v>62</v>
      </c>
      <c r="F173" s="58" t="s">
        <v>62</v>
      </c>
      <c r="G173" s="94" t="s">
        <v>38</v>
      </c>
      <c r="H173" s="58">
        <v>2020.0</v>
      </c>
      <c r="I173" s="49" t="s">
        <v>3966</v>
      </c>
      <c r="J173" s="49" t="s">
        <v>4232</v>
      </c>
      <c r="K173" s="49" t="s">
        <v>3932</v>
      </c>
      <c r="L173" s="49" t="s">
        <v>3921</v>
      </c>
      <c r="M173" s="49" t="s">
        <v>3926</v>
      </c>
      <c r="N173" s="49" t="s">
        <v>4233</v>
      </c>
      <c r="O173" s="49" t="s">
        <v>3928</v>
      </c>
      <c r="P173" s="49" t="s">
        <v>3997</v>
      </c>
      <c r="Q173" s="49" t="s">
        <v>3994</v>
      </c>
      <c r="R173" s="84"/>
      <c r="S173" s="85" t="s">
        <v>32</v>
      </c>
    </row>
    <row r="174">
      <c r="A174" s="94">
        <v>523.0</v>
      </c>
      <c r="B174" s="58" t="s">
        <v>1938</v>
      </c>
      <c r="C174" s="58" t="s">
        <v>1939</v>
      </c>
      <c r="D174" s="58" t="s">
        <v>1940</v>
      </c>
      <c r="E174" s="59" t="s">
        <v>36</v>
      </c>
      <c r="F174" s="59" t="s">
        <v>37</v>
      </c>
      <c r="G174" s="94" t="s">
        <v>58</v>
      </c>
      <c r="H174" s="58">
        <v>2019.0</v>
      </c>
      <c r="I174" s="49" t="s">
        <v>3919</v>
      </c>
      <c r="J174" s="49" t="s">
        <v>3920</v>
      </c>
      <c r="K174" s="49"/>
      <c r="L174" s="49" t="s">
        <v>3921</v>
      </c>
      <c r="M174" s="49" t="s">
        <v>3922</v>
      </c>
      <c r="N174" s="49" t="s">
        <v>4234</v>
      </c>
      <c r="O174" s="49" t="s">
        <v>3949</v>
      </c>
      <c r="P174" s="49" t="s">
        <v>2590</v>
      </c>
      <c r="Q174" s="49" t="s">
        <v>4235</v>
      </c>
      <c r="R174" s="84"/>
      <c r="S174" s="85" t="s">
        <v>32</v>
      </c>
    </row>
    <row r="175">
      <c r="A175" s="94">
        <v>525.0</v>
      </c>
      <c r="B175" s="58" t="s">
        <v>1944</v>
      </c>
      <c r="C175" s="58" t="s">
        <v>1945</v>
      </c>
      <c r="D175" s="58" t="s">
        <v>1946</v>
      </c>
      <c r="E175" s="58" t="s">
        <v>62</v>
      </c>
      <c r="F175" s="58" t="s">
        <v>62</v>
      </c>
      <c r="G175" s="94" t="s">
        <v>58</v>
      </c>
      <c r="H175" s="58">
        <v>2018.0</v>
      </c>
      <c r="I175" s="49" t="s">
        <v>3919</v>
      </c>
      <c r="J175" s="49" t="s">
        <v>3920</v>
      </c>
      <c r="K175" s="49" t="s">
        <v>3925</v>
      </c>
      <c r="L175" s="49" t="s">
        <v>3921</v>
      </c>
      <c r="M175" s="49" t="s">
        <v>3926</v>
      </c>
      <c r="N175" s="49" t="s">
        <v>4094</v>
      </c>
      <c r="O175" s="49" t="s">
        <v>3928</v>
      </c>
      <c r="P175" s="49" t="s">
        <v>2590</v>
      </c>
      <c r="Q175" s="49" t="s">
        <v>4236</v>
      </c>
      <c r="R175" s="84"/>
      <c r="S175" s="85" t="s">
        <v>32</v>
      </c>
    </row>
    <row r="176">
      <c r="A176" s="94">
        <v>526.0</v>
      </c>
      <c r="B176" s="58" t="s">
        <v>1947</v>
      </c>
      <c r="C176" s="58" t="s">
        <v>1948</v>
      </c>
      <c r="D176" s="49" t="s">
        <v>1949</v>
      </c>
      <c r="E176" s="58" t="s">
        <v>128</v>
      </c>
      <c r="F176" s="58" t="s">
        <v>128</v>
      </c>
      <c r="G176" s="94" t="s">
        <v>38</v>
      </c>
      <c r="H176" s="58">
        <v>2019.0</v>
      </c>
      <c r="I176" s="49" t="s">
        <v>3919</v>
      </c>
      <c r="J176" s="49" t="s">
        <v>3944</v>
      </c>
      <c r="K176" s="49" t="s">
        <v>3925</v>
      </c>
      <c r="L176" s="49" t="s">
        <v>3921</v>
      </c>
      <c r="M176" s="49" t="s">
        <v>3926</v>
      </c>
      <c r="N176" s="49" t="s">
        <v>3970</v>
      </c>
      <c r="O176" s="49" t="s">
        <v>3928</v>
      </c>
      <c r="P176" s="49" t="s">
        <v>2590</v>
      </c>
      <c r="Q176" s="49" t="s">
        <v>3998</v>
      </c>
      <c r="R176" s="84"/>
      <c r="S176" s="85" t="s">
        <v>32</v>
      </c>
    </row>
    <row r="177">
      <c r="A177" s="94">
        <v>527.0</v>
      </c>
      <c r="B177" s="58" t="s">
        <v>1950</v>
      </c>
      <c r="C177" s="58" t="s">
        <v>1951</v>
      </c>
      <c r="D177" s="58" t="s">
        <v>1952</v>
      </c>
      <c r="E177" s="58" t="s">
        <v>128</v>
      </c>
      <c r="F177" s="58" t="s">
        <v>128</v>
      </c>
      <c r="G177" s="94" t="s">
        <v>38</v>
      </c>
      <c r="H177" s="58">
        <v>2018.0</v>
      </c>
      <c r="I177" s="49" t="s">
        <v>3919</v>
      </c>
      <c r="J177" s="49" t="s">
        <v>3931</v>
      </c>
      <c r="K177" s="49"/>
      <c r="L177" s="49" t="s">
        <v>3921</v>
      </c>
      <c r="M177" s="49" t="s">
        <v>4237</v>
      </c>
      <c r="N177" s="49" t="s">
        <v>4238</v>
      </c>
      <c r="O177" s="49" t="s">
        <v>3928</v>
      </c>
      <c r="P177" s="49" t="s">
        <v>2590</v>
      </c>
      <c r="Q177" s="49" t="s">
        <v>2407</v>
      </c>
      <c r="R177" s="84"/>
      <c r="S177" s="85" t="s">
        <v>32</v>
      </c>
    </row>
    <row r="178">
      <c r="A178" s="94">
        <v>530.0</v>
      </c>
      <c r="B178" s="58" t="s">
        <v>1960</v>
      </c>
      <c r="C178" s="58" t="s">
        <v>1961</v>
      </c>
      <c r="D178" s="59" t="s">
        <v>1962</v>
      </c>
      <c r="E178" s="59" t="s">
        <v>1963</v>
      </c>
      <c r="F178" s="59" t="s">
        <v>1964</v>
      </c>
      <c r="G178" s="94" t="s">
        <v>38</v>
      </c>
      <c r="H178" s="58">
        <v>2019.0</v>
      </c>
      <c r="I178" s="49" t="s">
        <v>3919</v>
      </c>
      <c r="J178" s="49" t="s">
        <v>3931</v>
      </c>
      <c r="K178" s="49" t="s">
        <v>4239</v>
      </c>
      <c r="L178" s="49" t="s">
        <v>3921</v>
      </c>
      <c r="M178" s="49" t="s">
        <v>3926</v>
      </c>
      <c r="N178" s="49" t="s">
        <v>4151</v>
      </c>
      <c r="O178" s="49" t="s">
        <v>3928</v>
      </c>
      <c r="P178" s="49" t="s">
        <v>3997</v>
      </c>
      <c r="Q178" s="49" t="s">
        <v>2407</v>
      </c>
      <c r="R178" s="84"/>
      <c r="S178" s="85" t="s">
        <v>32</v>
      </c>
    </row>
    <row r="179">
      <c r="A179" s="94">
        <v>532.0</v>
      </c>
      <c r="B179" s="58" t="s">
        <v>1968</v>
      </c>
      <c r="C179" s="58" t="s">
        <v>1969</v>
      </c>
      <c r="D179" s="59" t="s">
        <v>1970</v>
      </c>
      <c r="E179" s="59" t="s">
        <v>36</v>
      </c>
      <c r="F179" s="59" t="s">
        <v>37</v>
      </c>
      <c r="G179" s="94" t="s">
        <v>58</v>
      </c>
      <c r="H179" s="58">
        <v>2018.0</v>
      </c>
      <c r="I179" s="49" t="s">
        <v>3919</v>
      </c>
      <c r="J179" s="49" t="s">
        <v>3920</v>
      </c>
      <c r="K179" s="49" t="s">
        <v>4239</v>
      </c>
      <c r="L179" s="49" t="s">
        <v>3921</v>
      </c>
      <c r="M179" s="49" t="s">
        <v>3942</v>
      </c>
      <c r="N179" s="49" t="s">
        <v>4240</v>
      </c>
      <c r="O179" s="49" t="s">
        <v>3924</v>
      </c>
      <c r="P179" s="49" t="s">
        <v>2590</v>
      </c>
      <c r="Q179" s="49" t="s">
        <v>3954</v>
      </c>
      <c r="R179" s="84"/>
      <c r="S179" s="85" t="s">
        <v>32</v>
      </c>
    </row>
    <row r="180">
      <c r="A180" s="94">
        <v>537.0</v>
      </c>
      <c r="B180" s="58" t="s">
        <v>1984</v>
      </c>
      <c r="C180" s="58" t="s">
        <v>1985</v>
      </c>
      <c r="D180" s="58" t="s">
        <v>1986</v>
      </c>
      <c r="E180" s="59" t="s">
        <v>29</v>
      </c>
      <c r="F180" s="59" t="s">
        <v>30</v>
      </c>
      <c r="G180" s="94" t="s">
        <v>38</v>
      </c>
      <c r="H180" s="58">
        <v>2018.0</v>
      </c>
      <c r="I180" s="49" t="s">
        <v>3919</v>
      </c>
      <c r="J180" s="49" t="s">
        <v>3920</v>
      </c>
      <c r="K180" s="49"/>
      <c r="L180" s="49" t="s">
        <v>3921</v>
      </c>
      <c r="M180" s="49" t="s">
        <v>3926</v>
      </c>
      <c r="N180" s="49" t="s">
        <v>4151</v>
      </c>
      <c r="O180" s="49" t="s">
        <v>3928</v>
      </c>
      <c r="P180" s="49" t="s">
        <v>2590</v>
      </c>
      <c r="Q180" s="49" t="s">
        <v>2407</v>
      </c>
      <c r="R180" s="84"/>
      <c r="S180" s="85" t="s">
        <v>32</v>
      </c>
    </row>
    <row r="181">
      <c r="A181" s="94">
        <v>538.0</v>
      </c>
      <c r="B181" s="58" t="s">
        <v>1987</v>
      </c>
      <c r="C181" s="58" t="s">
        <v>1988</v>
      </c>
      <c r="D181" s="58" t="s">
        <v>1989</v>
      </c>
      <c r="E181" s="59" t="s">
        <v>80</v>
      </c>
      <c r="F181" s="59" t="s">
        <v>81</v>
      </c>
      <c r="G181" s="94" t="s">
        <v>58</v>
      </c>
      <c r="H181" s="58">
        <v>2018.0</v>
      </c>
      <c r="I181" s="49" t="s">
        <v>3966</v>
      </c>
      <c r="J181" s="49" t="s">
        <v>3944</v>
      </c>
      <c r="K181" s="49" t="s">
        <v>3925</v>
      </c>
      <c r="L181" s="49" t="s">
        <v>3921</v>
      </c>
      <c r="M181" s="49" t="s">
        <v>3982</v>
      </c>
      <c r="N181" s="49" t="s">
        <v>4241</v>
      </c>
      <c r="O181" s="49" t="s">
        <v>3928</v>
      </c>
      <c r="P181" s="49" t="s">
        <v>4242</v>
      </c>
      <c r="Q181" s="49" t="s">
        <v>2407</v>
      </c>
      <c r="R181" s="84"/>
      <c r="S181" s="85" t="s">
        <v>32</v>
      </c>
    </row>
    <row r="182">
      <c r="A182" s="94">
        <v>540.0</v>
      </c>
      <c r="B182" s="58" t="s">
        <v>1994</v>
      </c>
      <c r="C182" s="58" t="s">
        <v>1995</v>
      </c>
      <c r="D182" s="58" t="s">
        <v>1996</v>
      </c>
      <c r="E182" s="59" t="s">
        <v>36</v>
      </c>
      <c r="F182" s="59" t="s">
        <v>37</v>
      </c>
      <c r="G182" s="94" t="s">
        <v>58</v>
      </c>
      <c r="H182" s="58">
        <v>2018.0</v>
      </c>
      <c r="I182" s="49" t="s">
        <v>3919</v>
      </c>
      <c r="J182" s="49" t="s">
        <v>4000</v>
      </c>
      <c r="K182" s="49" t="s">
        <v>3991</v>
      </c>
      <c r="L182" s="49" t="s">
        <v>3921</v>
      </c>
      <c r="M182" s="49" t="s">
        <v>3926</v>
      </c>
      <c r="N182" s="53" t="s">
        <v>3927</v>
      </c>
      <c r="O182" s="49" t="s">
        <v>3928</v>
      </c>
      <c r="P182" s="49" t="s">
        <v>3987</v>
      </c>
      <c r="Q182" s="49" t="s">
        <v>2407</v>
      </c>
      <c r="R182" s="84"/>
      <c r="S182" s="85" t="s">
        <v>32</v>
      </c>
    </row>
    <row r="183">
      <c r="A183" s="94">
        <v>542.0</v>
      </c>
      <c r="B183" s="58" t="s">
        <v>2000</v>
      </c>
      <c r="C183" s="58" t="s">
        <v>2001</v>
      </c>
      <c r="D183" s="58" t="s">
        <v>2002</v>
      </c>
      <c r="E183" s="58" t="s">
        <v>62</v>
      </c>
      <c r="F183" s="58" t="s">
        <v>62</v>
      </c>
      <c r="G183" s="94" t="s">
        <v>38</v>
      </c>
      <c r="H183" s="58">
        <v>2018.0</v>
      </c>
      <c r="I183" s="49" t="s">
        <v>3919</v>
      </c>
      <c r="J183" s="49" t="s">
        <v>3920</v>
      </c>
      <c r="K183" s="53" t="s">
        <v>3932</v>
      </c>
      <c r="L183" s="49" t="s">
        <v>3921</v>
      </c>
      <c r="M183" s="49" t="s">
        <v>3955</v>
      </c>
      <c r="N183" s="49" t="s">
        <v>4014</v>
      </c>
      <c r="O183" s="49" t="s">
        <v>3928</v>
      </c>
      <c r="P183" s="49" t="s">
        <v>2590</v>
      </c>
      <c r="Q183" s="49" t="s">
        <v>2407</v>
      </c>
      <c r="R183" s="84"/>
      <c r="S183" s="85" t="s">
        <v>32</v>
      </c>
    </row>
    <row r="184">
      <c r="A184" s="94">
        <v>546.0</v>
      </c>
      <c r="B184" s="58" t="s">
        <v>2014</v>
      </c>
      <c r="C184" s="58" t="s">
        <v>2015</v>
      </c>
      <c r="D184" s="49" t="s">
        <v>2016</v>
      </c>
      <c r="E184" s="59" t="s">
        <v>36</v>
      </c>
      <c r="F184" s="59" t="s">
        <v>37</v>
      </c>
      <c r="G184" s="94" t="s">
        <v>38</v>
      </c>
      <c r="H184" s="58">
        <v>2020.0</v>
      </c>
      <c r="I184" s="49" t="s">
        <v>3930</v>
      </c>
      <c r="J184" s="49" t="s">
        <v>3931</v>
      </c>
      <c r="K184" s="49"/>
      <c r="L184" s="49" t="s">
        <v>3921</v>
      </c>
      <c r="M184" s="49" t="s">
        <v>3933</v>
      </c>
      <c r="N184" s="49" t="s">
        <v>4243</v>
      </c>
      <c r="O184" s="49" t="s">
        <v>3928</v>
      </c>
      <c r="P184" s="49" t="s">
        <v>4244</v>
      </c>
      <c r="Q184" s="49" t="s">
        <v>3935</v>
      </c>
      <c r="R184" s="84"/>
      <c r="S184" s="85" t="s">
        <v>32</v>
      </c>
    </row>
    <row r="185">
      <c r="A185" s="94">
        <v>548.0</v>
      </c>
      <c r="B185" s="58" t="s">
        <v>2020</v>
      </c>
      <c r="C185" s="58" t="s">
        <v>2021</v>
      </c>
      <c r="D185" s="58" t="s">
        <v>1533</v>
      </c>
      <c r="E185" s="58" t="s">
        <v>128</v>
      </c>
      <c r="F185" s="58" t="s">
        <v>128</v>
      </c>
      <c r="G185" s="94" t="s">
        <v>38</v>
      </c>
      <c r="H185" s="58">
        <v>2020.0</v>
      </c>
      <c r="I185" s="49" t="s">
        <v>3919</v>
      </c>
      <c r="J185" s="49" t="s">
        <v>3931</v>
      </c>
      <c r="K185" s="49" t="s">
        <v>3932</v>
      </c>
      <c r="L185" s="49" t="s">
        <v>3921</v>
      </c>
      <c r="M185" s="49" t="s">
        <v>3926</v>
      </c>
      <c r="N185" s="49" t="s">
        <v>4245</v>
      </c>
      <c r="O185" s="49" t="s">
        <v>3928</v>
      </c>
      <c r="P185" s="49" t="s">
        <v>2590</v>
      </c>
      <c r="Q185" s="49" t="s">
        <v>2407</v>
      </c>
      <c r="R185" s="84"/>
      <c r="S185" s="85" t="s">
        <v>32</v>
      </c>
    </row>
    <row r="186">
      <c r="A186" s="94">
        <v>549.0</v>
      </c>
      <c r="B186" s="58" t="s">
        <v>2022</v>
      </c>
      <c r="C186" s="58" t="s">
        <v>2023</v>
      </c>
      <c r="D186" s="58" t="s">
        <v>2024</v>
      </c>
      <c r="E186" s="58" t="s">
        <v>62</v>
      </c>
      <c r="F186" s="58" t="s">
        <v>62</v>
      </c>
      <c r="G186" s="94" t="s">
        <v>38</v>
      </c>
      <c r="H186" s="58">
        <v>2020.0</v>
      </c>
      <c r="I186" s="49" t="s">
        <v>3966</v>
      </c>
      <c r="J186" s="49" t="s">
        <v>3931</v>
      </c>
      <c r="K186" s="49"/>
      <c r="L186" s="49" t="s">
        <v>3921</v>
      </c>
      <c r="M186" s="49" t="s">
        <v>4246</v>
      </c>
      <c r="N186" s="49" t="s">
        <v>4247</v>
      </c>
      <c r="O186" s="49" t="s">
        <v>3928</v>
      </c>
      <c r="P186" s="49" t="s">
        <v>2590</v>
      </c>
      <c r="Q186" s="49" t="s">
        <v>2407</v>
      </c>
      <c r="R186" s="84"/>
      <c r="S186" s="85" t="s">
        <v>32</v>
      </c>
    </row>
    <row r="187">
      <c r="A187" s="94">
        <v>550.0</v>
      </c>
      <c r="B187" s="58" t="s">
        <v>2025</v>
      </c>
      <c r="C187" s="58" t="s">
        <v>2026</v>
      </c>
      <c r="D187" s="59" t="s">
        <v>2027</v>
      </c>
      <c r="E187" s="59" t="s">
        <v>36</v>
      </c>
      <c r="F187" s="59" t="s">
        <v>37</v>
      </c>
      <c r="G187" s="94" t="s">
        <v>38</v>
      </c>
      <c r="H187" s="58">
        <v>2020.0</v>
      </c>
      <c r="I187" s="49" t="s">
        <v>3919</v>
      </c>
      <c r="J187" s="49" t="s">
        <v>3931</v>
      </c>
      <c r="K187" s="49"/>
      <c r="L187" s="49" t="s">
        <v>3921</v>
      </c>
      <c r="M187" s="49" t="s">
        <v>3926</v>
      </c>
      <c r="N187" s="49" t="s">
        <v>3960</v>
      </c>
      <c r="O187" s="49" t="s">
        <v>3949</v>
      </c>
      <c r="P187" s="49" t="s">
        <v>4248</v>
      </c>
      <c r="Q187" s="49"/>
      <c r="R187" s="84"/>
      <c r="S187" s="85" t="s">
        <v>32</v>
      </c>
    </row>
    <row r="188">
      <c r="A188" s="94">
        <v>551.0</v>
      </c>
      <c r="B188" s="58" t="s">
        <v>2028</v>
      </c>
      <c r="C188" s="58" t="s">
        <v>2029</v>
      </c>
      <c r="D188" s="58" t="s">
        <v>2030</v>
      </c>
      <c r="E188" s="59" t="s">
        <v>29</v>
      </c>
      <c r="F188" s="59" t="s">
        <v>30</v>
      </c>
      <c r="G188" s="94" t="s">
        <v>38</v>
      </c>
      <c r="H188" s="58">
        <v>2018.0</v>
      </c>
      <c r="I188" s="49" t="s">
        <v>3939</v>
      </c>
      <c r="J188" s="49" t="s">
        <v>4168</v>
      </c>
      <c r="K188" s="49"/>
      <c r="L188" s="49" t="s">
        <v>3921</v>
      </c>
      <c r="M188" s="49" t="s">
        <v>4249</v>
      </c>
      <c r="N188" s="49" t="s">
        <v>4133</v>
      </c>
      <c r="O188" s="49" t="s">
        <v>3954</v>
      </c>
      <c r="P188" s="49" t="s">
        <v>2929</v>
      </c>
      <c r="Q188" s="58"/>
      <c r="R188" s="84"/>
      <c r="S188" s="85" t="s">
        <v>32</v>
      </c>
    </row>
    <row r="189">
      <c r="A189" s="94">
        <v>557.0</v>
      </c>
      <c r="B189" s="58" t="s">
        <v>2048</v>
      </c>
      <c r="C189" s="58" t="s">
        <v>2049</v>
      </c>
      <c r="D189" s="58" t="s">
        <v>2050</v>
      </c>
      <c r="E189" s="59" t="s">
        <v>36</v>
      </c>
      <c r="F189" s="59" t="s">
        <v>37</v>
      </c>
      <c r="G189" s="94" t="s">
        <v>58</v>
      </c>
      <c r="H189" s="58">
        <v>2019.0</v>
      </c>
      <c r="I189" s="49" t="s">
        <v>3966</v>
      </c>
      <c r="J189" s="49" t="s">
        <v>3931</v>
      </c>
      <c r="K189" s="49"/>
      <c r="L189" s="49" t="s">
        <v>3921</v>
      </c>
      <c r="M189" s="58"/>
      <c r="N189" s="49" t="s">
        <v>4006</v>
      </c>
      <c r="O189" s="49" t="s">
        <v>3924</v>
      </c>
      <c r="P189" s="49" t="s">
        <v>2590</v>
      </c>
      <c r="Q189" s="49" t="s">
        <v>3943</v>
      </c>
      <c r="R189" s="84"/>
      <c r="S189" s="85" t="s">
        <v>32</v>
      </c>
    </row>
    <row r="190">
      <c r="A190" s="94">
        <v>561.0</v>
      </c>
      <c r="B190" s="58" t="s">
        <v>2061</v>
      </c>
      <c r="C190" s="58" t="s">
        <v>2062</v>
      </c>
      <c r="D190" s="58" t="s">
        <v>2063</v>
      </c>
      <c r="E190" s="59" t="s">
        <v>2064</v>
      </c>
      <c r="F190" s="59" t="s">
        <v>2065</v>
      </c>
      <c r="G190" s="94" t="s">
        <v>38</v>
      </c>
      <c r="H190" s="58">
        <v>2019.0</v>
      </c>
      <c r="I190" s="49" t="s">
        <v>4001</v>
      </c>
      <c r="J190" s="49" t="s">
        <v>3931</v>
      </c>
      <c r="K190" s="49" t="s">
        <v>3932</v>
      </c>
      <c r="L190" s="49" t="s">
        <v>3921</v>
      </c>
      <c r="M190" s="49" t="s">
        <v>3965</v>
      </c>
      <c r="N190" s="49" t="s">
        <v>3999</v>
      </c>
      <c r="O190" s="49"/>
      <c r="P190" s="58"/>
      <c r="Q190" s="49" t="s">
        <v>3954</v>
      </c>
      <c r="R190" s="84"/>
      <c r="S190" s="85" t="s">
        <v>32</v>
      </c>
    </row>
    <row r="191">
      <c r="A191" s="94">
        <v>567.0</v>
      </c>
      <c r="B191" s="58" t="s">
        <v>2082</v>
      </c>
      <c r="C191" s="58" t="s">
        <v>2083</v>
      </c>
      <c r="D191" s="58" t="s">
        <v>2084</v>
      </c>
      <c r="E191" s="58" t="s">
        <v>62</v>
      </c>
      <c r="F191" s="58" t="s">
        <v>62</v>
      </c>
      <c r="G191" s="94" t="s">
        <v>38</v>
      </c>
      <c r="H191" s="58">
        <v>2018.0</v>
      </c>
      <c r="I191" s="49" t="s">
        <v>3919</v>
      </c>
      <c r="J191" s="49" t="s">
        <v>3967</v>
      </c>
      <c r="K191" s="49"/>
      <c r="L191" s="49" t="s">
        <v>3921</v>
      </c>
      <c r="M191" s="49" t="s">
        <v>3982</v>
      </c>
      <c r="N191" s="49" t="s">
        <v>2503</v>
      </c>
      <c r="O191" s="49" t="s">
        <v>3928</v>
      </c>
      <c r="P191" s="49" t="s">
        <v>2503</v>
      </c>
      <c r="Q191" s="49" t="s">
        <v>4085</v>
      </c>
      <c r="R191" s="84"/>
      <c r="S191" s="85" t="s">
        <v>32</v>
      </c>
    </row>
    <row r="192">
      <c r="A192" s="94">
        <v>570.0</v>
      </c>
      <c r="B192" s="58" t="s">
        <v>2090</v>
      </c>
      <c r="C192" s="58" t="s">
        <v>2091</v>
      </c>
      <c r="D192" s="58" t="s">
        <v>2092</v>
      </c>
      <c r="E192" s="59" t="s">
        <v>2093</v>
      </c>
      <c r="F192" s="59" t="s">
        <v>2094</v>
      </c>
      <c r="G192" s="94" t="s">
        <v>58</v>
      </c>
      <c r="H192" s="58">
        <v>2019.0</v>
      </c>
      <c r="I192" s="49" t="s">
        <v>4250</v>
      </c>
      <c r="J192" s="49" t="s">
        <v>3931</v>
      </c>
      <c r="K192" s="49" t="s">
        <v>3947</v>
      </c>
      <c r="L192" s="49" t="s">
        <v>3921</v>
      </c>
      <c r="M192" s="49" t="s">
        <v>4249</v>
      </c>
      <c r="N192" s="49" t="s">
        <v>4251</v>
      </c>
      <c r="O192" s="49" t="s">
        <v>3924</v>
      </c>
      <c r="P192" s="49" t="s">
        <v>2590</v>
      </c>
      <c r="Q192" s="49" t="s">
        <v>2407</v>
      </c>
      <c r="R192" s="84"/>
      <c r="S192" s="85" t="s">
        <v>32</v>
      </c>
    </row>
    <row r="193">
      <c r="A193" s="94">
        <v>571.0</v>
      </c>
      <c r="B193" s="58" t="s">
        <v>2095</v>
      </c>
      <c r="C193" s="58" t="s">
        <v>2096</v>
      </c>
      <c r="D193" s="58" t="s">
        <v>2097</v>
      </c>
      <c r="E193" s="59" t="s">
        <v>36</v>
      </c>
      <c r="F193" s="59" t="s">
        <v>37</v>
      </c>
      <c r="G193" s="94" t="s">
        <v>58</v>
      </c>
      <c r="H193" s="58">
        <v>2018.0</v>
      </c>
      <c r="I193" s="49" t="s">
        <v>3930</v>
      </c>
      <c r="J193" s="49" t="s">
        <v>3931</v>
      </c>
      <c r="K193" s="49"/>
      <c r="L193" s="49" t="s">
        <v>3977</v>
      </c>
      <c r="M193" s="58"/>
      <c r="N193" s="58"/>
      <c r="O193" s="49" t="s">
        <v>3949</v>
      </c>
      <c r="P193" s="58"/>
      <c r="Q193" s="49" t="s">
        <v>3965</v>
      </c>
      <c r="R193" s="84"/>
      <c r="S193" s="85" t="s">
        <v>32</v>
      </c>
    </row>
    <row r="194">
      <c r="A194" s="94">
        <v>572.0</v>
      </c>
      <c r="B194" s="58" t="s">
        <v>2098</v>
      </c>
      <c r="C194" s="58" t="s">
        <v>2099</v>
      </c>
      <c r="D194" s="58" t="s">
        <v>2100</v>
      </c>
      <c r="E194" s="59" t="s">
        <v>29</v>
      </c>
      <c r="F194" s="59" t="s">
        <v>30</v>
      </c>
      <c r="G194" s="94" t="s">
        <v>38</v>
      </c>
      <c r="H194" s="58">
        <v>2019.0</v>
      </c>
      <c r="I194" s="49" t="s">
        <v>3930</v>
      </c>
      <c r="J194" s="49" t="s">
        <v>3931</v>
      </c>
      <c r="K194" s="49"/>
      <c r="L194" s="49" t="s">
        <v>3921</v>
      </c>
      <c r="M194" s="49" t="s">
        <v>4252</v>
      </c>
      <c r="N194" s="49" t="s">
        <v>4084</v>
      </c>
      <c r="O194" s="49" t="s">
        <v>3928</v>
      </c>
      <c r="P194" s="49" t="s">
        <v>3987</v>
      </c>
      <c r="Q194" s="49" t="s">
        <v>3965</v>
      </c>
      <c r="R194" s="84"/>
      <c r="S194" s="85" t="s">
        <v>32</v>
      </c>
    </row>
    <row r="195">
      <c r="A195" s="94">
        <v>573.0</v>
      </c>
      <c r="B195" s="58" t="s">
        <v>2101</v>
      </c>
      <c r="C195" s="58" t="s">
        <v>2102</v>
      </c>
      <c r="D195" s="58" t="s">
        <v>2103</v>
      </c>
      <c r="E195" s="58" t="s">
        <v>128</v>
      </c>
      <c r="F195" s="58" t="s">
        <v>128</v>
      </c>
      <c r="G195" s="94" t="s">
        <v>38</v>
      </c>
      <c r="H195" s="58">
        <v>2018.0</v>
      </c>
      <c r="I195" s="49" t="s">
        <v>3919</v>
      </c>
      <c r="J195" s="49" t="s">
        <v>4054</v>
      </c>
      <c r="K195" s="49" t="s">
        <v>3954</v>
      </c>
      <c r="L195" s="49" t="s">
        <v>3921</v>
      </c>
      <c r="M195" s="49" t="s">
        <v>4253</v>
      </c>
      <c r="N195" s="49" t="s">
        <v>4254</v>
      </c>
      <c r="O195" s="49" t="s">
        <v>3928</v>
      </c>
      <c r="P195" s="49" t="s">
        <v>2590</v>
      </c>
      <c r="Q195" s="49" t="s">
        <v>4255</v>
      </c>
      <c r="R195" s="84"/>
      <c r="S195" s="85" t="s">
        <v>32</v>
      </c>
    </row>
    <row r="196">
      <c r="A196" s="94">
        <v>574.0</v>
      </c>
      <c r="B196" s="58" t="s">
        <v>2104</v>
      </c>
      <c r="C196" s="58" t="s">
        <v>2105</v>
      </c>
      <c r="D196" s="58" t="s">
        <v>1565</v>
      </c>
      <c r="E196" s="58" t="s">
        <v>393</v>
      </c>
      <c r="F196" s="59" t="s">
        <v>394</v>
      </c>
      <c r="G196" s="94" t="s">
        <v>38</v>
      </c>
      <c r="H196" s="58">
        <v>2020.0</v>
      </c>
      <c r="I196" s="49" t="s">
        <v>3919</v>
      </c>
      <c r="J196" s="49" t="s">
        <v>3920</v>
      </c>
      <c r="K196" s="49" t="s">
        <v>3954</v>
      </c>
      <c r="L196" s="49" t="s">
        <v>3921</v>
      </c>
      <c r="M196" s="49"/>
      <c r="N196" s="49" t="s">
        <v>4256</v>
      </c>
      <c r="O196" s="49" t="s">
        <v>3949</v>
      </c>
      <c r="P196" s="49" t="s">
        <v>2590</v>
      </c>
      <c r="Q196" s="49"/>
      <c r="R196" s="50"/>
      <c r="S196" s="85" t="s">
        <v>32</v>
      </c>
    </row>
    <row r="197">
      <c r="A197" s="94">
        <v>579.0</v>
      </c>
      <c r="B197" s="58" t="s">
        <v>2118</v>
      </c>
      <c r="C197" s="58" t="s">
        <v>2119</v>
      </c>
      <c r="D197" s="49" t="s">
        <v>3731</v>
      </c>
      <c r="E197" s="59" t="s">
        <v>36</v>
      </c>
      <c r="F197" s="59" t="s">
        <v>37</v>
      </c>
      <c r="G197" s="94" t="s">
        <v>58</v>
      </c>
      <c r="H197" s="58">
        <v>2018.0</v>
      </c>
      <c r="I197" s="49" t="s">
        <v>3919</v>
      </c>
      <c r="J197" s="49" t="s">
        <v>4257</v>
      </c>
      <c r="K197" s="49" t="s">
        <v>3932</v>
      </c>
      <c r="L197" s="49" t="s">
        <v>3921</v>
      </c>
      <c r="M197" s="49" t="s">
        <v>3926</v>
      </c>
      <c r="N197" s="49" t="s">
        <v>4238</v>
      </c>
      <c r="O197" s="49" t="s">
        <v>3928</v>
      </c>
      <c r="P197" s="49" t="s">
        <v>2590</v>
      </c>
      <c r="Q197" s="49" t="s">
        <v>2407</v>
      </c>
      <c r="R197" s="84"/>
      <c r="S197" s="85" t="s">
        <v>32</v>
      </c>
    </row>
    <row r="198">
      <c r="A198" s="94">
        <v>580.0</v>
      </c>
      <c r="B198" s="58" t="s">
        <v>2121</v>
      </c>
      <c r="C198" s="58" t="s">
        <v>2122</v>
      </c>
      <c r="D198" s="59" t="s">
        <v>2123</v>
      </c>
      <c r="E198" s="59" t="s">
        <v>36</v>
      </c>
      <c r="F198" s="59" t="s">
        <v>37</v>
      </c>
      <c r="G198" s="94" t="s">
        <v>58</v>
      </c>
      <c r="H198" s="58">
        <v>2019.0</v>
      </c>
      <c r="I198" s="49" t="s">
        <v>3919</v>
      </c>
      <c r="J198" s="49" t="s">
        <v>4192</v>
      </c>
      <c r="K198" s="49"/>
      <c r="L198" s="49" t="s">
        <v>3921</v>
      </c>
      <c r="M198" s="49" t="s">
        <v>4258</v>
      </c>
      <c r="N198" s="49" t="s">
        <v>4162</v>
      </c>
      <c r="O198" s="49" t="s">
        <v>3928</v>
      </c>
      <c r="P198" s="49" t="s">
        <v>2590</v>
      </c>
      <c r="Q198" s="49" t="s">
        <v>2407</v>
      </c>
      <c r="R198" s="84"/>
      <c r="S198" s="85" t="s">
        <v>32</v>
      </c>
    </row>
    <row r="199">
      <c r="A199" s="94">
        <v>584.0</v>
      </c>
      <c r="B199" s="58" t="s">
        <v>2134</v>
      </c>
      <c r="C199" s="58" t="s">
        <v>2135</v>
      </c>
      <c r="D199" s="58" t="s">
        <v>2136</v>
      </c>
      <c r="E199" s="59" t="s">
        <v>36</v>
      </c>
      <c r="F199" s="59" t="s">
        <v>37</v>
      </c>
      <c r="G199" s="94" t="s">
        <v>58</v>
      </c>
      <c r="H199" s="58">
        <v>2020.0</v>
      </c>
      <c r="I199" s="49" t="s">
        <v>3966</v>
      </c>
      <c r="J199" s="49" t="s">
        <v>3931</v>
      </c>
      <c r="K199" s="49"/>
      <c r="L199" s="49" t="s">
        <v>3921</v>
      </c>
      <c r="M199" s="49" t="s">
        <v>3926</v>
      </c>
      <c r="N199" s="49" t="s">
        <v>4259</v>
      </c>
      <c r="O199" s="49" t="s">
        <v>3928</v>
      </c>
      <c r="P199" s="49" t="s">
        <v>2590</v>
      </c>
      <c r="Q199" s="49"/>
      <c r="R199" s="84"/>
      <c r="S199" s="85" t="s">
        <v>32</v>
      </c>
    </row>
    <row r="200">
      <c r="A200" s="94">
        <v>587.0</v>
      </c>
      <c r="B200" s="58" t="s">
        <v>2144</v>
      </c>
      <c r="C200" s="58" t="s">
        <v>2145</v>
      </c>
      <c r="D200" s="58" t="s">
        <v>2146</v>
      </c>
      <c r="E200" s="58" t="s">
        <v>62</v>
      </c>
      <c r="F200" s="58" t="s">
        <v>62</v>
      </c>
      <c r="G200" s="94" t="s">
        <v>38</v>
      </c>
      <c r="H200" s="58">
        <v>2020.0</v>
      </c>
      <c r="I200" s="49" t="s">
        <v>3966</v>
      </c>
      <c r="J200" s="49" t="s">
        <v>4024</v>
      </c>
      <c r="K200" s="49"/>
      <c r="L200" s="49" t="s">
        <v>3921</v>
      </c>
      <c r="M200" s="49" t="s">
        <v>3982</v>
      </c>
      <c r="N200" s="49" t="s">
        <v>2647</v>
      </c>
      <c r="O200" s="49" t="s">
        <v>3949</v>
      </c>
      <c r="P200" s="49" t="s">
        <v>2590</v>
      </c>
      <c r="Q200" s="49" t="s">
        <v>2407</v>
      </c>
      <c r="R200" s="84"/>
      <c r="S200" s="85" t="s">
        <v>32</v>
      </c>
    </row>
    <row r="201">
      <c r="A201" s="94">
        <v>588.0</v>
      </c>
      <c r="B201" s="58" t="s">
        <v>2147</v>
      </c>
      <c r="C201" s="58" t="s">
        <v>2148</v>
      </c>
      <c r="D201" s="58" t="s">
        <v>2149</v>
      </c>
      <c r="E201" s="59" t="s">
        <v>36</v>
      </c>
      <c r="F201" s="59" t="s">
        <v>37</v>
      </c>
      <c r="G201" s="94" t="s">
        <v>58</v>
      </c>
      <c r="H201" s="58">
        <v>2020.0</v>
      </c>
      <c r="I201" s="49" t="s">
        <v>3939</v>
      </c>
      <c r="J201" s="49" t="s">
        <v>4168</v>
      </c>
      <c r="K201" s="49"/>
      <c r="L201" s="49" t="s">
        <v>3973</v>
      </c>
      <c r="M201" s="49" t="s">
        <v>3926</v>
      </c>
      <c r="N201" s="49"/>
      <c r="O201" s="49" t="s">
        <v>3949</v>
      </c>
      <c r="P201" s="49" t="s">
        <v>2929</v>
      </c>
      <c r="Q201" s="58"/>
      <c r="R201" s="84"/>
      <c r="S201" s="85" t="s">
        <v>32</v>
      </c>
    </row>
    <row r="202">
      <c r="A202" s="94">
        <v>590.0</v>
      </c>
      <c r="B202" s="58" t="s">
        <v>2153</v>
      </c>
      <c r="C202" s="58" t="s">
        <v>2154</v>
      </c>
      <c r="D202" s="58" t="s">
        <v>2155</v>
      </c>
      <c r="E202" s="58" t="s">
        <v>128</v>
      </c>
      <c r="F202" s="58" t="s">
        <v>128</v>
      </c>
      <c r="G202" s="94" t="s">
        <v>38</v>
      </c>
      <c r="H202" s="58">
        <v>2020.0</v>
      </c>
      <c r="I202" s="49" t="s">
        <v>3930</v>
      </c>
      <c r="J202" s="49" t="s">
        <v>3931</v>
      </c>
      <c r="K202" s="49"/>
      <c r="L202" s="49" t="s">
        <v>3921</v>
      </c>
      <c r="M202" s="49" t="s">
        <v>3933</v>
      </c>
      <c r="N202" s="49" t="s">
        <v>4243</v>
      </c>
      <c r="O202" s="49" t="s">
        <v>3928</v>
      </c>
      <c r="P202" s="49" t="s">
        <v>2590</v>
      </c>
      <c r="Q202" s="58"/>
      <c r="R202" s="84"/>
      <c r="S202" s="85" t="s">
        <v>32</v>
      </c>
    </row>
    <row r="203">
      <c r="A203" s="94">
        <v>591.0</v>
      </c>
      <c r="B203" s="58" t="s">
        <v>2156</v>
      </c>
      <c r="C203" s="58" t="s">
        <v>2157</v>
      </c>
      <c r="D203" s="58" t="s">
        <v>2158</v>
      </c>
      <c r="E203" s="58" t="s">
        <v>62</v>
      </c>
      <c r="F203" s="58" t="s">
        <v>62</v>
      </c>
      <c r="G203" s="94" t="s">
        <v>38</v>
      </c>
      <c r="H203" s="58">
        <v>2019.0</v>
      </c>
      <c r="I203" s="49" t="s">
        <v>3966</v>
      </c>
      <c r="J203" s="49" t="s">
        <v>4260</v>
      </c>
      <c r="K203" s="49"/>
      <c r="L203" s="49" t="s">
        <v>3921</v>
      </c>
      <c r="M203" s="49" t="s">
        <v>3982</v>
      </c>
      <c r="N203" s="58"/>
      <c r="O203" s="49" t="s">
        <v>3949</v>
      </c>
      <c r="P203" s="49" t="s">
        <v>3987</v>
      </c>
      <c r="Q203" s="49" t="s">
        <v>3951</v>
      </c>
      <c r="R203" s="84"/>
      <c r="S203" s="85" t="s">
        <v>32</v>
      </c>
    </row>
    <row r="204">
      <c r="A204" s="94">
        <v>592.0</v>
      </c>
      <c r="B204" s="58" t="s">
        <v>2159</v>
      </c>
      <c r="C204" s="58" t="s">
        <v>2160</v>
      </c>
      <c r="D204" s="58" t="s">
        <v>2161</v>
      </c>
      <c r="E204" s="59" t="s">
        <v>36</v>
      </c>
      <c r="F204" s="59" t="s">
        <v>37</v>
      </c>
      <c r="G204" s="94" t="s">
        <v>58</v>
      </c>
      <c r="H204" s="58">
        <v>2018.0</v>
      </c>
      <c r="I204" s="49" t="s">
        <v>3919</v>
      </c>
      <c r="J204" s="49" t="s">
        <v>3920</v>
      </c>
      <c r="K204" s="49"/>
      <c r="L204" s="49" t="s">
        <v>3921</v>
      </c>
      <c r="M204" s="49" t="s">
        <v>3926</v>
      </c>
      <c r="N204" s="58"/>
      <c r="O204" s="49" t="s">
        <v>3949</v>
      </c>
      <c r="P204" s="49" t="s">
        <v>3987</v>
      </c>
      <c r="Q204" s="58"/>
      <c r="R204" s="84"/>
      <c r="S204" s="85" t="s">
        <v>32</v>
      </c>
    </row>
    <row r="205">
      <c r="A205" s="94">
        <v>595.0</v>
      </c>
      <c r="B205" s="58" t="s">
        <v>2169</v>
      </c>
      <c r="C205" s="58" t="s">
        <v>2170</v>
      </c>
      <c r="D205" s="59" t="s">
        <v>2171</v>
      </c>
      <c r="E205" s="58" t="s">
        <v>62</v>
      </c>
      <c r="F205" s="58" t="s">
        <v>62</v>
      </c>
      <c r="G205" s="94" t="s">
        <v>38</v>
      </c>
      <c r="H205" s="58">
        <v>2019.0</v>
      </c>
      <c r="I205" s="49" t="s">
        <v>3919</v>
      </c>
      <c r="J205" s="49" t="s">
        <v>4000</v>
      </c>
      <c r="K205" s="49" t="s">
        <v>3954</v>
      </c>
      <c r="L205" s="49" t="s">
        <v>3921</v>
      </c>
      <c r="M205" s="49" t="s">
        <v>3926</v>
      </c>
      <c r="N205" s="49" t="s">
        <v>4261</v>
      </c>
      <c r="O205" s="49" t="s">
        <v>3928</v>
      </c>
      <c r="P205" s="49" t="s">
        <v>2590</v>
      </c>
      <c r="Q205" s="49" t="s">
        <v>2407</v>
      </c>
      <c r="R205" s="84"/>
      <c r="S205" s="85" t="s">
        <v>32</v>
      </c>
    </row>
    <row r="206">
      <c r="A206" s="94">
        <v>596.0</v>
      </c>
      <c r="B206" s="58" t="s">
        <v>2172</v>
      </c>
      <c r="C206" s="58" t="s">
        <v>2173</v>
      </c>
      <c r="D206" s="59" t="s">
        <v>2174</v>
      </c>
      <c r="E206" s="59" t="s">
        <v>36</v>
      </c>
      <c r="F206" s="59" t="s">
        <v>37</v>
      </c>
      <c r="G206" s="94" t="s">
        <v>38</v>
      </c>
      <c r="H206" s="58">
        <v>2019.0</v>
      </c>
      <c r="I206" s="49" t="s">
        <v>3930</v>
      </c>
      <c r="J206" s="49" t="s">
        <v>3931</v>
      </c>
      <c r="K206" s="49"/>
      <c r="L206" s="49" t="s">
        <v>3921</v>
      </c>
      <c r="M206" s="49"/>
      <c r="N206" s="49" t="s">
        <v>4014</v>
      </c>
      <c r="O206" s="49" t="s">
        <v>3928</v>
      </c>
      <c r="P206" s="49" t="s">
        <v>3987</v>
      </c>
      <c r="Q206" s="49" t="s">
        <v>3965</v>
      </c>
      <c r="R206" s="84"/>
      <c r="S206" s="85" t="s">
        <v>32</v>
      </c>
    </row>
    <row r="207">
      <c r="A207" s="94">
        <v>599.0</v>
      </c>
      <c r="B207" s="58" t="s">
        <v>2182</v>
      </c>
      <c r="C207" s="58" t="s">
        <v>2183</v>
      </c>
      <c r="D207" s="58" t="s">
        <v>2184</v>
      </c>
      <c r="E207" s="59" t="s">
        <v>36</v>
      </c>
      <c r="F207" s="59" t="s">
        <v>37</v>
      </c>
      <c r="G207" s="94" t="s">
        <v>58</v>
      </c>
      <c r="H207" s="49">
        <v>2018.0</v>
      </c>
      <c r="I207" s="49" t="s">
        <v>3919</v>
      </c>
      <c r="J207" s="49" t="s">
        <v>3967</v>
      </c>
      <c r="K207" s="49"/>
      <c r="L207" s="49" t="s">
        <v>3921</v>
      </c>
      <c r="M207" s="49" t="s">
        <v>3982</v>
      </c>
      <c r="N207" s="49" t="s">
        <v>2503</v>
      </c>
      <c r="O207" s="49" t="s">
        <v>3928</v>
      </c>
      <c r="P207" s="49"/>
      <c r="Q207" s="49"/>
      <c r="R207" s="84"/>
      <c r="S207" s="85" t="s">
        <v>32</v>
      </c>
    </row>
    <row r="208">
      <c r="A208" s="94">
        <v>606.0</v>
      </c>
      <c r="B208" s="58" t="s">
        <v>2207</v>
      </c>
      <c r="C208" s="58" t="s">
        <v>2208</v>
      </c>
      <c r="D208" s="58" t="s">
        <v>2209</v>
      </c>
      <c r="E208" s="59" t="s">
        <v>80</v>
      </c>
      <c r="F208" s="59" t="s">
        <v>81</v>
      </c>
      <c r="G208" s="94" t="s">
        <v>58</v>
      </c>
      <c r="H208" s="49">
        <v>2018.0</v>
      </c>
      <c r="I208" s="49" t="s">
        <v>3966</v>
      </c>
      <c r="J208" s="49" t="s">
        <v>3931</v>
      </c>
      <c r="K208" s="49" t="s">
        <v>4239</v>
      </c>
      <c r="L208" s="49" t="s">
        <v>3921</v>
      </c>
      <c r="M208" s="49" t="s">
        <v>3982</v>
      </c>
      <c r="N208" s="49" t="s">
        <v>4262</v>
      </c>
      <c r="O208" s="49" t="s">
        <v>3928</v>
      </c>
      <c r="P208" s="49" t="s">
        <v>2590</v>
      </c>
      <c r="Q208" s="49" t="s">
        <v>2407</v>
      </c>
      <c r="R208" s="84"/>
      <c r="S208" s="85" t="s">
        <v>32</v>
      </c>
    </row>
    <row r="209">
      <c r="A209" s="97">
        <v>607.0</v>
      </c>
      <c r="B209" s="58" t="s">
        <v>2210</v>
      </c>
      <c r="C209" s="58" t="s">
        <v>2211</v>
      </c>
      <c r="D209" s="59" t="s">
        <v>2212</v>
      </c>
      <c r="E209" s="59" t="s">
        <v>36</v>
      </c>
      <c r="F209" s="59" t="s">
        <v>37</v>
      </c>
      <c r="G209" s="94" t="s">
        <v>38</v>
      </c>
      <c r="H209" s="58">
        <v>2020.0</v>
      </c>
      <c r="I209" s="49" t="s">
        <v>3919</v>
      </c>
      <c r="J209" s="49" t="s">
        <v>4024</v>
      </c>
      <c r="K209" s="49"/>
      <c r="L209" s="49" t="s">
        <v>3921</v>
      </c>
      <c r="M209" s="49" t="s">
        <v>3926</v>
      </c>
      <c r="N209" s="49" t="s">
        <v>4263</v>
      </c>
      <c r="O209" s="49" t="s">
        <v>3928</v>
      </c>
      <c r="P209" s="49" t="s">
        <v>2590</v>
      </c>
      <c r="Q209" s="49" t="s">
        <v>2407</v>
      </c>
      <c r="R209" s="84"/>
      <c r="S209" s="85" t="s">
        <v>32</v>
      </c>
    </row>
    <row r="210">
      <c r="A210" s="94">
        <v>611.0</v>
      </c>
      <c r="B210" s="58" t="s">
        <v>2223</v>
      </c>
      <c r="C210" s="58" t="s">
        <v>2224</v>
      </c>
      <c r="D210" s="58" t="s">
        <v>2225</v>
      </c>
      <c r="E210" s="59" t="s">
        <v>36</v>
      </c>
      <c r="F210" s="59" t="s">
        <v>37</v>
      </c>
      <c r="G210" s="94" t="s">
        <v>58</v>
      </c>
      <c r="H210" s="58">
        <v>2018.0</v>
      </c>
      <c r="I210" s="49" t="s">
        <v>3919</v>
      </c>
      <c r="J210" s="49" t="s">
        <v>3944</v>
      </c>
      <c r="K210" s="49"/>
      <c r="L210" s="49" t="s">
        <v>3921</v>
      </c>
      <c r="M210" s="49" t="s">
        <v>3922</v>
      </c>
      <c r="N210" s="49" t="s">
        <v>4122</v>
      </c>
      <c r="O210" s="49" t="s">
        <v>3924</v>
      </c>
      <c r="P210" s="49" t="s">
        <v>4244</v>
      </c>
      <c r="Q210" s="49" t="s">
        <v>2407</v>
      </c>
      <c r="R210" s="84"/>
      <c r="S210" s="85" t="s">
        <v>32</v>
      </c>
    </row>
    <row r="211">
      <c r="A211" s="94">
        <v>612.0</v>
      </c>
      <c r="B211" s="58" t="s">
        <v>2226</v>
      </c>
      <c r="C211" s="58" t="s">
        <v>2227</v>
      </c>
      <c r="D211" s="49" t="s">
        <v>2228</v>
      </c>
      <c r="E211" s="58" t="s">
        <v>128</v>
      </c>
      <c r="F211" s="58" t="s">
        <v>128</v>
      </c>
      <c r="G211" s="94" t="s">
        <v>38</v>
      </c>
      <c r="H211" s="58">
        <v>2020.0</v>
      </c>
      <c r="I211" s="49" t="s">
        <v>3966</v>
      </c>
      <c r="J211" s="49" t="s">
        <v>3967</v>
      </c>
      <c r="K211" s="49"/>
      <c r="L211" s="49" t="s">
        <v>3921</v>
      </c>
      <c r="M211" s="49" t="s">
        <v>3926</v>
      </c>
      <c r="N211" s="49" t="s">
        <v>2503</v>
      </c>
      <c r="O211" s="49" t="s">
        <v>3924</v>
      </c>
      <c r="P211" s="49" t="s">
        <v>2503</v>
      </c>
      <c r="Q211" s="49"/>
      <c r="R211" s="84"/>
      <c r="S211" s="85" t="s">
        <v>32</v>
      </c>
    </row>
    <row r="212">
      <c r="A212" s="94">
        <v>615.0</v>
      </c>
      <c r="B212" s="58" t="s">
        <v>2235</v>
      </c>
      <c r="C212" s="58" t="s">
        <v>2236</v>
      </c>
      <c r="D212" s="58" t="s">
        <v>2237</v>
      </c>
      <c r="E212" s="59" t="s">
        <v>36</v>
      </c>
      <c r="F212" s="59" t="s">
        <v>2238</v>
      </c>
      <c r="G212" s="94" t="s">
        <v>58</v>
      </c>
      <c r="H212" s="58">
        <v>2019.0</v>
      </c>
      <c r="I212" s="49" t="s">
        <v>3919</v>
      </c>
      <c r="J212" s="49" t="s">
        <v>3920</v>
      </c>
      <c r="K212" s="49" t="s">
        <v>3954</v>
      </c>
      <c r="L212" s="49" t="s">
        <v>3921</v>
      </c>
      <c r="M212" s="58"/>
      <c r="N212" s="49" t="s">
        <v>3923</v>
      </c>
      <c r="O212" s="49" t="s">
        <v>3949</v>
      </c>
      <c r="P212" s="49" t="s">
        <v>4264</v>
      </c>
      <c r="Q212" s="49" t="s">
        <v>2407</v>
      </c>
      <c r="R212" s="84"/>
      <c r="S212" s="85" t="s">
        <v>32</v>
      </c>
    </row>
    <row r="213">
      <c r="A213" s="94">
        <v>616.0</v>
      </c>
      <c r="B213" s="58" t="s">
        <v>2239</v>
      </c>
      <c r="C213" s="58" t="s">
        <v>2240</v>
      </c>
      <c r="D213" s="58" t="s">
        <v>2241</v>
      </c>
      <c r="E213" s="58" t="s">
        <v>128</v>
      </c>
      <c r="F213" s="58" t="s">
        <v>128</v>
      </c>
      <c r="G213" s="94" t="s">
        <v>38</v>
      </c>
      <c r="H213" s="58">
        <v>2020.0</v>
      </c>
      <c r="I213" s="49" t="s">
        <v>3919</v>
      </c>
      <c r="J213" s="49" t="s">
        <v>4265</v>
      </c>
      <c r="K213" s="49"/>
      <c r="L213" s="49" t="s">
        <v>3921</v>
      </c>
      <c r="M213" s="49" t="s">
        <v>3955</v>
      </c>
      <c r="N213" s="49" t="s">
        <v>4123</v>
      </c>
      <c r="O213" s="49" t="s">
        <v>3928</v>
      </c>
      <c r="P213" s="49" t="s">
        <v>2590</v>
      </c>
      <c r="Q213" s="49" t="s">
        <v>2407</v>
      </c>
      <c r="R213" s="84"/>
      <c r="S213" s="85" t="s">
        <v>32</v>
      </c>
    </row>
    <row r="214">
      <c r="A214" s="94">
        <v>617.0</v>
      </c>
      <c r="B214" s="58" t="s">
        <v>2242</v>
      </c>
      <c r="C214" s="58" t="s">
        <v>2243</v>
      </c>
      <c r="D214" s="49" t="s">
        <v>3841</v>
      </c>
      <c r="E214" s="59" t="s">
        <v>36</v>
      </c>
      <c r="F214" s="59" t="s">
        <v>37</v>
      </c>
      <c r="G214" s="94" t="s">
        <v>58</v>
      </c>
      <c r="H214" s="58">
        <v>2018.0</v>
      </c>
      <c r="I214" s="49" t="s">
        <v>3919</v>
      </c>
      <c r="J214" s="49" t="s">
        <v>3931</v>
      </c>
      <c r="K214" s="49"/>
      <c r="L214" s="49" t="s">
        <v>3921</v>
      </c>
      <c r="M214" s="49" t="s">
        <v>3982</v>
      </c>
      <c r="N214" s="49" t="s">
        <v>4266</v>
      </c>
      <c r="O214" s="49" t="s">
        <v>3924</v>
      </c>
      <c r="P214" s="49" t="s">
        <v>2590</v>
      </c>
      <c r="Q214" s="49" t="s">
        <v>3943</v>
      </c>
      <c r="R214" s="84"/>
      <c r="S214" s="85" t="s">
        <v>32</v>
      </c>
    </row>
    <row r="215">
      <c r="A215" s="94">
        <v>623.0</v>
      </c>
      <c r="B215" s="58" t="s">
        <v>2262</v>
      </c>
      <c r="C215" s="58" t="s">
        <v>2263</v>
      </c>
      <c r="D215" s="58" t="s">
        <v>2264</v>
      </c>
      <c r="E215" s="58" t="s">
        <v>128</v>
      </c>
      <c r="F215" s="58" t="s">
        <v>128</v>
      </c>
      <c r="G215" s="94" t="s">
        <v>38</v>
      </c>
      <c r="H215" s="58">
        <v>2019.0</v>
      </c>
      <c r="I215" s="49" t="s">
        <v>3966</v>
      </c>
      <c r="J215" s="49" t="s">
        <v>3920</v>
      </c>
      <c r="K215" s="49"/>
      <c r="L215" s="49" t="s">
        <v>3921</v>
      </c>
      <c r="M215" s="49" t="s">
        <v>4253</v>
      </c>
      <c r="N215" s="49" t="s">
        <v>4267</v>
      </c>
      <c r="O215" s="49" t="s">
        <v>3928</v>
      </c>
      <c r="P215" s="49" t="s">
        <v>2590</v>
      </c>
      <c r="Q215" s="49" t="s">
        <v>3958</v>
      </c>
      <c r="R215" s="84"/>
      <c r="S215" s="85" t="s">
        <v>32</v>
      </c>
    </row>
    <row r="216">
      <c r="A216" s="94">
        <v>625.0</v>
      </c>
      <c r="B216" s="58" t="s">
        <v>2268</v>
      </c>
      <c r="C216" s="58" t="s">
        <v>2269</v>
      </c>
      <c r="D216" s="58" t="s">
        <v>2270</v>
      </c>
      <c r="E216" s="58" t="s">
        <v>128</v>
      </c>
      <c r="F216" s="58" t="s">
        <v>128</v>
      </c>
      <c r="G216" s="94" t="s">
        <v>38</v>
      </c>
      <c r="H216" s="49">
        <v>2020.0</v>
      </c>
      <c r="I216" s="49" t="s">
        <v>3919</v>
      </c>
      <c r="J216" s="49" t="s">
        <v>3920</v>
      </c>
      <c r="K216" s="49"/>
      <c r="L216" s="49" t="s">
        <v>3921</v>
      </c>
      <c r="M216" s="49" t="s">
        <v>4253</v>
      </c>
      <c r="N216" s="49" t="s">
        <v>4268</v>
      </c>
      <c r="O216" s="49" t="s">
        <v>3928</v>
      </c>
      <c r="P216" s="49" t="s">
        <v>2590</v>
      </c>
      <c r="Q216" s="49" t="s">
        <v>3958</v>
      </c>
      <c r="R216" s="61"/>
      <c r="S216" s="85" t="s">
        <v>32</v>
      </c>
    </row>
    <row r="217">
      <c r="A217" s="94">
        <v>627.0</v>
      </c>
      <c r="B217" s="58" t="s">
        <v>2275</v>
      </c>
      <c r="C217" s="58" t="s">
        <v>2276</v>
      </c>
      <c r="D217" s="58" t="s">
        <v>1533</v>
      </c>
      <c r="E217" s="58" t="s">
        <v>128</v>
      </c>
      <c r="F217" s="58" t="s">
        <v>128</v>
      </c>
      <c r="G217" s="94" t="s">
        <v>38</v>
      </c>
      <c r="H217" s="58">
        <v>2020.0</v>
      </c>
      <c r="I217" s="49" t="s">
        <v>3919</v>
      </c>
      <c r="J217" s="49" t="s">
        <v>3931</v>
      </c>
      <c r="K217" s="49" t="s">
        <v>3991</v>
      </c>
      <c r="L217" s="49" t="s">
        <v>3921</v>
      </c>
      <c r="M217" s="49" t="s">
        <v>3926</v>
      </c>
      <c r="N217" s="49" t="s">
        <v>4269</v>
      </c>
      <c r="O217" s="49" t="s">
        <v>3928</v>
      </c>
      <c r="P217" s="49" t="s">
        <v>2590</v>
      </c>
      <c r="Q217" s="49" t="s">
        <v>2407</v>
      </c>
      <c r="R217" s="84"/>
      <c r="S217" s="85" t="s">
        <v>32</v>
      </c>
    </row>
    <row r="218">
      <c r="A218" s="94">
        <v>628.0</v>
      </c>
      <c r="B218" s="58" t="s">
        <v>2277</v>
      </c>
      <c r="C218" s="58" t="s">
        <v>2278</v>
      </c>
      <c r="D218" s="58" t="s">
        <v>2279</v>
      </c>
      <c r="E218" s="59" t="s">
        <v>2280</v>
      </c>
      <c r="F218" s="59" t="s">
        <v>2281</v>
      </c>
      <c r="G218" s="94" t="s">
        <v>38</v>
      </c>
      <c r="H218" s="58">
        <v>2018.0</v>
      </c>
      <c r="I218" s="49" t="s">
        <v>3919</v>
      </c>
      <c r="J218" s="49" t="s">
        <v>3920</v>
      </c>
      <c r="K218" s="58"/>
      <c r="L218" s="49" t="s">
        <v>3921</v>
      </c>
      <c r="M218" s="49" t="s">
        <v>3926</v>
      </c>
      <c r="N218" s="49" t="s">
        <v>4270</v>
      </c>
      <c r="O218" s="49" t="s">
        <v>3928</v>
      </c>
      <c r="P218" s="49" t="s">
        <v>2590</v>
      </c>
      <c r="Q218" s="49" t="s">
        <v>2407</v>
      </c>
      <c r="R218" s="84"/>
      <c r="S218" s="85" t="s">
        <v>32</v>
      </c>
    </row>
    <row r="219">
      <c r="A219" s="94">
        <v>629.0</v>
      </c>
      <c r="B219" s="58" t="s">
        <v>2282</v>
      </c>
      <c r="C219" s="58" t="s">
        <v>2283</v>
      </c>
      <c r="D219" s="58" t="s">
        <v>2284</v>
      </c>
      <c r="E219" s="58" t="s">
        <v>62</v>
      </c>
      <c r="F219" s="58" t="s">
        <v>62</v>
      </c>
      <c r="G219" s="94" t="s">
        <v>38</v>
      </c>
      <c r="H219" s="58">
        <v>2019.0</v>
      </c>
      <c r="I219" s="49" t="s">
        <v>3919</v>
      </c>
      <c r="J219" s="49" t="s">
        <v>3920</v>
      </c>
      <c r="K219" s="49"/>
      <c r="L219" s="49" t="s">
        <v>3921</v>
      </c>
      <c r="M219" s="49" t="s">
        <v>4189</v>
      </c>
      <c r="N219" s="49" t="s">
        <v>4271</v>
      </c>
      <c r="O219" s="49" t="s">
        <v>3928</v>
      </c>
      <c r="P219" s="49" t="s">
        <v>4272</v>
      </c>
      <c r="Q219" s="49" t="s">
        <v>2407</v>
      </c>
      <c r="R219" s="84"/>
      <c r="S219" s="85" t="s">
        <v>32</v>
      </c>
    </row>
    <row r="220">
      <c r="A220" s="94">
        <v>631.0</v>
      </c>
      <c r="B220" s="58" t="s">
        <v>2289</v>
      </c>
      <c r="C220" s="58" t="s">
        <v>2290</v>
      </c>
      <c r="D220" s="58" t="s">
        <v>2291</v>
      </c>
      <c r="E220" s="59" t="s">
        <v>36</v>
      </c>
      <c r="F220" s="59" t="s">
        <v>37</v>
      </c>
      <c r="G220" s="94" t="s">
        <v>58</v>
      </c>
      <c r="H220" s="58">
        <v>2018.0</v>
      </c>
      <c r="I220" s="49" t="s">
        <v>3919</v>
      </c>
      <c r="J220" s="49" t="s">
        <v>3920</v>
      </c>
      <c r="K220" s="49"/>
      <c r="L220" s="49" t="s">
        <v>3921</v>
      </c>
      <c r="M220" s="49" t="s">
        <v>3922</v>
      </c>
      <c r="N220" s="49" t="s">
        <v>2647</v>
      </c>
      <c r="O220" s="49" t="s">
        <v>3928</v>
      </c>
      <c r="P220" s="49" t="s">
        <v>3950</v>
      </c>
      <c r="Q220" s="58"/>
      <c r="R220" s="84"/>
      <c r="S220" s="85" t="s">
        <v>32</v>
      </c>
    </row>
    <row r="221">
      <c r="A221" s="94">
        <v>632.0</v>
      </c>
      <c r="B221" s="58" t="s">
        <v>2292</v>
      </c>
      <c r="C221" s="58" t="s">
        <v>2293</v>
      </c>
      <c r="D221" s="58" t="s">
        <v>2294</v>
      </c>
      <c r="E221" s="58" t="s">
        <v>128</v>
      </c>
      <c r="F221" s="58" t="s">
        <v>128</v>
      </c>
      <c r="G221" s="94" t="s">
        <v>38</v>
      </c>
      <c r="H221" s="49">
        <v>2019.0</v>
      </c>
      <c r="I221" s="49" t="s">
        <v>3966</v>
      </c>
      <c r="J221" s="49" t="s">
        <v>3931</v>
      </c>
      <c r="K221" s="49"/>
      <c r="L221" s="49" t="s">
        <v>3921</v>
      </c>
      <c r="M221" s="49" t="s">
        <v>3936</v>
      </c>
      <c r="N221" s="49" t="s">
        <v>4271</v>
      </c>
      <c r="O221" s="49" t="s">
        <v>3928</v>
      </c>
      <c r="P221" s="49" t="s">
        <v>2590</v>
      </c>
      <c r="Q221" s="49" t="s">
        <v>4273</v>
      </c>
      <c r="R221" s="84"/>
      <c r="S221" s="85" t="s">
        <v>32</v>
      </c>
    </row>
    <row r="222">
      <c r="A222" s="94">
        <v>633.0</v>
      </c>
      <c r="B222" s="58" t="s">
        <v>2295</v>
      </c>
      <c r="C222" s="58" t="s">
        <v>2296</v>
      </c>
      <c r="D222" s="58" t="s">
        <v>118</v>
      </c>
      <c r="E222" s="59" t="s">
        <v>36</v>
      </c>
      <c r="F222" s="59" t="s">
        <v>37</v>
      </c>
      <c r="G222" s="94" t="s">
        <v>38</v>
      </c>
      <c r="H222" s="58">
        <v>2019.0</v>
      </c>
      <c r="I222" s="49" t="s">
        <v>3966</v>
      </c>
      <c r="J222" s="49" t="s">
        <v>3967</v>
      </c>
      <c r="K222" s="49" t="s">
        <v>3947</v>
      </c>
      <c r="L222" s="49" t="s">
        <v>3921</v>
      </c>
      <c r="M222" s="49" t="s">
        <v>3926</v>
      </c>
      <c r="N222" s="49" t="s">
        <v>2503</v>
      </c>
      <c r="O222" s="49" t="s">
        <v>3928</v>
      </c>
      <c r="P222" s="49" t="s">
        <v>2503</v>
      </c>
      <c r="Q222" s="49"/>
      <c r="R222" s="84"/>
      <c r="S222" s="85" t="s">
        <v>32</v>
      </c>
    </row>
    <row r="223">
      <c r="A223" s="94">
        <v>646.0</v>
      </c>
      <c r="B223" s="58" t="s">
        <v>2336</v>
      </c>
      <c r="C223" s="58" t="s">
        <v>2337</v>
      </c>
      <c r="D223" s="58" t="s">
        <v>2338</v>
      </c>
      <c r="E223" s="59" t="s">
        <v>36</v>
      </c>
      <c r="F223" s="59" t="s">
        <v>37</v>
      </c>
      <c r="G223" s="94" t="s">
        <v>38</v>
      </c>
      <c r="H223" s="58">
        <v>2018.0</v>
      </c>
      <c r="I223" s="49" t="s">
        <v>3919</v>
      </c>
      <c r="J223" s="49" t="s">
        <v>3920</v>
      </c>
      <c r="K223" s="49" t="s">
        <v>4050</v>
      </c>
      <c r="L223" s="49" t="s">
        <v>3921</v>
      </c>
      <c r="M223" s="49" t="s">
        <v>4070</v>
      </c>
      <c r="N223" s="49" t="s">
        <v>3956</v>
      </c>
      <c r="O223" s="49" t="s">
        <v>3928</v>
      </c>
      <c r="P223" s="49" t="s">
        <v>2590</v>
      </c>
      <c r="Q223" s="49" t="s">
        <v>2407</v>
      </c>
      <c r="R223" s="84"/>
      <c r="S223" s="85" t="s">
        <v>32</v>
      </c>
    </row>
    <row r="224">
      <c r="A224" s="94">
        <v>647.0</v>
      </c>
      <c r="B224" s="58" t="s">
        <v>2339</v>
      </c>
      <c r="C224" s="58" t="s">
        <v>2340</v>
      </c>
      <c r="D224" s="58" t="s">
        <v>2341</v>
      </c>
      <c r="E224" s="58" t="s">
        <v>62</v>
      </c>
      <c r="F224" s="58" t="s">
        <v>62</v>
      </c>
      <c r="G224" s="94" t="s">
        <v>38</v>
      </c>
      <c r="H224" s="58">
        <v>2019.0</v>
      </c>
      <c r="I224" s="49" t="s">
        <v>3919</v>
      </c>
      <c r="J224" s="49" t="s">
        <v>3944</v>
      </c>
      <c r="K224" s="49"/>
      <c r="L224" s="49" t="s">
        <v>3921</v>
      </c>
      <c r="M224" s="49" t="s">
        <v>3982</v>
      </c>
      <c r="N224" s="49"/>
      <c r="O224" s="49" t="s">
        <v>3949</v>
      </c>
      <c r="P224" s="49" t="s">
        <v>2590</v>
      </c>
      <c r="Q224" s="49" t="s">
        <v>2407</v>
      </c>
      <c r="R224" s="84"/>
      <c r="S224" s="85" t="s">
        <v>32</v>
      </c>
    </row>
    <row r="225">
      <c r="A225" s="94">
        <v>650.0</v>
      </c>
      <c r="B225" s="58" t="s">
        <v>2349</v>
      </c>
      <c r="C225" s="58" t="s">
        <v>2350</v>
      </c>
      <c r="D225" s="58" t="s">
        <v>2351</v>
      </c>
      <c r="E225" s="58" t="s">
        <v>62</v>
      </c>
      <c r="F225" s="58" t="s">
        <v>62</v>
      </c>
      <c r="G225" s="94" t="s">
        <v>38</v>
      </c>
      <c r="H225" s="58">
        <v>2019.0</v>
      </c>
      <c r="I225" s="49" t="s">
        <v>3919</v>
      </c>
      <c r="J225" s="49" t="s">
        <v>3931</v>
      </c>
      <c r="K225" s="49" t="s">
        <v>3954</v>
      </c>
      <c r="L225" s="49" t="s">
        <v>3921</v>
      </c>
      <c r="M225" s="49"/>
      <c r="N225" s="58"/>
      <c r="O225" s="49" t="s">
        <v>3949</v>
      </c>
      <c r="P225" s="49" t="s">
        <v>2590</v>
      </c>
      <c r="Q225" s="49" t="s">
        <v>3943</v>
      </c>
      <c r="R225" s="84"/>
      <c r="S225" s="85" t="s">
        <v>32</v>
      </c>
    </row>
  </sheetData>
  <conditionalFormatting sqref="A81:H82 A86:H86 A91:H140 B148:H148 B151:H151">
    <cfRule type="expression" dxfId="0" priority="1">
      <formula>$W81="Yes"</formula>
    </cfRule>
  </conditionalFormatting>
  <conditionalFormatting sqref="A81:H82 A86:H86 A91:H140 B148:H148 B151:H151">
    <cfRule type="expression" dxfId="1" priority="2">
      <formula>$W81="No"</formula>
    </cfRule>
  </conditionalFormatting>
  <conditionalFormatting sqref="A81:H82 A86:H86 A91:H140 B148:H148 B151:H151">
    <cfRule type="expression" dxfId="2" priority="3">
      <formula>$X81="Yes"</formula>
    </cfRule>
  </conditionalFormatting>
  <conditionalFormatting sqref="A81:H82 A86:H86 A91:H140 B148:H148 B151:H151">
    <cfRule type="expression" dxfId="1" priority="4">
      <formula>$X81="No"</formula>
    </cfRule>
  </conditionalFormatting>
  <dataValidations>
    <dataValidation type="list" allowBlank="1" sqref="G2:G43 G83:G85 G87:G90 G92:G93 G141:G150 G152:G225">
      <formula1>'Tag Descriptions'!$A$3:$A$5</formula1>
    </dataValidation>
    <dataValidation type="list" allowBlank="1" sqref="M2:M225">
      <formula1>'Synthesis Categories'!$I$2:$I$100</formula1>
    </dataValidation>
    <dataValidation type="list" allowBlank="1" sqref="K2:K225">
      <formula1>'Synthesis Categories'!$E$2:$E$1001</formula1>
    </dataValidation>
    <dataValidation type="list" allowBlank="1" sqref="P2:P72 P76 P80:P225">
      <formula1>'Synthesis Categories'!$O$2:$O$100</formula1>
    </dataValidation>
    <dataValidation type="list" allowBlank="1" sqref="N2:N225">
      <formula1>'Synthesis Categories'!$K$2:$K$100</formula1>
    </dataValidation>
    <dataValidation type="list" allowBlank="1" sqref="L2:L225">
      <formula1>'Synthesis Categories'!$G$2:$G$100</formula1>
    </dataValidation>
    <dataValidation type="list" allowBlank="1" showInputMessage="1" showErrorMessage="1" prompt="Workshop, Conference, Journal" sqref="G44:G82 G86 G91 G94:G140 G151">
      <formula1>'Tag Descriptions'!$A$3:$A$5</formula1>
    </dataValidation>
    <dataValidation type="list" allowBlank="1" sqref="Q2:Q225">
      <formula1>'Synthesis Categories'!$Q$2:$Q$100</formula1>
    </dataValidation>
    <dataValidation type="list" allowBlank="1" showInputMessage="1" showErrorMessage="1" prompt="C: Christiaan Beels, F: Floris Boeve, S: Sophie Vos" sqref="S2:S225">
      <formula1>"C,F,S"</formula1>
    </dataValidation>
    <dataValidation type="list" allowBlank="1" sqref="O2:O72 O73:P75 O76 O77:P79 O80:O225">
      <formula1>'Synthesis Categories'!$M$2:$M$100</formula1>
    </dataValidation>
    <dataValidation type="list" allowBlank="1" sqref="I2:I225">
      <formula1>'Synthesis Categories'!$A$2:$A$30</formula1>
    </dataValidation>
    <dataValidation type="list" allowBlank="1" sqref="J2:J225">
      <formula1>'Synthesis Categories'!$C$2:$C$1001</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42"/>
    <hyperlink r:id="rId16" ref="C43"/>
    <hyperlink r:id="rId17" ref="C44"/>
    <hyperlink r:id="rId18" ref="C45"/>
    <hyperlink r:id="rId19" ref="C46"/>
    <hyperlink r:id="rId20" ref="C47"/>
    <hyperlink r:id="rId21" ref="C48"/>
    <hyperlink r:id="rId22" ref="C49"/>
    <hyperlink r:id="rId23" ref="C50"/>
    <hyperlink r:id="rId24" ref="C51"/>
    <hyperlink r:id="rId25" ref="C52"/>
    <hyperlink r:id="rId26" ref="C53"/>
    <hyperlink r:id="rId27" ref="C54"/>
    <hyperlink r:id="rId28" ref="C55"/>
    <hyperlink r:id="rId29" ref="C56"/>
    <hyperlink r:id="rId30" ref="C57"/>
    <hyperlink r:id="rId31" ref="C58"/>
    <hyperlink r:id="rId32" ref="C59"/>
    <hyperlink r:id="rId33" ref="C60"/>
    <hyperlink r:id="rId34" ref="C61"/>
    <hyperlink r:id="rId35" ref="C62"/>
    <hyperlink r:id="rId36" ref="C63"/>
    <hyperlink r:id="rId37" ref="C64"/>
    <hyperlink r:id="rId38" ref="C65"/>
    <hyperlink r:id="rId39" ref="C66"/>
    <hyperlink r:id="rId40" ref="C67"/>
    <hyperlink r:id="rId41" ref="C68"/>
    <hyperlink r:id="rId42" ref="C69"/>
    <hyperlink r:id="rId43" ref="C70"/>
    <hyperlink r:id="rId44" ref="C71"/>
    <hyperlink r:id="rId45" ref="C72"/>
    <hyperlink r:id="rId46" ref="C73"/>
    <hyperlink r:id="rId47" ref="C74"/>
    <hyperlink r:id="rId48" ref="C75"/>
    <hyperlink r:id="rId49" ref="C76"/>
    <hyperlink r:id="rId50" ref="C77"/>
    <hyperlink r:id="rId51" ref="C78"/>
    <hyperlink r:id="rId52" ref="C79"/>
    <hyperlink r:id="rId53" ref="C80"/>
    <hyperlink r:id="rId54" ref="C81"/>
    <hyperlink r:id="rId55" ref="C82"/>
    <hyperlink r:id="rId56" ref="C83"/>
    <hyperlink r:id="rId57" ref="C84"/>
    <hyperlink r:id="rId58" ref="C85"/>
    <hyperlink r:id="rId59" ref="C86"/>
    <hyperlink r:id="rId60" ref="C87"/>
    <hyperlink r:id="rId61" ref="C88"/>
    <hyperlink r:id="rId62" ref="C89"/>
    <hyperlink r:id="rId63" ref="C90"/>
    <hyperlink r:id="rId64" ref="C91"/>
    <hyperlink r:id="rId65" ref="C92"/>
    <hyperlink r:id="rId66" ref="C93"/>
    <hyperlink r:id="rId67" ref="C94"/>
    <hyperlink r:id="rId68" ref="C95"/>
    <hyperlink r:id="rId69" ref="C96"/>
    <hyperlink r:id="rId70" ref="C97"/>
    <hyperlink r:id="rId71" ref="C98"/>
    <hyperlink r:id="rId72" ref="C99"/>
    <hyperlink r:id="rId73" ref="C100"/>
    <hyperlink r:id="rId74" ref="C101"/>
    <hyperlink r:id="rId75" ref="C102"/>
    <hyperlink r:id="rId76" ref="C103"/>
    <hyperlink r:id="rId77" ref="C104"/>
    <hyperlink r:id="rId78" ref="C105"/>
    <hyperlink r:id="rId79" ref="C106"/>
    <hyperlink r:id="rId80" ref="C107"/>
    <hyperlink r:id="rId81" ref="C108"/>
    <hyperlink r:id="rId82" ref="C109"/>
    <hyperlink r:id="rId83" ref="C110"/>
    <hyperlink r:id="rId84" ref="C111"/>
    <hyperlink r:id="rId85" ref="C112"/>
    <hyperlink r:id="rId86" ref="C113"/>
    <hyperlink r:id="rId87" ref="C114"/>
    <hyperlink r:id="rId88" ref="C115"/>
    <hyperlink r:id="rId89" ref="C116"/>
    <hyperlink r:id="rId90" ref="C117"/>
    <hyperlink r:id="rId91" ref="C118"/>
    <hyperlink r:id="rId92" ref="C119"/>
    <hyperlink r:id="rId93" ref="C120"/>
    <hyperlink r:id="rId94" ref="C121"/>
    <hyperlink r:id="rId95" ref="C122"/>
    <hyperlink r:id="rId96" ref="C123"/>
    <hyperlink r:id="rId97" ref="C124"/>
    <hyperlink r:id="rId98" ref="C125"/>
    <hyperlink r:id="rId99" ref="C126"/>
    <hyperlink r:id="rId100" ref="C127"/>
    <hyperlink r:id="rId101" ref="C128"/>
    <hyperlink r:id="rId102" ref="C129"/>
    <hyperlink r:id="rId103" ref="C130"/>
    <hyperlink r:id="rId104" ref="C131"/>
    <hyperlink r:id="rId105" ref="C132"/>
    <hyperlink r:id="rId106" ref="C133"/>
    <hyperlink r:id="rId107" ref="C134"/>
    <hyperlink r:id="rId108" ref="C135"/>
    <hyperlink r:id="rId109" ref="C136"/>
    <hyperlink r:id="rId110" ref="C137"/>
    <hyperlink r:id="rId111" ref="C138"/>
    <hyperlink r:id="rId112" ref="C139"/>
    <hyperlink r:id="rId113" ref="C140"/>
    <hyperlink r:id="rId114" ref="C141"/>
    <hyperlink r:id="rId115" ref="C142"/>
    <hyperlink r:id="rId116" ref="C143"/>
    <hyperlink r:id="rId117" ref="C144"/>
    <hyperlink r:id="rId118" ref="C145"/>
    <hyperlink r:id="rId119" ref="C146"/>
    <hyperlink r:id="rId120" ref="C147"/>
    <hyperlink r:id="rId121" ref="C148"/>
    <hyperlink r:id="rId122" ref="C149"/>
    <hyperlink r:id="rId123" ref="C150"/>
    <hyperlink r:id="rId124" ref="C151"/>
    <hyperlink r:id="rId125" ref="C152"/>
    <hyperlink r:id="rId126" ref="C153"/>
    <hyperlink r:id="rId127" ref="C154"/>
    <hyperlink r:id="rId128" ref="C155"/>
    <hyperlink r:id="rId129" ref="C156"/>
    <hyperlink r:id="rId130" ref="C157"/>
    <hyperlink r:id="rId131" ref="C158"/>
    <hyperlink r:id="rId132" ref="C159"/>
    <hyperlink r:id="rId133" ref="C160"/>
    <hyperlink r:id="rId134" ref="C161"/>
    <hyperlink r:id="rId135" ref="C162"/>
    <hyperlink r:id="rId136" ref="C163"/>
    <hyperlink r:id="rId137" ref="C164"/>
    <hyperlink r:id="rId138" ref="C165"/>
    <hyperlink r:id="rId139" ref="C166"/>
    <hyperlink r:id="rId140" ref="C167"/>
  </hyperlinks>
  <drawing r:id="rId141"/>
  <tableParts count="1">
    <tablePart r:id="rId14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0.0"/>
    <col customWidth="1" min="2" max="6" width="28.71"/>
    <col customWidth="1" min="7" max="7" width="40.29"/>
    <col customWidth="1" min="8" max="12" width="28.71"/>
    <col customWidth="1" min="13" max="13" width="32.0"/>
    <col customWidth="1" min="14" max="18" width="28.71"/>
    <col customWidth="1" min="19" max="19" width="26.43"/>
  </cols>
  <sheetData>
    <row r="1">
      <c r="A1" s="98" t="s">
        <v>0</v>
      </c>
      <c r="B1" s="99" t="s">
        <v>2352</v>
      </c>
      <c r="C1" s="100" t="s">
        <v>25</v>
      </c>
      <c r="D1" s="99" t="s">
        <v>2353</v>
      </c>
      <c r="E1" s="100" t="s">
        <v>25</v>
      </c>
      <c r="F1" s="99" t="s">
        <v>2354</v>
      </c>
      <c r="G1" s="100" t="s">
        <v>25</v>
      </c>
      <c r="H1" s="99" t="s">
        <v>2355</v>
      </c>
      <c r="I1" s="100" t="s">
        <v>25</v>
      </c>
      <c r="J1" s="99" t="s">
        <v>2356</v>
      </c>
      <c r="K1" s="100" t="s">
        <v>25</v>
      </c>
      <c r="L1" s="99" t="s">
        <v>2357</v>
      </c>
      <c r="M1" s="100" t="s">
        <v>25</v>
      </c>
      <c r="N1" s="99" t="s">
        <v>2358</v>
      </c>
      <c r="O1" s="100" t="s">
        <v>25</v>
      </c>
      <c r="P1" s="99" t="s">
        <v>2359</v>
      </c>
      <c r="Q1" s="100" t="s">
        <v>25</v>
      </c>
      <c r="R1" s="99" t="s">
        <v>2360</v>
      </c>
      <c r="S1" s="100" t="s">
        <v>25</v>
      </c>
    </row>
    <row r="2">
      <c r="A2" s="101">
        <v>7.0</v>
      </c>
      <c r="B2" s="102"/>
      <c r="C2" s="103"/>
      <c r="D2" s="102"/>
      <c r="E2" s="103"/>
      <c r="F2" s="104"/>
      <c r="G2" s="9" t="s">
        <v>2374</v>
      </c>
      <c r="H2" s="102"/>
      <c r="I2" s="103"/>
      <c r="J2" s="102"/>
      <c r="K2" s="103"/>
      <c r="L2" s="102"/>
      <c r="M2" s="103"/>
      <c r="N2" s="102"/>
      <c r="O2" s="103"/>
      <c r="P2" s="102"/>
      <c r="Q2" s="103"/>
      <c r="R2" s="102"/>
      <c r="S2" s="103"/>
    </row>
    <row r="3">
      <c r="A3" s="101">
        <v>17.0</v>
      </c>
      <c r="B3" s="102"/>
      <c r="C3" s="103"/>
      <c r="D3" s="102"/>
      <c r="E3" s="103"/>
      <c r="F3" s="104" t="s">
        <v>4274</v>
      </c>
      <c r="G3" s="9" t="s">
        <v>4275</v>
      </c>
      <c r="H3" s="102"/>
      <c r="I3" s="103"/>
      <c r="J3" s="102"/>
      <c r="K3" s="103"/>
      <c r="L3" s="102"/>
      <c r="M3" s="103"/>
      <c r="N3" s="102"/>
      <c r="O3" s="103"/>
      <c r="P3" s="102"/>
      <c r="Q3" s="103"/>
      <c r="R3" s="102"/>
      <c r="S3" s="103"/>
    </row>
    <row r="4">
      <c r="A4" s="101">
        <v>21.0</v>
      </c>
      <c r="B4" s="102"/>
      <c r="C4" s="103"/>
      <c r="D4" s="102"/>
      <c r="E4" s="103"/>
      <c r="F4" s="104" t="s">
        <v>3947</v>
      </c>
      <c r="G4" s="9" t="s">
        <v>4276</v>
      </c>
      <c r="H4" s="102"/>
      <c r="I4" s="103"/>
      <c r="J4" s="102"/>
      <c r="K4" s="103"/>
      <c r="L4" s="102"/>
      <c r="M4" s="103"/>
      <c r="N4" s="102"/>
      <c r="O4" s="103"/>
      <c r="P4" s="102"/>
      <c r="Q4" s="103"/>
      <c r="R4" s="102"/>
      <c r="S4" s="103"/>
    </row>
    <row r="5">
      <c r="A5" s="101">
        <v>32.0</v>
      </c>
      <c r="B5" s="102"/>
      <c r="C5" s="103"/>
      <c r="D5" s="102"/>
      <c r="E5" s="103"/>
      <c r="F5" s="104" t="s">
        <v>3954</v>
      </c>
      <c r="G5" s="9" t="s">
        <v>4277</v>
      </c>
      <c r="H5" s="102"/>
      <c r="I5" s="103"/>
      <c r="J5" s="102"/>
      <c r="K5" s="103"/>
      <c r="L5" s="102"/>
      <c r="M5" s="103"/>
      <c r="N5" s="102"/>
      <c r="O5" s="103"/>
      <c r="P5" s="102"/>
      <c r="Q5" s="103"/>
      <c r="R5" s="102"/>
      <c r="S5" s="103"/>
    </row>
    <row r="6">
      <c r="A6" s="101">
        <v>38.0</v>
      </c>
      <c r="B6" s="102"/>
      <c r="C6" s="103"/>
      <c r="D6" s="102"/>
      <c r="E6" s="103"/>
      <c r="F6" s="104"/>
      <c r="G6" s="9"/>
      <c r="H6" s="102"/>
      <c r="I6" s="103"/>
      <c r="J6" s="102"/>
      <c r="K6" s="103"/>
      <c r="L6" s="104" t="s">
        <v>3954</v>
      </c>
      <c r="M6" s="27" t="s">
        <v>4278</v>
      </c>
      <c r="N6" s="102"/>
      <c r="O6" s="103"/>
      <c r="P6" s="102"/>
      <c r="Q6" s="103"/>
      <c r="R6" s="102"/>
      <c r="S6" s="103"/>
    </row>
    <row r="7">
      <c r="A7" s="101">
        <v>40.0</v>
      </c>
      <c r="B7" s="102"/>
      <c r="C7" s="103"/>
      <c r="D7" s="102"/>
      <c r="E7" s="103"/>
      <c r="F7" s="104" t="s">
        <v>3925</v>
      </c>
      <c r="G7" s="9" t="s">
        <v>2469</v>
      </c>
      <c r="H7" s="102"/>
      <c r="I7" s="103"/>
      <c r="J7" s="102"/>
      <c r="K7" s="103"/>
      <c r="L7" s="102"/>
      <c r="M7" s="103"/>
      <c r="N7" s="102"/>
      <c r="O7" s="103"/>
      <c r="P7" s="102"/>
      <c r="Q7" s="103"/>
      <c r="R7" s="102"/>
      <c r="S7" s="103"/>
    </row>
    <row r="8">
      <c r="A8" s="101">
        <v>51.0</v>
      </c>
      <c r="B8" s="102"/>
      <c r="C8" s="103"/>
      <c r="D8" s="102"/>
      <c r="E8" s="103"/>
      <c r="F8" s="104" t="s">
        <v>3954</v>
      </c>
      <c r="G8" s="9" t="s">
        <v>4279</v>
      </c>
      <c r="H8" s="102"/>
      <c r="I8" s="103"/>
      <c r="J8" s="102"/>
      <c r="K8" s="103"/>
      <c r="L8" s="102"/>
      <c r="M8" s="103"/>
      <c r="N8" s="102"/>
      <c r="O8" s="103"/>
      <c r="P8" s="102"/>
      <c r="Q8" s="103"/>
      <c r="R8" s="102"/>
      <c r="S8" s="103"/>
    </row>
    <row r="9">
      <c r="A9" s="101">
        <v>58.0</v>
      </c>
      <c r="B9" s="102"/>
      <c r="C9" s="103"/>
      <c r="D9" s="102"/>
      <c r="E9" s="103"/>
      <c r="F9" s="104"/>
      <c r="G9" s="9"/>
      <c r="H9" s="102"/>
      <c r="I9" s="103"/>
      <c r="J9" s="102"/>
      <c r="K9" s="103"/>
      <c r="L9" s="104" t="s">
        <v>3954</v>
      </c>
      <c r="M9" s="27" t="s">
        <v>4280</v>
      </c>
      <c r="N9" s="102"/>
      <c r="O9" s="103"/>
      <c r="P9" s="102"/>
      <c r="Q9" s="103"/>
      <c r="R9" s="102"/>
      <c r="S9" s="103"/>
    </row>
    <row r="10">
      <c r="A10" s="101">
        <v>59.0</v>
      </c>
      <c r="B10" s="102"/>
      <c r="C10" s="103"/>
      <c r="D10" s="102"/>
      <c r="E10" s="103"/>
      <c r="F10" s="104" t="s">
        <v>3954</v>
      </c>
      <c r="G10" s="9" t="s">
        <v>4281</v>
      </c>
      <c r="H10" s="102"/>
      <c r="I10" s="103"/>
      <c r="J10" s="102"/>
      <c r="K10" s="103"/>
      <c r="L10" s="102"/>
      <c r="M10" s="103"/>
      <c r="N10" s="102"/>
      <c r="O10" s="103"/>
      <c r="P10" s="102"/>
      <c r="Q10" s="103"/>
      <c r="R10" s="104" t="s">
        <v>2539</v>
      </c>
      <c r="S10" s="103"/>
    </row>
    <row r="11">
      <c r="A11" s="101">
        <v>74.0</v>
      </c>
      <c r="B11" s="102"/>
      <c r="C11" s="103"/>
      <c r="D11" s="102"/>
      <c r="E11" s="103"/>
      <c r="F11" s="104" t="s">
        <v>3954</v>
      </c>
      <c r="G11" s="9" t="s">
        <v>4282</v>
      </c>
      <c r="H11" s="102"/>
      <c r="I11" s="103"/>
      <c r="J11" s="102"/>
      <c r="K11" s="103"/>
      <c r="L11" s="102"/>
      <c r="M11" s="103"/>
      <c r="N11" s="102"/>
      <c r="O11" s="103"/>
      <c r="P11" s="102"/>
      <c r="Q11" s="103"/>
      <c r="R11" s="102"/>
      <c r="S11" s="103"/>
    </row>
    <row r="12">
      <c r="A12" s="101">
        <v>99.0</v>
      </c>
      <c r="B12" s="102"/>
      <c r="C12" s="103"/>
      <c r="D12" s="102"/>
      <c r="E12" s="103"/>
      <c r="F12" s="104" t="s">
        <v>3954</v>
      </c>
      <c r="G12" s="9" t="s">
        <v>4283</v>
      </c>
      <c r="H12" s="102"/>
      <c r="I12" s="103"/>
      <c r="J12" s="102"/>
      <c r="K12" s="103"/>
      <c r="L12" s="102"/>
      <c r="M12" s="103"/>
      <c r="N12" s="102"/>
      <c r="O12" s="103"/>
      <c r="P12" s="102"/>
      <c r="Q12" s="103"/>
      <c r="R12" s="102"/>
      <c r="S12" s="103"/>
    </row>
    <row r="13">
      <c r="A13" s="101">
        <v>119.0</v>
      </c>
      <c r="B13" s="102"/>
      <c r="C13" s="103"/>
      <c r="D13" s="102"/>
      <c r="E13" s="103"/>
      <c r="F13" s="104"/>
      <c r="G13" s="9"/>
      <c r="H13" s="102"/>
      <c r="I13" s="103"/>
      <c r="J13" s="102"/>
      <c r="K13" s="103"/>
      <c r="L13" s="104" t="s">
        <v>3954</v>
      </c>
      <c r="M13" s="27" t="s">
        <v>4284</v>
      </c>
      <c r="N13" s="102"/>
      <c r="O13" s="103"/>
      <c r="P13" s="102"/>
      <c r="Q13" s="103"/>
      <c r="R13" s="102"/>
      <c r="S13" s="103"/>
    </row>
    <row r="14">
      <c r="A14" s="101">
        <v>121.0</v>
      </c>
      <c r="B14" s="102"/>
      <c r="C14" s="103"/>
      <c r="D14" s="102"/>
      <c r="E14" s="103"/>
      <c r="F14" s="104"/>
      <c r="G14" s="9"/>
      <c r="H14" s="102"/>
      <c r="I14" s="103"/>
      <c r="J14" s="102"/>
      <c r="K14" s="103"/>
      <c r="L14" s="104" t="s">
        <v>3954</v>
      </c>
      <c r="M14" s="27" t="s">
        <v>4285</v>
      </c>
      <c r="N14" s="102"/>
      <c r="O14" s="103"/>
      <c r="P14" s="102"/>
      <c r="Q14" s="103"/>
      <c r="R14" s="102"/>
      <c r="S14" s="103"/>
    </row>
    <row r="15">
      <c r="A15" s="101">
        <v>122.0</v>
      </c>
      <c r="B15" s="102"/>
      <c r="C15" s="103"/>
      <c r="D15" s="102"/>
      <c r="E15" s="103"/>
      <c r="F15" s="104"/>
      <c r="G15" s="9"/>
      <c r="H15" s="102"/>
      <c r="I15" s="103"/>
      <c r="J15" s="102"/>
      <c r="K15" s="103"/>
      <c r="L15" s="104" t="s">
        <v>4026</v>
      </c>
      <c r="M15" s="27" t="s">
        <v>4286</v>
      </c>
      <c r="N15" s="102"/>
      <c r="O15" s="103"/>
      <c r="P15" s="102"/>
      <c r="Q15" s="103"/>
      <c r="R15" s="102"/>
      <c r="S15" s="103"/>
    </row>
    <row r="16">
      <c r="A16" s="101"/>
      <c r="B16" s="102"/>
      <c r="C16" s="103"/>
      <c r="D16" s="102"/>
      <c r="E16" s="103"/>
      <c r="F16" s="104"/>
      <c r="G16" s="9"/>
      <c r="H16" s="102"/>
      <c r="I16" s="103"/>
      <c r="J16" s="102"/>
      <c r="K16" s="103"/>
      <c r="L16" s="102"/>
      <c r="M16" s="103"/>
      <c r="N16" s="102"/>
      <c r="O16" s="103"/>
      <c r="P16" s="102"/>
      <c r="Q16" s="103"/>
      <c r="R16" s="102"/>
      <c r="S16" s="103"/>
    </row>
    <row r="17">
      <c r="A17" s="101">
        <v>141.0</v>
      </c>
      <c r="B17" s="102"/>
      <c r="C17" s="103"/>
      <c r="D17" s="102"/>
      <c r="E17" s="103"/>
      <c r="F17" s="104" t="s">
        <v>3954</v>
      </c>
      <c r="G17" s="9" t="s">
        <v>4042</v>
      </c>
      <c r="H17" s="102"/>
      <c r="I17" s="103"/>
      <c r="J17" s="102"/>
      <c r="K17" s="103"/>
      <c r="L17" s="102"/>
      <c r="M17" s="103"/>
      <c r="N17" s="102"/>
      <c r="O17" s="103"/>
      <c r="P17" s="102"/>
      <c r="Q17" s="103"/>
      <c r="R17" s="102"/>
      <c r="S17" s="103"/>
    </row>
    <row r="18">
      <c r="A18" s="101">
        <v>147.0</v>
      </c>
      <c r="B18" s="102"/>
      <c r="C18" s="103"/>
      <c r="D18" s="102"/>
      <c r="E18" s="103"/>
      <c r="F18" s="104" t="s">
        <v>3954</v>
      </c>
      <c r="G18" s="9" t="s">
        <v>4046</v>
      </c>
      <c r="H18" s="102"/>
      <c r="I18" s="103"/>
      <c r="J18" s="102"/>
      <c r="K18" s="103"/>
      <c r="L18" s="102"/>
      <c r="M18" s="103"/>
      <c r="N18" s="102"/>
      <c r="O18" s="103"/>
      <c r="P18" s="102"/>
      <c r="Q18" s="103"/>
      <c r="R18" s="102"/>
      <c r="S18" s="103"/>
    </row>
    <row r="19">
      <c r="A19" s="101">
        <v>150.0</v>
      </c>
      <c r="B19" s="102"/>
      <c r="C19" s="103"/>
      <c r="D19" s="102"/>
      <c r="E19" s="103"/>
      <c r="F19" s="104" t="s">
        <v>3954</v>
      </c>
      <c r="G19" s="9" t="s">
        <v>4048</v>
      </c>
      <c r="H19" s="102"/>
      <c r="I19" s="103"/>
      <c r="J19" s="102"/>
      <c r="K19" s="103"/>
      <c r="L19" s="102"/>
      <c r="M19" s="103"/>
      <c r="N19" s="102"/>
      <c r="O19" s="103"/>
      <c r="P19" s="102"/>
      <c r="Q19" s="103"/>
      <c r="R19" s="102"/>
      <c r="S19" s="103"/>
    </row>
    <row r="20">
      <c r="A20" s="101">
        <v>156.0</v>
      </c>
      <c r="B20" s="102"/>
      <c r="C20" s="103"/>
      <c r="D20" s="102"/>
      <c r="E20" s="103"/>
      <c r="F20" s="104" t="s">
        <v>3954</v>
      </c>
      <c r="G20" s="9" t="s">
        <v>4056</v>
      </c>
      <c r="H20" s="102"/>
      <c r="I20" s="103"/>
      <c r="J20" s="102"/>
      <c r="K20" s="103"/>
      <c r="L20" s="102"/>
      <c r="M20" s="103"/>
      <c r="N20" s="102"/>
      <c r="O20" s="103"/>
      <c r="P20" s="102"/>
      <c r="Q20" s="103"/>
      <c r="R20" s="102"/>
      <c r="S20" s="103"/>
    </row>
    <row r="21">
      <c r="A21" s="101">
        <v>181.0</v>
      </c>
      <c r="B21" s="102"/>
      <c r="C21" s="103"/>
      <c r="D21" s="102"/>
      <c r="E21" s="103"/>
      <c r="F21" s="104" t="s">
        <v>3954</v>
      </c>
      <c r="G21" s="9" t="s">
        <v>4072</v>
      </c>
      <c r="H21" s="102"/>
      <c r="I21" s="103"/>
      <c r="J21" s="102"/>
      <c r="K21" s="103"/>
      <c r="L21" s="102"/>
      <c r="M21" s="103"/>
      <c r="N21" s="102"/>
      <c r="O21" s="103"/>
      <c r="P21" s="102"/>
      <c r="Q21" s="103"/>
      <c r="R21" s="102"/>
      <c r="S21" s="103"/>
    </row>
    <row r="22">
      <c r="A22" s="101">
        <v>184.0</v>
      </c>
      <c r="B22" s="102"/>
      <c r="C22" s="103"/>
      <c r="D22" s="102"/>
      <c r="E22" s="103"/>
      <c r="F22" s="104" t="s">
        <v>3932</v>
      </c>
      <c r="G22" s="9" t="s">
        <v>4076</v>
      </c>
      <c r="H22" s="102"/>
      <c r="I22" s="103"/>
      <c r="J22" s="102"/>
      <c r="K22" s="103"/>
      <c r="L22" s="102"/>
      <c r="M22" s="103"/>
      <c r="N22" s="102"/>
      <c r="O22" s="103"/>
      <c r="P22" s="102"/>
      <c r="Q22" s="103"/>
      <c r="R22" s="102"/>
      <c r="S22" s="103"/>
    </row>
    <row r="23">
      <c r="A23" s="101">
        <v>195.0</v>
      </c>
      <c r="B23" s="102"/>
      <c r="C23" s="103"/>
      <c r="D23" s="104" t="s">
        <v>3954</v>
      </c>
      <c r="E23" s="9" t="s">
        <v>4145</v>
      </c>
      <c r="F23" s="102"/>
      <c r="G23" s="103"/>
      <c r="H23" s="102"/>
      <c r="I23" s="103"/>
      <c r="J23" s="102"/>
      <c r="K23" s="103"/>
      <c r="L23" s="102"/>
      <c r="M23" s="103"/>
      <c r="N23" s="102"/>
      <c r="O23" s="103"/>
      <c r="P23" s="102"/>
      <c r="Q23" s="103"/>
      <c r="R23" s="102"/>
      <c r="S23" s="103"/>
    </row>
    <row r="24">
      <c r="A24" s="101">
        <v>200.0</v>
      </c>
      <c r="B24" s="102"/>
      <c r="C24" s="103"/>
      <c r="D24" s="102"/>
      <c r="E24" s="103"/>
      <c r="F24" s="104" t="s">
        <v>3954</v>
      </c>
      <c r="G24" s="50" t="s">
        <v>4287</v>
      </c>
      <c r="H24" s="102"/>
      <c r="I24" s="103"/>
      <c r="J24" s="102"/>
      <c r="K24" s="103"/>
      <c r="L24" s="102"/>
      <c r="M24" s="103"/>
      <c r="N24" s="102"/>
      <c r="O24" s="103"/>
      <c r="P24" s="102"/>
      <c r="Q24" s="103"/>
      <c r="R24" s="102"/>
      <c r="S24" s="103"/>
    </row>
    <row r="25">
      <c r="A25" s="101">
        <v>204.0</v>
      </c>
      <c r="B25" s="102"/>
      <c r="C25" s="103"/>
      <c r="D25" s="102"/>
      <c r="E25" s="103"/>
      <c r="F25" s="104" t="s">
        <v>4288</v>
      </c>
      <c r="G25" s="50" t="s">
        <v>4289</v>
      </c>
      <c r="H25" s="102"/>
      <c r="I25" s="103"/>
      <c r="J25" s="102"/>
      <c r="K25" s="103"/>
      <c r="L25" s="102"/>
      <c r="M25" s="103"/>
      <c r="N25" s="102"/>
      <c r="O25" s="103"/>
      <c r="P25" s="102"/>
      <c r="Q25" s="103"/>
      <c r="R25" s="102"/>
      <c r="S25" s="103"/>
    </row>
    <row r="26">
      <c r="A26" s="101">
        <v>207.0</v>
      </c>
      <c r="B26" s="102"/>
      <c r="C26" s="103"/>
      <c r="D26" s="102"/>
      <c r="E26" s="103"/>
      <c r="F26" s="104" t="s">
        <v>4288</v>
      </c>
      <c r="G26" s="50" t="s">
        <v>4289</v>
      </c>
      <c r="H26" s="102"/>
      <c r="I26" s="103"/>
      <c r="J26" s="102"/>
      <c r="K26" s="103"/>
      <c r="L26" s="102"/>
      <c r="M26" s="103"/>
      <c r="N26" s="102"/>
      <c r="O26" s="103"/>
      <c r="P26" s="102"/>
      <c r="Q26" s="103"/>
      <c r="R26" s="102"/>
      <c r="S26" s="103"/>
    </row>
    <row r="27">
      <c r="A27" s="101">
        <v>422.0</v>
      </c>
      <c r="B27" s="102"/>
      <c r="C27" s="103"/>
      <c r="D27" s="102"/>
      <c r="E27" s="103"/>
      <c r="F27" s="104" t="s">
        <v>3954</v>
      </c>
      <c r="G27" s="50" t="s">
        <v>4290</v>
      </c>
      <c r="H27" s="102"/>
      <c r="I27" s="103"/>
      <c r="J27" s="102"/>
      <c r="K27" s="103"/>
      <c r="L27" s="102"/>
      <c r="M27" s="103"/>
      <c r="N27" s="102"/>
      <c r="O27" s="103"/>
      <c r="P27" s="102"/>
      <c r="Q27" s="103"/>
      <c r="R27" s="102"/>
      <c r="S27" s="103"/>
    </row>
    <row r="28">
      <c r="A28" s="101">
        <v>426.0</v>
      </c>
      <c r="B28" s="102"/>
      <c r="C28" s="103"/>
      <c r="D28" s="104"/>
      <c r="E28" s="103"/>
      <c r="F28" s="104" t="s">
        <v>3954</v>
      </c>
      <c r="G28" s="50" t="s">
        <v>4291</v>
      </c>
      <c r="H28" s="102"/>
      <c r="I28" s="103"/>
      <c r="J28" s="102"/>
      <c r="K28" s="103"/>
      <c r="L28" s="102"/>
      <c r="M28" s="103"/>
      <c r="N28" s="102"/>
      <c r="O28" s="103"/>
      <c r="P28" s="102"/>
      <c r="Q28" s="103"/>
      <c r="R28" s="102"/>
      <c r="S28" s="103"/>
    </row>
    <row r="29">
      <c r="A29" s="101">
        <v>427.0</v>
      </c>
      <c r="B29" s="102"/>
      <c r="C29" s="103"/>
      <c r="D29" s="102"/>
      <c r="E29" s="103"/>
      <c r="F29" s="104" t="s">
        <v>3925</v>
      </c>
      <c r="G29" s="50" t="s">
        <v>4292</v>
      </c>
      <c r="H29" s="102"/>
      <c r="I29" s="103"/>
      <c r="J29" s="102"/>
      <c r="K29" s="103"/>
      <c r="L29" s="102"/>
      <c r="M29" s="103"/>
      <c r="N29" s="102"/>
      <c r="O29" s="103"/>
      <c r="P29" s="102"/>
      <c r="Q29" s="103"/>
      <c r="R29" s="102"/>
      <c r="S29" s="103"/>
    </row>
    <row r="30">
      <c r="A30" s="101">
        <v>428.0</v>
      </c>
      <c r="B30" s="102"/>
      <c r="C30" s="103"/>
      <c r="D30" s="102"/>
      <c r="E30" s="103"/>
      <c r="F30" s="104" t="s">
        <v>3954</v>
      </c>
      <c r="G30" s="50" t="s">
        <v>4293</v>
      </c>
      <c r="H30" s="102"/>
      <c r="I30" s="103"/>
      <c r="J30" s="102"/>
      <c r="K30" s="103"/>
      <c r="L30" s="102"/>
      <c r="M30" s="103"/>
      <c r="N30" s="102"/>
      <c r="O30" s="103"/>
      <c r="P30" s="102"/>
      <c r="Q30" s="103"/>
      <c r="R30" s="102"/>
      <c r="S30" s="103"/>
    </row>
    <row r="31">
      <c r="A31" s="101">
        <v>429.0</v>
      </c>
      <c r="B31" s="102"/>
      <c r="C31" s="103"/>
      <c r="D31" s="102"/>
      <c r="E31" s="103"/>
      <c r="F31" s="104" t="s">
        <v>3932</v>
      </c>
      <c r="G31" s="50" t="s">
        <v>4294</v>
      </c>
      <c r="H31" s="102"/>
      <c r="I31" s="103"/>
      <c r="J31" s="102"/>
      <c r="K31" s="103"/>
      <c r="L31" s="104" t="s">
        <v>4026</v>
      </c>
      <c r="M31" s="9" t="s">
        <v>4295</v>
      </c>
      <c r="N31" s="102"/>
      <c r="O31" s="103"/>
      <c r="P31" s="102"/>
      <c r="Q31" s="103"/>
      <c r="R31" s="102"/>
      <c r="S31" s="103"/>
    </row>
    <row r="32">
      <c r="A32" s="101">
        <v>431.0</v>
      </c>
      <c r="B32" s="102"/>
      <c r="C32" s="103"/>
      <c r="D32" s="102"/>
      <c r="E32" s="103"/>
      <c r="F32" s="104" t="s">
        <v>3954</v>
      </c>
      <c r="G32" s="50" t="s">
        <v>4296</v>
      </c>
      <c r="H32" s="102"/>
      <c r="I32" s="103"/>
      <c r="J32" s="102"/>
      <c r="K32" s="103"/>
      <c r="L32" s="104" t="s">
        <v>3954</v>
      </c>
      <c r="M32" s="105" t="s">
        <v>4297</v>
      </c>
      <c r="N32" s="102"/>
      <c r="O32" s="103"/>
      <c r="P32" s="102"/>
      <c r="Q32" s="103"/>
      <c r="R32" s="102"/>
      <c r="S32" s="103"/>
    </row>
    <row r="33">
      <c r="A33" s="101">
        <v>433.0</v>
      </c>
      <c r="B33" s="102"/>
      <c r="C33" s="103"/>
      <c r="D33" s="102"/>
      <c r="E33" s="103"/>
      <c r="F33" s="104" t="s">
        <v>3954</v>
      </c>
      <c r="G33" s="50" t="s">
        <v>4296</v>
      </c>
      <c r="H33" s="102"/>
      <c r="I33" s="103"/>
      <c r="J33" s="102"/>
      <c r="K33" s="103"/>
      <c r="L33" s="104" t="s">
        <v>3954</v>
      </c>
      <c r="M33" s="27" t="s">
        <v>4298</v>
      </c>
      <c r="N33" s="102"/>
      <c r="O33" s="103"/>
      <c r="P33" s="102"/>
      <c r="Q33" s="103"/>
      <c r="R33" s="102"/>
      <c r="S33" s="103"/>
    </row>
    <row r="34">
      <c r="A34" s="101">
        <v>436.0</v>
      </c>
      <c r="B34" s="102"/>
      <c r="C34" s="103"/>
      <c r="D34" s="102"/>
      <c r="E34" s="103"/>
      <c r="F34" s="104"/>
      <c r="G34" s="50"/>
      <c r="H34" s="102"/>
      <c r="I34" s="103"/>
      <c r="J34" s="104" t="s">
        <v>3922</v>
      </c>
      <c r="K34" s="27" t="s">
        <v>3388</v>
      </c>
      <c r="L34" s="104" t="s">
        <v>3954</v>
      </c>
      <c r="M34" s="27" t="s">
        <v>4299</v>
      </c>
      <c r="N34" s="102"/>
      <c r="O34" s="103"/>
      <c r="P34" s="102"/>
      <c r="Q34" s="103"/>
      <c r="R34" s="102"/>
      <c r="S34" s="103"/>
    </row>
    <row r="35">
      <c r="A35" s="101">
        <v>437.0</v>
      </c>
      <c r="B35" s="102"/>
      <c r="C35" s="103"/>
      <c r="D35" s="102"/>
      <c r="E35" s="103"/>
      <c r="F35" s="104"/>
      <c r="G35" s="50"/>
      <c r="H35" s="102"/>
      <c r="I35" s="103"/>
      <c r="J35" s="102"/>
      <c r="K35" s="103"/>
      <c r="L35" s="104"/>
      <c r="M35" s="9" t="s">
        <v>4300</v>
      </c>
      <c r="N35" s="102"/>
      <c r="O35" s="103"/>
      <c r="P35" s="102"/>
      <c r="Q35" s="103"/>
      <c r="R35" s="102"/>
      <c r="S35" s="103"/>
    </row>
    <row r="36">
      <c r="A36" s="101">
        <v>446.0</v>
      </c>
      <c r="B36" s="102"/>
      <c r="C36" s="103"/>
      <c r="D36" s="102"/>
      <c r="E36" s="103"/>
      <c r="F36" s="104" t="s">
        <v>3954</v>
      </c>
      <c r="G36" s="50" t="s">
        <v>4301</v>
      </c>
      <c r="H36" s="102"/>
      <c r="I36" s="103"/>
      <c r="J36" s="102"/>
      <c r="K36" s="103"/>
      <c r="L36" s="104" t="s">
        <v>3954</v>
      </c>
      <c r="M36" s="27" t="s">
        <v>4302</v>
      </c>
      <c r="N36" s="102"/>
      <c r="O36" s="103"/>
      <c r="P36" s="102"/>
      <c r="Q36" s="103"/>
      <c r="R36" s="102"/>
      <c r="S36" s="103"/>
    </row>
    <row r="37">
      <c r="A37" s="101">
        <v>448.0</v>
      </c>
      <c r="B37" s="102"/>
      <c r="C37" s="103"/>
      <c r="D37" s="102"/>
      <c r="E37" s="103"/>
      <c r="F37" s="104" t="s">
        <v>4194</v>
      </c>
      <c r="G37" s="50" t="s">
        <v>4303</v>
      </c>
      <c r="H37" s="102"/>
      <c r="I37" s="103"/>
      <c r="J37" s="102"/>
      <c r="K37" s="103"/>
      <c r="L37" s="104"/>
      <c r="M37" s="27"/>
      <c r="N37" s="102"/>
      <c r="O37" s="103"/>
      <c r="P37" s="102"/>
      <c r="Q37" s="103"/>
      <c r="R37" s="102"/>
      <c r="S37" s="103"/>
    </row>
    <row r="38">
      <c r="A38" s="101">
        <v>450.0</v>
      </c>
      <c r="B38" s="102"/>
      <c r="C38" s="103"/>
      <c r="D38" s="104"/>
      <c r="E38" s="27"/>
      <c r="F38" s="104" t="s">
        <v>3954</v>
      </c>
      <c r="G38" s="27" t="s">
        <v>4304</v>
      </c>
      <c r="H38" s="102"/>
      <c r="I38" s="103"/>
      <c r="J38" s="102"/>
      <c r="K38" s="103"/>
      <c r="L38" s="104"/>
      <c r="M38" s="27"/>
      <c r="N38" s="102"/>
      <c r="O38" s="103"/>
      <c r="P38" s="102"/>
      <c r="Q38" s="103"/>
      <c r="R38" s="102"/>
      <c r="S38" s="103"/>
    </row>
    <row r="39">
      <c r="A39" s="101">
        <v>455.0</v>
      </c>
      <c r="B39" s="102"/>
      <c r="C39" s="103"/>
      <c r="D39" s="104"/>
      <c r="E39" s="27"/>
      <c r="F39" s="104" t="s">
        <v>3925</v>
      </c>
      <c r="G39" s="27" t="s">
        <v>4305</v>
      </c>
      <c r="H39" s="102"/>
      <c r="I39" s="103"/>
      <c r="J39" s="102"/>
      <c r="K39" s="103"/>
      <c r="L39" s="104"/>
      <c r="M39" s="27"/>
      <c r="N39" s="102"/>
      <c r="O39" s="103"/>
      <c r="P39" s="102"/>
      <c r="Q39" s="103"/>
      <c r="R39" s="102"/>
      <c r="S39" s="103"/>
    </row>
    <row r="40">
      <c r="A40" s="101">
        <v>456.0</v>
      </c>
      <c r="B40" s="102"/>
      <c r="C40" s="103"/>
      <c r="D40" s="104"/>
      <c r="E40" s="27"/>
      <c r="F40" s="104"/>
      <c r="G40" s="27"/>
      <c r="H40" s="102"/>
      <c r="I40" s="103"/>
      <c r="J40" s="104" t="s">
        <v>3954</v>
      </c>
      <c r="K40" s="105" t="s">
        <v>4306</v>
      </c>
      <c r="L40" s="104"/>
      <c r="M40" s="27"/>
      <c r="N40" s="102"/>
      <c r="O40" s="103"/>
      <c r="P40" s="102"/>
      <c r="Q40" s="103"/>
      <c r="R40" s="102"/>
      <c r="S40" s="103"/>
    </row>
    <row r="41">
      <c r="A41" s="101">
        <v>460.0</v>
      </c>
      <c r="B41" s="102"/>
      <c r="C41" s="103"/>
      <c r="D41" s="104"/>
      <c r="E41" s="27"/>
      <c r="F41" s="104"/>
      <c r="G41" s="27"/>
      <c r="H41" s="102"/>
      <c r="I41" s="103"/>
      <c r="J41" s="104"/>
      <c r="K41" s="105"/>
      <c r="L41" s="104" t="s">
        <v>3948</v>
      </c>
      <c r="M41" s="9" t="s">
        <v>4307</v>
      </c>
      <c r="N41" s="102"/>
      <c r="O41" s="103"/>
      <c r="P41" s="102"/>
      <c r="Q41" s="103"/>
      <c r="R41" s="102"/>
      <c r="S41" s="103"/>
    </row>
    <row r="42">
      <c r="A42" s="101">
        <v>461.0</v>
      </c>
      <c r="B42" s="102"/>
      <c r="C42" s="103"/>
      <c r="D42" s="104"/>
      <c r="E42" s="27"/>
      <c r="F42" s="104" t="s">
        <v>3954</v>
      </c>
      <c r="G42" s="9" t="s">
        <v>4308</v>
      </c>
      <c r="H42" s="102"/>
      <c r="I42" s="103"/>
      <c r="J42" s="104"/>
      <c r="K42" s="105"/>
      <c r="L42" s="104"/>
      <c r="M42" s="9"/>
      <c r="N42" s="102"/>
      <c r="O42" s="103"/>
      <c r="P42" s="102"/>
      <c r="Q42" s="103"/>
      <c r="R42" s="102"/>
      <c r="S42" s="103"/>
    </row>
    <row r="43">
      <c r="A43" s="101">
        <v>466.0</v>
      </c>
      <c r="B43" s="102"/>
      <c r="C43" s="103"/>
      <c r="D43" s="104"/>
      <c r="E43" s="27"/>
      <c r="F43" s="104" t="s">
        <v>4205</v>
      </c>
      <c r="G43" s="9" t="s">
        <v>4309</v>
      </c>
      <c r="H43" s="102"/>
      <c r="I43" s="103"/>
      <c r="J43" s="104"/>
      <c r="K43" s="105"/>
      <c r="L43" s="104"/>
      <c r="M43" s="9"/>
      <c r="N43" s="102"/>
      <c r="O43" s="103"/>
      <c r="P43" s="102"/>
      <c r="Q43" s="103"/>
      <c r="R43" s="102"/>
      <c r="S43" s="103"/>
    </row>
    <row r="44">
      <c r="A44" s="101">
        <v>470.0</v>
      </c>
      <c r="B44" s="102"/>
      <c r="C44" s="103"/>
      <c r="D44" s="104" t="s">
        <v>3954</v>
      </c>
      <c r="E44" s="9" t="s">
        <v>4310</v>
      </c>
      <c r="F44" s="104" t="s">
        <v>3954</v>
      </c>
      <c r="G44" s="9" t="s">
        <v>4311</v>
      </c>
      <c r="H44" s="102"/>
      <c r="I44" s="103"/>
      <c r="J44" s="104"/>
      <c r="K44" s="105"/>
      <c r="L44" s="104"/>
      <c r="M44" s="9"/>
      <c r="N44" s="102"/>
      <c r="O44" s="103"/>
      <c r="P44" s="102"/>
      <c r="Q44" s="103"/>
      <c r="R44" s="102"/>
      <c r="S44" s="103"/>
    </row>
    <row r="45">
      <c r="A45" s="101">
        <v>473.0</v>
      </c>
      <c r="B45" s="102"/>
      <c r="C45" s="103"/>
      <c r="D45" s="104"/>
      <c r="E45" s="9"/>
      <c r="F45" s="104" t="s">
        <v>3954</v>
      </c>
      <c r="G45" s="9" t="s">
        <v>4312</v>
      </c>
      <c r="H45" s="102"/>
      <c r="I45" s="103"/>
      <c r="J45" s="104"/>
      <c r="K45" s="105"/>
      <c r="L45" s="104"/>
      <c r="M45" s="9"/>
      <c r="N45" s="102"/>
      <c r="O45" s="103"/>
      <c r="P45" s="102"/>
      <c r="Q45" s="103"/>
      <c r="R45" s="102"/>
      <c r="S45" s="103"/>
    </row>
    <row r="46">
      <c r="A46" s="101">
        <v>476.0</v>
      </c>
      <c r="B46" s="102"/>
      <c r="C46" s="103"/>
      <c r="D46" s="104" t="s">
        <v>3954</v>
      </c>
      <c r="E46" s="9" t="s">
        <v>4313</v>
      </c>
      <c r="F46" s="104" t="s">
        <v>4314</v>
      </c>
      <c r="G46" s="9" t="s">
        <v>4315</v>
      </c>
      <c r="H46" s="102"/>
      <c r="I46" s="103"/>
      <c r="J46" s="104"/>
      <c r="K46" s="105"/>
      <c r="L46" s="104" t="s">
        <v>3979</v>
      </c>
      <c r="M46" s="9" t="s">
        <v>3480</v>
      </c>
      <c r="N46" s="102"/>
      <c r="O46" s="103"/>
      <c r="P46" s="102"/>
      <c r="Q46" s="103"/>
      <c r="R46" s="102"/>
      <c r="S46" s="103"/>
    </row>
    <row r="47">
      <c r="A47" s="101">
        <v>477.0</v>
      </c>
      <c r="B47" s="102"/>
      <c r="C47" s="103"/>
      <c r="D47" s="104" t="s">
        <v>3954</v>
      </c>
      <c r="E47" s="9" t="s">
        <v>4316</v>
      </c>
      <c r="F47" s="104" t="s">
        <v>4216</v>
      </c>
      <c r="G47" s="9" t="s">
        <v>4317</v>
      </c>
      <c r="H47" s="102"/>
      <c r="I47" s="103"/>
      <c r="J47" s="104"/>
      <c r="K47" s="105"/>
      <c r="L47" s="104"/>
      <c r="M47" s="9"/>
      <c r="N47" s="102"/>
      <c r="O47" s="103"/>
      <c r="P47" s="102"/>
      <c r="Q47" s="103"/>
      <c r="R47" s="102"/>
      <c r="S47" s="103"/>
    </row>
    <row r="48">
      <c r="A48" s="101">
        <v>479.0</v>
      </c>
      <c r="B48" s="102"/>
      <c r="C48" s="103"/>
      <c r="D48" s="104"/>
      <c r="E48" s="9"/>
      <c r="F48" s="104" t="s">
        <v>3954</v>
      </c>
      <c r="G48" s="9" t="s">
        <v>4318</v>
      </c>
      <c r="H48" s="102"/>
      <c r="I48" s="103"/>
      <c r="J48" s="104"/>
      <c r="K48" s="105"/>
      <c r="L48" s="104"/>
      <c r="M48" s="9"/>
      <c r="N48" s="102"/>
      <c r="O48" s="103"/>
      <c r="P48" s="102"/>
      <c r="Q48" s="103"/>
      <c r="R48" s="102"/>
      <c r="S48" s="103"/>
    </row>
    <row r="49">
      <c r="A49" s="101">
        <v>480.0</v>
      </c>
      <c r="B49" s="102"/>
      <c r="C49" s="103"/>
      <c r="D49" s="104" t="s">
        <v>3954</v>
      </c>
      <c r="E49" s="9" t="s">
        <v>4319</v>
      </c>
      <c r="F49" s="104" t="s">
        <v>3954</v>
      </c>
      <c r="G49" s="9" t="s">
        <v>4320</v>
      </c>
      <c r="H49" s="102"/>
      <c r="I49" s="103"/>
      <c r="J49" s="104"/>
      <c r="K49" s="105"/>
      <c r="L49" s="104"/>
      <c r="M49" s="9"/>
      <c r="N49" s="102"/>
      <c r="O49" s="103"/>
      <c r="P49" s="102"/>
      <c r="Q49" s="103"/>
      <c r="R49" s="102"/>
      <c r="S49" s="103"/>
    </row>
    <row r="50">
      <c r="A50" s="101">
        <v>489.0</v>
      </c>
      <c r="B50" s="102"/>
      <c r="C50" s="103"/>
      <c r="D50" s="104"/>
      <c r="E50" s="9"/>
      <c r="F50" s="104" t="s">
        <v>3954</v>
      </c>
      <c r="G50" s="9" t="s">
        <v>4321</v>
      </c>
      <c r="H50" s="102"/>
      <c r="I50" s="103"/>
      <c r="J50" s="104"/>
      <c r="K50" s="105"/>
      <c r="L50" s="104"/>
      <c r="M50" s="9"/>
      <c r="N50" s="102"/>
      <c r="O50" s="103"/>
      <c r="P50" s="102"/>
      <c r="Q50" s="103"/>
      <c r="R50" s="102"/>
      <c r="S50" s="103"/>
    </row>
    <row r="51">
      <c r="A51" s="101">
        <v>493.0</v>
      </c>
      <c r="B51" s="102"/>
      <c r="C51" s="103"/>
      <c r="D51" s="104"/>
      <c r="E51" s="9"/>
      <c r="F51" s="104" t="s">
        <v>4050</v>
      </c>
      <c r="G51" s="9" t="s">
        <v>4322</v>
      </c>
      <c r="H51" s="102"/>
      <c r="I51" s="103"/>
      <c r="J51" s="104"/>
      <c r="K51" s="105"/>
      <c r="L51" s="104"/>
      <c r="M51" s="9"/>
      <c r="N51" s="102"/>
      <c r="O51" s="103"/>
      <c r="P51" s="102"/>
      <c r="Q51" s="103"/>
      <c r="R51" s="102"/>
      <c r="S51" s="103"/>
    </row>
    <row r="52">
      <c r="A52" s="101">
        <v>498.0</v>
      </c>
      <c r="B52" s="102"/>
      <c r="C52" s="103"/>
      <c r="D52" s="104"/>
      <c r="E52" s="9"/>
      <c r="F52" s="104" t="s">
        <v>3932</v>
      </c>
      <c r="G52" s="9" t="s">
        <v>4323</v>
      </c>
      <c r="H52" s="102"/>
      <c r="I52" s="103"/>
      <c r="J52" s="104"/>
      <c r="K52" s="105"/>
      <c r="L52" s="104" t="s">
        <v>3954</v>
      </c>
      <c r="M52" s="9" t="s">
        <v>4324</v>
      </c>
      <c r="N52" s="102"/>
      <c r="O52" s="103"/>
      <c r="P52" s="102"/>
      <c r="Q52" s="103"/>
      <c r="R52" s="104" t="s">
        <v>3954</v>
      </c>
      <c r="S52" s="27" t="s">
        <v>4325</v>
      </c>
    </row>
    <row r="53">
      <c r="A53" s="101">
        <v>527.0</v>
      </c>
      <c r="B53" s="102"/>
      <c r="C53" s="103"/>
      <c r="D53" s="102"/>
      <c r="E53" s="103"/>
      <c r="F53" s="104"/>
      <c r="G53" s="27"/>
      <c r="H53" s="102"/>
      <c r="I53" s="103"/>
      <c r="J53" s="102"/>
      <c r="K53" s="103"/>
      <c r="L53" s="104" t="s">
        <v>3954</v>
      </c>
      <c r="M53" s="27" t="s">
        <v>4326</v>
      </c>
      <c r="N53" s="102"/>
      <c r="O53" s="103"/>
      <c r="P53" s="102"/>
      <c r="Q53" s="103"/>
      <c r="R53" s="104"/>
      <c r="S53" s="27"/>
    </row>
    <row r="54">
      <c r="A54" s="101">
        <v>527.0</v>
      </c>
      <c r="B54" s="102"/>
      <c r="C54" s="103"/>
      <c r="D54" s="102"/>
      <c r="E54" s="103"/>
      <c r="F54" s="104"/>
      <c r="G54" s="27"/>
      <c r="H54" s="102"/>
      <c r="I54" s="103"/>
      <c r="J54" s="102"/>
      <c r="K54" s="103"/>
      <c r="L54" s="104" t="s">
        <v>3954</v>
      </c>
      <c r="M54" s="27" t="s">
        <v>4327</v>
      </c>
      <c r="N54" s="102"/>
      <c r="O54" s="103"/>
      <c r="P54" s="102"/>
      <c r="Q54" s="103"/>
      <c r="R54" s="104" t="s">
        <v>3954</v>
      </c>
      <c r="S54" s="27" t="s">
        <v>4328</v>
      </c>
    </row>
    <row r="55">
      <c r="A55" s="101">
        <v>551.0</v>
      </c>
      <c r="B55" s="102"/>
      <c r="C55" s="103"/>
      <c r="D55" s="102"/>
      <c r="E55" s="103"/>
      <c r="F55" s="104"/>
      <c r="G55" s="27"/>
      <c r="H55" s="102"/>
      <c r="I55" s="103"/>
      <c r="J55" s="102"/>
      <c r="K55" s="103"/>
      <c r="L55" s="102"/>
      <c r="M55" s="103"/>
      <c r="N55" s="104" t="s">
        <v>3954</v>
      </c>
      <c r="O55" s="27" t="s">
        <v>4329</v>
      </c>
      <c r="P55" s="102"/>
      <c r="Q55" s="103"/>
      <c r="R55" s="104"/>
      <c r="S55" s="27"/>
    </row>
    <row r="56">
      <c r="A56" s="101">
        <v>561.0</v>
      </c>
      <c r="B56" s="102"/>
      <c r="C56" s="103"/>
      <c r="D56" s="102"/>
      <c r="E56" s="103"/>
      <c r="F56" s="104"/>
      <c r="G56" s="27"/>
      <c r="H56" s="102"/>
      <c r="I56" s="103"/>
      <c r="J56" s="102"/>
      <c r="K56" s="103"/>
      <c r="L56" s="102"/>
      <c r="M56" s="103"/>
      <c r="N56" s="102"/>
      <c r="O56" s="103"/>
      <c r="P56" s="102"/>
      <c r="Q56" s="103"/>
      <c r="R56" s="104" t="s">
        <v>3954</v>
      </c>
      <c r="S56" s="27" t="s">
        <v>3685</v>
      </c>
    </row>
    <row r="57">
      <c r="A57" s="101">
        <v>567.0</v>
      </c>
      <c r="B57" s="102"/>
      <c r="C57" s="103"/>
      <c r="D57" s="102"/>
      <c r="E57" s="103"/>
      <c r="F57" s="104"/>
      <c r="G57" s="27"/>
      <c r="H57" s="102"/>
      <c r="I57" s="103"/>
      <c r="J57" s="102"/>
      <c r="K57" s="103"/>
      <c r="L57" s="102"/>
      <c r="M57" s="103"/>
      <c r="N57" s="102"/>
      <c r="O57" s="103"/>
      <c r="P57" s="102"/>
      <c r="Q57" s="103"/>
      <c r="R57" s="104" t="s">
        <v>3954</v>
      </c>
      <c r="S57" s="27" t="s">
        <v>4330</v>
      </c>
    </row>
    <row r="58">
      <c r="A58" s="101">
        <v>573.0</v>
      </c>
      <c r="B58" s="102"/>
      <c r="C58" s="103"/>
      <c r="D58" s="102"/>
      <c r="E58" s="103"/>
      <c r="F58" s="104" t="s">
        <v>3954</v>
      </c>
      <c r="G58" s="27" t="s">
        <v>4331</v>
      </c>
      <c r="H58" s="102"/>
      <c r="I58" s="103"/>
      <c r="J58" s="104"/>
      <c r="K58" s="27"/>
      <c r="L58" s="104"/>
      <c r="M58" s="103"/>
      <c r="N58" s="102"/>
      <c r="O58" s="103"/>
      <c r="P58" s="102"/>
      <c r="Q58" s="103"/>
      <c r="R58" s="102"/>
      <c r="S58" s="103"/>
    </row>
    <row r="59">
      <c r="A59" s="101">
        <v>574.0</v>
      </c>
      <c r="B59" s="102"/>
      <c r="C59" s="103"/>
      <c r="D59" s="102"/>
      <c r="E59" s="103"/>
      <c r="F59" s="104" t="s">
        <v>3954</v>
      </c>
      <c r="G59" s="27" t="s">
        <v>4332</v>
      </c>
      <c r="H59" s="102"/>
      <c r="I59" s="103"/>
      <c r="J59" s="104"/>
      <c r="K59" s="27"/>
      <c r="L59" s="104"/>
      <c r="M59" s="103"/>
      <c r="N59" s="102"/>
      <c r="O59" s="103"/>
      <c r="P59" s="102"/>
      <c r="Q59" s="103"/>
      <c r="R59" s="102"/>
      <c r="S59" s="103"/>
    </row>
    <row r="60">
      <c r="A60" s="101">
        <v>580.0</v>
      </c>
      <c r="B60" s="102"/>
      <c r="C60" s="103"/>
      <c r="D60" s="102"/>
      <c r="E60" s="103"/>
      <c r="F60" s="104"/>
      <c r="G60" s="27"/>
      <c r="H60" s="102"/>
      <c r="I60" s="103"/>
      <c r="J60" s="104" t="s">
        <v>3954</v>
      </c>
      <c r="K60" s="27" t="s">
        <v>4333</v>
      </c>
      <c r="L60" s="104"/>
      <c r="M60" s="103"/>
      <c r="N60" s="102"/>
      <c r="O60" s="103"/>
      <c r="P60" s="102"/>
      <c r="Q60" s="103"/>
      <c r="R60" s="102"/>
      <c r="S60" s="103"/>
    </row>
    <row r="61">
      <c r="A61" s="101">
        <v>584.0</v>
      </c>
      <c r="B61" s="102"/>
      <c r="C61" s="103"/>
      <c r="D61" s="102"/>
      <c r="E61" s="103"/>
      <c r="F61" s="104"/>
      <c r="G61" s="27"/>
      <c r="H61" s="102"/>
      <c r="I61" s="103"/>
      <c r="J61" s="102"/>
      <c r="K61" s="103"/>
      <c r="L61" s="104" t="s">
        <v>3954</v>
      </c>
      <c r="M61" s="27" t="s">
        <v>4334</v>
      </c>
      <c r="N61" s="102"/>
      <c r="O61" s="103"/>
      <c r="P61" s="102"/>
      <c r="Q61" s="103"/>
      <c r="R61" s="102"/>
      <c r="S61" s="103"/>
    </row>
    <row r="62">
      <c r="A62" s="101">
        <v>595.0</v>
      </c>
      <c r="B62" s="102"/>
      <c r="C62" s="103"/>
      <c r="D62" s="102"/>
      <c r="E62" s="103"/>
      <c r="F62" s="104" t="s">
        <v>3954</v>
      </c>
      <c r="G62" s="27" t="s">
        <v>4335</v>
      </c>
      <c r="H62" s="102"/>
      <c r="I62" s="103"/>
      <c r="J62" s="102"/>
      <c r="K62" s="103"/>
      <c r="L62" s="102"/>
      <c r="M62" s="103"/>
      <c r="N62" s="102"/>
      <c r="O62" s="103"/>
      <c r="P62" s="102"/>
      <c r="Q62" s="103"/>
      <c r="R62" s="102"/>
      <c r="S62" s="103"/>
    </row>
    <row r="63">
      <c r="A63" s="101">
        <v>650.0</v>
      </c>
      <c r="B63" s="102"/>
      <c r="C63" s="103"/>
      <c r="D63" s="102"/>
      <c r="E63" s="103"/>
      <c r="F63" s="106"/>
      <c r="G63" s="103"/>
      <c r="H63" s="102"/>
      <c r="I63" s="103"/>
      <c r="J63" s="102"/>
      <c r="K63" s="103"/>
      <c r="L63" s="102" t="s">
        <v>3954</v>
      </c>
      <c r="M63" s="103" t="s">
        <v>4336</v>
      </c>
      <c r="N63" s="102"/>
      <c r="O63" s="103"/>
      <c r="P63" s="102"/>
      <c r="Q63" s="103"/>
      <c r="R63" s="102"/>
      <c r="S63" s="103"/>
    </row>
    <row r="64">
      <c r="A64" s="107"/>
      <c r="B64" s="102"/>
      <c r="C64" s="103"/>
      <c r="D64" s="102"/>
      <c r="E64" s="103"/>
      <c r="F64" s="102"/>
      <c r="G64" s="103"/>
      <c r="H64" s="102"/>
      <c r="I64" s="103"/>
      <c r="J64" s="102"/>
      <c r="K64" s="103"/>
      <c r="L64" s="102"/>
      <c r="M64" s="103"/>
      <c r="N64" s="102"/>
      <c r="O64" s="103"/>
      <c r="P64" s="102"/>
      <c r="Q64" s="103"/>
      <c r="R64" s="102"/>
      <c r="S64" s="103"/>
    </row>
    <row r="65">
      <c r="A65" s="107"/>
      <c r="B65" s="102"/>
      <c r="C65" s="103"/>
      <c r="D65" s="102"/>
      <c r="E65" s="103"/>
      <c r="F65" s="102"/>
      <c r="G65" s="103"/>
      <c r="H65" s="102"/>
      <c r="I65" s="103"/>
      <c r="J65" s="102"/>
      <c r="K65" s="103"/>
      <c r="L65" s="102"/>
      <c r="M65" s="103"/>
      <c r="N65" s="102"/>
      <c r="O65" s="103"/>
      <c r="P65" s="102"/>
      <c r="Q65" s="103"/>
      <c r="R65" s="102"/>
      <c r="S65" s="103"/>
    </row>
    <row r="66">
      <c r="A66" s="107"/>
      <c r="B66" s="102"/>
      <c r="C66" s="103"/>
      <c r="D66" s="102"/>
      <c r="E66" s="103"/>
      <c r="F66" s="102"/>
      <c r="G66" s="103"/>
      <c r="H66" s="102"/>
      <c r="I66" s="103"/>
      <c r="J66" s="102"/>
      <c r="K66" s="103"/>
      <c r="L66" s="102"/>
      <c r="M66" s="103"/>
      <c r="N66" s="102"/>
      <c r="O66" s="103"/>
      <c r="P66" s="102"/>
      <c r="Q66" s="103"/>
      <c r="R66" s="102"/>
      <c r="S66" s="103"/>
    </row>
    <row r="67">
      <c r="A67" s="107"/>
      <c r="B67" s="102"/>
      <c r="C67" s="103"/>
      <c r="D67" s="102"/>
      <c r="E67" s="103"/>
      <c r="F67" s="102"/>
      <c r="G67" s="103"/>
      <c r="H67" s="102"/>
      <c r="I67" s="103"/>
      <c r="J67" s="102"/>
      <c r="K67" s="103"/>
      <c r="L67" s="102"/>
      <c r="M67" s="103"/>
      <c r="N67" s="102"/>
      <c r="O67" s="103"/>
      <c r="P67" s="102"/>
      <c r="Q67" s="103"/>
      <c r="R67" s="102"/>
      <c r="S67" s="103"/>
    </row>
    <row r="68">
      <c r="A68" s="107"/>
      <c r="B68" s="102"/>
      <c r="C68" s="103"/>
      <c r="D68" s="102"/>
      <c r="E68" s="103"/>
      <c r="F68" s="102"/>
      <c r="G68" s="103"/>
      <c r="H68" s="102"/>
      <c r="I68" s="103"/>
      <c r="J68" s="102"/>
      <c r="K68" s="103"/>
      <c r="L68" s="102"/>
      <c r="M68" s="103"/>
      <c r="N68" s="102"/>
      <c r="O68" s="103"/>
      <c r="P68" s="102"/>
      <c r="Q68" s="103"/>
      <c r="R68" s="102"/>
      <c r="S68" s="103"/>
    </row>
    <row r="69">
      <c r="A69" s="107"/>
      <c r="B69" s="102"/>
      <c r="C69" s="103"/>
      <c r="D69" s="102"/>
      <c r="E69" s="103"/>
      <c r="F69" s="102"/>
      <c r="G69" s="103"/>
      <c r="H69" s="102"/>
      <c r="I69" s="103"/>
      <c r="J69" s="102"/>
      <c r="K69" s="103"/>
      <c r="L69" s="102"/>
      <c r="M69" s="103"/>
      <c r="N69" s="102"/>
      <c r="O69" s="103"/>
      <c r="P69" s="102"/>
      <c r="Q69" s="103"/>
      <c r="R69" s="102"/>
      <c r="S69" s="103"/>
    </row>
    <row r="70">
      <c r="A70" s="107"/>
      <c r="B70" s="102"/>
      <c r="C70" s="103"/>
      <c r="D70" s="102"/>
      <c r="E70" s="103"/>
      <c r="F70" s="102"/>
      <c r="G70" s="103"/>
      <c r="H70" s="102"/>
      <c r="I70" s="103"/>
      <c r="J70" s="102"/>
      <c r="K70" s="103"/>
      <c r="L70" s="102"/>
      <c r="M70" s="103"/>
      <c r="N70" s="102"/>
      <c r="O70" s="103"/>
      <c r="P70" s="102"/>
      <c r="Q70" s="103"/>
      <c r="R70" s="102"/>
      <c r="S70" s="103"/>
    </row>
    <row r="71">
      <c r="A71" s="107"/>
      <c r="B71" s="102"/>
      <c r="C71" s="103"/>
      <c r="D71" s="102"/>
      <c r="E71" s="103"/>
      <c r="F71" s="102"/>
      <c r="G71" s="103"/>
      <c r="H71" s="102"/>
      <c r="I71" s="103"/>
      <c r="J71" s="102"/>
      <c r="K71" s="103"/>
      <c r="L71" s="102"/>
      <c r="M71" s="103"/>
      <c r="N71" s="102"/>
      <c r="O71" s="103"/>
      <c r="P71" s="102"/>
      <c r="Q71" s="103"/>
      <c r="R71" s="102"/>
      <c r="S71" s="103"/>
    </row>
    <row r="72">
      <c r="A72" s="107"/>
      <c r="B72" s="102"/>
      <c r="C72" s="103"/>
      <c r="D72" s="102"/>
      <c r="E72" s="103"/>
      <c r="F72" s="102"/>
      <c r="G72" s="103"/>
      <c r="H72" s="102"/>
      <c r="I72" s="103"/>
      <c r="J72" s="102"/>
      <c r="K72" s="103"/>
      <c r="L72" s="102"/>
      <c r="M72" s="103"/>
      <c r="N72" s="102"/>
      <c r="O72" s="103"/>
      <c r="P72" s="102"/>
      <c r="Q72" s="103"/>
      <c r="R72" s="102"/>
      <c r="S72" s="103"/>
    </row>
    <row r="73">
      <c r="A73" s="107"/>
      <c r="B73" s="102"/>
      <c r="C73" s="103"/>
      <c r="D73" s="102"/>
      <c r="E73" s="103"/>
      <c r="F73" s="102"/>
      <c r="G73" s="103"/>
      <c r="H73" s="102"/>
      <c r="I73" s="103"/>
      <c r="J73" s="102"/>
      <c r="K73" s="103"/>
      <c r="L73" s="102"/>
      <c r="M73" s="103"/>
      <c r="N73" s="102"/>
      <c r="O73" s="103"/>
      <c r="P73" s="102"/>
      <c r="Q73" s="103"/>
      <c r="R73" s="102"/>
      <c r="S73" s="103"/>
    </row>
    <row r="74">
      <c r="A74" s="107"/>
      <c r="B74" s="102"/>
      <c r="C74" s="103"/>
      <c r="D74" s="102"/>
      <c r="E74" s="103"/>
      <c r="F74" s="102"/>
      <c r="G74" s="103"/>
      <c r="H74" s="102"/>
      <c r="I74" s="103"/>
      <c r="J74" s="102"/>
      <c r="K74" s="103"/>
      <c r="L74" s="102"/>
      <c r="M74" s="103"/>
      <c r="N74" s="102"/>
      <c r="O74" s="103"/>
      <c r="P74" s="102"/>
      <c r="Q74" s="103"/>
      <c r="R74" s="102"/>
      <c r="S74" s="103"/>
    </row>
    <row r="75">
      <c r="A75" s="107"/>
      <c r="B75" s="102"/>
      <c r="C75" s="103"/>
      <c r="D75" s="102"/>
      <c r="E75" s="103"/>
      <c r="F75" s="102"/>
      <c r="G75" s="103"/>
      <c r="H75" s="102"/>
      <c r="I75" s="103"/>
      <c r="J75" s="102"/>
      <c r="K75" s="103"/>
      <c r="L75" s="102"/>
      <c r="M75" s="103"/>
      <c r="N75" s="102"/>
      <c r="O75" s="103"/>
      <c r="P75" s="102"/>
      <c r="Q75" s="103"/>
      <c r="R75" s="102"/>
      <c r="S75" s="103"/>
    </row>
    <row r="76">
      <c r="A76" s="107"/>
      <c r="B76" s="102"/>
      <c r="C76" s="103"/>
      <c r="D76" s="102"/>
      <c r="E76" s="103"/>
      <c r="F76" s="102"/>
      <c r="G76" s="103"/>
      <c r="H76" s="102"/>
      <c r="I76" s="103"/>
      <c r="J76" s="102"/>
      <c r="K76" s="103"/>
      <c r="L76" s="102"/>
      <c r="M76" s="103"/>
      <c r="N76" s="102"/>
      <c r="O76" s="103"/>
      <c r="P76" s="102"/>
      <c r="Q76" s="103"/>
      <c r="R76" s="102"/>
      <c r="S76" s="103"/>
    </row>
    <row r="77">
      <c r="A77" s="107"/>
      <c r="B77" s="102"/>
      <c r="C77" s="103"/>
      <c r="D77" s="102"/>
      <c r="E77" s="103"/>
      <c r="F77" s="102"/>
      <c r="G77" s="103"/>
      <c r="H77" s="102"/>
      <c r="I77" s="103"/>
      <c r="J77" s="102"/>
      <c r="K77" s="103"/>
      <c r="L77" s="102"/>
      <c r="M77" s="103"/>
      <c r="N77" s="102"/>
      <c r="O77" s="103"/>
      <c r="P77" s="102"/>
      <c r="Q77" s="103"/>
      <c r="R77" s="102"/>
      <c r="S77" s="103"/>
    </row>
    <row r="78">
      <c r="A78" s="107"/>
      <c r="B78" s="102"/>
      <c r="C78" s="103"/>
      <c r="D78" s="102"/>
      <c r="E78" s="103"/>
      <c r="F78" s="102"/>
      <c r="G78" s="103"/>
      <c r="H78" s="102"/>
      <c r="I78" s="103"/>
      <c r="J78" s="102"/>
      <c r="K78" s="103"/>
      <c r="L78" s="102"/>
      <c r="M78" s="103"/>
      <c r="N78" s="102"/>
      <c r="O78" s="103"/>
      <c r="P78" s="102"/>
      <c r="Q78" s="103"/>
      <c r="R78" s="102"/>
      <c r="S78" s="103"/>
    </row>
    <row r="79">
      <c r="A79" s="107"/>
      <c r="B79" s="102"/>
      <c r="C79" s="103"/>
      <c r="D79" s="102"/>
      <c r="E79" s="103"/>
      <c r="F79" s="102"/>
      <c r="G79" s="103"/>
      <c r="H79" s="102"/>
      <c r="I79" s="103"/>
      <c r="J79" s="102"/>
      <c r="K79" s="103"/>
      <c r="L79" s="102"/>
      <c r="M79" s="103"/>
      <c r="N79" s="102"/>
      <c r="O79" s="103"/>
      <c r="P79" s="102"/>
      <c r="Q79" s="103"/>
      <c r="R79" s="102"/>
      <c r="S79" s="103"/>
    </row>
    <row r="80">
      <c r="A80" s="107"/>
      <c r="B80" s="102"/>
      <c r="C80" s="103"/>
      <c r="D80" s="102"/>
      <c r="E80" s="103"/>
      <c r="F80" s="102"/>
      <c r="G80" s="103"/>
      <c r="H80" s="102"/>
      <c r="I80" s="103"/>
      <c r="J80" s="102"/>
      <c r="K80" s="103"/>
      <c r="L80" s="102"/>
      <c r="M80" s="103"/>
      <c r="N80" s="102"/>
      <c r="O80" s="103"/>
      <c r="P80" s="102"/>
      <c r="Q80" s="103"/>
      <c r="R80" s="102"/>
      <c r="S80" s="103"/>
    </row>
    <row r="81">
      <c r="A81" s="107"/>
      <c r="B81" s="102"/>
      <c r="C81" s="103"/>
      <c r="D81" s="102"/>
      <c r="E81" s="103"/>
      <c r="F81" s="102"/>
      <c r="G81" s="103"/>
      <c r="H81" s="102"/>
      <c r="I81" s="103"/>
      <c r="J81" s="102"/>
      <c r="K81" s="103"/>
      <c r="L81" s="102"/>
      <c r="M81" s="103"/>
      <c r="N81" s="102"/>
      <c r="O81" s="103"/>
      <c r="P81" s="102"/>
      <c r="Q81" s="103"/>
      <c r="R81" s="102"/>
      <c r="S81" s="103"/>
    </row>
    <row r="82">
      <c r="A82" s="107"/>
      <c r="B82" s="102"/>
      <c r="C82" s="103"/>
      <c r="D82" s="102"/>
      <c r="E82" s="103"/>
      <c r="F82" s="102"/>
      <c r="G82" s="103"/>
      <c r="H82" s="102"/>
      <c r="I82" s="103"/>
      <c r="J82" s="102"/>
      <c r="K82" s="103"/>
      <c r="L82" s="102"/>
      <c r="M82" s="103"/>
      <c r="N82" s="102"/>
      <c r="O82" s="103"/>
      <c r="P82" s="102"/>
      <c r="Q82" s="103"/>
      <c r="R82" s="102"/>
      <c r="S82" s="103"/>
    </row>
    <row r="83">
      <c r="A83" s="107"/>
      <c r="B83" s="102"/>
      <c r="C83" s="103"/>
      <c r="D83" s="102"/>
      <c r="E83" s="103"/>
      <c r="F83" s="102"/>
      <c r="G83" s="103"/>
      <c r="H83" s="102"/>
      <c r="I83" s="103"/>
      <c r="J83" s="102"/>
      <c r="K83" s="103"/>
      <c r="L83" s="102"/>
      <c r="M83" s="103"/>
      <c r="N83" s="102"/>
      <c r="O83" s="103"/>
      <c r="P83" s="102"/>
      <c r="Q83" s="103"/>
      <c r="R83" s="102"/>
      <c r="S83" s="103"/>
    </row>
    <row r="84">
      <c r="A84" s="107"/>
      <c r="B84" s="102"/>
      <c r="C84" s="103"/>
      <c r="D84" s="102"/>
      <c r="E84" s="103"/>
      <c r="F84" s="102"/>
      <c r="G84" s="103"/>
      <c r="H84" s="102"/>
      <c r="I84" s="103"/>
      <c r="J84" s="102"/>
      <c r="K84" s="103"/>
      <c r="L84" s="102"/>
      <c r="M84" s="103"/>
      <c r="N84" s="102"/>
      <c r="O84" s="103"/>
      <c r="P84" s="102"/>
      <c r="Q84" s="103"/>
      <c r="R84" s="102"/>
      <c r="S84" s="103"/>
    </row>
    <row r="85">
      <c r="A85" s="107"/>
      <c r="B85" s="102"/>
      <c r="C85" s="103"/>
      <c r="D85" s="102"/>
      <c r="E85" s="103"/>
      <c r="F85" s="102"/>
      <c r="G85" s="103"/>
      <c r="H85" s="102"/>
      <c r="I85" s="103"/>
      <c r="J85" s="102"/>
      <c r="K85" s="103"/>
      <c r="L85" s="102"/>
      <c r="M85" s="103"/>
      <c r="N85" s="102"/>
      <c r="O85" s="103"/>
      <c r="P85" s="102"/>
      <c r="Q85" s="103"/>
      <c r="R85" s="102"/>
      <c r="S85" s="103"/>
    </row>
    <row r="86">
      <c r="A86" s="107"/>
      <c r="B86" s="102"/>
      <c r="C86" s="103"/>
      <c r="D86" s="102"/>
      <c r="E86" s="103"/>
      <c r="F86" s="102"/>
      <c r="G86" s="103"/>
      <c r="H86" s="102"/>
      <c r="I86" s="103"/>
      <c r="J86" s="102"/>
      <c r="K86" s="103"/>
      <c r="L86" s="102"/>
      <c r="M86" s="103"/>
      <c r="N86" s="102"/>
      <c r="O86" s="103"/>
      <c r="P86" s="102"/>
      <c r="Q86" s="103"/>
      <c r="R86" s="102"/>
      <c r="S86" s="103"/>
    </row>
    <row r="87">
      <c r="A87" s="107"/>
      <c r="B87" s="102"/>
      <c r="C87" s="103"/>
      <c r="D87" s="102"/>
      <c r="E87" s="103"/>
      <c r="F87" s="102"/>
      <c r="G87" s="103"/>
      <c r="H87" s="102"/>
      <c r="I87" s="103"/>
      <c r="J87" s="102"/>
      <c r="K87" s="103"/>
      <c r="L87" s="102"/>
      <c r="M87" s="103"/>
      <c r="N87" s="102"/>
      <c r="O87" s="103"/>
      <c r="P87" s="102"/>
      <c r="Q87" s="103"/>
      <c r="R87" s="102"/>
      <c r="S87" s="103"/>
    </row>
    <row r="88">
      <c r="A88" s="107"/>
      <c r="B88" s="102"/>
      <c r="C88" s="103"/>
      <c r="D88" s="102"/>
      <c r="E88" s="103"/>
      <c r="F88" s="102"/>
      <c r="G88" s="103"/>
      <c r="H88" s="102"/>
      <c r="I88" s="103"/>
      <c r="J88" s="102"/>
      <c r="K88" s="103"/>
      <c r="L88" s="102"/>
      <c r="M88" s="103"/>
      <c r="N88" s="102"/>
      <c r="O88" s="103"/>
      <c r="P88" s="102"/>
      <c r="Q88" s="103"/>
      <c r="R88" s="102"/>
      <c r="S88" s="103"/>
    </row>
    <row r="89">
      <c r="A89" s="107"/>
      <c r="B89" s="102"/>
      <c r="C89" s="103"/>
      <c r="D89" s="102"/>
      <c r="E89" s="103"/>
      <c r="F89" s="102"/>
      <c r="G89" s="103"/>
      <c r="H89" s="102"/>
      <c r="I89" s="103"/>
      <c r="J89" s="102"/>
      <c r="K89" s="103"/>
      <c r="L89" s="102"/>
      <c r="M89" s="103"/>
      <c r="N89" s="102"/>
      <c r="O89" s="103"/>
      <c r="P89" s="102"/>
      <c r="Q89" s="103"/>
      <c r="R89" s="102"/>
      <c r="S89" s="103"/>
    </row>
    <row r="90">
      <c r="A90" s="107"/>
      <c r="B90" s="102"/>
      <c r="C90" s="103"/>
      <c r="D90" s="102"/>
      <c r="E90" s="103"/>
      <c r="F90" s="102"/>
      <c r="G90" s="103"/>
      <c r="H90" s="102"/>
      <c r="I90" s="103"/>
      <c r="J90" s="102"/>
      <c r="K90" s="103"/>
      <c r="L90" s="102"/>
      <c r="M90" s="103"/>
      <c r="N90" s="102"/>
      <c r="O90" s="103"/>
      <c r="P90" s="102"/>
      <c r="Q90" s="103"/>
      <c r="R90" s="102"/>
      <c r="S90" s="103"/>
    </row>
    <row r="91">
      <c r="A91" s="107"/>
      <c r="B91" s="102"/>
      <c r="C91" s="103"/>
      <c r="D91" s="102"/>
      <c r="E91" s="103"/>
      <c r="F91" s="102"/>
      <c r="G91" s="103"/>
      <c r="H91" s="102"/>
      <c r="I91" s="103"/>
      <c r="J91" s="102"/>
      <c r="K91" s="103"/>
      <c r="L91" s="102"/>
      <c r="M91" s="103"/>
      <c r="N91" s="102"/>
      <c r="O91" s="103"/>
      <c r="P91" s="102"/>
      <c r="Q91" s="103"/>
      <c r="R91" s="102"/>
      <c r="S91" s="103"/>
    </row>
    <row r="92">
      <c r="A92" s="107"/>
      <c r="B92" s="102"/>
      <c r="C92" s="103"/>
      <c r="D92" s="102"/>
      <c r="E92" s="103"/>
      <c r="F92" s="102"/>
      <c r="G92" s="103"/>
      <c r="H92" s="102"/>
      <c r="I92" s="103"/>
      <c r="J92" s="102"/>
      <c r="K92" s="103"/>
      <c r="L92" s="102"/>
      <c r="M92" s="103"/>
      <c r="N92" s="102"/>
      <c r="O92" s="103"/>
      <c r="P92" s="102"/>
      <c r="Q92" s="103"/>
      <c r="R92" s="102"/>
      <c r="S92" s="103"/>
    </row>
    <row r="93">
      <c r="A93" s="107"/>
      <c r="B93" s="102"/>
      <c r="C93" s="103"/>
      <c r="D93" s="102"/>
      <c r="E93" s="103"/>
      <c r="F93" s="102"/>
      <c r="G93" s="103"/>
      <c r="H93" s="102"/>
      <c r="I93" s="103"/>
      <c r="J93" s="102"/>
      <c r="K93" s="103"/>
      <c r="L93" s="102"/>
      <c r="M93" s="103"/>
      <c r="N93" s="102"/>
      <c r="O93" s="103"/>
      <c r="P93" s="102"/>
      <c r="Q93" s="103"/>
      <c r="R93" s="102"/>
      <c r="S93" s="103"/>
    </row>
    <row r="94">
      <c r="A94" s="107"/>
      <c r="B94" s="102"/>
      <c r="C94" s="103"/>
      <c r="D94" s="102"/>
      <c r="E94" s="103"/>
      <c r="F94" s="102"/>
      <c r="G94" s="103"/>
      <c r="H94" s="102"/>
      <c r="I94" s="103"/>
      <c r="J94" s="102"/>
      <c r="K94" s="103"/>
      <c r="L94" s="102"/>
      <c r="M94" s="103"/>
      <c r="N94" s="102"/>
      <c r="O94" s="103"/>
      <c r="P94" s="102"/>
      <c r="Q94" s="103"/>
      <c r="R94" s="102"/>
      <c r="S94" s="103"/>
    </row>
    <row r="95">
      <c r="A95" s="107"/>
      <c r="B95" s="102"/>
      <c r="C95" s="103"/>
      <c r="D95" s="102"/>
      <c r="E95" s="103"/>
      <c r="F95" s="102"/>
      <c r="G95" s="103"/>
      <c r="H95" s="102"/>
      <c r="I95" s="103"/>
      <c r="J95" s="102"/>
      <c r="K95" s="103"/>
      <c r="L95" s="102"/>
      <c r="M95" s="103"/>
      <c r="N95" s="102"/>
      <c r="O95" s="103"/>
      <c r="P95" s="102"/>
      <c r="Q95" s="103"/>
      <c r="R95" s="102"/>
      <c r="S95" s="103"/>
    </row>
    <row r="96">
      <c r="A96" s="107"/>
      <c r="B96" s="102"/>
      <c r="C96" s="103"/>
      <c r="D96" s="102"/>
      <c r="E96" s="103"/>
      <c r="F96" s="102"/>
      <c r="G96" s="103"/>
      <c r="H96" s="102"/>
      <c r="I96" s="103"/>
      <c r="J96" s="102"/>
      <c r="K96" s="103"/>
      <c r="L96" s="102"/>
      <c r="M96" s="103"/>
      <c r="N96" s="102"/>
      <c r="O96" s="103"/>
      <c r="P96" s="102"/>
      <c r="Q96" s="103"/>
      <c r="R96" s="102"/>
      <c r="S96" s="103"/>
    </row>
    <row r="97">
      <c r="A97" s="107"/>
      <c r="B97" s="102"/>
      <c r="C97" s="103"/>
      <c r="D97" s="102"/>
      <c r="E97" s="103"/>
      <c r="F97" s="102"/>
      <c r="G97" s="103"/>
      <c r="H97" s="102"/>
      <c r="I97" s="103"/>
      <c r="J97" s="102"/>
      <c r="K97" s="103"/>
      <c r="L97" s="102"/>
      <c r="M97" s="103"/>
      <c r="N97" s="102"/>
      <c r="O97" s="103"/>
      <c r="P97" s="102"/>
      <c r="Q97" s="103"/>
      <c r="R97" s="102"/>
      <c r="S97" s="103"/>
    </row>
    <row r="98">
      <c r="A98" s="107"/>
      <c r="B98" s="102"/>
      <c r="C98" s="103"/>
      <c r="D98" s="102"/>
      <c r="E98" s="103"/>
      <c r="F98" s="102"/>
      <c r="G98" s="103"/>
      <c r="H98" s="102"/>
      <c r="I98" s="103"/>
      <c r="J98" s="102"/>
      <c r="K98" s="103"/>
      <c r="L98" s="102"/>
      <c r="M98" s="103"/>
      <c r="N98" s="102"/>
      <c r="O98" s="103"/>
      <c r="P98" s="102"/>
      <c r="Q98" s="103"/>
      <c r="R98" s="102"/>
      <c r="S98" s="103"/>
    </row>
    <row r="99">
      <c r="A99" s="107"/>
      <c r="B99" s="102"/>
      <c r="C99" s="103"/>
      <c r="D99" s="102"/>
      <c r="E99" s="103"/>
      <c r="F99" s="102"/>
      <c r="G99" s="103"/>
      <c r="H99" s="102"/>
      <c r="I99" s="103"/>
      <c r="J99" s="102"/>
      <c r="K99" s="103"/>
      <c r="L99" s="102"/>
      <c r="M99" s="103"/>
      <c r="N99" s="102"/>
      <c r="O99" s="103"/>
      <c r="P99" s="102"/>
      <c r="Q99" s="103"/>
      <c r="R99" s="102"/>
      <c r="S99" s="103"/>
    </row>
    <row r="100">
      <c r="A100" s="107"/>
      <c r="B100" s="102"/>
      <c r="C100" s="103"/>
      <c r="D100" s="102"/>
      <c r="E100" s="103"/>
      <c r="F100" s="102"/>
      <c r="G100" s="103"/>
      <c r="H100" s="102"/>
      <c r="I100" s="103"/>
      <c r="J100" s="102"/>
      <c r="K100" s="103"/>
      <c r="L100" s="102"/>
      <c r="M100" s="103"/>
      <c r="N100" s="102"/>
      <c r="O100" s="103"/>
      <c r="P100" s="102"/>
      <c r="Q100" s="103"/>
      <c r="R100" s="102"/>
      <c r="S100" s="103"/>
    </row>
    <row r="101">
      <c r="A101" s="107"/>
      <c r="B101" s="102"/>
      <c r="C101" s="103"/>
      <c r="D101" s="102"/>
      <c r="E101" s="103"/>
      <c r="F101" s="102"/>
      <c r="G101" s="103"/>
      <c r="H101" s="102"/>
      <c r="I101" s="103"/>
      <c r="J101" s="102"/>
      <c r="K101" s="103"/>
      <c r="L101" s="102"/>
      <c r="M101" s="103"/>
      <c r="N101" s="102"/>
      <c r="O101" s="103"/>
      <c r="P101" s="102"/>
      <c r="Q101" s="103"/>
      <c r="R101" s="102"/>
      <c r="S101" s="103"/>
    </row>
    <row r="102">
      <c r="A102" s="107"/>
      <c r="B102" s="102"/>
      <c r="C102" s="103"/>
      <c r="D102" s="102"/>
      <c r="E102" s="103"/>
      <c r="F102" s="102"/>
      <c r="G102" s="103"/>
      <c r="H102" s="102"/>
      <c r="I102" s="103"/>
      <c r="J102" s="102"/>
      <c r="K102" s="103"/>
      <c r="L102" s="102"/>
      <c r="M102" s="103"/>
      <c r="N102" s="102"/>
      <c r="O102" s="103"/>
      <c r="P102" s="102"/>
      <c r="Q102" s="103"/>
      <c r="R102" s="102"/>
      <c r="S102" s="103"/>
    </row>
    <row r="103">
      <c r="A103" s="107"/>
      <c r="B103" s="102"/>
      <c r="C103" s="103"/>
      <c r="D103" s="102"/>
      <c r="E103" s="103"/>
      <c r="F103" s="102"/>
      <c r="G103" s="103"/>
      <c r="H103" s="102"/>
      <c r="I103" s="103"/>
      <c r="J103" s="102"/>
      <c r="K103" s="103"/>
      <c r="L103" s="102"/>
      <c r="M103" s="103"/>
      <c r="N103" s="102"/>
      <c r="O103" s="103"/>
      <c r="P103" s="102"/>
      <c r="Q103" s="103"/>
      <c r="R103" s="102"/>
      <c r="S103" s="103"/>
    </row>
    <row r="104">
      <c r="A104" s="107"/>
      <c r="B104" s="102"/>
      <c r="C104" s="103"/>
      <c r="D104" s="102"/>
      <c r="E104" s="103"/>
      <c r="F104" s="102"/>
      <c r="G104" s="103"/>
      <c r="H104" s="102"/>
      <c r="I104" s="103"/>
      <c r="J104" s="102"/>
      <c r="K104" s="103"/>
      <c r="L104" s="102"/>
      <c r="M104" s="103"/>
      <c r="N104" s="102"/>
      <c r="O104" s="103"/>
      <c r="P104" s="102"/>
      <c r="Q104" s="103"/>
      <c r="R104" s="102"/>
      <c r="S104" s="103"/>
    </row>
    <row r="105">
      <c r="A105" s="107"/>
      <c r="B105" s="102"/>
      <c r="C105" s="103"/>
      <c r="D105" s="102"/>
      <c r="E105" s="103"/>
      <c r="F105" s="102"/>
      <c r="G105" s="103"/>
      <c r="H105" s="102"/>
      <c r="I105" s="103"/>
      <c r="J105" s="102"/>
      <c r="K105" s="103"/>
      <c r="L105" s="102"/>
      <c r="M105" s="103"/>
      <c r="N105" s="102"/>
      <c r="O105" s="103"/>
      <c r="P105" s="102"/>
      <c r="Q105" s="103"/>
      <c r="R105" s="102"/>
      <c r="S105" s="103"/>
    </row>
    <row r="106">
      <c r="A106" s="107"/>
      <c r="B106" s="102"/>
      <c r="C106" s="103"/>
      <c r="D106" s="102"/>
      <c r="E106" s="103"/>
      <c r="F106" s="102"/>
      <c r="G106" s="103"/>
      <c r="H106" s="102"/>
      <c r="I106" s="103"/>
      <c r="J106" s="102"/>
      <c r="K106" s="103"/>
      <c r="L106" s="102"/>
      <c r="M106" s="103"/>
      <c r="N106" s="102"/>
      <c r="O106" s="103"/>
      <c r="P106" s="102"/>
      <c r="Q106" s="103"/>
      <c r="R106" s="102"/>
      <c r="S106" s="103"/>
    </row>
    <row r="107">
      <c r="A107" s="107"/>
      <c r="B107" s="102"/>
      <c r="C107" s="103"/>
      <c r="D107" s="102"/>
      <c r="E107" s="103"/>
      <c r="F107" s="102"/>
      <c r="G107" s="103"/>
      <c r="H107" s="102"/>
      <c r="I107" s="103"/>
      <c r="J107" s="102"/>
      <c r="K107" s="103"/>
      <c r="L107" s="102"/>
      <c r="M107" s="103"/>
      <c r="N107" s="102"/>
      <c r="O107" s="103"/>
      <c r="P107" s="102"/>
      <c r="Q107" s="103"/>
      <c r="R107" s="102"/>
      <c r="S107" s="103"/>
    </row>
    <row r="108">
      <c r="A108" s="107"/>
      <c r="B108" s="102"/>
      <c r="C108" s="103"/>
      <c r="D108" s="102"/>
      <c r="E108" s="103"/>
      <c r="F108" s="102"/>
      <c r="G108" s="103"/>
      <c r="H108" s="102"/>
      <c r="I108" s="103"/>
      <c r="J108" s="102"/>
      <c r="K108" s="103"/>
      <c r="L108" s="102"/>
      <c r="M108" s="103"/>
      <c r="N108" s="102"/>
      <c r="O108" s="103"/>
      <c r="P108" s="102"/>
      <c r="Q108" s="103"/>
      <c r="R108" s="102"/>
      <c r="S108" s="103"/>
    </row>
    <row r="109">
      <c r="A109" s="107"/>
      <c r="B109" s="102"/>
      <c r="C109" s="103"/>
      <c r="D109" s="102"/>
      <c r="E109" s="103"/>
      <c r="F109" s="102"/>
      <c r="G109" s="103"/>
      <c r="H109" s="102"/>
      <c r="I109" s="103"/>
      <c r="J109" s="102"/>
      <c r="K109" s="103"/>
      <c r="L109" s="102"/>
      <c r="M109" s="103"/>
      <c r="N109" s="102"/>
      <c r="O109" s="103"/>
      <c r="P109" s="102"/>
      <c r="Q109" s="103"/>
      <c r="R109" s="102"/>
      <c r="S109" s="103"/>
    </row>
    <row r="110">
      <c r="A110" s="107"/>
      <c r="B110" s="102"/>
      <c r="C110" s="103"/>
      <c r="D110" s="102"/>
      <c r="E110" s="103"/>
      <c r="F110" s="102"/>
      <c r="G110" s="103"/>
      <c r="H110" s="102"/>
      <c r="I110" s="103"/>
      <c r="J110" s="102"/>
      <c r="K110" s="103"/>
      <c r="L110" s="102"/>
      <c r="M110" s="103"/>
      <c r="N110" s="102"/>
      <c r="O110" s="103"/>
      <c r="P110" s="102"/>
      <c r="Q110" s="103"/>
      <c r="R110" s="102"/>
      <c r="S110" s="103"/>
    </row>
    <row r="111">
      <c r="A111" s="107"/>
      <c r="B111" s="102"/>
      <c r="C111" s="103"/>
      <c r="D111" s="102"/>
      <c r="E111" s="103"/>
      <c r="F111" s="102"/>
      <c r="G111" s="103"/>
      <c r="H111" s="102"/>
      <c r="I111" s="103"/>
      <c r="J111" s="102"/>
      <c r="K111" s="103"/>
      <c r="L111" s="102"/>
      <c r="M111" s="103"/>
      <c r="N111" s="102"/>
      <c r="O111" s="103"/>
      <c r="P111" s="102"/>
      <c r="Q111" s="103"/>
      <c r="R111" s="102"/>
      <c r="S111" s="103"/>
    </row>
    <row r="112">
      <c r="A112" s="107"/>
      <c r="B112" s="102"/>
      <c r="C112" s="103"/>
      <c r="D112" s="102"/>
      <c r="E112" s="103"/>
      <c r="F112" s="102"/>
      <c r="G112" s="103"/>
      <c r="H112" s="102"/>
      <c r="I112" s="103"/>
      <c r="J112" s="102"/>
      <c r="K112" s="103"/>
      <c r="L112" s="102"/>
      <c r="M112" s="103"/>
      <c r="N112" s="102"/>
      <c r="O112" s="103"/>
      <c r="P112" s="102"/>
      <c r="Q112" s="103"/>
      <c r="R112" s="102"/>
      <c r="S112" s="103"/>
    </row>
    <row r="113">
      <c r="A113" s="107"/>
      <c r="B113" s="102"/>
      <c r="C113" s="103"/>
      <c r="D113" s="102"/>
      <c r="E113" s="103"/>
      <c r="F113" s="102"/>
      <c r="G113" s="103"/>
      <c r="H113" s="102"/>
      <c r="I113" s="103"/>
      <c r="J113" s="102"/>
      <c r="K113" s="103"/>
      <c r="L113" s="102"/>
      <c r="M113" s="103"/>
      <c r="N113" s="102"/>
      <c r="O113" s="103"/>
      <c r="P113" s="102"/>
      <c r="Q113" s="103"/>
      <c r="R113" s="102"/>
      <c r="S113" s="103"/>
    </row>
    <row r="114">
      <c r="A114" s="107"/>
      <c r="B114" s="102"/>
      <c r="C114" s="103"/>
      <c r="D114" s="102"/>
      <c r="E114" s="103"/>
      <c r="F114" s="102"/>
      <c r="G114" s="103"/>
      <c r="H114" s="102"/>
      <c r="I114" s="103"/>
      <c r="J114" s="102"/>
      <c r="K114" s="103"/>
      <c r="L114" s="102"/>
      <c r="M114" s="103"/>
      <c r="N114" s="102"/>
      <c r="O114" s="103"/>
      <c r="P114" s="102"/>
      <c r="Q114" s="103"/>
      <c r="R114" s="102"/>
      <c r="S114" s="103"/>
    </row>
    <row r="115">
      <c r="A115" s="107"/>
      <c r="B115" s="102"/>
      <c r="C115" s="103"/>
      <c r="D115" s="102"/>
      <c r="E115" s="103"/>
      <c r="F115" s="102"/>
      <c r="G115" s="103"/>
      <c r="H115" s="102"/>
      <c r="I115" s="103"/>
      <c r="J115" s="102"/>
      <c r="K115" s="103"/>
      <c r="L115" s="102"/>
      <c r="M115" s="103"/>
      <c r="N115" s="102"/>
      <c r="O115" s="103"/>
      <c r="P115" s="102"/>
      <c r="Q115" s="103"/>
      <c r="R115" s="102"/>
      <c r="S115" s="103"/>
    </row>
    <row r="116">
      <c r="A116" s="107"/>
      <c r="B116" s="102"/>
      <c r="C116" s="103"/>
      <c r="D116" s="102"/>
      <c r="E116" s="103"/>
      <c r="F116" s="102"/>
      <c r="G116" s="103"/>
      <c r="H116" s="102"/>
      <c r="I116" s="103"/>
      <c r="J116" s="102"/>
      <c r="K116" s="103"/>
      <c r="L116" s="102"/>
      <c r="M116" s="103"/>
      <c r="N116" s="102"/>
      <c r="O116" s="103"/>
      <c r="P116" s="102"/>
      <c r="Q116" s="103"/>
      <c r="R116" s="102"/>
      <c r="S116" s="103"/>
    </row>
    <row r="117">
      <c r="A117" s="107"/>
      <c r="B117" s="102"/>
      <c r="C117" s="103"/>
      <c r="D117" s="102"/>
      <c r="E117" s="103"/>
      <c r="F117" s="102"/>
      <c r="G117" s="103"/>
      <c r="H117" s="102"/>
      <c r="I117" s="103"/>
      <c r="J117" s="102"/>
      <c r="K117" s="103"/>
      <c r="L117" s="102"/>
      <c r="M117" s="103"/>
      <c r="N117" s="102"/>
      <c r="O117" s="103"/>
      <c r="P117" s="102"/>
      <c r="Q117" s="103"/>
      <c r="R117" s="102"/>
      <c r="S117" s="103"/>
    </row>
    <row r="118">
      <c r="A118" s="107"/>
      <c r="B118" s="102"/>
      <c r="C118" s="103"/>
      <c r="D118" s="102"/>
      <c r="E118" s="103"/>
      <c r="F118" s="102"/>
      <c r="G118" s="103"/>
      <c r="H118" s="102"/>
      <c r="I118" s="103"/>
      <c r="J118" s="102"/>
      <c r="K118" s="103"/>
      <c r="L118" s="102"/>
      <c r="M118" s="103"/>
      <c r="N118" s="102"/>
      <c r="O118" s="103"/>
      <c r="P118" s="102"/>
      <c r="Q118" s="103"/>
      <c r="R118" s="102"/>
      <c r="S118" s="103"/>
    </row>
    <row r="119">
      <c r="A119" s="107"/>
      <c r="B119" s="102"/>
      <c r="C119" s="103"/>
      <c r="D119" s="102"/>
      <c r="E119" s="103"/>
      <c r="F119" s="102"/>
      <c r="G119" s="103"/>
      <c r="H119" s="102"/>
      <c r="I119" s="103"/>
      <c r="J119" s="102"/>
      <c r="K119" s="103"/>
      <c r="L119" s="102"/>
      <c r="M119" s="103"/>
      <c r="N119" s="102"/>
      <c r="O119" s="103"/>
      <c r="P119" s="102"/>
      <c r="Q119" s="103"/>
      <c r="R119" s="102"/>
      <c r="S119" s="103"/>
    </row>
    <row r="120">
      <c r="A120" s="107"/>
      <c r="B120" s="102"/>
      <c r="C120" s="103"/>
      <c r="D120" s="102"/>
      <c r="E120" s="103"/>
      <c r="F120" s="102"/>
      <c r="G120" s="103"/>
      <c r="H120" s="102"/>
      <c r="I120" s="103"/>
      <c r="J120" s="102"/>
      <c r="K120" s="103"/>
      <c r="L120" s="102"/>
      <c r="M120" s="103"/>
      <c r="N120" s="102"/>
      <c r="O120" s="103"/>
      <c r="P120" s="102"/>
      <c r="Q120" s="103"/>
      <c r="R120" s="102"/>
      <c r="S120" s="103"/>
    </row>
    <row r="121">
      <c r="A121" s="107"/>
      <c r="B121" s="102"/>
      <c r="C121" s="103"/>
      <c r="D121" s="102"/>
      <c r="E121" s="103"/>
      <c r="F121" s="102"/>
      <c r="G121" s="103"/>
      <c r="H121" s="102"/>
      <c r="I121" s="103"/>
      <c r="J121" s="102"/>
      <c r="K121" s="103"/>
      <c r="L121" s="102"/>
      <c r="M121" s="103"/>
      <c r="N121" s="102"/>
      <c r="O121" s="103"/>
      <c r="P121" s="102"/>
      <c r="Q121" s="103"/>
      <c r="R121" s="102"/>
      <c r="S121" s="103"/>
    </row>
    <row r="122">
      <c r="A122" s="107"/>
      <c r="B122" s="102"/>
      <c r="C122" s="103"/>
      <c r="D122" s="102"/>
      <c r="E122" s="103"/>
      <c r="F122" s="102"/>
      <c r="G122" s="103"/>
      <c r="H122" s="102"/>
      <c r="I122" s="103"/>
      <c r="J122" s="102"/>
      <c r="K122" s="103"/>
      <c r="L122" s="102"/>
      <c r="M122" s="103"/>
      <c r="N122" s="102"/>
      <c r="O122" s="103"/>
      <c r="P122" s="102"/>
      <c r="Q122" s="103"/>
      <c r="R122" s="102"/>
      <c r="S122" s="103"/>
    </row>
    <row r="123">
      <c r="A123" s="107"/>
      <c r="B123" s="102"/>
      <c r="C123" s="103"/>
      <c r="D123" s="102"/>
      <c r="E123" s="103"/>
      <c r="F123" s="102"/>
      <c r="G123" s="103"/>
      <c r="H123" s="102"/>
      <c r="I123" s="103"/>
      <c r="J123" s="102"/>
      <c r="K123" s="103"/>
      <c r="L123" s="102"/>
      <c r="M123" s="103"/>
      <c r="N123" s="102"/>
      <c r="O123" s="103"/>
      <c r="P123" s="102"/>
      <c r="Q123" s="103"/>
      <c r="R123" s="102"/>
      <c r="S123" s="103"/>
    </row>
    <row r="124">
      <c r="A124" s="107"/>
      <c r="B124" s="102"/>
      <c r="C124" s="103"/>
      <c r="D124" s="102"/>
      <c r="E124" s="103"/>
      <c r="F124" s="102"/>
      <c r="G124" s="103"/>
      <c r="H124" s="102"/>
      <c r="I124" s="103"/>
      <c r="J124" s="102"/>
      <c r="K124" s="103"/>
      <c r="L124" s="102"/>
      <c r="M124" s="103"/>
      <c r="N124" s="102"/>
      <c r="O124" s="103"/>
      <c r="P124" s="102"/>
      <c r="Q124" s="103"/>
      <c r="R124" s="102"/>
      <c r="S124" s="103"/>
    </row>
    <row r="125">
      <c r="A125" s="107"/>
      <c r="B125" s="102"/>
      <c r="C125" s="103"/>
      <c r="D125" s="102"/>
      <c r="E125" s="103"/>
      <c r="F125" s="102"/>
      <c r="G125" s="103"/>
      <c r="H125" s="102"/>
      <c r="I125" s="103"/>
      <c r="J125" s="102"/>
      <c r="K125" s="103"/>
      <c r="L125" s="102"/>
      <c r="M125" s="103"/>
      <c r="N125" s="102"/>
      <c r="O125" s="103"/>
      <c r="P125" s="102"/>
      <c r="Q125" s="103"/>
      <c r="R125" s="102"/>
      <c r="S125" s="103"/>
    </row>
    <row r="126">
      <c r="A126" s="107"/>
      <c r="B126" s="102"/>
      <c r="C126" s="103"/>
      <c r="D126" s="102"/>
      <c r="E126" s="103"/>
      <c r="F126" s="102"/>
      <c r="G126" s="103"/>
      <c r="H126" s="102"/>
      <c r="I126" s="103"/>
      <c r="J126" s="102"/>
      <c r="K126" s="103"/>
      <c r="L126" s="102"/>
      <c r="M126" s="103"/>
      <c r="N126" s="102"/>
      <c r="O126" s="103"/>
      <c r="P126" s="102"/>
      <c r="Q126" s="103"/>
      <c r="R126" s="102"/>
      <c r="S126" s="103"/>
    </row>
    <row r="127">
      <c r="A127" s="107"/>
      <c r="B127" s="102"/>
      <c r="C127" s="103"/>
      <c r="D127" s="102"/>
      <c r="E127" s="103"/>
      <c r="F127" s="102"/>
      <c r="G127" s="103"/>
      <c r="H127" s="102"/>
      <c r="I127" s="103"/>
      <c r="J127" s="102"/>
      <c r="K127" s="103"/>
      <c r="L127" s="102"/>
      <c r="M127" s="103"/>
      <c r="N127" s="102"/>
      <c r="O127" s="103"/>
      <c r="P127" s="102"/>
      <c r="Q127" s="103"/>
      <c r="R127" s="102"/>
      <c r="S127" s="103"/>
    </row>
    <row r="128">
      <c r="A128" s="107"/>
      <c r="B128" s="102"/>
      <c r="C128" s="103"/>
      <c r="D128" s="102"/>
      <c r="E128" s="103"/>
      <c r="F128" s="102"/>
      <c r="G128" s="103"/>
      <c r="H128" s="102"/>
      <c r="I128" s="103"/>
      <c r="J128" s="102"/>
      <c r="K128" s="103"/>
      <c r="L128" s="102"/>
      <c r="M128" s="103"/>
      <c r="N128" s="102"/>
      <c r="O128" s="103"/>
      <c r="P128" s="102"/>
      <c r="Q128" s="103"/>
      <c r="R128" s="102"/>
      <c r="S128" s="103"/>
    </row>
    <row r="129">
      <c r="A129" s="107"/>
      <c r="B129" s="102"/>
      <c r="C129" s="103"/>
      <c r="D129" s="102"/>
      <c r="E129" s="103"/>
      <c r="F129" s="102"/>
      <c r="G129" s="103"/>
      <c r="H129" s="102"/>
      <c r="I129" s="103"/>
      <c r="J129" s="102"/>
      <c r="K129" s="103"/>
      <c r="L129" s="102"/>
      <c r="M129" s="103"/>
      <c r="N129" s="102"/>
      <c r="O129" s="103"/>
      <c r="P129" s="102"/>
      <c r="Q129" s="103"/>
      <c r="R129" s="102"/>
      <c r="S129" s="103"/>
    </row>
    <row r="130">
      <c r="A130" s="107"/>
      <c r="B130" s="102"/>
      <c r="C130" s="103"/>
      <c r="D130" s="102"/>
      <c r="E130" s="103"/>
      <c r="F130" s="102"/>
      <c r="G130" s="103"/>
      <c r="H130" s="102"/>
      <c r="I130" s="103"/>
      <c r="J130" s="102"/>
      <c r="K130" s="103"/>
      <c r="L130" s="102"/>
      <c r="M130" s="103"/>
      <c r="N130" s="102"/>
      <c r="O130" s="103"/>
      <c r="P130" s="102"/>
      <c r="Q130" s="103"/>
      <c r="R130" s="102"/>
      <c r="S130" s="103"/>
    </row>
    <row r="131">
      <c r="A131" s="107"/>
      <c r="B131" s="102"/>
      <c r="C131" s="103"/>
      <c r="D131" s="102"/>
      <c r="E131" s="103"/>
      <c r="F131" s="102"/>
      <c r="G131" s="103"/>
      <c r="H131" s="102"/>
      <c r="I131" s="103"/>
      <c r="J131" s="102"/>
      <c r="K131" s="103"/>
      <c r="L131" s="102"/>
      <c r="M131" s="103"/>
      <c r="N131" s="102"/>
      <c r="O131" s="103"/>
      <c r="P131" s="102"/>
      <c r="Q131" s="103"/>
      <c r="R131" s="102"/>
      <c r="S131" s="103"/>
    </row>
    <row r="132">
      <c r="A132" s="107"/>
      <c r="B132" s="102"/>
      <c r="C132" s="103"/>
      <c r="D132" s="102"/>
      <c r="E132" s="103"/>
      <c r="F132" s="102"/>
      <c r="G132" s="103"/>
      <c r="H132" s="102"/>
      <c r="I132" s="103"/>
      <c r="J132" s="102"/>
      <c r="K132" s="103"/>
      <c r="L132" s="102"/>
      <c r="M132" s="103"/>
      <c r="N132" s="102"/>
      <c r="O132" s="103"/>
      <c r="P132" s="102"/>
      <c r="Q132" s="103"/>
      <c r="R132" s="102"/>
      <c r="S132" s="103"/>
    </row>
    <row r="133">
      <c r="A133" s="107"/>
      <c r="B133" s="102"/>
      <c r="C133" s="103"/>
      <c r="D133" s="102"/>
      <c r="E133" s="103"/>
      <c r="F133" s="102"/>
      <c r="G133" s="103"/>
      <c r="H133" s="102"/>
      <c r="I133" s="103"/>
      <c r="J133" s="102"/>
      <c r="K133" s="103"/>
      <c r="L133" s="102"/>
      <c r="M133" s="103"/>
      <c r="N133" s="102"/>
      <c r="O133" s="103"/>
      <c r="P133" s="102"/>
      <c r="Q133" s="103"/>
      <c r="R133" s="102"/>
      <c r="S133" s="103"/>
    </row>
    <row r="134">
      <c r="A134" s="107"/>
      <c r="B134" s="102"/>
      <c r="C134" s="103"/>
      <c r="D134" s="102"/>
      <c r="E134" s="103"/>
      <c r="F134" s="102"/>
      <c r="G134" s="103"/>
      <c r="H134" s="102"/>
      <c r="I134" s="103"/>
      <c r="J134" s="102"/>
      <c r="K134" s="103"/>
      <c r="L134" s="102"/>
      <c r="M134" s="103"/>
      <c r="N134" s="102"/>
      <c r="O134" s="103"/>
      <c r="P134" s="102"/>
      <c r="Q134" s="103"/>
      <c r="R134" s="102"/>
      <c r="S134" s="103"/>
    </row>
    <row r="135">
      <c r="A135" s="107"/>
      <c r="B135" s="102"/>
      <c r="C135" s="103"/>
      <c r="D135" s="102"/>
      <c r="E135" s="103"/>
      <c r="F135" s="102"/>
      <c r="G135" s="103"/>
      <c r="H135" s="102"/>
      <c r="I135" s="103"/>
      <c r="J135" s="102"/>
      <c r="K135" s="103"/>
      <c r="L135" s="102"/>
      <c r="M135" s="103"/>
      <c r="N135" s="102"/>
      <c r="O135" s="103"/>
      <c r="P135" s="102"/>
      <c r="Q135" s="103"/>
      <c r="R135" s="102"/>
      <c r="S135" s="103"/>
    </row>
    <row r="136">
      <c r="A136" s="107"/>
      <c r="B136" s="102"/>
      <c r="C136" s="103"/>
      <c r="D136" s="102"/>
      <c r="E136" s="103"/>
      <c r="F136" s="102"/>
      <c r="G136" s="103"/>
      <c r="H136" s="102"/>
      <c r="I136" s="103"/>
      <c r="J136" s="102"/>
      <c r="K136" s="103"/>
      <c r="L136" s="102"/>
      <c r="M136" s="103"/>
      <c r="N136" s="102"/>
      <c r="O136" s="103"/>
      <c r="P136" s="102"/>
      <c r="Q136" s="103"/>
      <c r="R136" s="102"/>
      <c r="S136" s="103"/>
    </row>
    <row r="137">
      <c r="A137" s="107"/>
      <c r="B137" s="102"/>
      <c r="C137" s="103"/>
      <c r="D137" s="102"/>
      <c r="E137" s="103"/>
      <c r="F137" s="102"/>
      <c r="G137" s="103"/>
      <c r="H137" s="102"/>
      <c r="I137" s="103"/>
      <c r="J137" s="102"/>
      <c r="K137" s="103"/>
      <c r="L137" s="102"/>
      <c r="M137" s="103"/>
      <c r="N137" s="102"/>
      <c r="O137" s="103"/>
      <c r="P137" s="102"/>
      <c r="Q137" s="103"/>
      <c r="R137" s="102"/>
      <c r="S137" s="103"/>
    </row>
    <row r="138">
      <c r="A138" s="107"/>
      <c r="B138" s="102"/>
      <c r="C138" s="103"/>
      <c r="D138" s="102"/>
      <c r="E138" s="103"/>
      <c r="F138" s="102"/>
      <c r="G138" s="103"/>
      <c r="H138" s="102"/>
      <c r="I138" s="103"/>
      <c r="J138" s="102"/>
      <c r="K138" s="103"/>
      <c r="L138" s="102"/>
      <c r="M138" s="103"/>
      <c r="N138" s="102"/>
      <c r="O138" s="103"/>
      <c r="P138" s="102"/>
      <c r="Q138" s="103"/>
      <c r="R138" s="102"/>
      <c r="S138" s="103"/>
    </row>
    <row r="139">
      <c r="A139" s="107"/>
      <c r="B139" s="102"/>
      <c r="C139" s="103"/>
      <c r="D139" s="102"/>
      <c r="E139" s="103"/>
      <c r="F139" s="102"/>
      <c r="G139" s="103"/>
      <c r="H139" s="102"/>
      <c r="I139" s="103"/>
      <c r="J139" s="102"/>
      <c r="K139" s="103"/>
      <c r="L139" s="102"/>
      <c r="M139" s="103"/>
      <c r="N139" s="102"/>
      <c r="O139" s="103"/>
      <c r="P139" s="102"/>
      <c r="Q139" s="103"/>
      <c r="R139" s="102"/>
      <c r="S139" s="103"/>
    </row>
    <row r="140">
      <c r="A140" s="107"/>
      <c r="B140" s="102"/>
      <c r="C140" s="103"/>
      <c r="D140" s="102"/>
      <c r="E140" s="103"/>
      <c r="F140" s="102"/>
      <c r="G140" s="103"/>
      <c r="H140" s="102"/>
      <c r="I140" s="103"/>
      <c r="J140" s="102"/>
      <c r="K140" s="103"/>
      <c r="L140" s="102"/>
      <c r="M140" s="103"/>
      <c r="N140" s="102"/>
      <c r="O140" s="103"/>
      <c r="P140" s="102"/>
      <c r="Q140" s="103"/>
      <c r="R140" s="102"/>
      <c r="S140" s="103"/>
    </row>
    <row r="141">
      <c r="A141" s="107"/>
      <c r="B141" s="102"/>
      <c r="C141" s="103"/>
      <c r="D141" s="102"/>
      <c r="E141" s="103"/>
      <c r="F141" s="102"/>
      <c r="G141" s="103"/>
      <c r="H141" s="102"/>
      <c r="I141" s="103"/>
      <c r="J141" s="102"/>
      <c r="K141" s="103"/>
      <c r="L141" s="102"/>
      <c r="M141" s="103"/>
      <c r="N141" s="102"/>
      <c r="O141" s="103"/>
      <c r="P141" s="102"/>
      <c r="Q141" s="103"/>
      <c r="R141" s="102"/>
      <c r="S141" s="103"/>
    </row>
    <row r="142">
      <c r="A142" s="107"/>
      <c r="B142" s="102"/>
      <c r="C142" s="103"/>
      <c r="D142" s="102"/>
      <c r="E142" s="103"/>
      <c r="F142" s="102"/>
      <c r="G142" s="103"/>
      <c r="H142" s="102"/>
      <c r="I142" s="103"/>
      <c r="J142" s="102"/>
      <c r="K142" s="103"/>
      <c r="L142" s="102"/>
      <c r="M142" s="103"/>
      <c r="N142" s="102"/>
      <c r="O142" s="103"/>
      <c r="P142" s="102"/>
      <c r="Q142" s="103"/>
      <c r="R142" s="102"/>
      <c r="S142" s="103"/>
    </row>
    <row r="143">
      <c r="A143" s="107"/>
      <c r="B143" s="102"/>
      <c r="C143" s="103"/>
      <c r="D143" s="102"/>
      <c r="E143" s="103"/>
      <c r="F143" s="102"/>
      <c r="G143" s="103"/>
      <c r="H143" s="102"/>
      <c r="I143" s="103"/>
      <c r="J143" s="102"/>
      <c r="K143" s="103"/>
      <c r="L143" s="102"/>
      <c r="M143" s="103"/>
      <c r="N143" s="102"/>
      <c r="O143" s="103"/>
      <c r="P143" s="102"/>
      <c r="Q143" s="103"/>
      <c r="R143" s="102"/>
      <c r="S143" s="103"/>
    </row>
    <row r="144">
      <c r="A144" s="107"/>
      <c r="B144" s="102"/>
      <c r="C144" s="103"/>
      <c r="D144" s="102"/>
      <c r="E144" s="103"/>
      <c r="F144" s="102"/>
      <c r="G144" s="103"/>
      <c r="H144" s="102"/>
      <c r="I144" s="103"/>
      <c r="J144" s="102"/>
      <c r="K144" s="103"/>
      <c r="L144" s="102"/>
      <c r="M144" s="103"/>
      <c r="N144" s="102"/>
      <c r="O144" s="103"/>
      <c r="P144" s="102"/>
      <c r="Q144" s="103"/>
      <c r="R144" s="102"/>
      <c r="S144" s="103"/>
    </row>
    <row r="145">
      <c r="A145" s="107"/>
      <c r="B145" s="102"/>
      <c r="C145" s="103"/>
      <c r="D145" s="102"/>
      <c r="E145" s="103"/>
      <c r="F145" s="102"/>
      <c r="G145" s="103"/>
      <c r="H145" s="102"/>
      <c r="I145" s="103"/>
      <c r="J145" s="102"/>
      <c r="K145" s="103"/>
      <c r="L145" s="102"/>
      <c r="M145" s="103"/>
      <c r="N145" s="102"/>
      <c r="O145" s="103"/>
      <c r="P145" s="102"/>
      <c r="Q145" s="103"/>
      <c r="R145" s="102"/>
      <c r="S145" s="103"/>
    </row>
    <row r="146">
      <c r="A146" s="107"/>
      <c r="B146" s="102"/>
      <c r="C146" s="103"/>
      <c r="D146" s="102"/>
      <c r="E146" s="103"/>
      <c r="F146" s="102"/>
      <c r="G146" s="103"/>
      <c r="H146" s="102"/>
      <c r="I146" s="103"/>
      <c r="J146" s="102"/>
      <c r="K146" s="103"/>
      <c r="L146" s="102"/>
      <c r="M146" s="103"/>
      <c r="N146" s="102"/>
      <c r="O146" s="103"/>
      <c r="P146" s="102"/>
      <c r="Q146" s="103"/>
      <c r="R146" s="102"/>
      <c r="S146" s="103"/>
    </row>
    <row r="147">
      <c r="A147" s="107"/>
      <c r="B147" s="102"/>
      <c r="C147" s="103"/>
      <c r="D147" s="102"/>
      <c r="E147" s="103"/>
      <c r="F147" s="102"/>
      <c r="G147" s="103"/>
      <c r="H147" s="102"/>
      <c r="I147" s="103"/>
      <c r="J147" s="102"/>
      <c r="K147" s="103"/>
      <c r="L147" s="102"/>
      <c r="M147" s="103"/>
      <c r="N147" s="102"/>
      <c r="O147" s="103"/>
      <c r="P147" s="102"/>
      <c r="Q147" s="103"/>
      <c r="R147" s="102"/>
      <c r="S147" s="103"/>
    </row>
    <row r="148">
      <c r="A148" s="107"/>
      <c r="B148" s="102"/>
      <c r="C148" s="103"/>
      <c r="D148" s="102"/>
      <c r="E148" s="103"/>
      <c r="F148" s="102"/>
      <c r="G148" s="103"/>
      <c r="H148" s="102"/>
      <c r="I148" s="103"/>
      <c r="J148" s="102"/>
      <c r="K148" s="103"/>
      <c r="L148" s="102"/>
      <c r="M148" s="103"/>
      <c r="N148" s="102"/>
      <c r="O148" s="103"/>
      <c r="P148" s="102"/>
      <c r="Q148" s="103"/>
      <c r="R148" s="102"/>
      <c r="S148" s="103"/>
    </row>
    <row r="149">
      <c r="A149" s="107"/>
      <c r="B149" s="102"/>
      <c r="C149" s="103"/>
      <c r="D149" s="102"/>
      <c r="E149" s="103"/>
      <c r="F149" s="102"/>
      <c r="G149" s="103"/>
      <c r="H149" s="102"/>
      <c r="I149" s="103"/>
      <c r="J149" s="102"/>
      <c r="K149" s="103"/>
      <c r="L149" s="102"/>
      <c r="M149" s="103"/>
      <c r="N149" s="102"/>
      <c r="O149" s="103"/>
      <c r="P149" s="102"/>
      <c r="Q149" s="103"/>
      <c r="R149" s="102"/>
      <c r="S149" s="103"/>
    </row>
    <row r="150">
      <c r="A150" s="107"/>
      <c r="B150" s="102"/>
      <c r="C150" s="103"/>
      <c r="D150" s="102"/>
      <c r="E150" s="103"/>
      <c r="F150" s="102"/>
      <c r="G150" s="103"/>
      <c r="H150" s="102"/>
      <c r="I150" s="103"/>
      <c r="J150" s="102"/>
      <c r="K150" s="103"/>
      <c r="L150" s="102"/>
      <c r="M150" s="103"/>
      <c r="N150" s="102"/>
      <c r="O150" s="103"/>
      <c r="P150" s="102"/>
      <c r="Q150" s="103"/>
      <c r="R150" s="102"/>
      <c r="S150" s="103"/>
    </row>
    <row r="151">
      <c r="A151" s="107"/>
      <c r="B151" s="102"/>
      <c r="C151" s="103"/>
      <c r="D151" s="102"/>
      <c r="E151" s="103"/>
      <c r="F151" s="102"/>
      <c r="G151" s="103"/>
      <c r="H151" s="102"/>
      <c r="I151" s="103"/>
      <c r="J151" s="102"/>
      <c r="K151" s="103"/>
      <c r="L151" s="102"/>
      <c r="M151" s="103"/>
      <c r="N151" s="102"/>
      <c r="O151" s="103"/>
      <c r="P151" s="102"/>
      <c r="Q151" s="103"/>
      <c r="R151" s="102"/>
      <c r="S151" s="103"/>
    </row>
    <row r="152">
      <c r="A152" s="107"/>
      <c r="B152" s="102"/>
      <c r="C152" s="103"/>
      <c r="D152" s="102"/>
      <c r="E152" s="103"/>
      <c r="F152" s="102"/>
      <c r="G152" s="103"/>
      <c r="H152" s="102"/>
      <c r="I152" s="103"/>
      <c r="J152" s="102"/>
      <c r="K152" s="103"/>
      <c r="L152" s="102"/>
      <c r="M152" s="103"/>
      <c r="N152" s="102"/>
      <c r="O152" s="103"/>
      <c r="P152" s="102"/>
      <c r="Q152" s="103"/>
      <c r="R152" s="102"/>
      <c r="S152" s="103"/>
    </row>
    <row r="153">
      <c r="A153" s="107"/>
      <c r="B153" s="102"/>
      <c r="C153" s="103"/>
      <c r="D153" s="102"/>
      <c r="E153" s="103"/>
      <c r="F153" s="102"/>
      <c r="G153" s="103"/>
      <c r="H153" s="102"/>
      <c r="I153" s="103"/>
      <c r="J153" s="102"/>
      <c r="K153" s="103"/>
      <c r="L153" s="102"/>
      <c r="M153" s="103"/>
      <c r="N153" s="102"/>
      <c r="O153" s="103"/>
      <c r="P153" s="102"/>
      <c r="Q153" s="103"/>
      <c r="R153" s="102"/>
      <c r="S153" s="103"/>
    </row>
    <row r="154">
      <c r="A154" s="107"/>
      <c r="B154" s="102"/>
      <c r="C154" s="103"/>
      <c r="D154" s="102"/>
      <c r="E154" s="103"/>
      <c r="F154" s="102"/>
      <c r="G154" s="103"/>
      <c r="H154" s="102"/>
      <c r="I154" s="103"/>
      <c r="J154" s="102"/>
      <c r="K154" s="103"/>
      <c r="L154" s="102"/>
      <c r="M154" s="103"/>
      <c r="N154" s="102"/>
      <c r="O154" s="103"/>
      <c r="P154" s="102"/>
      <c r="Q154" s="103"/>
      <c r="R154" s="102"/>
      <c r="S154" s="103"/>
    </row>
    <row r="155">
      <c r="A155" s="107"/>
      <c r="B155" s="102"/>
      <c r="C155" s="103"/>
      <c r="D155" s="102"/>
      <c r="E155" s="103"/>
      <c r="F155" s="102"/>
      <c r="G155" s="103"/>
      <c r="H155" s="102"/>
      <c r="I155" s="103"/>
      <c r="J155" s="102"/>
      <c r="K155" s="103"/>
      <c r="L155" s="102"/>
      <c r="M155" s="103"/>
      <c r="N155" s="102"/>
      <c r="O155" s="103"/>
      <c r="P155" s="102"/>
      <c r="Q155" s="103"/>
      <c r="R155" s="102"/>
      <c r="S155" s="103"/>
    </row>
    <row r="156">
      <c r="A156" s="107"/>
      <c r="B156" s="102"/>
      <c r="C156" s="103"/>
      <c r="D156" s="102"/>
      <c r="E156" s="103"/>
      <c r="F156" s="102"/>
      <c r="G156" s="103"/>
      <c r="H156" s="102"/>
      <c r="I156" s="103"/>
      <c r="J156" s="102"/>
      <c r="K156" s="103"/>
      <c r="L156" s="102"/>
      <c r="M156" s="103"/>
      <c r="N156" s="102"/>
      <c r="O156" s="103"/>
      <c r="P156" s="102"/>
      <c r="Q156" s="103"/>
      <c r="R156" s="102"/>
      <c r="S156" s="103"/>
    </row>
    <row r="157">
      <c r="A157" s="107"/>
      <c r="B157" s="102"/>
      <c r="C157" s="103"/>
      <c r="D157" s="102"/>
      <c r="E157" s="103"/>
      <c r="F157" s="102"/>
      <c r="G157" s="103"/>
      <c r="H157" s="102"/>
      <c r="I157" s="103"/>
      <c r="J157" s="102"/>
      <c r="K157" s="103"/>
      <c r="L157" s="102"/>
      <c r="M157" s="103"/>
      <c r="N157" s="102"/>
      <c r="O157" s="103"/>
      <c r="P157" s="102"/>
      <c r="Q157" s="103"/>
      <c r="R157" s="102"/>
      <c r="S157" s="103"/>
    </row>
    <row r="158">
      <c r="A158" s="107"/>
      <c r="B158" s="102"/>
      <c r="C158" s="103"/>
      <c r="D158" s="102"/>
      <c r="E158" s="103"/>
      <c r="F158" s="102"/>
      <c r="G158" s="103"/>
      <c r="H158" s="102"/>
      <c r="I158" s="103"/>
      <c r="J158" s="102"/>
      <c r="K158" s="103"/>
      <c r="L158" s="102"/>
      <c r="M158" s="103"/>
      <c r="N158" s="102"/>
      <c r="O158" s="103"/>
      <c r="P158" s="102"/>
      <c r="Q158" s="103"/>
      <c r="R158" s="102"/>
      <c r="S158" s="103"/>
    </row>
    <row r="159">
      <c r="A159" s="107"/>
      <c r="B159" s="102"/>
      <c r="C159" s="103"/>
      <c r="D159" s="102"/>
      <c r="E159" s="103"/>
      <c r="F159" s="102"/>
      <c r="G159" s="103"/>
      <c r="H159" s="102"/>
      <c r="I159" s="103"/>
      <c r="J159" s="102"/>
      <c r="K159" s="103"/>
      <c r="L159" s="102"/>
      <c r="M159" s="103"/>
      <c r="N159" s="102"/>
      <c r="O159" s="103"/>
      <c r="P159" s="102"/>
      <c r="Q159" s="103"/>
      <c r="R159" s="102"/>
      <c r="S159" s="103"/>
    </row>
    <row r="160">
      <c r="A160" s="107"/>
      <c r="B160" s="102"/>
      <c r="C160" s="103"/>
      <c r="D160" s="102"/>
      <c r="E160" s="103"/>
      <c r="F160" s="102"/>
      <c r="G160" s="103"/>
      <c r="H160" s="102"/>
      <c r="I160" s="103"/>
      <c r="J160" s="102"/>
      <c r="K160" s="103"/>
      <c r="L160" s="102"/>
      <c r="M160" s="103"/>
      <c r="N160" s="102"/>
      <c r="O160" s="103"/>
      <c r="P160" s="102"/>
      <c r="Q160" s="103"/>
      <c r="R160" s="102"/>
      <c r="S160" s="103"/>
    </row>
    <row r="161">
      <c r="A161" s="107"/>
      <c r="B161" s="102"/>
      <c r="C161" s="103"/>
      <c r="D161" s="102"/>
      <c r="E161" s="103"/>
      <c r="F161" s="102"/>
      <c r="G161" s="103"/>
      <c r="H161" s="102"/>
      <c r="I161" s="103"/>
      <c r="J161" s="102"/>
      <c r="K161" s="103"/>
      <c r="L161" s="102"/>
      <c r="M161" s="103"/>
      <c r="N161" s="102"/>
      <c r="O161" s="103"/>
      <c r="P161" s="102"/>
      <c r="Q161" s="103"/>
      <c r="R161" s="102"/>
      <c r="S161" s="103"/>
    </row>
    <row r="162">
      <c r="A162" s="107"/>
      <c r="B162" s="102"/>
      <c r="C162" s="103"/>
      <c r="D162" s="102"/>
      <c r="E162" s="103"/>
      <c r="F162" s="102"/>
      <c r="G162" s="103"/>
      <c r="H162" s="102"/>
      <c r="I162" s="103"/>
      <c r="J162" s="102"/>
      <c r="K162" s="103"/>
      <c r="L162" s="102"/>
      <c r="M162" s="103"/>
      <c r="N162" s="102"/>
      <c r="O162" s="103"/>
      <c r="P162" s="102"/>
      <c r="Q162" s="103"/>
      <c r="R162" s="102"/>
      <c r="S162" s="103"/>
    </row>
    <row r="163">
      <c r="A163" s="107"/>
      <c r="B163" s="102"/>
      <c r="C163" s="103"/>
      <c r="D163" s="102"/>
      <c r="E163" s="103"/>
      <c r="F163" s="102"/>
      <c r="G163" s="103"/>
      <c r="H163" s="102"/>
      <c r="I163" s="103"/>
      <c r="J163" s="102"/>
      <c r="K163" s="103"/>
      <c r="L163" s="102"/>
      <c r="M163" s="103"/>
      <c r="N163" s="102"/>
      <c r="O163" s="103"/>
      <c r="P163" s="102"/>
      <c r="Q163" s="103"/>
      <c r="R163" s="102"/>
      <c r="S163" s="103"/>
    </row>
    <row r="164">
      <c r="A164" s="107"/>
      <c r="B164" s="102"/>
      <c r="C164" s="103"/>
      <c r="D164" s="102"/>
      <c r="E164" s="103"/>
      <c r="F164" s="102"/>
      <c r="G164" s="103"/>
      <c r="H164" s="102"/>
      <c r="I164" s="103"/>
      <c r="J164" s="102"/>
      <c r="K164" s="103"/>
      <c r="L164" s="102"/>
      <c r="M164" s="103"/>
      <c r="N164" s="102"/>
      <c r="O164" s="103"/>
      <c r="P164" s="102"/>
      <c r="Q164" s="103"/>
      <c r="R164" s="102"/>
      <c r="S164" s="103"/>
    </row>
    <row r="165">
      <c r="A165" s="107"/>
      <c r="B165" s="102"/>
      <c r="C165" s="103"/>
      <c r="D165" s="102"/>
      <c r="E165" s="103"/>
      <c r="F165" s="102"/>
      <c r="G165" s="103"/>
      <c r="H165" s="102"/>
      <c r="I165" s="103"/>
      <c r="J165" s="102"/>
      <c r="K165" s="103"/>
      <c r="L165" s="102"/>
      <c r="M165" s="103"/>
      <c r="N165" s="102"/>
      <c r="O165" s="103"/>
      <c r="P165" s="102"/>
      <c r="Q165" s="103"/>
      <c r="R165" s="102"/>
      <c r="S165" s="103"/>
    </row>
    <row r="166">
      <c r="A166" s="107"/>
      <c r="B166" s="102"/>
      <c r="C166" s="103"/>
      <c r="D166" s="102"/>
      <c r="E166" s="103"/>
      <c r="F166" s="102"/>
      <c r="G166" s="103"/>
      <c r="H166" s="102"/>
      <c r="I166" s="103"/>
      <c r="J166" s="102"/>
      <c r="K166" s="103"/>
      <c r="L166" s="102"/>
      <c r="M166" s="103"/>
      <c r="N166" s="102"/>
      <c r="O166" s="103"/>
      <c r="P166" s="102"/>
      <c r="Q166" s="103"/>
      <c r="R166" s="102"/>
      <c r="S166" s="103"/>
    </row>
    <row r="167">
      <c r="A167" s="107"/>
      <c r="B167" s="102"/>
      <c r="C167" s="103"/>
      <c r="D167" s="102"/>
      <c r="E167" s="103"/>
      <c r="F167" s="102"/>
      <c r="G167" s="103"/>
      <c r="H167" s="102"/>
      <c r="I167" s="103"/>
      <c r="J167" s="102"/>
      <c r="K167" s="103"/>
      <c r="L167" s="102"/>
      <c r="M167" s="103"/>
      <c r="N167" s="102"/>
      <c r="O167" s="103"/>
      <c r="P167" s="102"/>
      <c r="Q167" s="103"/>
      <c r="R167" s="102"/>
      <c r="S167" s="103"/>
    </row>
    <row r="168">
      <c r="A168" s="107"/>
      <c r="B168" s="102"/>
      <c r="C168" s="103"/>
      <c r="D168" s="102"/>
      <c r="E168" s="103"/>
      <c r="F168" s="102"/>
      <c r="G168" s="103"/>
      <c r="H168" s="102"/>
      <c r="I168" s="103"/>
      <c r="J168" s="102"/>
      <c r="K168" s="103"/>
      <c r="L168" s="102"/>
      <c r="M168" s="103"/>
      <c r="N168" s="102"/>
      <c r="O168" s="103"/>
      <c r="P168" s="102"/>
      <c r="Q168" s="103"/>
      <c r="R168" s="102"/>
      <c r="S168" s="103"/>
    </row>
    <row r="169">
      <c r="A169" s="107"/>
      <c r="B169" s="102"/>
      <c r="C169" s="103"/>
      <c r="D169" s="102"/>
      <c r="E169" s="103"/>
      <c r="F169" s="102"/>
      <c r="G169" s="103"/>
      <c r="H169" s="102"/>
      <c r="I169" s="103"/>
      <c r="J169" s="102"/>
      <c r="K169" s="103"/>
      <c r="L169" s="102"/>
      <c r="M169" s="103"/>
      <c r="N169" s="102"/>
      <c r="O169" s="103"/>
      <c r="P169" s="102"/>
      <c r="Q169" s="103"/>
      <c r="R169" s="102"/>
      <c r="S169" s="103"/>
    </row>
    <row r="170">
      <c r="A170" s="107"/>
      <c r="B170" s="102"/>
      <c r="C170" s="103"/>
      <c r="D170" s="102"/>
      <c r="E170" s="103"/>
      <c r="F170" s="102"/>
      <c r="G170" s="103"/>
      <c r="H170" s="102"/>
      <c r="I170" s="103"/>
      <c r="J170" s="102"/>
      <c r="K170" s="103"/>
      <c r="L170" s="102"/>
      <c r="M170" s="103"/>
      <c r="N170" s="102"/>
      <c r="O170" s="103"/>
      <c r="P170" s="102"/>
      <c r="Q170" s="103"/>
      <c r="R170" s="102"/>
      <c r="S170" s="103"/>
    </row>
    <row r="171">
      <c r="A171" s="107"/>
      <c r="B171" s="102"/>
      <c r="C171" s="103"/>
      <c r="D171" s="102"/>
      <c r="E171" s="103"/>
      <c r="F171" s="102"/>
      <c r="G171" s="103"/>
      <c r="H171" s="102"/>
      <c r="I171" s="103"/>
      <c r="J171" s="102"/>
      <c r="K171" s="103"/>
      <c r="L171" s="102"/>
      <c r="M171" s="103"/>
      <c r="N171" s="102"/>
      <c r="O171" s="103"/>
      <c r="P171" s="102"/>
      <c r="Q171" s="103"/>
      <c r="R171" s="102"/>
      <c r="S171" s="103"/>
    </row>
    <row r="172">
      <c r="A172" s="107"/>
      <c r="B172" s="102"/>
      <c r="C172" s="103"/>
      <c r="D172" s="102"/>
      <c r="E172" s="103"/>
      <c r="F172" s="102"/>
      <c r="G172" s="103"/>
      <c r="H172" s="102"/>
      <c r="I172" s="103"/>
      <c r="J172" s="102"/>
      <c r="K172" s="103"/>
      <c r="L172" s="102"/>
      <c r="M172" s="103"/>
      <c r="N172" s="102"/>
      <c r="O172" s="103"/>
      <c r="P172" s="102"/>
      <c r="Q172" s="103"/>
      <c r="R172" s="102"/>
      <c r="S172" s="103"/>
    </row>
    <row r="173">
      <c r="A173" s="107"/>
      <c r="B173" s="102"/>
      <c r="C173" s="103"/>
      <c r="D173" s="102"/>
      <c r="E173" s="103"/>
      <c r="F173" s="102"/>
      <c r="G173" s="103"/>
      <c r="H173" s="102"/>
      <c r="I173" s="103"/>
      <c r="J173" s="102"/>
      <c r="K173" s="103"/>
      <c r="L173" s="102"/>
      <c r="M173" s="103"/>
      <c r="N173" s="102"/>
      <c r="O173" s="103"/>
      <c r="P173" s="102"/>
      <c r="Q173" s="103"/>
      <c r="R173" s="102"/>
      <c r="S173" s="103"/>
    </row>
    <row r="174">
      <c r="A174" s="107"/>
      <c r="B174" s="102"/>
      <c r="C174" s="103"/>
      <c r="D174" s="102"/>
      <c r="E174" s="103"/>
      <c r="F174" s="102"/>
      <c r="G174" s="103"/>
      <c r="H174" s="102"/>
      <c r="I174" s="103"/>
      <c r="J174" s="102"/>
      <c r="K174" s="103"/>
      <c r="L174" s="102"/>
      <c r="M174" s="103"/>
      <c r="N174" s="102"/>
      <c r="O174" s="103"/>
      <c r="P174" s="102"/>
      <c r="Q174" s="103"/>
      <c r="R174" s="102"/>
      <c r="S174" s="103"/>
    </row>
    <row r="175">
      <c r="A175" s="107"/>
      <c r="B175" s="102"/>
      <c r="C175" s="103"/>
      <c r="D175" s="102"/>
      <c r="E175" s="103"/>
      <c r="F175" s="102"/>
      <c r="G175" s="103"/>
      <c r="H175" s="102"/>
      <c r="I175" s="103"/>
      <c r="J175" s="102"/>
      <c r="K175" s="103"/>
      <c r="L175" s="102"/>
      <c r="M175" s="103"/>
      <c r="N175" s="102"/>
      <c r="O175" s="103"/>
      <c r="P175" s="102"/>
      <c r="Q175" s="103"/>
      <c r="R175" s="102"/>
      <c r="S175" s="103"/>
    </row>
    <row r="176">
      <c r="A176" s="107"/>
      <c r="B176" s="102"/>
      <c r="C176" s="103"/>
      <c r="D176" s="102"/>
      <c r="E176" s="103"/>
      <c r="F176" s="102"/>
      <c r="G176" s="103"/>
      <c r="H176" s="102"/>
      <c r="I176" s="103"/>
      <c r="J176" s="102"/>
      <c r="K176" s="103"/>
      <c r="L176" s="102"/>
      <c r="M176" s="103"/>
      <c r="N176" s="102"/>
      <c r="O176" s="103"/>
      <c r="P176" s="102"/>
      <c r="Q176" s="103"/>
      <c r="R176" s="102"/>
      <c r="S176" s="103"/>
    </row>
    <row r="177">
      <c r="A177" s="107"/>
      <c r="B177" s="102"/>
      <c r="C177" s="103"/>
      <c r="D177" s="102"/>
      <c r="E177" s="103"/>
      <c r="F177" s="102"/>
      <c r="G177" s="103"/>
      <c r="H177" s="102"/>
      <c r="I177" s="103"/>
      <c r="J177" s="102"/>
      <c r="K177" s="103"/>
      <c r="L177" s="102"/>
      <c r="M177" s="103"/>
      <c r="N177" s="102"/>
      <c r="O177" s="103"/>
      <c r="P177" s="102"/>
      <c r="Q177" s="103"/>
      <c r="R177" s="102"/>
      <c r="S177" s="103"/>
    </row>
    <row r="178">
      <c r="A178" s="107"/>
      <c r="B178" s="102"/>
      <c r="C178" s="103"/>
      <c r="D178" s="102"/>
      <c r="E178" s="103"/>
      <c r="F178" s="102"/>
      <c r="G178" s="103"/>
      <c r="H178" s="102"/>
      <c r="I178" s="103"/>
      <c r="J178" s="102"/>
      <c r="K178" s="103"/>
      <c r="L178" s="102"/>
      <c r="M178" s="103"/>
      <c r="N178" s="102"/>
      <c r="O178" s="103"/>
      <c r="P178" s="102"/>
      <c r="Q178" s="103"/>
      <c r="R178" s="102"/>
      <c r="S178" s="103"/>
    </row>
    <row r="179">
      <c r="A179" s="107"/>
      <c r="B179" s="102"/>
      <c r="C179" s="103"/>
      <c r="D179" s="102"/>
      <c r="E179" s="103"/>
      <c r="F179" s="102"/>
      <c r="G179" s="103"/>
      <c r="H179" s="102"/>
      <c r="I179" s="103"/>
      <c r="J179" s="102"/>
      <c r="K179" s="103"/>
      <c r="L179" s="102"/>
      <c r="M179" s="103"/>
      <c r="N179" s="102"/>
      <c r="O179" s="103"/>
      <c r="P179" s="102"/>
      <c r="Q179" s="103"/>
      <c r="R179" s="102"/>
      <c r="S179" s="103"/>
    </row>
    <row r="180">
      <c r="A180" s="107"/>
      <c r="B180" s="102"/>
      <c r="C180" s="103"/>
      <c r="D180" s="102"/>
      <c r="E180" s="103"/>
      <c r="F180" s="102"/>
      <c r="G180" s="103"/>
      <c r="H180" s="102"/>
      <c r="I180" s="103"/>
      <c r="J180" s="102"/>
      <c r="K180" s="103"/>
      <c r="L180" s="102"/>
      <c r="M180" s="103"/>
      <c r="N180" s="102"/>
      <c r="O180" s="103"/>
      <c r="P180" s="102"/>
      <c r="Q180" s="103"/>
      <c r="R180" s="102"/>
      <c r="S180" s="103"/>
    </row>
    <row r="181">
      <c r="A181" s="107"/>
      <c r="B181" s="102"/>
      <c r="C181" s="103"/>
      <c r="D181" s="102"/>
      <c r="E181" s="103"/>
      <c r="F181" s="102"/>
      <c r="G181" s="103"/>
      <c r="H181" s="102"/>
      <c r="I181" s="103"/>
      <c r="J181" s="102"/>
      <c r="K181" s="103"/>
      <c r="L181" s="102"/>
      <c r="M181" s="103"/>
      <c r="N181" s="102"/>
      <c r="O181" s="103"/>
      <c r="P181" s="102"/>
      <c r="Q181" s="103"/>
      <c r="R181" s="102"/>
      <c r="S181" s="103"/>
    </row>
    <row r="182">
      <c r="A182" s="107"/>
      <c r="B182" s="102"/>
      <c r="C182" s="103"/>
      <c r="D182" s="102"/>
      <c r="E182" s="103"/>
      <c r="F182" s="102"/>
      <c r="G182" s="103"/>
      <c r="H182" s="102"/>
      <c r="I182" s="103"/>
      <c r="J182" s="102"/>
      <c r="K182" s="103"/>
      <c r="L182" s="102"/>
      <c r="M182" s="103"/>
      <c r="N182" s="102"/>
      <c r="O182" s="103"/>
      <c r="P182" s="102"/>
      <c r="Q182" s="103"/>
      <c r="R182" s="102"/>
      <c r="S182" s="103"/>
    </row>
    <row r="183">
      <c r="A183" s="107"/>
      <c r="B183" s="102"/>
      <c r="C183" s="103"/>
      <c r="D183" s="102"/>
      <c r="E183" s="103"/>
      <c r="F183" s="102"/>
      <c r="G183" s="103"/>
      <c r="H183" s="102"/>
      <c r="I183" s="103"/>
      <c r="J183" s="102"/>
      <c r="K183" s="103"/>
      <c r="L183" s="102"/>
      <c r="M183" s="103"/>
      <c r="N183" s="102"/>
      <c r="O183" s="103"/>
      <c r="P183" s="102"/>
      <c r="Q183" s="103"/>
      <c r="R183" s="102"/>
      <c r="S183" s="103"/>
    </row>
    <row r="184">
      <c r="A184" s="107"/>
      <c r="B184" s="102"/>
      <c r="C184" s="103"/>
      <c r="D184" s="102"/>
      <c r="E184" s="103"/>
      <c r="F184" s="102"/>
      <c r="G184" s="103"/>
      <c r="H184" s="102"/>
      <c r="I184" s="103"/>
      <c r="J184" s="102"/>
      <c r="K184" s="103"/>
      <c r="L184" s="102"/>
      <c r="M184" s="103"/>
      <c r="N184" s="102"/>
      <c r="O184" s="103"/>
      <c r="P184" s="102"/>
      <c r="Q184" s="103"/>
      <c r="R184" s="102"/>
      <c r="S184" s="103"/>
    </row>
    <row r="185">
      <c r="A185" s="107"/>
      <c r="B185" s="102"/>
      <c r="C185" s="103"/>
      <c r="D185" s="102"/>
      <c r="E185" s="103"/>
      <c r="F185" s="102"/>
      <c r="G185" s="103"/>
      <c r="H185" s="102"/>
      <c r="I185" s="103"/>
      <c r="J185" s="102"/>
      <c r="K185" s="103"/>
      <c r="L185" s="102"/>
      <c r="M185" s="103"/>
      <c r="N185" s="102"/>
      <c r="O185" s="103"/>
      <c r="P185" s="102"/>
      <c r="Q185" s="103"/>
      <c r="R185" s="102"/>
      <c r="S185" s="103"/>
    </row>
    <row r="186">
      <c r="A186" s="107"/>
      <c r="B186" s="102"/>
      <c r="C186" s="103"/>
      <c r="D186" s="102"/>
      <c r="E186" s="103"/>
      <c r="F186" s="102"/>
      <c r="G186" s="103"/>
      <c r="H186" s="102"/>
      <c r="I186" s="103"/>
      <c r="J186" s="102"/>
      <c r="K186" s="103"/>
      <c r="L186" s="102"/>
      <c r="M186" s="103"/>
      <c r="N186" s="102"/>
      <c r="O186" s="103"/>
      <c r="P186" s="102"/>
      <c r="Q186" s="103"/>
      <c r="R186" s="102"/>
      <c r="S186" s="103"/>
    </row>
    <row r="187">
      <c r="A187" s="107"/>
      <c r="B187" s="102"/>
      <c r="C187" s="103"/>
      <c r="D187" s="102"/>
      <c r="E187" s="103"/>
      <c r="F187" s="102"/>
      <c r="G187" s="103"/>
      <c r="H187" s="102"/>
      <c r="I187" s="103"/>
      <c r="J187" s="102"/>
      <c r="K187" s="103"/>
      <c r="L187" s="102"/>
      <c r="M187" s="103"/>
      <c r="N187" s="102"/>
      <c r="O187" s="103"/>
      <c r="P187" s="102"/>
      <c r="Q187" s="103"/>
      <c r="R187" s="102"/>
      <c r="S187" s="103"/>
    </row>
    <row r="188">
      <c r="A188" s="107"/>
      <c r="B188" s="102"/>
      <c r="C188" s="103"/>
      <c r="D188" s="102"/>
      <c r="E188" s="103"/>
      <c r="F188" s="102"/>
      <c r="G188" s="103"/>
      <c r="H188" s="102"/>
      <c r="I188" s="103"/>
      <c r="J188" s="102"/>
      <c r="K188" s="103"/>
      <c r="L188" s="102"/>
      <c r="M188" s="103"/>
      <c r="N188" s="102"/>
      <c r="O188" s="103"/>
      <c r="P188" s="102"/>
      <c r="Q188" s="103"/>
      <c r="R188" s="102"/>
      <c r="S188" s="103"/>
    </row>
    <row r="189">
      <c r="A189" s="107"/>
      <c r="B189" s="102"/>
      <c r="C189" s="103"/>
      <c r="D189" s="102"/>
      <c r="E189" s="103"/>
      <c r="F189" s="102"/>
      <c r="G189" s="103"/>
      <c r="H189" s="102"/>
      <c r="I189" s="103"/>
      <c r="J189" s="102"/>
      <c r="K189" s="103"/>
      <c r="L189" s="102"/>
      <c r="M189" s="103"/>
      <c r="N189" s="102"/>
      <c r="O189" s="103"/>
      <c r="P189" s="102"/>
      <c r="Q189" s="103"/>
      <c r="R189" s="102"/>
      <c r="S189" s="103"/>
    </row>
    <row r="190">
      <c r="A190" s="107"/>
      <c r="B190" s="102"/>
      <c r="C190" s="103"/>
      <c r="D190" s="102"/>
      <c r="E190" s="103"/>
      <c r="F190" s="102"/>
      <c r="G190" s="103"/>
      <c r="H190" s="102"/>
      <c r="I190" s="103"/>
      <c r="J190" s="102"/>
      <c r="K190" s="103"/>
      <c r="L190" s="102"/>
      <c r="M190" s="103"/>
      <c r="N190" s="102"/>
      <c r="O190" s="103"/>
      <c r="P190" s="102"/>
      <c r="Q190" s="103"/>
      <c r="R190" s="102"/>
      <c r="S190" s="103"/>
    </row>
    <row r="191">
      <c r="A191" s="107"/>
      <c r="B191" s="102"/>
      <c r="C191" s="103"/>
      <c r="D191" s="102"/>
      <c r="E191" s="103"/>
      <c r="F191" s="102"/>
      <c r="G191" s="103"/>
      <c r="H191" s="102"/>
      <c r="I191" s="103"/>
      <c r="J191" s="102"/>
      <c r="K191" s="103"/>
      <c r="L191" s="102"/>
      <c r="M191" s="103"/>
      <c r="N191" s="102"/>
      <c r="O191" s="103"/>
      <c r="P191" s="102"/>
      <c r="Q191" s="103"/>
      <c r="R191" s="102"/>
      <c r="S191" s="103"/>
    </row>
    <row r="192">
      <c r="A192" s="107"/>
      <c r="B192" s="102"/>
      <c r="C192" s="103"/>
      <c r="D192" s="102"/>
      <c r="E192" s="103"/>
      <c r="F192" s="102"/>
      <c r="G192" s="103"/>
      <c r="H192" s="102"/>
      <c r="I192" s="103"/>
      <c r="J192" s="102"/>
      <c r="K192" s="103"/>
      <c r="L192" s="102"/>
      <c r="M192" s="103"/>
      <c r="N192" s="102"/>
      <c r="O192" s="103"/>
      <c r="P192" s="102"/>
      <c r="Q192" s="103"/>
      <c r="R192" s="102"/>
      <c r="S192" s="103"/>
    </row>
    <row r="193">
      <c r="A193" s="107"/>
      <c r="B193" s="102"/>
      <c r="C193" s="103"/>
      <c r="D193" s="102"/>
      <c r="E193" s="103"/>
      <c r="F193" s="102"/>
      <c r="G193" s="103"/>
      <c r="H193" s="102"/>
      <c r="I193" s="103"/>
      <c r="J193" s="102"/>
      <c r="K193" s="103"/>
      <c r="L193" s="102"/>
      <c r="M193" s="103"/>
      <c r="N193" s="102"/>
      <c r="O193" s="103"/>
      <c r="P193" s="102"/>
      <c r="Q193" s="103"/>
      <c r="R193" s="102"/>
      <c r="S193" s="103"/>
    </row>
    <row r="194">
      <c r="A194" s="107"/>
      <c r="B194" s="102"/>
      <c r="C194" s="103"/>
      <c r="D194" s="102"/>
      <c r="E194" s="103"/>
      <c r="F194" s="102"/>
      <c r="G194" s="103"/>
      <c r="H194" s="102"/>
      <c r="I194" s="103"/>
      <c r="J194" s="102"/>
      <c r="K194" s="103"/>
      <c r="L194" s="102"/>
      <c r="M194" s="103"/>
      <c r="N194" s="102"/>
      <c r="O194" s="103"/>
      <c r="P194" s="102"/>
      <c r="Q194" s="103"/>
      <c r="R194" s="102"/>
      <c r="S194" s="103"/>
    </row>
    <row r="195">
      <c r="A195" s="107"/>
      <c r="B195" s="102"/>
      <c r="C195" s="103"/>
      <c r="D195" s="102"/>
      <c r="E195" s="103"/>
      <c r="F195" s="102"/>
      <c r="G195" s="103"/>
      <c r="H195" s="102"/>
      <c r="I195" s="103"/>
      <c r="J195" s="102"/>
      <c r="K195" s="103"/>
      <c r="L195" s="102"/>
      <c r="M195" s="103"/>
      <c r="N195" s="102"/>
      <c r="O195" s="103"/>
      <c r="P195" s="102"/>
      <c r="Q195" s="103"/>
      <c r="R195" s="102"/>
      <c r="S195" s="103"/>
    </row>
    <row r="196">
      <c r="A196" s="107"/>
      <c r="B196" s="102"/>
      <c r="C196" s="103"/>
      <c r="D196" s="102"/>
      <c r="E196" s="103"/>
      <c r="F196" s="102"/>
      <c r="G196" s="103"/>
      <c r="H196" s="102"/>
      <c r="I196" s="103"/>
      <c r="J196" s="102"/>
      <c r="K196" s="103"/>
      <c r="L196" s="102"/>
      <c r="M196" s="103"/>
      <c r="N196" s="102"/>
      <c r="O196" s="103"/>
      <c r="P196" s="102"/>
      <c r="Q196" s="103"/>
      <c r="R196" s="102"/>
      <c r="S196" s="103"/>
    </row>
    <row r="197">
      <c r="A197" s="107"/>
      <c r="B197" s="102"/>
      <c r="C197" s="103"/>
      <c r="D197" s="102"/>
      <c r="E197" s="103"/>
      <c r="F197" s="102"/>
      <c r="G197" s="103"/>
      <c r="H197" s="102"/>
      <c r="I197" s="103"/>
      <c r="J197" s="102"/>
      <c r="K197" s="103"/>
      <c r="L197" s="102"/>
      <c r="M197" s="103"/>
      <c r="N197" s="102"/>
      <c r="O197" s="103"/>
      <c r="P197" s="102"/>
      <c r="Q197" s="103"/>
      <c r="R197" s="102"/>
      <c r="S197" s="103"/>
    </row>
    <row r="198">
      <c r="A198" s="107"/>
      <c r="B198" s="102"/>
      <c r="C198" s="103"/>
      <c r="D198" s="102"/>
      <c r="E198" s="103"/>
      <c r="F198" s="102"/>
      <c r="G198" s="103"/>
      <c r="H198" s="102"/>
      <c r="I198" s="103"/>
      <c r="J198" s="102"/>
      <c r="K198" s="103"/>
      <c r="L198" s="102"/>
      <c r="M198" s="103"/>
      <c r="N198" s="102"/>
      <c r="O198" s="103"/>
      <c r="P198" s="102"/>
      <c r="Q198" s="103"/>
      <c r="R198" s="102"/>
      <c r="S198" s="103"/>
    </row>
    <row r="199">
      <c r="A199" s="107"/>
      <c r="B199" s="102"/>
      <c r="C199" s="103"/>
      <c r="D199" s="102"/>
      <c r="E199" s="103"/>
      <c r="F199" s="102"/>
      <c r="G199" s="103"/>
      <c r="H199" s="102"/>
      <c r="I199" s="103"/>
      <c r="J199" s="102"/>
      <c r="K199" s="103"/>
      <c r="L199" s="102"/>
      <c r="M199" s="103"/>
      <c r="N199" s="102"/>
      <c r="O199" s="103"/>
      <c r="P199" s="102"/>
      <c r="Q199" s="103"/>
      <c r="R199" s="102"/>
      <c r="S199" s="103"/>
    </row>
    <row r="200">
      <c r="A200" s="107"/>
      <c r="B200" s="102"/>
      <c r="C200" s="103"/>
      <c r="D200" s="102"/>
      <c r="E200" s="103"/>
      <c r="F200" s="102"/>
      <c r="G200" s="103"/>
      <c r="H200" s="102"/>
      <c r="I200" s="103"/>
      <c r="J200" s="102"/>
      <c r="K200" s="103"/>
      <c r="L200" s="102"/>
      <c r="M200" s="103"/>
      <c r="N200" s="102"/>
      <c r="O200" s="103"/>
      <c r="P200" s="102"/>
      <c r="Q200" s="103"/>
      <c r="R200" s="102"/>
      <c r="S200" s="103"/>
    </row>
    <row r="201">
      <c r="A201" s="107"/>
      <c r="B201" s="102"/>
      <c r="C201" s="103"/>
      <c r="D201" s="102"/>
      <c r="E201" s="103"/>
      <c r="F201" s="102"/>
      <c r="G201" s="103"/>
      <c r="H201" s="102"/>
      <c r="I201" s="103"/>
      <c r="J201" s="102"/>
      <c r="K201" s="103"/>
      <c r="L201" s="102"/>
      <c r="M201" s="103"/>
      <c r="N201" s="102"/>
      <c r="O201" s="103"/>
      <c r="P201" s="102"/>
      <c r="Q201" s="103"/>
      <c r="R201" s="102"/>
      <c r="S201" s="103"/>
    </row>
    <row r="202">
      <c r="A202" s="107"/>
      <c r="B202" s="102"/>
      <c r="C202" s="103"/>
      <c r="D202" s="102"/>
      <c r="E202" s="103"/>
      <c r="F202" s="102"/>
      <c r="G202" s="103"/>
      <c r="H202" s="102"/>
      <c r="I202" s="103"/>
      <c r="J202" s="102"/>
      <c r="K202" s="103"/>
      <c r="L202" s="102"/>
      <c r="M202" s="103"/>
      <c r="N202" s="102"/>
      <c r="O202" s="103"/>
      <c r="P202" s="102"/>
      <c r="Q202" s="103"/>
      <c r="R202" s="102"/>
      <c r="S202" s="103"/>
    </row>
    <row r="203">
      <c r="A203" s="107"/>
      <c r="B203" s="102"/>
      <c r="C203" s="103"/>
      <c r="D203" s="102"/>
      <c r="E203" s="103"/>
      <c r="F203" s="102"/>
      <c r="G203" s="103"/>
      <c r="H203" s="102"/>
      <c r="I203" s="103"/>
      <c r="J203" s="102"/>
      <c r="K203" s="103"/>
      <c r="L203" s="102"/>
      <c r="M203" s="103"/>
      <c r="N203" s="102"/>
      <c r="O203" s="103"/>
      <c r="P203" s="102"/>
      <c r="Q203" s="103"/>
      <c r="R203" s="102"/>
      <c r="S203" s="103"/>
    </row>
    <row r="204">
      <c r="A204" s="107"/>
      <c r="B204" s="102"/>
      <c r="C204" s="103"/>
      <c r="D204" s="102"/>
      <c r="E204" s="103"/>
      <c r="F204" s="102"/>
      <c r="G204" s="103"/>
      <c r="H204" s="102"/>
      <c r="I204" s="103"/>
      <c r="J204" s="102"/>
      <c r="K204" s="103"/>
      <c r="L204" s="102"/>
      <c r="M204" s="103"/>
      <c r="N204" s="102"/>
      <c r="O204" s="103"/>
      <c r="P204" s="102"/>
      <c r="Q204" s="103"/>
      <c r="R204" s="102"/>
      <c r="S204" s="103"/>
    </row>
    <row r="205">
      <c r="A205" s="107"/>
      <c r="B205" s="102"/>
      <c r="C205" s="103"/>
      <c r="D205" s="102"/>
      <c r="E205" s="103"/>
      <c r="F205" s="102"/>
      <c r="G205" s="103"/>
      <c r="H205" s="102"/>
      <c r="I205" s="103"/>
      <c r="J205" s="102"/>
      <c r="K205" s="103"/>
      <c r="L205" s="102"/>
      <c r="M205" s="103"/>
      <c r="N205" s="102"/>
      <c r="O205" s="103"/>
      <c r="P205" s="102"/>
      <c r="Q205" s="103"/>
      <c r="R205" s="102"/>
      <c r="S205" s="103"/>
    </row>
    <row r="206">
      <c r="A206" s="107"/>
      <c r="B206" s="102"/>
      <c r="C206" s="103"/>
      <c r="D206" s="102"/>
      <c r="E206" s="103"/>
      <c r="F206" s="102"/>
      <c r="G206" s="103"/>
      <c r="H206" s="102"/>
      <c r="I206" s="103"/>
      <c r="J206" s="102"/>
      <c r="K206" s="103"/>
      <c r="L206" s="102"/>
      <c r="M206" s="103"/>
      <c r="N206" s="102"/>
      <c r="O206" s="103"/>
      <c r="P206" s="102"/>
      <c r="Q206" s="103"/>
      <c r="R206" s="102"/>
      <c r="S206" s="103"/>
    </row>
    <row r="207">
      <c r="A207" s="107"/>
      <c r="B207" s="102"/>
      <c r="C207" s="103"/>
      <c r="D207" s="102"/>
      <c r="E207" s="103"/>
      <c r="F207" s="102"/>
      <c r="G207" s="103"/>
      <c r="H207" s="102"/>
      <c r="I207" s="103"/>
      <c r="J207" s="102"/>
      <c r="K207" s="103"/>
      <c r="L207" s="102"/>
      <c r="M207" s="103"/>
      <c r="N207" s="102"/>
      <c r="O207" s="103"/>
      <c r="P207" s="102"/>
      <c r="Q207" s="103"/>
      <c r="R207" s="102"/>
      <c r="S207" s="103"/>
    </row>
    <row r="208">
      <c r="A208" s="107"/>
      <c r="B208" s="102"/>
      <c r="C208" s="103"/>
      <c r="D208" s="102"/>
      <c r="E208" s="103"/>
      <c r="F208" s="102"/>
      <c r="G208" s="103"/>
      <c r="H208" s="102"/>
      <c r="I208" s="103"/>
      <c r="J208" s="102"/>
      <c r="K208" s="103"/>
      <c r="L208" s="102"/>
      <c r="M208" s="103"/>
      <c r="N208" s="102"/>
      <c r="O208" s="103"/>
      <c r="P208" s="102"/>
      <c r="Q208" s="103"/>
      <c r="R208" s="102"/>
      <c r="S208" s="103"/>
    </row>
    <row r="209">
      <c r="A209" s="107"/>
      <c r="B209" s="102"/>
      <c r="C209" s="103"/>
      <c r="D209" s="102"/>
      <c r="E209" s="103"/>
      <c r="F209" s="102"/>
      <c r="G209" s="103"/>
      <c r="H209" s="102"/>
      <c r="I209" s="103"/>
      <c r="J209" s="102"/>
      <c r="K209" s="103"/>
      <c r="L209" s="102"/>
      <c r="M209" s="103"/>
      <c r="N209" s="102"/>
      <c r="O209" s="103"/>
      <c r="P209" s="102"/>
      <c r="Q209" s="103"/>
      <c r="R209" s="102"/>
      <c r="S209" s="103"/>
    </row>
    <row r="210">
      <c r="A210" s="107"/>
      <c r="B210" s="102"/>
      <c r="C210" s="103"/>
      <c r="D210" s="102"/>
      <c r="E210" s="103"/>
      <c r="F210" s="102"/>
      <c r="G210" s="103"/>
      <c r="H210" s="102"/>
      <c r="I210" s="103"/>
      <c r="J210" s="102"/>
      <c r="K210" s="103"/>
      <c r="L210" s="102"/>
      <c r="M210" s="103"/>
      <c r="N210" s="102"/>
      <c r="O210" s="103"/>
      <c r="P210" s="102"/>
      <c r="Q210" s="103"/>
      <c r="R210" s="102"/>
      <c r="S210" s="103"/>
    </row>
    <row r="211">
      <c r="A211" s="107"/>
      <c r="B211" s="102"/>
      <c r="C211" s="103"/>
      <c r="D211" s="102"/>
      <c r="E211" s="103"/>
      <c r="F211" s="102"/>
      <c r="G211" s="103"/>
      <c r="H211" s="102"/>
      <c r="I211" s="103"/>
      <c r="J211" s="102"/>
      <c r="K211" s="103"/>
      <c r="L211" s="102"/>
      <c r="M211" s="103"/>
      <c r="N211" s="102"/>
      <c r="O211" s="103"/>
      <c r="P211" s="102"/>
      <c r="Q211" s="103"/>
      <c r="R211" s="102"/>
      <c r="S211" s="103"/>
    </row>
    <row r="212">
      <c r="A212" s="107"/>
      <c r="B212" s="102"/>
      <c r="C212" s="103"/>
      <c r="D212" s="102"/>
      <c r="E212" s="103"/>
      <c r="F212" s="102"/>
      <c r="G212" s="103"/>
      <c r="H212" s="102"/>
      <c r="I212" s="103"/>
      <c r="J212" s="102"/>
      <c r="K212" s="103"/>
      <c r="L212" s="102"/>
      <c r="M212" s="103"/>
      <c r="N212" s="102"/>
      <c r="O212" s="103"/>
      <c r="P212" s="102"/>
      <c r="Q212" s="103"/>
      <c r="R212" s="102"/>
      <c r="S212" s="103"/>
    </row>
    <row r="213">
      <c r="A213" s="107"/>
      <c r="B213" s="102"/>
      <c r="C213" s="103"/>
      <c r="D213" s="102"/>
      <c r="E213" s="103"/>
      <c r="F213" s="102"/>
      <c r="G213" s="103"/>
      <c r="H213" s="102"/>
      <c r="I213" s="103"/>
      <c r="J213" s="102"/>
      <c r="K213" s="103"/>
      <c r="L213" s="102"/>
      <c r="M213" s="103"/>
      <c r="N213" s="102"/>
      <c r="O213" s="103"/>
      <c r="P213" s="102"/>
      <c r="Q213" s="103"/>
      <c r="R213" s="102"/>
      <c r="S213" s="103"/>
    </row>
    <row r="214">
      <c r="A214" s="107"/>
      <c r="B214" s="102"/>
      <c r="C214" s="103"/>
      <c r="D214" s="102"/>
      <c r="E214" s="103"/>
      <c r="F214" s="102"/>
      <c r="G214" s="103"/>
      <c r="H214" s="102"/>
      <c r="I214" s="103"/>
      <c r="J214" s="102"/>
      <c r="K214" s="103"/>
      <c r="L214" s="102"/>
      <c r="M214" s="103"/>
      <c r="N214" s="102"/>
      <c r="O214" s="103"/>
      <c r="P214" s="102"/>
      <c r="Q214" s="103"/>
      <c r="R214" s="102"/>
      <c r="S214" s="103"/>
    </row>
    <row r="215">
      <c r="A215" s="107"/>
      <c r="B215" s="102"/>
      <c r="C215" s="103"/>
      <c r="D215" s="102"/>
      <c r="E215" s="103"/>
      <c r="F215" s="102"/>
      <c r="G215" s="103"/>
      <c r="H215" s="102"/>
      <c r="I215" s="103"/>
      <c r="J215" s="102"/>
      <c r="K215" s="103"/>
      <c r="L215" s="102"/>
      <c r="M215" s="103"/>
      <c r="N215" s="102"/>
      <c r="O215" s="103"/>
      <c r="P215" s="102"/>
      <c r="Q215" s="103"/>
      <c r="R215" s="102"/>
      <c r="S215" s="103"/>
    </row>
    <row r="216">
      <c r="A216" s="107"/>
      <c r="B216" s="102"/>
      <c r="C216" s="103"/>
      <c r="D216" s="102"/>
      <c r="E216" s="103"/>
      <c r="F216" s="102"/>
      <c r="G216" s="103"/>
      <c r="H216" s="102"/>
      <c r="I216" s="103"/>
      <c r="J216" s="102"/>
      <c r="K216" s="103"/>
      <c r="L216" s="102"/>
      <c r="M216" s="103"/>
      <c r="N216" s="102"/>
      <c r="O216" s="103"/>
      <c r="P216" s="102"/>
      <c r="Q216" s="103"/>
      <c r="R216" s="102"/>
      <c r="S216" s="103"/>
    </row>
    <row r="217">
      <c r="A217" s="107"/>
      <c r="B217" s="102"/>
      <c r="C217" s="103"/>
      <c r="D217" s="102"/>
      <c r="E217" s="103"/>
      <c r="F217" s="102"/>
      <c r="G217" s="103"/>
      <c r="H217" s="102"/>
      <c r="I217" s="103"/>
      <c r="J217" s="102"/>
      <c r="K217" s="103"/>
      <c r="L217" s="102"/>
      <c r="M217" s="103"/>
      <c r="N217" s="102"/>
      <c r="O217" s="103"/>
      <c r="P217" s="102"/>
      <c r="Q217" s="103"/>
      <c r="R217" s="102"/>
      <c r="S217" s="103"/>
    </row>
    <row r="218">
      <c r="A218" s="107"/>
      <c r="B218" s="102"/>
      <c r="C218" s="103"/>
      <c r="D218" s="102"/>
      <c r="E218" s="103"/>
      <c r="F218" s="102"/>
      <c r="G218" s="103"/>
      <c r="H218" s="102"/>
      <c r="I218" s="103"/>
      <c r="J218" s="102"/>
      <c r="K218" s="103"/>
      <c r="L218" s="102"/>
      <c r="M218" s="103"/>
      <c r="N218" s="102"/>
      <c r="O218" s="103"/>
      <c r="P218" s="102"/>
      <c r="Q218" s="103"/>
      <c r="R218" s="102"/>
      <c r="S218" s="103"/>
    </row>
    <row r="219">
      <c r="A219" s="107"/>
      <c r="B219" s="102"/>
      <c r="C219" s="103"/>
      <c r="D219" s="102"/>
      <c r="E219" s="103"/>
      <c r="F219" s="102"/>
      <c r="G219" s="103"/>
      <c r="H219" s="102"/>
      <c r="I219" s="103"/>
      <c r="J219" s="102"/>
      <c r="K219" s="103"/>
      <c r="L219" s="102"/>
      <c r="M219" s="103"/>
      <c r="N219" s="102"/>
      <c r="O219" s="103"/>
      <c r="P219" s="102"/>
      <c r="Q219" s="103"/>
      <c r="R219" s="102"/>
      <c r="S219" s="103"/>
    </row>
    <row r="220">
      <c r="A220" s="107"/>
      <c r="B220" s="102"/>
      <c r="C220" s="103"/>
      <c r="D220" s="102"/>
      <c r="E220" s="103"/>
      <c r="F220" s="102"/>
      <c r="G220" s="103"/>
      <c r="H220" s="102"/>
      <c r="I220" s="103"/>
      <c r="J220" s="102"/>
      <c r="K220" s="103"/>
      <c r="L220" s="102"/>
      <c r="M220" s="103"/>
      <c r="N220" s="102"/>
      <c r="O220" s="103"/>
      <c r="P220" s="102"/>
      <c r="Q220" s="103"/>
      <c r="R220" s="102"/>
      <c r="S220" s="103"/>
    </row>
    <row r="221">
      <c r="A221" s="107"/>
      <c r="B221" s="102"/>
      <c r="C221" s="103"/>
      <c r="D221" s="102"/>
      <c r="E221" s="103"/>
      <c r="F221" s="102"/>
      <c r="G221" s="103"/>
      <c r="H221" s="102"/>
      <c r="I221" s="103"/>
      <c r="J221" s="102"/>
      <c r="K221" s="103"/>
      <c r="L221" s="102"/>
      <c r="M221" s="103"/>
      <c r="N221" s="102"/>
      <c r="O221" s="103"/>
      <c r="P221" s="102"/>
      <c r="Q221" s="103"/>
      <c r="R221" s="102"/>
      <c r="S221" s="103"/>
    </row>
    <row r="222">
      <c r="A222" s="107"/>
      <c r="B222" s="102"/>
      <c r="C222" s="103"/>
      <c r="D222" s="102"/>
      <c r="E222" s="103"/>
      <c r="F222" s="102"/>
      <c r="G222" s="103"/>
      <c r="H222" s="102"/>
      <c r="I222" s="103"/>
      <c r="J222" s="102"/>
      <c r="K222" s="103"/>
      <c r="L222" s="102"/>
      <c r="M222" s="103"/>
      <c r="N222" s="102"/>
      <c r="O222" s="103"/>
      <c r="P222" s="102"/>
      <c r="Q222" s="103"/>
      <c r="R222" s="102"/>
      <c r="S222" s="103"/>
    </row>
    <row r="223">
      <c r="A223" s="107"/>
      <c r="B223" s="102"/>
      <c r="C223" s="103"/>
      <c r="D223" s="102"/>
      <c r="E223" s="103"/>
      <c r="F223" s="102"/>
      <c r="G223" s="103"/>
      <c r="H223" s="102"/>
      <c r="I223" s="103"/>
      <c r="J223" s="102"/>
      <c r="K223" s="103"/>
      <c r="L223" s="102"/>
      <c r="M223" s="103"/>
      <c r="N223" s="102"/>
      <c r="O223" s="103"/>
      <c r="P223" s="102"/>
      <c r="Q223" s="103"/>
      <c r="R223" s="102"/>
      <c r="S223" s="103"/>
    </row>
    <row r="224">
      <c r="A224" s="107"/>
      <c r="B224" s="102"/>
      <c r="C224" s="103"/>
      <c r="D224" s="102"/>
      <c r="E224" s="103"/>
      <c r="F224" s="102"/>
      <c r="G224" s="103"/>
      <c r="H224" s="102"/>
      <c r="I224" s="103"/>
      <c r="J224" s="102"/>
      <c r="K224" s="103"/>
      <c r="L224" s="102"/>
      <c r="M224" s="103"/>
      <c r="N224" s="102"/>
      <c r="O224" s="103"/>
      <c r="P224" s="102"/>
      <c r="Q224" s="103"/>
      <c r="R224" s="102"/>
      <c r="S224" s="103"/>
    </row>
    <row r="225">
      <c r="A225" s="107"/>
      <c r="B225" s="102"/>
      <c r="C225" s="103"/>
      <c r="D225" s="102"/>
      <c r="E225" s="103"/>
      <c r="F225" s="102"/>
      <c r="G225" s="103"/>
      <c r="H225" s="102"/>
      <c r="I225" s="103"/>
      <c r="J225" s="102"/>
      <c r="K225" s="103"/>
      <c r="L225" s="102"/>
      <c r="M225" s="103"/>
      <c r="N225" s="102"/>
      <c r="O225" s="103"/>
      <c r="P225" s="102"/>
      <c r="Q225" s="103"/>
      <c r="R225" s="102"/>
      <c r="S225" s="103"/>
    </row>
    <row r="226">
      <c r="A226" s="107"/>
      <c r="B226" s="102"/>
      <c r="C226" s="103"/>
      <c r="D226" s="102"/>
      <c r="E226" s="103"/>
      <c r="F226" s="102"/>
      <c r="G226" s="103"/>
      <c r="H226" s="102"/>
      <c r="I226" s="103"/>
      <c r="J226" s="102"/>
      <c r="K226" s="103"/>
      <c r="L226" s="102"/>
      <c r="M226" s="103"/>
      <c r="N226" s="102"/>
      <c r="O226" s="103"/>
      <c r="P226" s="102"/>
      <c r="Q226" s="103"/>
      <c r="R226" s="102"/>
      <c r="S226" s="103"/>
    </row>
    <row r="227">
      <c r="A227" s="107"/>
      <c r="B227" s="102"/>
      <c r="C227" s="103"/>
      <c r="D227" s="102"/>
      <c r="E227" s="103"/>
      <c r="F227" s="102"/>
      <c r="G227" s="103"/>
      <c r="H227" s="102"/>
      <c r="I227" s="103"/>
      <c r="J227" s="102"/>
      <c r="K227" s="103"/>
      <c r="L227" s="102"/>
      <c r="M227" s="103"/>
      <c r="N227" s="102"/>
      <c r="O227" s="103"/>
      <c r="P227" s="102"/>
      <c r="Q227" s="103"/>
      <c r="R227" s="102"/>
      <c r="S227" s="103"/>
    </row>
    <row r="228">
      <c r="A228" s="107"/>
      <c r="B228" s="102"/>
      <c r="C228" s="103"/>
      <c r="D228" s="102"/>
      <c r="E228" s="103"/>
      <c r="F228" s="102"/>
      <c r="G228" s="103"/>
      <c r="H228" s="102"/>
      <c r="I228" s="103"/>
      <c r="J228" s="102"/>
      <c r="K228" s="103"/>
      <c r="L228" s="102"/>
      <c r="M228" s="103"/>
      <c r="N228" s="102"/>
      <c r="O228" s="103"/>
      <c r="P228" s="102"/>
      <c r="Q228" s="103"/>
      <c r="R228" s="102"/>
      <c r="S228" s="103"/>
    </row>
    <row r="229">
      <c r="A229" s="107"/>
      <c r="B229" s="102"/>
      <c r="C229" s="103"/>
      <c r="D229" s="102"/>
      <c r="E229" s="103"/>
      <c r="F229" s="102"/>
      <c r="G229" s="103"/>
      <c r="H229" s="102"/>
      <c r="I229" s="103"/>
      <c r="J229" s="102"/>
      <c r="K229" s="103"/>
      <c r="L229" s="102"/>
      <c r="M229" s="103"/>
      <c r="N229" s="102"/>
      <c r="O229" s="103"/>
      <c r="P229" s="102"/>
      <c r="Q229" s="103"/>
      <c r="R229" s="102"/>
      <c r="S229" s="103"/>
    </row>
    <row r="230">
      <c r="A230" s="107"/>
      <c r="B230" s="102"/>
      <c r="C230" s="103"/>
      <c r="D230" s="102"/>
      <c r="E230" s="103"/>
      <c r="F230" s="102"/>
      <c r="G230" s="103"/>
      <c r="H230" s="102"/>
      <c r="I230" s="103"/>
      <c r="J230" s="102"/>
      <c r="K230" s="103"/>
      <c r="L230" s="102"/>
      <c r="M230" s="103"/>
      <c r="N230" s="102"/>
      <c r="O230" s="103"/>
      <c r="P230" s="102"/>
      <c r="Q230" s="103"/>
      <c r="R230" s="102"/>
      <c r="S230" s="103"/>
    </row>
    <row r="231">
      <c r="A231" s="107"/>
      <c r="B231" s="102"/>
      <c r="C231" s="103"/>
      <c r="D231" s="102"/>
      <c r="E231" s="103"/>
      <c r="F231" s="102"/>
      <c r="G231" s="103"/>
      <c r="H231" s="102"/>
      <c r="I231" s="103"/>
      <c r="J231" s="102"/>
      <c r="K231" s="103"/>
      <c r="L231" s="102"/>
      <c r="M231" s="103"/>
      <c r="N231" s="102"/>
      <c r="O231" s="103"/>
      <c r="P231" s="102"/>
      <c r="Q231" s="103"/>
      <c r="R231" s="102"/>
      <c r="S231" s="103"/>
    </row>
    <row r="232">
      <c r="A232" s="107"/>
      <c r="B232" s="102"/>
      <c r="C232" s="103"/>
      <c r="D232" s="102"/>
      <c r="E232" s="103"/>
      <c r="F232" s="102"/>
      <c r="G232" s="103"/>
      <c r="H232" s="102"/>
      <c r="I232" s="103"/>
      <c r="J232" s="102"/>
      <c r="K232" s="103"/>
      <c r="L232" s="102"/>
      <c r="M232" s="103"/>
      <c r="N232" s="102"/>
      <c r="O232" s="103"/>
      <c r="P232" s="102"/>
      <c r="Q232" s="103"/>
      <c r="R232" s="102"/>
      <c r="S232" s="103"/>
    </row>
    <row r="233">
      <c r="A233" s="107"/>
      <c r="B233" s="102"/>
      <c r="C233" s="103"/>
      <c r="D233" s="102"/>
      <c r="E233" s="103"/>
      <c r="F233" s="102"/>
      <c r="G233" s="103"/>
      <c r="H233" s="102"/>
      <c r="I233" s="103"/>
      <c r="J233" s="102"/>
      <c r="K233" s="103"/>
      <c r="L233" s="102"/>
      <c r="M233" s="103"/>
      <c r="N233" s="102"/>
      <c r="O233" s="103"/>
      <c r="P233" s="102"/>
      <c r="Q233" s="103"/>
      <c r="R233" s="102"/>
      <c r="S233" s="103"/>
    </row>
    <row r="234">
      <c r="A234" s="107"/>
      <c r="B234" s="102"/>
      <c r="C234" s="103"/>
      <c r="D234" s="102"/>
      <c r="E234" s="103"/>
      <c r="F234" s="102"/>
      <c r="G234" s="103"/>
      <c r="H234" s="102"/>
      <c r="I234" s="103"/>
      <c r="J234" s="102"/>
      <c r="K234" s="103"/>
      <c r="L234" s="102"/>
      <c r="M234" s="103"/>
      <c r="N234" s="102"/>
      <c r="O234" s="103"/>
      <c r="P234" s="102"/>
      <c r="Q234" s="103"/>
      <c r="R234" s="102"/>
      <c r="S234" s="103"/>
    </row>
    <row r="235">
      <c r="A235" s="107"/>
      <c r="B235" s="102"/>
      <c r="C235" s="103"/>
      <c r="D235" s="102"/>
      <c r="E235" s="103"/>
      <c r="F235" s="102"/>
      <c r="G235" s="103"/>
      <c r="H235" s="102"/>
      <c r="I235" s="103"/>
      <c r="J235" s="102"/>
      <c r="K235" s="103"/>
      <c r="L235" s="102"/>
      <c r="M235" s="103"/>
      <c r="N235" s="102"/>
      <c r="O235" s="103"/>
      <c r="P235" s="102"/>
      <c r="Q235" s="103"/>
      <c r="R235" s="102"/>
      <c r="S235" s="103"/>
    </row>
    <row r="236">
      <c r="A236" s="107"/>
      <c r="B236" s="102"/>
      <c r="C236" s="103"/>
      <c r="D236" s="102"/>
      <c r="E236" s="103"/>
      <c r="F236" s="102"/>
      <c r="G236" s="103"/>
      <c r="H236" s="102"/>
      <c r="I236" s="103"/>
      <c r="J236" s="102"/>
      <c r="K236" s="103"/>
      <c r="L236" s="102"/>
      <c r="M236" s="103"/>
      <c r="N236" s="102"/>
      <c r="O236" s="103"/>
      <c r="P236" s="102"/>
      <c r="Q236" s="103"/>
      <c r="R236" s="102"/>
      <c r="S236" s="103"/>
    </row>
    <row r="237">
      <c r="A237" s="107"/>
      <c r="B237" s="102"/>
      <c r="C237" s="103"/>
      <c r="D237" s="102"/>
      <c r="E237" s="103"/>
      <c r="F237" s="102"/>
      <c r="G237" s="103"/>
      <c r="H237" s="102"/>
      <c r="I237" s="103"/>
      <c r="J237" s="102"/>
      <c r="K237" s="103"/>
      <c r="L237" s="102"/>
      <c r="M237" s="103"/>
      <c r="N237" s="102"/>
      <c r="O237" s="103"/>
      <c r="P237" s="102"/>
      <c r="Q237" s="103"/>
      <c r="R237" s="102"/>
      <c r="S237" s="103"/>
    </row>
    <row r="238">
      <c r="A238" s="107"/>
      <c r="B238" s="102"/>
      <c r="C238" s="103"/>
      <c r="D238" s="102"/>
      <c r="E238" s="103"/>
      <c r="F238" s="102"/>
      <c r="G238" s="103"/>
      <c r="H238" s="102"/>
      <c r="I238" s="103"/>
      <c r="J238" s="102"/>
      <c r="K238" s="103"/>
      <c r="L238" s="102"/>
      <c r="M238" s="103"/>
      <c r="N238" s="102"/>
      <c r="O238" s="103"/>
      <c r="P238" s="102"/>
      <c r="Q238" s="103"/>
      <c r="R238" s="102"/>
      <c r="S238" s="103"/>
    </row>
    <row r="239">
      <c r="A239" s="107"/>
      <c r="B239" s="102"/>
      <c r="C239" s="103"/>
      <c r="D239" s="102"/>
      <c r="E239" s="103"/>
      <c r="F239" s="102"/>
      <c r="G239" s="103"/>
      <c r="H239" s="102"/>
      <c r="I239" s="103"/>
      <c r="J239" s="102"/>
      <c r="K239" s="103"/>
      <c r="L239" s="102"/>
      <c r="M239" s="103"/>
      <c r="N239" s="102"/>
      <c r="O239" s="103"/>
      <c r="P239" s="102"/>
      <c r="Q239" s="103"/>
      <c r="R239" s="102"/>
      <c r="S239" s="103"/>
    </row>
    <row r="240">
      <c r="A240" s="107"/>
      <c r="B240" s="102"/>
      <c r="C240" s="103"/>
      <c r="D240" s="102"/>
      <c r="E240" s="103"/>
      <c r="F240" s="102"/>
      <c r="G240" s="103"/>
      <c r="H240" s="102"/>
      <c r="I240" s="103"/>
      <c r="J240" s="102"/>
      <c r="K240" s="103"/>
      <c r="L240" s="102"/>
      <c r="M240" s="103"/>
      <c r="N240" s="102"/>
      <c r="O240" s="103"/>
      <c r="P240" s="102"/>
      <c r="Q240" s="103"/>
      <c r="R240" s="102"/>
      <c r="S240" s="103"/>
    </row>
    <row r="241">
      <c r="A241" s="107"/>
      <c r="B241" s="102"/>
      <c r="C241" s="103"/>
      <c r="D241" s="102"/>
      <c r="E241" s="103"/>
      <c r="F241" s="102"/>
      <c r="G241" s="103"/>
      <c r="H241" s="102"/>
      <c r="I241" s="103"/>
      <c r="J241" s="102"/>
      <c r="K241" s="103"/>
      <c r="L241" s="102"/>
      <c r="M241" s="103"/>
      <c r="N241" s="102"/>
      <c r="O241" s="103"/>
      <c r="P241" s="102"/>
      <c r="Q241" s="103"/>
      <c r="R241" s="102"/>
      <c r="S241" s="103"/>
    </row>
    <row r="242">
      <c r="A242" s="107"/>
      <c r="B242" s="102"/>
      <c r="C242" s="103"/>
      <c r="D242" s="102"/>
      <c r="E242" s="103"/>
      <c r="F242" s="102"/>
      <c r="G242" s="103"/>
      <c r="H242" s="102"/>
      <c r="I242" s="103"/>
      <c r="J242" s="102"/>
      <c r="K242" s="103"/>
      <c r="L242" s="102"/>
      <c r="M242" s="103"/>
      <c r="N242" s="102"/>
      <c r="O242" s="103"/>
      <c r="P242" s="102"/>
      <c r="Q242" s="103"/>
      <c r="R242" s="102"/>
      <c r="S242" s="103"/>
    </row>
    <row r="243">
      <c r="A243" s="107"/>
      <c r="B243" s="102"/>
      <c r="C243" s="103"/>
      <c r="D243" s="102"/>
      <c r="E243" s="103"/>
      <c r="F243" s="102"/>
      <c r="G243" s="103"/>
      <c r="H243" s="102"/>
      <c r="I243" s="103"/>
      <c r="J243" s="102"/>
      <c r="K243" s="103"/>
      <c r="L243" s="102"/>
      <c r="M243" s="103"/>
      <c r="N243" s="102"/>
      <c r="O243" s="103"/>
      <c r="P243" s="102"/>
      <c r="Q243" s="103"/>
      <c r="R243" s="102"/>
      <c r="S243" s="103"/>
    </row>
    <row r="244">
      <c r="A244" s="107"/>
      <c r="B244" s="102"/>
      <c r="C244" s="103"/>
      <c r="D244" s="102"/>
      <c r="E244" s="103"/>
      <c r="F244" s="102"/>
      <c r="G244" s="103"/>
      <c r="H244" s="102"/>
      <c r="I244" s="103"/>
      <c r="J244" s="102"/>
      <c r="K244" s="103"/>
      <c r="L244" s="102"/>
      <c r="M244" s="103"/>
      <c r="N244" s="102"/>
      <c r="O244" s="103"/>
      <c r="P244" s="102"/>
      <c r="Q244" s="103"/>
      <c r="R244" s="102"/>
      <c r="S244" s="103"/>
    </row>
    <row r="245">
      <c r="A245" s="107"/>
      <c r="B245" s="102"/>
      <c r="C245" s="103"/>
      <c r="D245" s="102"/>
      <c r="E245" s="103"/>
      <c r="F245" s="102"/>
      <c r="G245" s="103"/>
      <c r="H245" s="102"/>
      <c r="I245" s="103"/>
      <c r="J245" s="102"/>
      <c r="K245" s="103"/>
      <c r="L245" s="102"/>
      <c r="M245" s="103"/>
      <c r="N245" s="102"/>
      <c r="O245" s="103"/>
      <c r="P245" s="102"/>
      <c r="Q245" s="103"/>
      <c r="R245" s="102"/>
      <c r="S245" s="103"/>
    </row>
    <row r="246">
      <c r="A246" s="107"/>
      <c r="B246" s="102"/>
      <c r="C246" s="103"/>
      <c r="D246" s="102"/>
      <c r="E246" s="103"/>
      <c r="F246" s="102"/>
      <c r="G246" s="103"/>
      <c r="H246" s="102"/>
      <c r="I246" s="103"/>
      <c r="J246" s="102"/>
      <c r="K246" s="103"/>
      <c r="L246" s="102"/>
      <c r="M246" s="103"/>
      <c r="N246" s="102"/>
      <c r="O246" s="103"/>
      <c r="P246" s="102"/>
      <c r="Q246" s="103"/>
      <c r="R246" s="102"/>
      <c r="S246" s="103"/>
    </row>
    <row r="247">
      <c r="A247" s="107"/>
      <c r="B247" s="102"/>
      <c r="C247" s="103"/>
      <c r="D247" s="102"/>
      <c r="E247" s="103"/>
      <c r="F247" s="102"/>
      <c r="G247" s="103"/>
      <c r="H247" s="102"/>
      <c r="I247" s="103"/>
      <c r="J247" s="102"/>
      <c r="K247" s="103"/>
      <c r="L247" s="102"/>
      <c r="M247" s="103"/>
      <c r="N247" s="102"/>
      <c r="O247" s="103"/>
      <c r="P247" s="102"/>
      <c r="Q247" s="103"/>
      <c r="R247" s="102"/>
      <c r="S247" s="103"/>
    </row>
    <row r="248">
      <c r="A248" s="107"/>
      <c r="B248" s="102"/>
      <c r="C248" s="103"/>
      <c r="D248" s="102"/>
      <c r="E248" s="103"/>
      <c r="F248" s="102"/>
      <c r="G248" s="103"/>
      <c r="H248" s="102"/>
      <c r="I248" s="103"/>
      <c r="J248" s="102"/>
      <c r="K248" s="103"/>
      <c r="L248" s="102"/>
      <c r="M248" s="103"/>
      <c r="N248" s="102"/>
      <c r="O248" s="103"/>
      <c r="P248" s="102"/>
      <c r="Q248" s="103"/>
      <c r="R248" s="102"/>
      <c r="S248" s="103"/>
    </row>
    <row r="249">
      <c r="A249" s="107"/>
      <c r="B249" s="102"/>
      <c r="C249" s="103"/>
      <c r="D249" s="102"/>
      <c r="E249" s="103"/>
      <c r="F249" s="102"/>
      <c r="G249" s="103"/>
      <c r="H249" s="102"/>
      <c r="I249" s="103"/>
      <c r="J249" s="102"/>
      <c r="K249" s="103"/>
      <c r="L249" s="102"/>
      <c r="M249" s="103"/>
      <c r="N249" s="102"/>
      <c r="O249" s="103"/>
      <c r="P249" s="102"/>
      <c r="Q249" s="103"/>
      <c r="R249" s="102"/>
      <c r="S249" s="103"/>
    </row>
    <row r="250">
      <c r="A250" s="107"/>
      <c r="B250" s="102"/>
      <c r="C250" s="103"/>
      <c r="D250" s="102"/>
      <c r="E250" s="103"/>
      <c r="F250" s="102"/>
      <c r="G250" s="103"/>
      <c r="H250" s="102"/>
      <c r="I250" s="103"/>
      <c r="J250" s="102"/>
      <c r="K250" s="103"/>
      <c r="L250" s="102"/>
      <c r="M250" s="103"/>
      <c r="N250" s="102"/>
      <c r="O250" s="103"/>
      <c r="P250" s="102"/>
      <c r="Q250" s="103"/>
      <c r="R250" s="102"/>
      <c r="S250" s="103"/>
    </row>
    <row r="251">
      <c r="A251" s="107"/>
      <c r="B251" s="102"/>
      <c r="C251" s="103"/>
      <c r="D251" s="102"/>
      <c r="E251" s="103"/>
      <c r="F251" s="102"/>
      <c r="G251" s="103"/>
      <c r="H251" s="102"/>
      <c r="I251" s="103"/>
      <c r="J251" s="102"/>
      <c r="K251" s="103"/>
      <c r="L251" s="102"/>
      <c r="M251" s="103"/>
      <c r="N251" s="102"/>
      <c r="O251" s="103"/>
      <c r="P251" s="102"/>
      <c r="Q251" s="103"/>
      <c r="R251" s="102"/>
      <c r="S251" s="103"/>
    </row>
    <row r="252">
      <c r="A252" s="107"/>
      <c r="B252" s="102"/>
      <c r="C252" s="103"/>
      <c r="D252" s="102"/>
      <c r="E252" s="103"/>
      <c r="F252" s="102"/>
      <c r="G252" s="103"/>
      <c r="H252" s="102"/>
      <c r="I252" s="103"/>
      <c r="J252" s="102"/>
      <c r="K252" s="103"/>
      <c r="L252" s="102"/>
      <c r="M252" s="103"/>
      <c r="N252" s="102"/>
      <c r="O252" s="103"/>
      <c r="P252" s="102"/>
      <c r="Q252" s="103"/>
      <c r="R252" s="102"/>
      <c r="S252" s="103"/>
    </row>
    <row r="253">
      <c r="A253" s="107"/>
      <c r="B253" s="102"/>
      <c r="C253" s="103"/>
      <c r="D253" s="102"/>
      <c r="E253" s="103"/>
      <c r="F253" s="102"/>
      <c r="G253" s="103"/>
      <c r="H253" s="102"/>
      <c r="I253" s="103"/>
      <c r="J253" s="102"/>
      <c r="K253" s="103"/>
      <c r="L253" s="102"/>
      <c r="M253" s="103"/>
      <c r="N253" s="102"/>
      <c r="O253" s="103"/>
      <c r="P253" s="102"/>
      <c r="Q253" s="103"/>
      <c r="R253" s="102"/>
      <c r="S253" s="103"/>
    </row>
    <row r="254">
      <c r="A254" s="107"/>
      <c r="B254" s="102"/>
      <c r="C254" s="103"/>
      <c r="D254" s="102"/>
      <c r="E254" s="103"/>
      <c r="F254" s="102"/>
      <c r="G254" s="103"/>
      <c r="H254" s="102"/>
      <c r="I254" s="103"/>
      <c r="J254" s="102"/>
      <c r="K254" s="103"/>
      <c r="L254" s="102"/>
      <c r="M254" s="103"/>
      <c r="N254" s="102"/>
      <c r="O254" s="103"/>
      <c r="P254" s="102"/>
      <c r="Q254" s="103"/>
      <c r="R254" s="102"/>
      <c r="S254" s="103"/>
    </row>
    <row r="255">
      <c r="A255" s="107"/>
      <c r="B255" s="102"/>
      <c r="C255" s="103"/>
      <c r="D255" s="102"/>
      <c r="E255" s="103"/>
      <c r="F255" s="102"/>
      <c r="G255" s="103"/>
      <c r="H255" s="102"/>
      <c r="I255" s="103"/>
      <c r="J255" s="102"/>
      <c r="K255" s="103"/>
      <c r="L255" s="102"/>
      <c r="M255" s="103"/>
      <c r="N255" s="102"/>
      <c r="O255" s="103"/>
      <c r="P255" s="102"/>
      <c r="Q255" s="103"/>
      <c r="R255" s="102"/>
      <c r="S255" s="103"/>
    </row>
    <row r="256">
      <c r="A256" s="107"/>
      <c r="B256" s="102"/>
      <c r="C256" s="103"/>
      <c r="D256" s="102"/>
      <c r="E256" s="103"/>
      <c r="F256" s="102"/>
      <c r="G256" s="103"/>
      <c r="H256" s="102"/>
      <c r="I256" s="103"/>
      <c r="J256" s="102"/>
      <c r="K256" s="103"/>
      <c r="L256" s="102"/>
      <c r="M256" s="103"/>
      <c r="N256" s="102"/>
      <c r="O256" s="103"/>
      <c r="P256" s="102"/>
      <c r="Q256" s="103"/>
      <c r="R256" s="102"/>
      <c r="S256" s="103"/>
    </row>
    <row r="257">
      <c r="A257" s="107"/>
      <c r="B257" s="102"/>
      <c r="C257" s="103"/>
      <c r="D257" s="102"/>
      <c r="E257" s="103"/>
      <c r="F257" s="102"/>
      <c r="G257" s="103"/>
      <c r="H257" s="102"/>
      <c r="I257" s="103"/>
      <c r="J257" s="102"/>
      <c r="K257" s="103"/>
      <c r="L257" s="102"/>
      <c r="M257" s="103"/>
      <c r="N257" s="102"/>
      <c r="O257" s="103"/>
      <c r="P257" s="102"/>
      <c r="Q257" s="103"/>
      <c r="R257" s="102"/>
      <c r="S257" s="103"/>
    </row>
    <row r="258">
      <c r="A258" s="107"/>
      <c r="B258" s="102"/>
      <c r="C258" s="103"/>
      <c r="D258" s="102"/>
      <c r="E258" s="103"/>
      <c r="F258" s="102"/>
      <c r="G258" s="103"/>
      <c r="H258" s="102"/>
      <c r="I258" s="103"/>
      <c r="J258" s="102"/>
      <c r="K258" s="103"/>
      <c r="L258" s="102"/>
      <c r="M258" s="103"/>
      <c r="N258" s="102"/>
      <c r="O258" s="103"/>
      <c r="P258" s="102"/>
      <c r="Q258" s="103"/>
      <c r="R258" s="102"/>
      <c r="S258" s="103"/>
    </row>
    <row r="259">
      <c r="A259" s="107"/>
      <c r="B259" s="102"/>
      <c r="C259" s="103"/>
      <c r="D259" s="102"/>
      <c r="E259" s="103"/>
      <c r="F259" s="102"/>
      <c r="G259" s="103"/>
      <c r="H259" s="102"/>
      <c r="I259" s="103"/>
      <c r="J259" s="102"/>
      <c r="K259" s="103"/>
      <c r="L259" s="102"/>
      <c r="M259" s="103"/>
      <c r="N259" s="102"/>
      <c r="O259" s="103"/>
      <c r="P259" s="102"/>
      <c r="Q259" s="103"/>
      <c r="R259" s="102"/>
      <c r="S259" s="103"/>
    </row>
    <row r="260">
      <c r="A260" s="107"/>
      <c r="B260" s="102"/>
      <c r="C260" s="103"/>
      <c r="D260" s="102"/>
      <c r="E260" s="103"/>
      <c r="F260" s="102"/>
      <c r="G260" s="103"/>
      <c r="H260" s="102"/>
      <c r="I260" s="103"/>
      <c r="J260" s="102"/>
      <c r="K260" s="103"/>
      <c r="L260" s="102"/>
      <c r="M260" s="103"/>
      <c r="N260" s="102"/>
      <c r="O260" s="103"/>
      <c r="P260" s="102"/>
      <c r="Q260" s="103"/>
      <c r="R260" s="102"/>
      <c r="S260" s="103"/>
    </row>
    <row r="261">
      <c r="A261" s="107"/>
      <c r="B261" s="102"/>
      <c r="C261" s="103"/>
      <c r="D261" s="102"/>
      <c r="E261" s="103"/>
      <c r="F261" s="102"/>
      <c r="G261" s="103"/>
      <c r="H261" s="102"/>
      <c r="I261" s="103"/>
      <c r="J261" s="102"/>
      <c r="K261" s="103"/>
      <c r="L261" s="102"/>
      <c r="M261" s="103"/>
      <c r="N261" s="102"/>
      <c r="O261" s="103"/>
      <c r="P261" s="102"/>
      <c r="Q261" s="103"/>
      <c r="R261" s="102"/>
      <c r="S261" s="103"/>
    </row>
    <row r="262">
      <c r="A262" s="107"/>
      <c r="B262" s="102"/>
      <c r="C262" s="103"/>
      <c r="D262" s="102"/>
      <c r="E262" s="103"/>
      <c r="F262" s="102"/>
      <c r="G262" s="103"/>
      <c r="H262" s="102"/>
      <c r="I262" s="103"/>
      <c r="J262" s="102"/>
      <c r="K262" s="103"/>
      <c r="L262" s="102"/>
      <c r="M262" s="103"/>
      <c r="N262" s="102"/>
      <c r="O262" s="103"/>
      <c r="P262" s="102"/>
      <c r="Q262" s="103"/>
      <c r="R262" s="102"/>
      <c r="S262" s="103"/>
    </row>
    <row r="263">
      <c r="A263" s="107"/>
      <c r="B263" s="102"/>
      <c r="C263" s="103"/>
      <c r="D263" s="102"/>
      <c r="E263" s="103"/>
      <c r="F263" s="102"/>
      <c r="G263" s="103"/>
      <c r="H263" s="102"/>
      <c r="I263" s="103"/>
      <c r="J263" s="102"/>
      <c r="K263" s="103"/>
      <c r="L263" s="102"/>
      <c r="M263" s="103"/>
      <c r="N263" s="102"/>
      <c r="O263" s="103"/>
      <c r="P263" s="102"/>
      <c r="Q263" s="103"/>
      <c r="R263" s="102"/>
      <c r="S263" s="103"/>
    </row>
    <row r="264">
      <c r="A264" s="107"/>
      <c r="B264" s="102"/>
      <c r="C264" s="103"/>
      <c r="D264" s="102"/>
      <c r="E264" s="103"/>
      <c r="F264" s="102"/>
      <c r="G264" s="103"/>
      <c r="H264" s="102"/>
      <c r="I264" s="103"/>
      <c r="J264" s="102"/>
      <c r="K264" s="103"/>
      <c r="L264" s="102"/>
      <c r="M264" s="103"/>
      <c r="N264" s="102"/>
      <c r="O264" s="103"/>
      <c r="P264" s="102"/>
      <c r="Q264" s="103"/>
      <c r="R264" s="102"/>
      <c r="S264" s="103"/>
    </row>
    <row r="265">
      <c r="A265" s="107"/>
      <c r="B265" s="102"/>
      <c r="C265" s="103"/>
      <c r="D265" s="102"/>
      <c r="E265" s="103"/>
      <c r="F265" s="102"/>
      <c r="G265" s="103"/>
      <c r="H265" s="102"/>
      <c r="I265" s="103"/>
      <c r="J265" s="102"/>
      <c r="K265" s="103"/>
      <c r="L265" s="102"/>
      <c r="M265" s="103"/>
      <c r="N265" s="102"/>
      <c r="O265" s="103"/>
      <c r="P265" s="102"/>
      <c r="Q265" s="103"/>
      <c r="R265" s="102"/>
      <c r="S265" s="103"/>
    </row>
    <row r="266">
      <c r="A266" s="107"/>
      <c r="B266" s="102"/>
      <c r="C266" s="103"/>
      <c r="D266" s="102"/>
      <c r="E266" s="103"/>
      <c r="F266" s="102"/>
      <c r="G266" s="103"/>
      <c r="H266" s="102"/>
      <c r="I266" s="103"/>
      <c r="J266" s="102"/>
      <c r="K266" s="103"/>
      <c r="L266" s="102"/>
      <c r="M266" s="103"/>
      <c r="N266" s="102"/>
      <c r="O266" s="103"/>
      <c r="P266" s="102"/>
      <c r="Q266" s="103"/>
      <c r="R266" s="102"/>
      <c r="S266" s="103"/>
    </row>
    <row r="267">
      <c r="A267" s="107"/>
      <c r="B267" s="102"/>
      <c r="C267" s="103"/>
      <c r="D267" s="102"/>
      <c r="E267" s="103"/>
      <c r="F267" s="102"/>
      <c r="G267" s="103"/>
      <c r="H267" s="102"/>
      <c r="I267" s="103"/>
      <c r="J267" s="102"/>
      <c r="K267" s="103"/>
      <c r="L267" s="102"/>
      <c r="M267" s="103"/>
      <c r="N267" s="102"/>
      <c r="O267" s="103"/>
      <c r="P267" s="102"/>
      <c r="Q267" s="103"/>
      <c r="R267" s="102"/>
      <c r="S267" s="103"/>
    </row>
    <row r="268">
      <c r="A268" s="107"/>
      <c r="B268" s="102"/>
      <c r="C268" s="103"/>
      <c r="D268" s="102"/>
      <c r="E268" s="103"/>
      <c r="F268" s="102"/>
      <c r="G268" s="103"/>
      <c r="H268" s="102"/>
      <c r="I268" s="103"/>
      <c r="J268" s="102"/>
      <c r="K268" s="103"/>
      <c r="L268" s="102"/>
      <c r="M268" s="103"/>
      <c r="N268" s="102"/>
      <c r="O268" s="103"/>
      <c r="P268" s="102"/>
      <c r="Q268" s="103"/>
      <c r="R268" s="102"/>
      <c r="S268" s="103"/>
    </row>
    <row r="269">
      <c r="A269" s="107"/>
      <c r="B269" s="102"/>
      <c r="C269" s="103"/>
      <c r="D269" s="102"/>
      <c r="E269" s="103"/>
      <c r="F269" s="102"/>
      <c r="G269" s="103"/>
      <c r="H269" s="102"/>
      <c r="I269" s="103"/>
      <c r="J269" s="102"/>
      <c r="K269" s="103"/>
      <c r="L269" s="102"/>
      <c r="M269" s="103"/>
      <c r="N269" s="102"/>
      <c r="O269" s="103"/>
      <c r="P269" s="102"/>
      <c r="Q269" s="103"/>
      <c r="R269" s="102"/>
      <c r="S269" s="103"/>
    </row>
    <row r="270">
      <c r="A270" s="107"/>
      <c r="B270" s="102"/>
      <c r="C270" s="103"/>
      <c r="D270" s="102"/>
      <c r="E270" s="103"/>
      <c r="F270" s="102"/>
      <c r="G270" s="103"/>
      <c r="H270" s="102"/>
      <c r="I270" s="103"/>
      <c r="J270" s="102"/>
      <c r="K270" s="103"/>
      <c r="L270" s="102"/>
      <c r="M270" s="103"/>
      <c r="N270" s="102"/>
      <c r="O270" s="103"/>
      <c r="P270" s="102"/>
      <c r="Q270" s="103"/>
      <c r="R270" s="102"/>
      <c r="S270" s="103"/>
    </row>
    <row r="271">
      <c r="A271" s="107"/>
      <c r="B271" s="102"/>
      <c r="C271" s="103"/>
      <c r="D271" s="102"/>
      <c r="E271" s="103"/>
      <c r="F271" s="102"/>
      <c r="G271" s="103"/>
      <c r="H271" s="102"/>
      <c r="I271" s="103"/>
      <c r="J271" s="102"/>
      <c r="K271" s="103"/>
      <c r="L271" s="102"/>
      <c r="M271" s="103"/>
      <c r="N271" s="102"/>
      <c r="O271" s="103"/>
      <c r="P271" s="102"/>
      <c r="Q271" s="103"/>
      <c r="R271" s="102"/>
      <c r="S271" s="103"/>
    </row>
    <row r="272">
      <c r="A272" s="107"/>
      <c r="B272" s="102"/>
      <c r="C272" s="103"/>
      <c r="D272" s="102"/>
      <c r="E272" s="103"/>
      <c r="F272" s="102"/>
      <c r="G272" s="103"/>
      <c r="H272" s="102"/>
      <c r="I272" s="103"/>
      <c r="J272" s="102"/>
      <c r="K272" s="103"/>
      <c r="L272" s="102"/>
      <c r="M272" s="103"/>
      <c r="N272" s="102"/>
      <c r="O272" s="103"/>
      <c r="P272" s="102"/>
      <c r="Q272" s="103"/>
      <c r="R272" s="102"/>
      <c r="S272" s="103"/>
    </row>
    <row r="273">
      <c r="A273" s="107"/>
      <c r="B273" s="102"/>
      <c r="C273" s="103"/>
      <c r="D273" s="102"/>
      <c r="E273" s="103"/>
      <c r="F273" s="102"/>
      <c r="G273" s="103"/>
      <c r="H273" s="102"/>
      <c r="I273" s="103"/>
      <c r="J273" s="102"/>
      <c r="K273" s="103"/>
      <c r="L273" s="102"/>
      <c r="M273" s="103"/>
      <c r="N273" s="102"/>
      <c r="O273" s="103"/>
      <c r="P273" s="102"/>
      <c r="Q273" s="103"/>
      <c r="R273" s="102"/>
      <c r="S273" s="103"/>
    </row>
    <row r="274">
      <c r="A274" s="107"/>
      <c r="B274" s="102"/>
      <c r="C274" s="103"/>
      <c r="D274" s="102"/>
      <c r="E274" s="103"/>
      <c r="F274" s="102"/>
      <c r="G274" s="103"/>
      <c r="H274" s="102"/>
      <c r="I274" s="103"/>
      <c r="J274" s="102"/>
      <c r="K274" s="103"/>
      <c r="L274" s="102"/>
      <c r="M274" s="103"/>
      <c r="N274" s="102"/>
      <c r="O274" s="103"/>
      <c r="P274" s="102"/>
      <c r="Q274" s="103"/>
      <c r="R274" s="102"/>
      <c r="S274" s="103"/>
    </row>
    <row r="275">
      <c r="A275" s="107"/>
      <c r="B275" s="102"/>
      <c r="C275" s="103"/>
      <c r="D275" s="102"/>
      <c r="E275" s="103"/>
      <c r="F275" s="102"/>
      <c r="G275" s="103"/>
      <c r="H275" s="102"/>
      <c r="I275" s="103"/>
      <c r="J275" s="102"/>
      <c r="K275" s="103"/>
      <c r="L275" s="102"/>
      <c r="M275" s="103"/>
      <c r="N275" s="102"/>
      <c r="O275" s="103"/>
      <c r="P275" s="102"/>
      <c r="Q275" s="103"/>
      <c r="R275" s="102"/>
      <c r="S275" s="103"/>
    </row>
    <row r="276">
      <c r="A276" s="107"/>
      <c r="B276" s="102"/>
      <c r="C276" s="103"/>
      <c r="D276" s="102"/>
      <c r="E276" s="103"/>
      <c r="F276" s="102"/>
      <c r="G276" s="103"/>
      <c r="H276" s="102"/>
      <c r="I276" s="103"/>
      <c r="J276" s="102"/>
      <c r="K276" s="103"/>
      <c r="L276" s="102"/>
      <c r="M276" s="103"/>
      <c r="N276" s="102"/>
      <c r="O276" s="103"/>
      <c r="P276" s="102"/>
      <c r="Q276" s="103"/>
      <c r="R276" s="102"/>
      <c r="S276" s="103"/>
    </row>
    <row r="277">
      <c r="A277" s="107"/>
      <c r="B277" s="102"/>
      <c r="C277" s="103"/>
      <c r="D277" s="102"/>
      <c r="E277" s="103"/>
      <c r="F277" s="102"/>
      <c r="G277" s="103"/>
      <c r="H277" s="102"/>
      <c r="I277" s="103"/>
      <c r="J277" s="102"/>
      <c r="K277" s="103"/>
      <c r="L277" s="102"/>
      <c r="M277" s="103"/>
      <c r="N277" s="102"/>
      <c r="O277" s="103"/>
      <c r="P277" s="102"/>
      <c r="Q277" s="103"/>
      <c r="R277" s="102"/>
      <c r="S277" s="103"/>
    </row>
    <row r="278">
      <c r="A278" s="107"/>
      <c r="B278" s="102"/>
      <c r="C278" s="103"/>
      <c r="D278" s="102"/>
      <c r="E278" s="103"/>
      <c r="F278" s="102"/>
      <c r="G278" s="103"/>
      <c r="H278" s="102"/>
      <c r="I278" s="103"/>
      <c r="J278" s="102"/>
      <c r="K278" s="103"/>
      <c r="L278" s="102"/>
      <c r="M278" s="103"/>
      <c r="N278" s="102"/>
      <c r="O278" s="103"/>
      <c r="P278" s="102"/>
      <c r="Q278" s="103"/>
      <c r="R278" s="102"/>
      <c r="S278" s="103"/>
    </row>
    <row r="279">
      <c r="A279" s="107"/>
      <c r="B279" s="102"/>
      <c r="C279" s="103"/>
      <c r="D279" s="102"/>
      <c r="E279" s="103"/>
      <c r="F279" s="102"/>
      <c r="G279" s="103"/>
      <c r="H279" s="102"/>
      <c r="I279" s="103"/>
      <c r="J279" s="102"/>
      <c r="K279" s="103"/>
      <c r="L279" s="102"/>
      <c r="M279" s="103"/>
      <c r="N279" s="102"/>
      <c r="O279" s="103"/>
      <c r="P279" s="102"/>
      <c r="Q279" s="103"/>
      <c r="R279" s="102"/>
      <c r="S279" s="103"/>
    </row>
    <row r="280">
      <c r="A280" s="107"/>
      <c r="B280" s="102"/>
      <c r="C280" s="103"/>
      <c r="D280" s="102"/>
      <c r="E280" s="103"/>
      <c r="F280" s="102"/>
      <c r="G280" s="103"/>
      <c r="H280" s="102"/>
      <c r="I280" s="103"/>
      <c r="J280" s="102"/>
      <c r="K280" s="103"/>
      <c r="L280" s="102"/>
      <c r="M280" s="103"/>
      <c r="N280" s="102"/>
      <c r="O280" s="103"/>
      <c r="P280" s="102"/>
      <c r="Q280" s="103"/>
      <c r="R280" s="102"/>
      <c r="S280" s="103"/>
    </row>
    <row r="281">
      <c r="A281" s="107"/>
      <c r="B281" s="102"/>
      <c r="C281" s="103"/>
      <c r="D281" s="102"/>
      <c r="E281" s="103"/>
      <c r="F281" s="102"/>
      <c r="G281" s="103"/>
      <c r="H281" s="102"/>
      <c r="I281" s="103"/>
      <c r="J281" s="102"/>
      <c r="K281" s="103"/>
      <c r="L281" s="102"/>
      <c r="M281" s="103"/>
      <c r="N281" s="102"/>
      <c r="O281" s="103"/>
      <c r="P281" s="102"/>
      <c r="Q281" s="103"/>
      <c r="R281" s="102"/>
      <c r="S281" s="103"/>
    </row>
    <row r="282">
      <c r="A282" s="107"/>
      <c r="B282" s="102"/>
      <c r="C282" s="103"/>
      <c r="D282" s="102"/>
      <c r="E282" s="103"/>
      <c r="F282" s="102"/>
      <c r="G282" s="103"/>
      <c r="H282" s="102"/>
      <c r="I282" s="103"/>
      <c r="J282" s="102"/>
      <c r="K282" s="103"/>
      <c r="L282" s="102"/>
      <c r="M282" s="103"/>
      <c r="N282" s="102"/>
      <c r="O282" s="103"/>
      <c r="P282" s="102"/>
      <c r="Q282" s="103"/>
      <c r="R282" s="102"/>
      <c r="S282" s="103"/>
    </row>
    <row r="283">
      <c r="A283" s="107"/>
      <c r="B283" s="102"/>
      <c r="C283" s="103"/>
      <c r="D283" s="102"/>
      <c r="E283" s="103"/>
      <c r="F283" s="102"/>
      <c r="G283" s="103"/>
      <c r="H283" s="102"/>
      <c r="I283" s="103"/>
      <c r="J283" s="102"/>
      <c r="K283" s="103"/>
      <c r="L283" s="102"/>
      <c r="M283" s="103"/>
      <c r="N283" s="102"/>
      <c r="O283" s="103"/>
      <c r="P283" s="102"/>
      <c r="Q283" s="103"/>
      <c r="R283" s="102"/>
      <c r="S283" s="103"/>
    </row>
    <row r="284">
      <c r="A284" s="107"/>
      <c r="B284" s="102"/>
      <c r="C284" s="103"/>
      <c r="D284" s="102"/>
      <c r="E284" s="103"/>
      <c r="F284" s="102"/>
      <c r="G284" s="103"/>
      <c r="H284" s="102"/>
      <c r="I284" s="103"/>
      <c r="J284" s="102"/>
      <c r="K284" s="103"/>
      <c r="L284" s="102"/>
      <c r="M284" s="103"/>
      <c r="N284" s="102"/>
      <c r="O284" s="103"/>
      <c r="P284" s="102"/>
      <c r="Q284" s="103"/>
      <c r="R284" s="102"/>
      <c r="S284" s="103"/>
    </row>
    <row r="285">
      <c r="A285" s="107"/>
      <c r="B285" s="102"/>
      <c r="C285" s="103"/>
      <c r="D285" s="102"/>
      <c r="E285" s="103"/>
      <c r="F285" s="102"/>
      <c r="G285" s="103"/>
      <c r="H285" s="102"/>
      <c r="I285" s="103"/>
      <c r="J285" s="102"/>
      <c r="K285" s="103"/>
      <c r="L285" s="102"/>
      <c r="M285" s="103"/>
      <c r="N285" s="102"/>
      <c r="O285" s="103"/>
      <c r="P285" s="102"/>
      <c r="Q285" s="103"/>
      <c r="R285" s="102"/>
      <c r="S285" s="103"/>
    </row>
    <row r="286">
      <c r="A286" s="107"/>
      <c r="B286" s="102"/>
      <c r="C286" s="103"/>
      <c r="D286" s="102"/>
      <c r="E286" s="103"/>
      <c r="F286" s="102"/>
      <c r="G286" s="103"/>
      <c r="H286" s="102"/>
      <c r="I286" s="103"/>
      <c r="J286" s="102"/>
      <c r="K286" s="103"/>
      <c r="L286" s="102"/>
      <c r="M286" s="103"/>
      <c r="N286" s="102"/>
      <c r="O286" s="103"/>
      <c r="P286" s="102"/>
      <c r="Q286" s="103"/>
      <c r="R286" s="102"/>
      <c r="S286" s="103"/>
    </row>
    <row r="287">
      <c r="A287" s="107"/>
      <c r="B287" s="102"/>
      <c r="C287" s="103"/>
      <c r="D287" s="102"/>
      <c r="E287" s="103"/>
      <c r="F287" s="102"/>
      <c r="G287" s="103"/>
      <c r="H287" s="102"/>
      <c r="I287" s="103"/>
      <c r="J287" s="102"/>
      <c r="K287" s="103"/>
      <c r="L287" s="102"/>
      <c r="M287" s="103"/>
      <c r="N287" s="102"/>
      <c r="O287" s="103"/>
      <c r="P287" s="102"/>
      <c r="Q287" s="103"/>
      <c r="R287" s="102"/>
      <c r="S287" s="103"/>
    </row>
    <row r="288">
      <c r="A288" s="107"/>
      <c r="B288" s="102"/>
      <c r="C288" s="103"/>
      <c r="D288" s="102"/>
      <c r="E288" s="103"/>
      <c r="F288" s="102"/>
      <c r="G288" s="103"/>
      <c r="H288" s="102"/>
      <c r="I288" s="103"/>
      <c r="J288" s="102"/>
      <c r="K288" s="103"/>
      <c r="L288" s="102"/>
      <c r="M288" s="103"/>
      <c r="N288" s="102"/>
      <c r="O288" s="103"/>
      <c r="P288" s="102"/>
      <c r="Q288" s="103"/>
      <c r="R288" s="102"/>
      <c r="S288" s="103"/>
    </row>
    <row r="289">
      <c r="A289" s="107"/>
      <c r="B289" s="102"/>
      <c r="C289" s="103"/>
      <c r="D289" s="102"/>
      <c r="E289" s="103"/>
      <c r="F289" s="102"/>
      <c r="G289" s="103"/>
      <c r="H289" s="102"/>
      <c r="I289" s="103"/>
      <c r="J289" s="102"/>
      <c r="K289" s="103"/>
      <c r="L289" s="102"/>
      <c r="M289" s="103"/>
      <c r="N289" s="102"/>
      <c r="O289" s="103"/>
      <c r="P289" s="102"/>
      <c r="Q289" s="103"/>
      <c r="R289" s="102"/>
      <c r="S289" s="103"/>
    </row>
    <row r="290">
      <c r="A290" s="107"/>
      <c r="B290" s="102"/>
      <c r="C290" s="103"/>
      <c r="D290" s="102"/>
      <c r="E290" s="103"/>
      <c r="F290" s="102"/>
      <c r="G290" s="103"/>
      <c r="H290" s="102"/>
      <c r="I290" s="103"/>
      <c r="J290" s="102"/>
      <c r="K290" s="103"/>
      <c r="L290" s="102"/>
      <c r="M290" s="103"/>
      <c r="N290" s="102"/>
      <c r="O290" s="103"/>
      <c r="P290" s="102"/>
      <c r="Q290" s="103"/>
      <c r="R290" s="102"/>
      <c r="S290" s="103"/>
    </row>
    <row r="291">
      <c r="A291" s="107"/>
      <c r="B291" s="102"/>
      <c r="C291" s="103"/>
      <c r="D291" s="102"/>
      <c r="E291" s="103"/>
      <c r="F291" s="102"/>
      <c r="G291" s="103"/>
      <c r="H291" s="102"/>
      <c r="I291" s="103"/>
      <c r="J291" s="102"/>
      <c r="K291" s="103"/>
      <c r="L291" s="102"/>
      <c r="M291" s="103"/>
      <c r="N291" s="102"/>
      <c r="O291" s="103"/>
      <c r="P291" s="102"/>
      <c r="Q291" s="103"/>
      <c r="R291" s="102"/>
      <c r="S291" s="103"/>
    </row>
    <row r="292">
      <c r="A292" s="107"/>
      <c r="B292" s="102"/>
      <c r="C292" s="103"/>
      <c r="D292" s="102"/>
      <c r="E292" s="103"/>
      <c r="F292" s="102"/>
      <c r="G292" s="103"/>
      <c r="H292" s="102"/>
      <c r="I292" s="103"/>
      <c r="J292" s="102"/>
      <c r="K292" s="103"/>
      <c r="L292" s="102"/>
      <c r="M292" s="103"/>
      <c r="N292" s="102"/>
      <c r="O292" s="103"/>
      <c r="P292" s="102"/>
      <c r="Q292" s="103"/>
      <c r="R292" s="102"/>
      <c r="S292" s="103"/>
    </row>
    <row r="293">
      <c r="A293" s="107"/>
      <c r="B293" s="102"/>
      <c r="C293" s="103"/>
      <c r="D293" s="102"/>
      <c r="E293" s="103"/>
      <c r="F293" s="102"/>
      <c r="G293" s="103"/>
      <c r="H293" s="102"/>
      <c r="I293" s="103"/>
      <c r="J293" s="102"/>
      <c r="K293" s="103"/>
      <c r="L293" s="102"/>
      <c r="M293" s="103"/>
      <c r="N293" s="102"/>
      <c r="O293" s="103"/>
      <c r="P293" s="102"/>
      <c r="Q293" s="103"/>
      <c r="R293" s="102"/>
      <c r="S293" s="103"/>
    </row>
    <row r="294">
      <c r="A294" s="107"/>
      <c r="B294" s="102"/>
      <c r="C294" s="103"/>
      <c r="D294" s="102"/>
      <c r="E294" s="103"/>
      <c r="F294" s="102"/>
      <c r="G294" s="103"/>
      <c r="H294" s="102"/>
      <c r="I294" s="103"/>
      <c r="J294" s="102"/>
      <c r="K294" s="103"/>
      <c r="L294" s="102"/>
      <c r="M294" s="103"/>
      <c r="N294" s="102"/>
      <c r="O294" s="103"/>
      <c r="P294" s="102"/>
      <c r="Q294" s="103"/>
      <c r="R294" s="102"/>
      <c r="S294" s="103"/>
    </row>
    <row r="295">
      <c r="A295" s="107"/>
      <c r="B295" s="102"/>
      <c r="C295" s="103"/>
      <c r="D295" s="102"/>
      <c r="E295" s="103"/>
      <c r="F295" s="102"/>
      <c r="G295" s="103"/>
      <c r="H295" s="102"/>
      <c r="I295" s="103"/>
      <c r="J295" s="102"/>
      <c r="K295" s="103"/>
      <c r="L295" s="102"/>
      <c r="M295" s="103"/>
      <c r="N295" s="102"/>
      <c r="O295" s="103"/>
      <c r="P295" s="102"/>
      <c r="Q295" s="103"/>
      <c r="R295" s="102"/>
      <c r="S295" s="103"/>
    </row>
    <row r="296">
      <c r="A296" s="107"/>
      <c r="B296" s="102"/>
      <c r="C296" s="103"/>
      <c r="D296" s="102"/>
      <c r="E296" s="103"/>
      <c r="F296" s="102"/>
      <c r="G296" s="103"/>
      <c r="H296" s="102"/>
      <c r="I296" s="103"/>
      <c r="J296" s="102"/>
      <c r="K296" s="103"/>
      <c r="L296" s="102"/>
      <c r="M296" s="103"/>
      <c r="N296" s="102"/>
      <c r="O296" s="103"/>
      <c r="P296" s="102"/>
      <c r="Q296" s="103"/>
      <c r="R296" s="102"/>
      <c r="S296" s="103"/>
    </row>
    <row r="297">
      <c r="A297" s="107"/>
      <c r="B297" s="102"/>
      <c r="C297" s="103"/>
      <c r="D297" s="102"/>
      <c r="E297" s="103"/>
      <c r="F297" s="102"/>
      <c r="G297" s="103"/>
      <c r="H297" s="102"/>
      <c r="I297" s="103"/>
      <c r="J297" s="102"/>
      <c r="K297" s="103"/>
      <c r="L297" s="102"/>
      <c r="M297" s="103"/>
      <c r="N297" s="102"/>
      <c r="O297" s="103"/>
      <c r="P297" s="102"/>
      <c r="Q297" s="103"/>
      <c r="R297" s="102"/>
      <c r="S297" s="103"/>
    </row>
    <row r="298">
      <c r="A298" s="107"/>
      <c r="B298" s="102"/>
      <c r="C298" s="103"/>
      <c r="D298" s="102"/>
      <c r="E298" s="103"/>
      <c r="F298" s="102"/>
      <c r="G298" s="103"/>
      <c r="H298" s="102"/>
      <c r="I298" s="103"/>
      <c r="J298" s="102"/>
      <c r="K298" s="103"/>
      <c r="L298" s="102"/>
      <c r="M298" s="103"/>
      <c r="N298" s="102"/>
      <c r="O298" s="103"/>
      <c r="P298" s="102"/>
      <c r="Q298" s="103"/>
      <c r="R298" s="102"/>
      <c r="S298" s="103"/>
    </row>
    <row r="299">
      <c r="A299" s="107"/>
      <c r="B299" s="102"/>
      <c r="C299" s="103"/>
      <c r="D299" s="102"/>
      <c r="E299" s="103"/>
      <c r="F299" s="102"/>
      <c r="G299" s="103"/>
      <c r="H299" s="102"/>
      <c r="I299" s="103"/>
      <c r="J299" s="102"/>
      <c r="K299" s="103"/>
      <c r="L299" s="102"/>
      <c r="M299" s="103"/>
      <c r="N299" s="102"/>
      <c r="O299" s="103"/>
      <c r="P299" s="102"/>
      <c r="Q299" s="103"/>
      <c r="R299" s="102"/>
      <c r="S299" s="103"/>
    </row>
    <row r="300">
      <c r="A300" s="107"/>
      <c r="B300" s="102"/>
      <c r="C300" s="103"/>
      <c r="D300" s="102"/>
      <c r="E300" s="103"/>
      <c r="F300" s="102"/>
      <c r="G300" s="103"/>
      <c r="H300" s="102"/>
      <c r="I300" s="103"/>
      <c r="J300" s="102"/>
      <c r="K300" s="103"/>
      <c r="L300" s="102"/>
      <c r="M300" s="103"/>
      <c r="N300" s="102"/>
      <c r="O300" s="103"/>
      <c r="P300" s="102"/>
      <c r="Q300" s="103"/>
      <c r="R300" s="102"/>
      <c r="S300" s="103"/>
    </row>
    <row r="301">
      <c r="A301" s="107"/>
      <c r="B301" s="102"/>
      <c r="C301" s="103"/>
      <c r="D301" s="102"/>
      <c r="E301" s="103"/>
      <c r="F301" s="102"/>
      <c r="G301" s="103"/>
      <c r="H301" s="102"/>
      <c r="I301" s="103"/>
      <c r="J301" s="102"/>
      <c r="K301" s="103"/>
      <c r="L301" s="102"/>
      <c r="M301" s="103"/>
      <c r="N301" s="102"/>
      <c r="O301" s="103"/>
      <c r="P301" s="102"/>
      <c r="Q301" s="103"/>
      <c r="R301" s="102"/>
      <c r="S301" s="103"/>
    </row>
    <row r="302">
      <c r="A302" s="107"/>
      <c r="B302" s="102"/>
      <c r="C302" s="103"/>
      <c r="D302" s="102"/>
      <c r="E302" s="103"/>
      <c r="F302" s="102"/>
      <c r="G302" s="103"/>
      <c r="H302" s="102"/>
      <c r="I302" s="103"/>
      <c r="J302" s="102"/>
      <c r="K302" s="103"/>
      <c r="L302" s="102"/>
      <c r="M302" s="103"/>
      <c r="N302" s="102"/>
      <c r="O302" s="103"/>
      <c r="P302" s="102"/>
      <c r="Q302" s="103"/>
      <c r="R302" s="102"/>
      <c r="S302" s="103"/>
    </row>
    <row r="303">
      <c r="A303" s="107"/>
      <c r="B303" s="102"/>
      <c r="C303" s="103"/>
      <c r="D303" s="102"/>
      <c r="E303" s="103"/>
      <c r="F303" s="102"/>
      <c r="G303" s="103"/>
      <c r="H303" s="102"/>
      <c r="I303" s="103"/>
      <c r="J303" s="102"/>
      <c r="K303" s="103"/>
      <c r="L303" s="102"/>
      <c r="M303" s="103"/>
      <c r="N303" s="102"/>
      <c r="O303" s="103"/>
      <c r="P303" s="102"/>
      <c r="Q303" s="103"/>
      <c r="R303" s="102"/>
      <c r="S303" s="103"/>
    </row>
    <row r="304">
      <c r="A304" s="107"/>
      <c r="B304" s="102"/>
      <c r="C304" s="103"/>
      <c r="D304" s="102"/>
      <c r="E304" s="103"/>
      <c r="F304" s="102"/>
      <c r="G304" s="103"/>
      <c r="H304" s="102"/>
      <c r="I304" s="103"/>
      <c r="J304" s="102"/>
      <c r="K304" s="103"/>
      <c r="L304" s="102"/>
      <c r="M304" s="103"/>
      <c r="N304" s="102"/>
      <c r="O304" s="103"/>
      <c r="P304" s="102"/>
      <c r="Q304" s="103"/>
      <c r="R304" s="102"/>
      <c r="S304" s="103"/>
    </row>
    <row r="305">
      <c r="A305" s="107"/>
      <c r="B305" s="102"/>
      <c r="C305" s="103"/>
      <c r="D305" s="102"/>
      <c r="E305" s="103"/>
      <c r="F305" s="102"/>
      <c r="G305" s="103"/>
      <c r="H305" s="102"/>
      <c r="I305" s="103"/>
      <c r="J305" s="102"/>
      <c r="K305" s="103"/>
      <c r="L305" s="102"/>
      <c r="M305" s="103"/>
      <c r="N305" s="102"/>
      <c r="O305" s="103"/>
      <c r="P305" s="102"/>
      <c r="Q305" s="103"/>
      <c r="R305" s="102"/>
      <c r="S305" s="103"/>
    </row>
    <row r="306">
      <c r="A306" s="107"/>
      <c r="B306" s="102"/>
      <c r="C306" s="103"/>
      <c r="D306" s="102"/>
      <c r="E306" s="103"/>
      <c r="F306" s="102"/>
      <c r="G306" s="103"/>
      <c r="H306" s="102"/>
      <c r="I306" s="103"/>
      <c r="J306" s="102"/>
      <c r="K306" s="103"/>
      <c r="L306" s="102"/>
      <c r="M306" s="103"/>
      <c r="N306" s="102"/>
      <c r="O306" s="103"/>
      <c r="P306" s="102"/>
      <c r="Q306" s="103"/>
      <c r="R306" s="102"/>
      <c r="S306" s="103"/>
    </row>
    <row r="307">
      <c r="A307" s="107"/>
      <c r="B307" s="102"/>
      <c r="C307" s="103"/>
      <c r="D307" s="102"/>
      <c r="E307" s="103"/>
      <c r="F307" s="102"/>
      <c r="G307" s="103"/>
      <c r="H307" s="102"/>
      <c r="I307" s="103"/>
      <c r="J307" s="102"/>
      <c r="K307" s="103"/>
      <c r="L307" s="102"/>
      <c r="M307" s="103"/>
      <c r="N307" s="102"/>
      <c r="O307" s="103"/>
      <c r="P307" s="102"/>
      <c r="Q307" s="103"/>
      <c r="R307" s="102"/>
      <c r="S307" s="103"/>
    </row>
    <row r="308">
      <c r="A308" s="107"/>
      <c r="B308" s="102"/>
      <c r="C308" s="103"/>
      <c r="D308" s="102"/>
      <c r="E308" s="103"/>
      <c r="F308" s="102"/>
      <c r="G308" s="103"/>
      <c r="H308" s="102"/>
      <c r="I308" s="103"/>
      <c r="J308" s="102"/>
      <c r="K308" s="103"/>
      <c r="L308" s="102"/>
      <c r="M308" s="103"/>
      <c r="N308" s="102"/>
      <c r="O308" s="103"/>
      <c r="P308" s="102"/>
      <c r="Q308" s="103"/>
      <c r="R308" s="102"/>
      <c r="S308" s="103"/>
    </row>
    <row r="309">
      <c r="A309" s="107"/>
      <c r="B309" s="102"/>
      <c r="C309" s="103"/>
      <c r="D309" s="102"/>
      <c r="E309" s="103"/>
      <c r="F309" s="102"/>
      <c r="G309" s="103"/>
      <c r="H309" s="102"/>
      <c r="I309" s="103"/>
      <c r="J309" s="102"/>
      <c r="K309" s="103"/>
      <c r="L309" s="102"/>
      <c r="M309" s="103"/>
      <c r="N309" s="102"/>
      <c r="O309" s="103"/>
      <c r="P309" s="102"/>
      <c r="Q309" s="103"/>
      <c r="R309" s="102"/>
      <c r="S309" s="103"/>
    </row>
    <row r="310">
      <c r="A310" s="107"/>
      <c r="B310" s="102"/>
      <c r="C310" s="103"/>
      <c r="D310" s="102"/>
      <c r="E310" s="103"/>
      <c r="F310" s="102"/>
      <c r="G310" s="103"/>
      <c r="H310" s="102"/>
      <c r="I310" s="103"/>
      <c r="J310" s="102"/>
      <c r="K310" s="103"/>
      <c r="L310" s="102"/>
      <c r="M310" s="103"/>
      <c r="N310" s="102"/>
      <c r="O310" s="103"/>
      <c r="P310" s="102"/>
      <c r="Q310" s="103"/>
      <c r="R310" s="102"/>
      <c r="S310" s="103"/>
    </row>
    <row r="311">
      <c r="A311" s="107"/>
      <c r="B311" s="102"/>
      <c r="C311" s="103"/>
      <c r="D311" s="102"/>
      <c r="E311" s="103"/>
      <c r="F311" s="102"/>
      <c r="G311" s="103"/>
      <c r="H311" s="102"/>
      <c r="I311" s="103"/>
      <c r="J311" s="102"/>
      <c r="K311" s="103"/>
      <c r="L311" s="102"/>
      <c r="M311" s="103"/>
      <c r="N311" s="102"/>
      <c r="O311" s="103"/>
      <c r="P311" s="102"/>
      <c r="Q311" s="103"/>
      <c r="R311" s="102"/>
      <c r="S311" s="103"/>
    </row>
    <row r="312">
      <c r="A312" s="107"/>
      <c r="B312" s="102"/>
      <c r="C312" s="103"/>
      <c r="D312" s="102"/>
      <c r="E312" s="103"/>
      <c r="F312" s="102"/>
      <c r="G312" s="103"/>
      <c r="H312" s="102"/>
      <c r="I312" s="103"/>
      <c r="J312" s="102"/>
      <c r="K312" s="103"/>
      <c r="L312" s="102"/>
      <c r="M312" s="103"/>
      <c r="N312" s="102"/>
      <c r="O312" s="103"/>
      <c r="P312" s="102"/>
      <c r="Q312" s="103"/>
      <c r="R312" s="102"/>
      <c r="S312" s="103"/>
    </row>
    <row r="313">
      <c r="A313" s="107"/>
      <c r="B313" s="102"/>
      <c r="C313" s="103"/>
      <c r="D313" s="102"/>
      <c r="E313" s="103"/>
      <c r="F313" s="102"/>
      <c r="G313" s="103"/>
      <c r="H313" s="102"/>
      <c r="I313" s="103"/>
      <c r="J313" s="102"/>
      <c r="K313" s="103"/>
      <c r="L313" s="102"/>
      <c r="M313" s="103"/>
      <c r="N313" s="102"/>
      <c r="O313" s="103"/>
      <c r="P313" s="102"/>
      <c r="Q313" s="103"/>
      <c r="R313" s="102"/>
      <c r="S313" s="103"/>
    </row>
    <row r="314">
      <c r="A314" s="107"/>
      <c r="B314" s="102"/>
      <c r="C314" s="103"/>
      <c r="D314" s="102"/>
      <c r="E314" s="103"/>
      <c r="F314" s="102"/>
      <c r="G314" s="103"/>
      <c r="H314" s="102"/>
      <c r="I314" s="103"/>
      <c r="J314" s="102"/>
      <c r="K314" s="103"/>
      <c r="L314" s="102"/>
      <c r="M314" s="103"/>
      <c r="N314" s="102"/>
      <c r="O314" s="103"/>
      <c r="P314" s="102"/>
      <c r="Q314" s="103"/>
      <c r="R314" s="102"/>
      <c r="S314" s="103"/>
    </row>
    <row r="315">
      <c r="A315" s="107"/>
      <c r="B315" s="102"/>
      <c r="C315" s="103"/>
      <c r="D315" s="102"/>
      <c r="E315" s="103"/>
      <c r="F315" s="102"/>
      <c r="G315" s="103"/>
      <c r="H315" s="102"/>
      <c r="I315" s="103"/>
      <c r="J315" s="102"/>
      <c r="K315" s="103"/>
      <c r="L315" s="102"/>
      <c r="M315" s="103"/>
      <c r="N315" s="102"/>
      <c r="O315" s="103"/>
      <c r="P315" s="102"/>
      <c r="Q315" s="103"/>
      <c r="R315" s="102"/>
      <c r="S315" s="103"/>
    </row>
    <row r="316">
      <c r="A316" s="107"/>
      <c r="B316" s="102"/>
      <c r="C316" s="103"/>
      <c r="D316" s="102"/>
      <c r="E316" s="103"/>
      <c r="F316" s="102"/>
      <c r="G316" s="103"/>
      <c r="H316" s="102"/>
      <c r="I316" s="103"/>
      <c r="J316" s="102"/>
      <c r="K316" s="103"/>
      <c r="L316" s="102"/>
      <c r="M316" s="103"/>
      <c r="N316" s="102"/>
      <c r="O316" s="103"/>
      <c r="P316" s="102"/>
      <c r="Q316" s="103"/>
      <c r="R316" s="102"/>
      <c r="S316" s="103"/>
    </row>
    <row r="317">
      <c r="A317" s="107"/>
      <c r="B317" s="102"/>
      <c r="C317" s="103"/>
      <c r="D317" s="102"/>
      <c r="E317" s="103"/>
      <c r="F317" s="102"/>
      <c r="G317" s="103"/>
      <c r="H317" s="102"/>
      <c r="I317" s="103"/>
      <c r="J317" s="102"/>
      <c r="K317" s="103"/>
      <c r="L317" s="102"/>
      <c r="M317" s="103"/>
      <c r="N317" s="102"/>
      <c r="O317" s="103"/>
      <c r="P317" s="102"/>
      <c r="Q317" s="103"/>
      <c r="R317" s="102"/>
      <c r="S317" s="103"/>
    </row>
    <row r="318">
      <c r="A318" s="107"/>
      <c r="B318" s="102"/>
      <c r="C318" s="103"/>
      <c r="D318" s="102"/>
      <c r="E318" s="103"/>
      <c r="F318" s="102"/>
      <c r="G318" s="103"/>
      <c r="H318" s="102"/>
      <c r="I318" s="103"/>
      <c r="J318" s="102"/>
      <c r="K318" s="103"/>
      <c r="L318" s="102"/>
      <c r="M318" s="103"/>
      <c r="N318" s="102"/>
      <c r="O318" s="103"/>
      <c r="P318" s="102"/>
      <c r="Q318" s="103"/>
      <c r="R318" s="102"/>
      <c r="S318" s="103"/>
    </row>
    <row r="319">
      <c r="A319" s="107"/>
      <c r="B319" s="102"/>
      <c r="C319" s="103"/>
      <c r="D319" s="102"/>
      <c r="E319" s="103"/>
      <c r="F319" s="102"/>
      <c r="G319" s="103"/>
      <c r="H319" s="102"/>
      <c r="I319" s="103"/>
      <c r="J319" s="102"/>
      <c r="K319" s="103"/>
      <c r="L319" s="102"/>
      <c r="M319" s="103"/>
      <c r="N319" s="102"/>
      <c r="O319" s="103"/>
      <c r="P319" s="102"/>
      <c r="Q319" s="103"/>
      <c r="R319" s="102"/>
      <c r="S319" s="103"/>
    </row>
    <row r="320">
      <c r="A320" s="107"/>
      <c r="B320" s="102"/>
      <c r="C320" s="103"/>
      <c r="D320" s="102"/>
      <c r="E320" s="103"/>
      <c r="F320" s="102"/>
      <c r="G320" s="103"/>
      <c r="H320" s="102"/>
      <c r="I320" s="103"/>
      <c r="J320" s="102"/>
      <c r="K320" s="103"/>
      <c r="L320" s="102"/>
      <c r="M320" s="103"/>
      <c r="N320" s="102"/>
      <c r="O320" s="103"/>
      <c r="P320" s="102"/>
      <c r="Q320" s="103"/>
      <c r="R320" s="102"/>
      <c r="S320" s="103"/>
    </row>
    <row r="321">
      <c r="A321" s="107"/>
      <c r="B321" s="102"/>
      <c r="C321" s="103"/>
      <c r="D321" s="102"/>
      <c r="E321" s="103"/>
      <c r="F321" s="102"/>
      <c r="G321" s="103"/>
      <c r="H321" s="102"/>
      <c r="I321" s="103"/>
      <c r="J321" s="102"/>
      <c r="K321" s="103"/>
      <c r="L321" s="102"/>
      <c r="M321" s="103"/>
      <c r="N321" s="102"/>
      <c r="O321" s="103"/>
      <c r="P321" s="102"/>
      <c r="Q321" s="103"/>
      <c r="R321" s="102"/>
      <c r="S321" s="103"/>
    </row>
    <row r="322">
      <c r="A322" s="107"/>
      <c r="B322" s="102"/>
      <c r="C322" s="103"/>
      <c r="D322" s="102"/>
      <c r="E322" s="103"/>
      <c r="F322" s="102"/>
      <c r="G322" s="103"/>
      <c r="H322" s="102"/>
      <c r="I322" s="103"/>
      <c r="J322" s="102"/>
      <c r="K322" s="103"/>
      <c r="L322" s="102"/>
      <c r="M322" s="103"/>
      <c r="N322" s="102"/>
      <c r="O322" s="103"/>
      <c r="P322" s="102"/>
      <c r="Q322" s="103"/>
      <c r="R322" s="102"/>
      <c r="S322" s="103"/>
    </row>
    <row r="323">
      <c r="A323" s="107"/>
      <c r="B323" s="102"/>
      <c r="C323" s="103"/>
      <c r="D323" s="102"/>
      <c r="E323" s="103"/>
      <c r="F323" s="102"/>
      <c r="G323" s="103"/>
      <c r="H323" s="102"/>
      <c r="I323" s="103"/>
      <c r="J323" s="102"/>
      <c r="K323" s="103"/>
      <c r="L323" s="102"/>
      <c r="M323" s="103"/>
      <c r="N323" s="102"/>
      <c r="O323" s="103"/>
      <c r="P323" s="102"/>
      <c r="Q323" s="103"/>
      <c r="R323" s="102"/>
      <c r="S323" s="103"/>
    </row>
    <row r="324">
      <c r="A324" s="107"/>
      <c r="B324" s="102"/>
      <c r="C324" s="103"/>
      <c r="D324" s="102"/>
      <c r="E324" s="103"/>
      <c r="F324" s="102"/>
      <c r="G324" s="103"/>
      <c r="H324" s="102"/>
      <c r="I324" s="103"/>
      <c r="J324" s="102"/>
      <c r="K324" s="103"/>
      <c r="L324" s="102"/>
      <c r="M324" s="103"/>
      <c r="N324" s="102"/>
      <c r="O324" s="103"/>
      <c r="P324" s="102"/>
      <c r="Q324" s="103"/>
      <c r="R324" s="102"/>
      <c r="S324" s="103"/>
    </row>
    <row r="325">
      <c r="A325" s="107"/>
      <c r="B325" s="102"/>
      <c r="C325" s="103"/>
      <c r="D325" s="102"/>
      <c r="E325" s="103"/>
      <c r="F325" s="102"/>
      <c r="G325" s="103"/>
      <c r="H325" s="102"/>
      <c r="I325" s="103"/>
      <c r="J325" s="102"/>
      <c r="K325" s="103"/>
      <c r="L325" s="102"/>
      <c r="M325" s="103"/>
      <c r="N325" s="102"/>
      <c r="O325" s="103"/>
      <c r="P325" s="102"/>
      <c r="Q325" s="103"/>
      <c r="R325" s="102"/>
      <c r="S325" s="103"/>
    </row>
    <row r="326">
      <c r="A326" s="107"/>
      <c r="B326" s="102"/>
      <c r="C326" s="103"/>
      <c r="D326" s="102"/>
      <c r="E326" s="103"/>
      <c r="F326" s="102"/>
      <c r="G326" s="103"/>
      <c r="H326" s="102"/>
      <c r="I326" s="103"/>
      <c r="J326" s="102"/>
      <c r="K326" s="103"/>
      <c r="L326" s="102"/>
      <c r="M326" s="103"/>
      <c r="N326" s="102"/>
      <c r="O326" s="103"/>
      <c r="P326" s="102"/>
      <c r="Q326" s="103"/>
      <c r="R326" s="102"/>
      <c r="S326" s="103"/>
    </row>
    <row r="327">
      <c r="A327" s="107"/>
      <c r="B327" s="102"/>
      <c r="C327" s="103"/>
      <c r="D327" s="102"/>
      <c r="E327" s="103"/>
      <c r="F327" s="102"/>
      <c r="G327" s="103"/>
      <c r="H327" s="102"/>
      <c r="I327" s="103"/>
      <c r="J327" s="102"/>
      <c r="K327" s="103"/>
      <c r="L327" s="102"/>
      <c r="M327" s="103"/>
      <c r="N327" s="102"/>
      <c r="O327" s="103"/>
      <c r="P327" s="102"/>
      <c r="Q327" s="103"/>
      <c r="R327" s="102"/>
      <c r="S327" s="103"/>
    </row>
    <row r="328">
      <c r="A328" s="107"/>
      <c r="B328" s="102"/>
      <c r="C328" s="103"/>
      <c r="D328" s="102"/>
      <c r="E328" s="103"/>
      <c r="F328" s="102"/>
      <c r="G328" s="103"/>
      <c r="H328" s="102"/>
      <c r="I328" s="103"/>
      <c r="J328" s="102"/>
      <c r="K328" s="103"/>
      <c r="L328" s="102"/>
      <c r="M328" s="103"/>
      <c r="N328" s="102"/>
      <c r="O328" s="103"/>
      <c r="P328" s="102"/>
      <c r="Q328" s="103"/>
      <c r="R328" s="102"/>
      <c r="S328" s="103"/>
    </row>
    <row r="329">
      <c r="A329" s="107"/>
      <c r="B329" s="102"/>
      <c r="C329" s="103"/>
      <c r="D329" s="102"/>
      <c r="E329" s="103"/>
      <c r="F329" s="102"/>
      <c r="G329" s="103"/>
      <c r="H329" s="102"/>
      <c r="I329" s="103"/>
      <c r="J329" s="102"/>
      <c r="K329" s="103"/>
      <c r="L329" s="102"/>
      <c r="M329" s="103"/>
      <c r="N329" s="102"/>
      <c r="O329" s="103"/>
      <c r="P329" s="102"/>
      <c r="Q329" s="103"/>
      <c r="R329" s="102"/>
      <c r="S329" s="103"/>
    </row>
    <row r="330">
      <c r="A330" s="107"/>
      <c r="B330" s="102"/>
      <c r="C330" s="103"/>
      <c r="D330" s="102"/>
      <c r="E330" s="103"/>
      <c r="F330" s="102"/>
      <c r="G330" s="103"/>
      <c r="H330" s="102"/>
      <c r="I330" s="103"/>
      <c r="J330" s="102"/>
      <c r="K330" s="103"/>
      <c r="L330" s="102"/>
      <c r="M330" s="103"/>
      <c r="N330" s="102"/>
      <c r="O330" s="103"/>
      <c r="P330" s="102"/>
      <c r="Q330" s="103"/>
      <c r="R330" s="102"/>
      <c r="S330" s="103"/>
    </row>
    <row r="331">
      <c r="A331" s="107"/>
      <c r="B331" s="102"/>
      <c r="C331" s="103"/>
      <c r="D331" s="102"/>
      <c r="E331" s="103"/>
      <c r="F331" s="102"/>
      <c r="G331" s="103"/>
      <c r="H331" s="102"/>
      <c r="I331" s="103"/>
      <c r="J331" s="102"/>
      <c r="K331" s="103"/>
      <c r="L331" s="102"/>
      <c r="M331" s="103"/>
      <c r="N331" s="102"/>
      <c r="O331" s="103"/>
      <c r="P331" s="102"/>
      <c r="Q331" s="103"/>
      <c r="R331" s="102"/>
      <c r="S331" s="103"/>
    </row>
    <row r="332">
      <c r="A332" s="107"/>
      <c r="B332" s="102"/>
      <c r="C332" s="103"/>
      <c r="D332" s="102"/>
      <c r="E332" s="103"/>
      <c r="F332" s="102"/>
      <c r="G332" s="103"/>
      <c r="H332" s="102"/>
      <c r="I332" s="103"/>
      <c r="J332" s="102"/>
      <c r="K332" s="103"/>
      <c r="L332" s="102"/>
      <c r="M332" s="103"/>
      <c r="N332" s="102"/>
      <c r="O332" s="103"/>
      <c r="P332" s="102"/>
      <c r="Q332" s="103"/>
      <c r="R332" s="102"/>
      <c r="S332" s="103"/>
    </row>
    <row r="333">
      <c r="A333" s="107"/>
      <c r="B333" s="102"/>
      <c r="C333" s="103"/>
      <c r="D333" s="102"/>
      <c r="E333" s="103"/>
      <c r="F333" s="102"/>
      <c r="G333" s="103"/>
      <c r="H333" s="102"/>
      <c r="I333" s="103"/>
      <c r="J333" s="102"/>
      <c r="K333" s="103"/>
      <c r="L333" s="102"/>
      <c r="M333" s="103"/>
      <c r="N333" s="102"/>
      <c r="O333" s="103"/>
      <c r="P333" s="102"/>
      <c r="Q333" s="103"/>
      <c r="R333" s="102"/>
      <c r="S333" s="103"/>
    </row>
    <row r="334">
      <c r="A334" s="107"/>
      <c r="B334" s="102"/>
      <c r="C334" s="103"/>
      <c r="D334" s="102"/>
      <c r="E334" s="103"/>
      <c r="F334" s="102"/>
      <c r="G334" s="103"/>
      <c r="H334" s="102"/>
      <c r="I334" s="103"/>
      <c r="J334" s="102"/>
      <c r="K334" s="103"/>
      <c r="L334" s="102"/>
      <c r="M334" s="103"/>
      <c r="N334" s="102"/>
      <c r="O334" s="103"/>
      <c r="P334" s="102"/>
      <c r="Q334" s="103"/>
      <c r="R334" s="102"/>
      <c r="S334" s="103"/>
    </row>
    <row r="335">
      <c r="A335" s="107"/>
      <c r="B335" s="102"/>
      <c r="C335" s="103"/>
      <c r="D335" s="102"/>
      <c r="E335" s="103"/>
      <c r="F335" s="102"/>
      <c r="G335" s="103"/>
      <c r="H335" s="102"/>
      <c r="I335" s="103"/>
      <c r="J335" s="102"/>
      <c r="K335" s="103"/>
      <c r="L335" s="102"/>
      <c r="M335" s="103"/>
      <c r="N335" s="102"/>
      <c r="O335" s="103"/>
      <c r="P335" s="102"/>
      <c r="Q335" s="103"/>
      <c r="R335" s="102"/>
      <c r="S335" s="103"/>
    </row>
    <row r="336">
      <c r="A336" s="107"/>
      <c r="B336" s="102"/>
      <c r="C336" s="103"/>
      <c r="D336" s="102"/>
      <c r="E336" s="103"/>
      <c r="F336" s="102"/>
      <c r="G336" s="103"/>
      <c r="H336" s="102"/>
      <c r="I336" s="103"/>
      <c r="J336" s="102"/>
      <c r="K336" s="103"/>
      <c r="L336" s="102"/>
      <c r="M336" s="103"/>
      <c r="N336" s="102"/>
      <c r="O336" s="103"/>
      <c r="P336" s="102"/>
      <c r="Q336" s="103"/>
      <c r="R336" s="102"/>
      <c r="S336" s="103"/>
    </row>
    <row r="337">
      <c r="A337" s="107"/>
      <c r="B337" s="102"/>
      <c r="C337" s="103"/>
      <c r="D337" s="102"/>
      <c r="E337" s="103"/>
      <c r="F337" s="102"/>
      <c r="G337" s="103"/>
      <c r="H337" s="102"/>
      <c r="I337" s="103"/>
      <c r="J337" s="102"/>
      <c r="K337" s="103"/>
      <c r="L337" s="102"/>
      <c r="M337" s="103"/>
      <c r="N337" s="102"/>
      <c r="O337" s="103"/>
      <c r="P337" s="102"/>
      <c r="Q337" s="103"/>
      <c r="R337" s="102"/>
      <c r="S337" s="103"/>
    </row>
    <row r="338">
      <c r="A338" s="107"/>
      <c r="B338" s="102"/>
      <c r="C338" s="103"/>
      <c r="D338" s="102"/>
      <c r="E338" s="103"/>
      <c r="F338" s="102"/>
      <c r="G338" s="103"/>
      <c r="H338" s="102"/>
      <c r="I338" s="103"/>
      <c r="J338" s="102"/>
      <c r="K338" s="103"/>
      <c r="L338" s="102"/>
      <c r="M338" s="103"/>
      <c r="N338" s="102"/>
      <c r="O338" s="103"/>
      <c r="P338" s="102"/>
      <c r="Q338" s="103"/>
      <c r="R338" s="102"/>
      <c r="S338" s="103"/>
    </row>
    <row r="339">
      <c r="A339" s="107"/>
      <c r="B339" s="102"/>
      <c r="C339" s="103"/>
      <c r="D339" s="102"/>
      <c r="E339" s="103"/>
      <c r="F339" s="102"/>
      <c r="G339" s="103"/>
      <c r="H339" s="102"/>
      <c r="I339" s="103"/>
      <c r="J339" s="102"/>
      <c r="K339" s="103"/>
      <c r="L339" s="102"/>
      <c r="M339" s="103"/>
      <c r="N339" s="102"/>
      <c r="O339" s="103"/>
      <c r="P339" s="102"/>
      <c r="Q339" s="103"/>
      <c r="R339" s="102"/>
      <c r="S339" s="103"/>
    </row>
    <row r="340">
      <c r="A340" s="107"/>
      <c r="B340" s="102"/>
      <c r="C340" s="103"/>
      <c r="D340" s="102"/>
      <c r="E340" s="103"/>
      <c r="F340" s="102"/>
      <c r="G340" s="103"/>
      <c r="H340" s="102"/>
      <c r="I340" s="103"/>
      <c r="J340" s="102"/>
      <c r="K340" s="103"/>
      <c r="L340" s="102"/>
      <c r="M340" s="103"/>
      <c r="N340" s="102"/>
      <c r="O340" s="103"/>
      <c r="P340" s="102"/>
      <c r="Q340" s="103"/>
      <c r="R340" s="102"/>
      <c r="S340" s="103"/>
    </row>
    <row r="341">
      <c r="A341" s="107"/>
      <c r="B341" s="102"/>
      <c r="C341" s="103"/>
      <c r="D341" s="102"/>
      <c r="E341" s="103"/>
      <c r="F341" s="102"/>
      <c r="G341" s="103"/>
      <c r="H341" s="102"/>
      <c r="I341" s="103"/>
      <c r="J341" s="102"/>
      <c r="K341" s="103"/>
      <c r="L341" s="102"/>
      <c r="M341" s="103"/>
      <c r="N341" s="102"/>
      <c r="O341" s="103"/>
      <c r="P341" s="102"/>
      <c r="Q341" s="103"/>
      <c r="R341" s="102"/>
      <c r="S341" s="103"/>
    </row>
    <row r="342">
      <c r="A342" s="107"/>
      <c r="B342" s="102"/>
      <c r="C342" s="103"/>
      <c r="D342" s="102"/>
      <c r="E342" s="103"/>
      <c r="F342" s="102"/>
      <c r="G342" s="103"/>
      <c r="H342" s="102"/>
      <c r="I342" s="103"/>
      <c r="J342" s="102"/>
      <c r="K342" s="103"/>
      <c r="L342" s="102"/>
      <c r="M342" s="103"/>
      <c r="N342" s="102"/>
      <c r="O342" s="103"/>
      <c r="P342" s="102"/>
      <c r="Q342" s="103"/>
      <c r="R342" s="102"/>
      <c r="S342" s="103"/>
    </row>
    <row r="343">
      <c r="A343" s="107"/>
      <c r="B343" s="102"/>
      <c r="C343" s="103"/>
      <c r="D343" s="102"/>
      <c r="E343" s="103"/>
      <c r="F343" s="102"/>
      <c r="G343" s="103"/>
      <c r="H343" s="102"/>
      <c r="I343" s="103"/>
      <c r="J343" s="102"/>
      <c r="K343" s="103"/>
      <c r="L343" s="102"/>
      <c r="M343" s="103"/>
      <c r="N343" s="102"/>
      <c r="O343" s="103"/>
      <c r="P343" s="102"/>
      <c r="Q343" s="103"/>
      <c r="R343" s="102"/>
      <c r="S343" s="103"/>
    </row>
    <row r="344">
      <c r="A344" s="107"/>
      <c r="B344" s="102"/>
      <c r="C344" s="103"/>
      <c r="D344" s="102"/>
      <c r="E344" s="103"/>
      <c r="F344" s="102"/>
      <c r="G344" s="103"/>
      <c r="H344" s="102"/>
      <c r="I344" s="103"/>
      <c r="J344" s="102"/>
      <c r="K344" s="103"/>
      <c r="L344" s="102"/>
      <c r="M344" s="103"/>
      <c r="N344" s="102"/>
      <c r="O344" s="103"/>
      <c r="P344" s="102"/>
      <c r="Q344" s="103"/>
      <c r="R344" s="102"/>
      <c r="S344" s="103"/>
    </row>
    <row r="345">
      <c r="A345" s="107"/>
      <c r="B345" s="102"/>
      <c r="C345" s="103"/>
      <c r="D345" s="102"/>
      <c r="E345" s="103"/>
      <c r="F345" s="102"/>
      <c r="G345" s="103"/>
      <c r="H345" s="102"/>
      <c r="I345" s="103"/>
      <c r="J345" s="102"/>
      <c r="K345" s="103"/>
      <c r="L345" s="102"/>
      <c r="M345" s="103"/>
      <c r="N345" s="102"/>
      <c r="O345" s="103"/>
      <c r="P345" s="102"/>
      <c r="Q345" s="103"/>
      <c r="R345" s="102"/>
      <c r="S345" s="103"/>
    </row>
    <row r="346">
      <c r="A346" s="107"/>
      <c r="B346" s="102"/>
      <c r="C346" s="103"/>
      <c r="D346" s="102"/>
      <c r="E346" s="103"/>
      <c r="F346" s="102"/>
      <c r="G346" s="103"/>
      <c r="H346" s="102"/>
      <c r="I346" s="103"/>
      <c r="J346" s="102"/>
      <c r="K346" s="103"/>
      <c r="L346" s="102"/>
      <c r="M346" s="103"/>
      <c r="N346" s="102"/>
      <c r="O346" s="103"/>
      <c r="P346" s="102"/>
      <c r="Q346" s="103"/>
      <c r="R346" s="102"/>
      <c r="S346" s="103"/>
    </row>
    <row r="347">
      <c r="A347" s="107"/>
      <c r="B347" s="102"/>
      <c r="C347" s="103"/>
      <c r="D347" s="102"/>
      <c r="E347" s="103"/>
      <c r="F347" s="102"/>
      <c r="G347" s="103"/>
      <c r="H347" s="102"/>
      <c r="I347" s="103"/>
      <c r="J347" s="102"/>
      <c r="K347" s="103"/>
      <c r="L347" s="102"/>
      <c r="M347" s="103"/>
      <c r="N347" s="102"/>
      <c r="O347" s="103"/>
      <c r="P347" s="102"/>
      <c r="Q347" s="103"/>
      <c r="R347" s="102"/>
      <c r="S347" s="103"/>
    </row>
    <row r="348">
      <c r="A348" s="107"/>
      <c r="B348" s="102"/>
      <c r="C348" s="103"/>
      <c r="D348" s="102"/>
      <c r="E348" s="103"/>
      <c r="F348" s="102"/>
      <c r="G348" s="103"/>
      <c r="H348" s="102"/>
      <c r="I348" s="103"/>
      <c r="J348" s="102"/>
      <c r="K348" s="103"/>
      <c r="L348" s="102"/>
      <c r="M348" s="103"/>
      <c r="N348" s="102"/>
      <c r="O348" s="103"/>
      <c r="P348" s="102"/>
      <c r="Q348" s="103"/>
      <c r="R348" s="102"/>
      <c r="S348" s="103"/>
    </row>
    <row r="349">
      <c r="A349" s="107"/>
      <c r="B349" s="102"/>
      <c r="C349" s="103"/>
      <c r="D349" s="102"/>
      <c r="E349" s="103"/>
      <c r="F349" s="102"/>
      <c r="G349" s="103"/>
      <c r="H349" s="102"/>
      <c r="I349" s="103"/>
      <c r="J349" s="102"/>
      <c r="K349" s="103"/>
      <c r="L349" s="102"/>
      <c r="M349" s="103"/>
      <c r="N349" s="102"/>
      <c r="O349" s="103"/>
      <c r="P349" s="102"/>
      <c r="Q349" s="103"/>
      <c r="R349" s="102"/>
      <c r="S349" s="103"/>
    </row>
    <row r="350">
      <c r="A350" s="107"/>
      <c r="B350" s="102"/>
      <c r="C350" s="103"/>
      <c r="D350" s="102"/>
      <c r="E350" s="103"/>
      <c r="F350" s="102"/>
      <c r="G350" s="103"/>
      <c r="H350" s="102"/>
      <c r="I350" s="103"/>
      <c r="J350" s="102"/>
      <c r="K350" s="103"/>
      <c r="L350" s="102"/>
      <c r="M350" s="103"/>
      <c r="N350" s="102"/>
      <c r="O350" s="103"/>
      <c r="P350" s="102"/>
      <c r="Q350" s="103"/>
      <c r="R350" s="102"/>
      <c r="S350" s="103"/>
    </row>
    <row r="351">
      <c r="A351" s="107"/>
      <c r="B351" s="102"/>
      <c r="C351" s="103"/>
      <c r="D351" s="102"/>
      <c r="E351" s="103"/>
      <c r="F351" s="102"/>
      <c r="G351" s="103"/>
      <c r="H351" s="102"/>
      <c r="I351" s="103"/>
      <c r="J351" s="102"/>
      <c r="K351" s="103"/>
      <c r="L351" s="102"/>
      <c r="M351" s="103"/>
      <c r="N351" s="102"/>
      <c r="O351" s="103"/>
      <c r="P351" s="102"/>
      <c r="Q351" s="103"/>
      <c r="R351" s="102"/>
      <c r="S351" s="103"/>
    </row>
    <row r="352">
      <c r="A352" s="107"/>
      <c r="B352" s="102"/>
      <c r="C352" s="103"/>
      <c r="D352" s="102"/>
      <c r="E352" s="103"/>
      <c r="F352" s="102"/>
      <c r="G352" s="103"/>
      <c r="H352" s="102"/>
      <c r="I352" s="103"/>
      <c r="J352" s="102"/>
      <c r="K352" s="103"/>
      <c r="L352" s="102"/>
      <c r="M352" s="103"/>
      <c r="N352" s="102"/>
      <c r="O352" s="103"/>
      <c r="P352" s="102"/>
      <c r="Q352" s="103"/>
      <c r="R352" s="102"/>
      <c r="S352" s="103"/>
    </row>
    <row r="353">
      <c r="A353" s="107"/>
      <c r="B353" s="102"/>
      <c r="C353" s="103"/>
      <c r="D353" s="102"/>
      <c r="E353" s="103"/>
      <c r="F353" s="102"/>
      <c r="G353" s="103"/>
      <c r="H353" s="102"/>
      <c r="I353" s="103"/>
      <c r="J353" s="102"/>
      <c r="K353" s="103"/>
      <c r="L353" s="102"/>
      <c r="M353" s="103"/>
      <c r="N353" s="102"/>
      <c r="O353" s="103"/>
      <c r="P353" s="102"/>
      <c r="Q353" s="103"/>
      <c r="R353" s="102"/>
      <c r="S353" s="103"/>
    </row>
    <row r="354">
      <c r="A354" s="107"/>
      <c r="B354" s="102"/>
      <c r="C354" s="103"/>
      <c r="D354" s="102"/>
      <c r="E354" s="103"/>
      <c r="F354" s="102"/>
      <c r="G354" s="103"/>
      <c r="H354" s="102"/>
      <c r="I354" s="103"/>
      <c r="J354" s="102"/>
      <c r="K354" s="103"/>
      <c r="L354" s="102"/>
      <c r="M354" s="103"/>
      <c r="N354" s="102"/>
      <c r="O354" s="103"/>
      <c r="P354" s="102"/>
      <c r="Q354" s="103"/>
      <c r="R354" s="102"/>
      <c r="S354" s="103"/>
    </row>
    <row r="355">
      <c r="A355" s="107"/>
      <c r="B355" s="102"/>
      <c r="C355" s="103"/>
      <c r="D355" s="102"/>
      <c r="E355" s="103"/>
      <c r="F355" s="102"/>
      <c r="G355" s="103"/>
      <c r="H355" s="102"/>
      <c r="I355" s="103"/>
      <c r="J355" s="102"/>
      <c r="K355" s="103"/>
      <c r="L355" s="102"/>
      <c r="M355" s="103"/>
      <c r="N355" s="102"/>
      <c r="O355" s="103"/>
      <c r="P355" s="102"/>
      <c r="Q355" s="103"/>
      <c r="R355" s="102"/>
      <c r="S355" s="103"/>
    </row>
    <row r="356">
      <c r="A356" s="107"/>
      <c r="B356" s="102"/>
      <c r="C356" s="103"/>
      <c r="D356" s="102"/>
      <c r="E356" s="103"/>
      <c r="F356" s="102"/>
      <c r="G356" s="103"/>
      <c r="H356" s="102"/>
      <c r="I356" s="103"/>
      <c r="J356" s="102"/>
      <c r="K356" s="103"/>
      <c r="L356" s="102"/>
      <c r="M356" s="103"/>
      <c r="N356" s="102"/>
      <c r="O356" s="103"/>
      <c r="P356" s="102"/>
      <c r="Q356" s="103"/>
      <c r="R356" s="102"/>
      <c r="S356" s="103"/>
    </row>
    <row r="357">
      <c r="A357" s="107"/>
      <c r="B357" s="102"/>
      <c r="C357" s="103"/>
      <c r="D357" s="102"/>
      <c r="E357" s="103"/>
      <c r="F357" s="102"/>
      <c r="G357" s="103"/>
      <c r="H357" s="102"/>
      <c r="I357" s="103"/>
      <c r="J357" s="102"/>
      <c r="K357" s="103"/>
      <c r="L357" s="102"/>
      <c r="M357" s="103"/>
      <c r="N357" s="102"/>
      <c r="O357" s="103"/>
      <c r="P357" s="102"/>
      <c r="Q357" s="103"/>
      <c r="R357" s="102"/>
      <c r="S357" s="103"/>
    </row>
    <row r="358">
      <c r="A358" s="107"/>
      <c r="B358" s="102"/>
      <c r="C358" s="103"/>
      <c r="D358" s="102"/>
      <c r="E358" s="103"/>
      <c r="F358" s="102"/>
      <c r="G358" s="103"/>
      <c r="H358" s="102"/>
      <c r="I358" s="103"/>
      <c r="J358" s="102"/>
      <c r="K358" s="103"/>
      <c r="L358" s="102"/>
      <c r="M358" s="103"/>
      <c r="N358" s="102"/>
      <c r="O358" s="103"/>
      <c r="P358" s="102"/>
      <c r="Q358" s="103"/>
      <c r="R358" s="102"/>
      <c r="S358" s="103"/>
    </row>
    <row r="359">
      <c r="A359" s="107"/>
      <c r="B359" s="102"/>
      <c r="C359" s="103"/>
      <c r="D359" s="102"/>
      <c r="E359" s="103"/>
      <c r="F359" s="102"/>
      <c r="G359" s="103"/>
      <c r="H359" s="102"/>
      <c r="I359" s="103"/>
      <c r="J359" s="102"/>
      <c r="K359" s="103"/>
      <c r="L359" s="102"/>
      <c r="M359" s="103"/>
      <c r="N359" s="102"/>
      <c r="O359" s="103"/>
      <c r="P359" s="102"/>
      <c r="Q359" s="103"/>
      <c r="R359" s="102"/>
      <c r="S359" s="103"/>
    </row>
    <row r="360">
      <c r="A360" s="107"/>
      <c r="B360" s="102"/>
      <c r="C360" s="103"/>
      <c r="D360" s="102"/>
      <c r="E360" s="103"/>
      <c r="F360" s="102"/>
      <c r="G360" s="103"/>
      <c r="H360" s="102"/>
      <c r="I360" s="103"/>
      <c r="J360" s="102"/>
      <c r="K360" s="103"/>
      <c r="L360" s="102"/>
      <c r="M360" s="103"/>
      <c r="N360" s="102"/>
      <c r="O360" s="103"/>
      <c r="P360" s="102"/>
      <c r="Q360" s="103"/>
      <c r="R360" s="102"/>
      <c r="S360" s="103"/>
    </row>
    <row r="361">
      <c r="A361" s="107"/>
      <c r="B361" s="102"/>
      <c r="C361" s="103"/>
      <c r="D361" s="102"/>
      <c r="E361" s="103"/>
      <c r="F361" s="102"/>
      <c r="G361" s="103"/>
      <c r="H361" s="102"/>
      <c r="I361" s="103"/>
      <c r="J361" s="102"/>
      <c r="K361" s="103"/>
      <c r="L361" s="102"/>
      <c r="M361" s="103"/>
      <c r="N361" s="102"/>
      <c r="O361" s="103"/>
      <c r="P361" s="102"/>
      <c r="Q361" s="103"/>
      <c r="R361" s="102"/>
      <c r="S361" s="103"/>
    </row>
    <row r="362">
      <c r="A362" s="107"/>
      <c r="B362" s="102"/>
      <c r="C362" s="103"/>
      <c r="D362" s="102"/>
      <c r="E362" s="103"/>
      <c r="F362" s="102"/>
      <c r="G362" s="103"/>
      <c r="H362" s="102"/>
      <c r="I362" s="103"/>
      <c r="J362" s="102"/>
      <c r="K362" s="103"/>
      <c r="L362" s="102"/>
      <c r="M362" s="103"/>
      <c r="N362" s="102"/>
      <c r="O362" s="103"/>
      <c r="P362" s="102"/>
      <c r="Q362" s="103"/>
      <c r="R362" s="102"/>
      <c r="S362" s="103"/>
    </row>
    <row r="363">
      <c r="A363" s="107"/>
      <c r="B363" s="102"/>
      <c r="C363" s="103"/>
      <c r="D363" s="102"/>
      <c r="E363" s="103"/>
      <c r="F363" s="102"/>
      <c r="G363" s="103"/>
      <c r="H363" s="102"/>
      <c r="I363" s="103"/>
      <c r="J363" s="102"/>
      <c r="K363" s="103"/>
      <c r="L363" s="102"/>
      <c r="M363" s="103"/>
      <c r="N363" s="102"/>
      <c r="O363" s="103"/>
      <c r="P363" s="102"/>
      <c r="Q363" s="103"/>
      <c r="R363" s="102"/>
      <c r="S363" s="103"/>
    </row>
    <row r="364">
      <c r="A364" s="107"/>
      <c r="B364" s="102"/>
      <c r="C364" s="103"/>
      <c r="D364" s="102"/>
      <c r="E364" s="103"/>
      <c r="F364" s="102"/>
      <c r="G364" s="103"/>
      <c r="H364" s="102"/>
      <c r="I364" s="103"/>
      <c r="J364" s="102"/>
      <c r="K364" s="103"/>
      <c r="L364" s="102"/>
      <c r="M364" s="103"/>
      <c r="N364" s="102"/>
      <c r="O364" s="103"/>
      <c r="P364" s="102"/>
      <c r="Q364" s="103"/>
      <c r="R364" s="102"/>
      <c r="S364" s="103"/>
    </row>
    <row r="365">
      <c r="A365" s="107"/>
      <c r="B365" s="102"/>
      <c r="C365" s="103"/>
      <c r="D365" s="102"/>
      <c r="E365" s="103"/>
      <c r="F365" s="102"/>
      <c r="G365" s="103"/>
      <c r="H365" s="102"/>
      <c r="I365" s="103"/>
      <c r="J365" s="102"/>
      <c r="K365" s="103"/>
      <c r="L365" s="102"/>
      <c r="M365" s="103"/>
      <c r="N365" s="102"/>
      <c r="O365" s="103"/>
      <c r="P365" s="102"/>
      <c r="Q365" s="103"/>
      <c r="R365" s="102"/>
      <c r="S365" s="103"/>
    </row>
    <row r="366">
      <c r="A366" s="107"/>
      <c r="B366" s="102"/>
      <c r="C366" s="103"/>
      <c r="D366" s="102"/>
      <c r="E366" s="103"/>
      <c r="F366" s="102"/>
      <c r="G366" s="103"/>
      <c r="H366" s="102"/>
      <c r="I366" s="103"/>
      <c r="J366" s="102"/>
      <c r="K366" s="103"/>
      <c r="L366" s="102"/>
      <c r="M366" s="103"/>
      <c r="N366" s="102"/>
      <c r="O366" s="103"/>
      <c r="P366" s="102"/>
      <c r="Q366" s="103"/>
      <c r="R366" s="102"/>
      <c r="S366" s="103"/>
    </row>
    <row r="367">
      <c r="A367" s="107"/>
      <c r="B367" s="102"/>
      <c r="C367" s="103"/>
      <c r="D367" s="102"/>
      <c r="E367" s="103"/>
      <c r="F367" s="102"/>
      <c r="G367" s="103"/>
      <c r="H367" s="102"/>
      <c r="I367" s="103"/>
      <c r="J367" s="102"/>
      <c r="K367" s="103"/>
      <c r="L367" s="102"/>
      <c r="M367" s="103"/>
      <c r="N367" s="102"/>
      <c r="O367" s="103"/>
      <c r="P367" s="102"/>
      <c r="Q367" s="103"/>
      <c r="R367" s="102"/>
      <c r="S367" s="103"/>
    </row>
    <row r="368">
      <c r="A368" s="107"/>
      <c r="B368" s="102"/>
      <c r="C368" s="103"/>
      <c r="D368" s="102"/>
      <c r="E368" s="103"/>
      <c r="F368" s="102"/>
      <c r="G368" s="103"/>
      <c r="H368" s="102"/>
      <c r="I368" s="103"/>
      <c r="J368" s="102"/>
      <c r="K368" s="103"/>
      <c r="L368" s="102"/>
      <c r="M368" s="103"/>
      <c r="N368" s="102"/>
      <c r="O368" s="103"/>
      <c r="P368" s="102"/>
      <c r="Q368" s="103"/>
      <c r="R368" s="102"/>
      <c r="S368" s="103"/>
    </row>
    <row r="369">
      <c r="A369" s="107"/>
      <c r="B369" s="102"/>
      <c r="C369" s="103"/>
      <c r="D369" s="102"/>
      <c r="E369" s="103"/>
      <c r="F369" s="102"/>
      <c r="G369" s="103"/>
      <c r="H369" s="102"/>
      <c r="I369" s="103"/>
      <c r="J369" s="102"/>
      <c r="K369" s="103"/>
      <c r="L369" s="102"/>
      <c r="M369" s="103"/>
      <c r="N369" s="102"/>
      <c r="O369" s="103"/>
      <c r="P369" s="102"/>
      <c r="Q369" s="103"/>
      <c r="R369" s="102"/>
      <c r="S369" s="103"/>
    </row>
    <row r="370">
      <c r="A370" s="107"/>
      <c r="B370" s="102"/>
      <c r="C370" s="103"/>
      <c r="D370" s="102"/>
      <c r="E370" s="103"/>
      <c r="F370" s="102"/>
      <c r="G370" s="103"/>
      <c r="H370" s="102"/>
      <c r="I370" s="103"/>
      <c r="J370" s="102"/>
      <c r="K370" s="103"/>
      <c r="L370" s="102"/>
      <c r="M370" s="103"/>
      <c r="N370" s="102"/>
      <c r="O370" s="103"/>
      <c r="P370" s="102"/>
      <c r="Q370" s="103"/>
      <c r="R370" s="102"/>
      <c r="S370" s="103"/>
    </row>
    <row r="371">
      <c r="A371" s="107"/>
      <c r="B371" s="102"/>
      <c r="C371" s="103"/>
      <c r="D371" s="102"/>
      <c r="E371" s="103"/>
      <c r="F371" s="102"/>
      <c r="G371" s="103"/>
      <c r="H371" s="102"/>
      <c r="I371" s="103"/>
      <c r="J371" s="102"/>
      <c r="K371" s="103"/>
      <c r="L371" s="102"/>
      <c r="M371" s="103"/>
      <c r="N371" s="102"/>
      <c r="O371" s="103"/>
      <c r="P371" s="102"/>
      <c r="Q371" s="103"/>
      <c r="R371" s="102"/>
      <c r="S371" s="103"/>
    </row>
    <row r="372">
      <c r="A372" s="107"/>
      <c r="B372" s="102"/>
      <c r="C372" s="103"/>
      <c r="D372" s="102"/>
      <c r="E372" s="103"/>
      <c r="F372" s="102"/>
      <c r="G372" s="103"/>
      <c r="H372" s="102"/>
      <c r="I372" s="103"/>
      <c r="J372" s="102"/>
      <c r="K372" s="103"/>
      <c r="L372" s="102"/>
      <c r="M372" s="103"/>
      <c r="N372" s="102"/>
      <c r="O372" s="103"/>
      <c r="P372" s="102"/>
      <c r="Q372" s="103"/>
      <c r="R372" s="102"/>
      <c r="S372" s="103"/>
    </row>
    <row r="373">
      <c r="A373" s="107"/>
      <c r="B373" s="102"/>
      <c r="C373" s="103"/>
      <c r="D373" s="102"/>
      <c r="E373" s="103"/>
      <c r="F373" s="102"/>
      <c r="G373" s="103"/>
      <c r="H373" s="102"/>
      <c r="I373" s="103"/>
      <c r="J373" s="102"/>
      <c r="K373" s="103"/>
      <c r="L373" s="102"/>
      <c r="M373" s="103"/>
      <c r="N373" s="102"/>
      <c r="O373" s="103"/>
      <c r="P373" s="102"/>
      <c r="Q373" s="103"/>
      <c r="R373" s="102"/>
      <c r="S373" s="103"/>
    </row>
    <row r="374">
      <c r="A374" s="107"/>
      <c r="B374" s="102"/>
      <c r="C374" s="103"/>
      <c r="D374" s="102"/>
      <c r="E374" s="103"/>
      <c r="F374" s="102"/>
      <c r="G374" s="103"/>
      <c r="H374" s="102"/>
      <c r="I374" s="103"/>
      <c r="J374" s="102"/>
      <c r="K374" s="103"/>
      <c r="L374" s="102"/>
      <c r="M374" s="103"/>
      <c r="N374" s="102"/>
      <c r="O374" s="103"/>
      <c r="P374" s="102"/>
      <c r="Q374" s="103"/>
      <c r="R374" s="102"/>
      <c r="S374" s="103"/>
    </row>
    <row r="375">
      <c r="A375" s="107"/>
      <c r="B375" s="102"/>
      <c r="C375" s="103"/>
      <c r="D375" s="102"/>
      <c r="E375" s="103"/>
      <c r="F375" s="102"/>
      <c r="G375" s="103"/>
      <c r="H375" s="102"/>
      <c r="I375" s="103"/>
      <c r="J375" s="102"/>
      <c r="K375" s="103"/>
      <c r="L375" s="102"/>
      <c r="M375" s="103"/>
      <c r="N375" s="102"/>
      <c r="O375" s="103"/>
      <c r="P375" s="102"/>
      <c r="Q375" s="103"/>
      <c r="R375" s="102"/>
      <c r="S375" s="103"/>
    </row>
    <row r="376">
      <c r="A376" s="107"/>
      <c r="B376" s="102"/>
      <c r="C376" s="103"/>
      <c r="D376" s="102"/>
      <c r="E376" s="103"/>
      <c r="F376" s="102"/>
      <c r="G376" s="103"/>
      <c r="H376" s="102"/>
      <c r="I376" s="103"/>
      <c r="J376" s="102"/>
      <c r="K376" s="103"/>
      <c r="L376" s="102"/>
      <c r="M376" s="103"/>
      <c r="N376" s="102"/>
      <c r="O376" s="103"/>
      <c r="P376" s="102"/>
      <c r="Q376" s="103"/>
      <c r="R376" s="102"/>
      <c r="S376" s="103"/>
    </row>
    <row r="377">
      <c r="A377" s="107"/>
      <c r="B377" s="102"/>
      <c r="C377" s="103"/>
      <c r="D377" s="102"/>
      <c r="E377" s="103"/>
      <c r="F377" s="102"/>
      <c r="G377" s="103"/>
      <c r="H377" s="102"/>
      <c r="I377" s="103"/>
      <c r="J377" s="102"/>
      <c r="K377" s="103"/>
      <c r="L377" s="102"/>
      <c r="M377" s="103"/>
      <c r="N377" s="102"/>
      <c r="O377" s="103"/>
      <c r="P377" s="102"/>
      <c r="Q377" s="103"/>
      <c r="R377" s="102"/>
      <c r="S377" s="103"/>
    </row>
    <row r="378">
      <c r="A378" s="107"/>
      <c r="B378" s="102"/>
      <c r="C378" s="103"/>
      <c r="D378" s="102"/>
      <c r="E378" s="103"/>
      <c r="F378" s="102"/>
      <c r="G378" s="103"/>
      <c r="H378" s="102"/>
      <c r="I378" s="103"/>
      <c r="J378" s="102"/>
      <c r="K378" s="103"/>
      <c r="L378" s="102"/>
      <c r="M378" s="103"/>
      <c r="N378" s="102"/>
      <c r="O378" s="103"/>
      <c r="P378" s="102"/>
      <c r="Q378" s="103"/>
      <c r="R378" s="102"/>
      <c r="S378" s="103"/>
    </row>
    <row r="379">
      <c r="A379" s="107"/>
      <c r="B379" s="102"/>
      <c r="C379" s="103"/>
      <c r="D379" s="102"/>
      <c r="E379" s="103"/>
      <c r="F379" s="102"/>
      <c r="G379" s="103"/>
      <c r="H379" s="102"/>
      <c r="I379" s="103"/>
      <c r="J379" s="102"/>
      <c r="K379" s="103"/>
      <c r="L379" s="102"/>
      <c r="M379" s="103"/>
      <c r="N379" s="102"/>
      <c r="O379" s="103"/>
      <c r="P379" s="102"/>
      <c r="Q379" s="103"/>
      <c r="R379" s="102"/>
      <c r="S379" s="103"/>
    </row>
    <row r="380">
      <c r="A380" s="107"/>
      <c r="B380" s="102"/>
      <c r="C380" s="103"/>
      <c r="D380" s="102"/>
      <c r="E380" s="103"/>
      <c r="F380" s="102"/>
      <c r="G380" s="103"/>
      <c r="H380" s="102"/>
      <c r="I380" s="103"/>
      <c r="J380" s="102"/>
      <c r="K380" s="103"/>
      <c r="L380" s="102"/>
      <c r="M380" s="103"/>
      <c r="N380" s="102"/>
      <c r="O380" s="103"/>
      <c r="P380" s="102"/>
      <c r="Q380" s="103"/>
      <c r="R380" s="102"/>
      <c r="S380" s="103"/>
    </row>
    <row r="381">
      <c r="A381" s="107"/>
      <c r="B381" s="102"/>
      <c r="C381" s="103"/>
      <c r="D381" s="102"/>
      <c r="E381" s="103"/>
      <c r="F381" s="102"/>
      <c r="G381" s="103"/>
      <c r="H381" s="102"/>
      <c r="I381" s="103"/>
      <c r="J381" s="102"/>
      <c r="K381" s="103"/>
      <c r="L381" s="102"/>
      <c r="M381" s="103"/>
      <c r="N381" s="102"/>
      <c r="O381" s="103"/>
      <c r="P381" s="102"/>
      <c r="Q381" s="103"/>
      <c r="R381" s="102"/>
      <c r="S381" s="103"/>
    </row>
    <row r="382">
      <c r="A382" s="107"/>
      <c r="B382" s="102"/>
      <c r="C382" s="103"/>
      <c r="D382" s="102"/>
      <c r="E382" s="103"/>
      <c r="F382" s="102"/>
      <c r="G382" s="103"/>
      <c r="H382" s="102"/>
      <c r="I382" s="103"/>
      <c r="J382" s="102"/>
      <c r="K382" s="103"/>
      <c r="L382" s="102"/>
      <c r="M382" s="103"/>
      <c r="N382" s="102"/>
      <c r="O382" s="103"/>
      <c r="P382" s="102"/>
      <c r="Q382" s="103"/>
      <c r="R382" s="102"/>
      <c r="S382" s="103"/>
    </row>
    <row r="383">
      <c r="A383" s="107"/>
      <c r="B383" s="102"/>
      <c r="C383" s="103"/>
      <c r="D383" s="102"/>
      <c r="E383" s="103"/>
      <c r="F383" s="102"/>
      <c r="G383" s="103"/>
      <c r="H383" s="102"/>
      <c r="I383" s="103"/>
      <c r="J383" s="102"/>
      <c r="K383" s="103"/>
      <c r="L383" s="102"/>
      <c r="M383" s="103"/>
      <c r="N383" s="102"/>
      <c r="O383" s="103"/>
      <c r="P383" s="102"/>
      <c r="Q383" s="103"/>
      <c r="R383" s="102"/>
      <c r="S383" s="103"/>
    </row>
    <row r="384">
      <c r="A384" s="107"/>
      <c r="B384" s="102"/>
      <c r="C384" s="103"/>
      <c r="D384" s="102"/>
      <c r="E384" s="103"/>
      <c r="F384" s="102"/>
      <c r="G384" s="103"/>
      <c r="H384" s="102"/>
      <c r="I384" s="103"/>
      <c r="J384" s="102"/>
      <c r="K384" s="103"/>
      <c r="L384" s="102"/>
      <c r="M384" s="103"/>
      <c r="N384" s="102"/>
      <c r="O384" s="103"/>
      <c r="P384" s="102"/>
      <c r="Q384" s="103"/>
      <c r="R384" s="102"/>
      <c r="S384" s="103"/>
    </row>
    <row r="385">
      <c r="A385" s="107"/>
      <c r="B385" s="102"/>
      <c r="C385" s="103"/>
      <c r="D385" s="102"/>
      <c r="E385" s="103"/>
      <c r="F385" s="102"/>
      <c r="G385" s="103"/>
      <c r="H385" s="102"/>
      <c r="I385" s="103"/>
      <c r="J385" s="102"/>
      <c r="K385" s="103"/>
      <c r="L385" s="102"/>
      <c r="M385" s="103"/>
      <c r="N385" s="102"/>
      <c r="O385" s="103"/>
      <c r="P385" s="102"/>
      <c r="Q385" s="103"/>
      <c r="R385" s="102"/>
      <c r="S385" s="103"/>
    </row>
    <row r="386">
      <c r="A386" s="107"/>
      <c r="B386" s="102"/>
      <c r="C386" s="103"/>
      <c r="D386" s="102"/>
      <c r="E386" s="103"/>
      <c r="F386" s="102"/>
      <c r="G386" s="103"/>
      <c r="H386" s="102"/>
      <c r="I386" s="103"/>
      <c r="J386" s="102"/>
      <c r="K386" s="103"/>
      <c r="L386" s="102"/>
      <c r="M386" s="103"/>
      <c r="N386" s="102"/>
      <c r="O386" s="103"/>
      <c r="P386" s="102"/>
      <c r="Q386" s="103"/>
      <c r="R386" s="102"/>
      <c r="S386" s="103"/>
    </row>
    <row r="387">
      <c r="A387" s="107"/>
      <c r="B387" s="102"/>
      <c r="C387" s="103"/>
      <c r="D387" s="102"/>
      <c r="E387" s="103"/>
      <c r="F387" s="102"/>
      <c r="G387" s="103"/>
      <c r="H387" s="102"/>
      <c r="I387" s="103"/>
      <c r="J387" s="102"/>
      <c r="K387" s="103"/>
      <c r="L387" s="102"/>
      <c r="M387" s="103"/>
      <c r="N387" s="102"/>
      <c r="O387" s="103"/>
      <c r="P387" s="102"/>
      <c r="Q387" s="103"/>
      <c r="R387" s="102"/>
      <c r="S387" s="103"/>
    </row>
    <row r="388">
      <c r="A388" s="107"/>
      <c r="B388" s="102"/>
      <c r="C388" s="103"/>
      <c r="D388" s="102"/>
      <c r="E388" s="103"/>
      <c r="F388" s="102"/>
      <c r="G388" s="103"/>
      <c r="H388" s="102"/>
      <c r="I388" s="103"/>
      <c r="J388" s="102"/>
      <c r="K388" s="103"/>
      <c r="L388" s="102"/>
      <c r="M388" s="103"/>
      <c r="N388" s="102"/>
      <c r="O388" s="103"/>
      <c r="P388" s="102"/>
      <c r="Q388" s="103"/>
      <c r="R388" s="102"/>
      <c r="S388" s="103"/>
    </row>
    <row r="389">
      <c r="A389" s="107"/>
      <c r="B389" s="102"/>
      <c r="C389" s="103"/>
      <c r="D389" s="102"/>
      <c r="E389" s="103"/>
      <c r="F389" s="102"/>
      <c r="G389" s="103"/>
      <c r="H389" s="102"/>
      <c r="I389" s="103"/>
      <c r="J389" s="102"/>
      <c r="K389" s="103"/>
      <c r="L389" s="102"/>
      <c r="M389" s="103"/>
      <c r="N389" s="102"/>
      <c r="O389" s="103"/>
      <c r="P389" s="102"/>
      <c r="Q389" s="103"/>
      <c r="R389" s="102"/>
      <c r="S389" s="103"/>
    </row>
    <row r="390">
      <c r="A390" s="107"/>
      <c r="B390" s="102"/>
      <c r="C390" s="103"/>
      <c r="D390" s="102"/>
      <c r="E390" s="103"/>
      <c r="F390" s="102"/>
      <c r="G390" s="103"/>
      <c r="H390" s="102"/>
      <c r="I390" s="103"/>
      <c r="J390" s="102"/>
      <c r="K390" s="103"/>
      <c r="L390" s="102"/>
      <c r="M390" s="103"/>
      <c r="N390" s="102"/>
      <c r="O390" s="103"/>
      <c r="P390" s="102"/>
      <c r="Q390" s="103"/>
      <c r="R390" s="102"/>
      <c r="S390" s="103"/>
    </row>
    <row r="391">
      <c r="A391" s="107"/>
      <c r="B391" s="102"/>
      <c r="C391" s="103"/>
      <c r="D391" s="102"/>
      <c r="E391" s="103"/>
      <c r="F391" s="102"/>
      <c r="G391" s="103"/>
      <c r="H391" s="102"/>
      <c r="I391" s="103"/>
      <c r="J391" s="102"/>
      <c r="K391" s="103"/>
      <c r="L391" s="102"/>
      <c r="M391" s="103"/>
      <c r="N391" s="102"/>
      <c r="O391" s="103"/>
      <c r="P391" s="102"/>
      <c r="Q391" s="103"/>
      <c r="R391" s="102"/>
      <c r="S391" s="103"/>
    </row>
    <row r="392">
      <c r="A392" s="107"/>
      <c r="B392" s="102"/>
      <c r="C392" s="103"/>
      <c r="D392" s="102"/>
      <c r="E392" s="103"/>
      <c r="F392" s="102"/>
      <c r="G392" s="103"/>
      <c r="H392" s="102"/>
      <c r="I392" s="103"/>
      <c r="J392" s="102"/>
      <c r="K392" s="103"/>
      <c r="L392" s="102"/>
      <c r="M392" s="103"/>
      <c r="N392" s="102"/>
      <c r="O392" s="103"/>
      <c r="P392" s="102"/>
      <c r="Q392" s="103"/>
      <c r="R392" s="102"/>
      <c r="S392" s="103"/>
    </row>
    <row r="393">
      <c r="A393" s="107"/>
      <c r="B393" s="102"/>
      <c r="C393" s="103"/>
      <c r="D393" s="102"/>
      <c r="E393" s="103"/>
      <c r="F393" s="102"/>
      <c r="G393" s="103"/>
      <c r="H393" s="102"/>
      <c r="I393" s="103"/>
      <c r="J393" s="102"/>
      <c r="K393" s="103"/>
      <c r="L393" s="102"/>
      <c r="M393" s="103"/>
      <c r="N393" s="102"/>
      <c r="O393" s="103"/>
      <c r="P393" s="102"/>
      <c r="Q393" s="103"/>
      <c r="R393" s="102"/>
      <c r="S393" s="103"/>
    </row>
    <row r="394">
      <c r="A394" s="107"/>
      <c r="B394" s="102"/>
      <c r="C394" s="103"/>
      <c r="D394" s="102"/>
      <c r="E394" s="103"/>
      <c r="F394" s="102"/>
      <c r="G394" s="103"/>
      <c r="H394" s="102"/>
      <c r="I394" s="103"/>
      <c r="J394" s="102"/>
      <c r="K394" s="103"/>
      <c r="L394" s="102"/>
      <c r="M394" s="103"/>
      <c r="N394" s="102"/>
      <c r="O394" s="103"/>
      <c r="P394" s="102"/>
      <c r="Q394" s="103"/>
      <c r="R394" s="102"/>
      <c r="S394" s="103"/>
    </row>
    <row r="395">
      <c r="A395" s="107"/>
      <c r="B395" s="102"/>
      <c r="C395" s="103"/>
      <c r="D395" s="102"/>
      <c r="E395" s="103"/>
      <c r="F395" s="102"/>
      <c r="G395" s="103"/>
      <c r="H395" s="102"/>
      <c r="I395" s="103"/>
      <c r="J395" s="102"/>
      <c r="K395" s="103"/>
      <c r="L395" s="102"/>
      <c r="M395" s="103"/>
      <c r="N395" s="102"/>
      <c r="O395" s="103"/>
      <c r="P395" s="102"/>
      <c r="Q395" s="103"/>
      <c r="R395" s="102"/>
      <c r="S395" s="103"/>
    </row>
    <row r="396">
      <c r="A396" s="107"/>
      <c r="B396" s="102"/>
      <c r="C396" s="103"/>
      <c r="D396" s="102"/>
      <c r="E396" s="103"/>
      <c r="F396" s="102"/>
      <c r="G396" s="103"/>
      <c r="H396" s="102"/>
      <c r="I396" s="103"/>
      <c r="J396" s="102"/>
      <c r="K396" s="103"/>
      <c r="L396" s="102"/>
      <c r="M396" s="103"/>
      <c r="N396" s="102"/>
      <c r="O396" s="103"/>
      <c r="P396" s="102"/>
      <c r="Q396" s="103"/>
      <c r="R396" s="102"/>
      <c r="S396" s="103"/>
    </row>
    <row r="397">
      <c r="A397" s="107"/>
      <c r="B397" s="102"/>
      <c r="C397" s="103"/>
      <c r="D397" s="102"/>
      <c r="E397" s="103"/>
      <c r="F397" s="102"/>
      <c r="G397" s="103"/>
      <c r="H397" s="102"/>
      <c r="I397" s="103"/>
      <c r="J397" s="102"/>
      <c r="K397" s="103"/>
      <c r="L397" s="102"/>
      <c r="M397" s="103"/>
      <c r="N397" s="102"/>
      <c r="O397" s="103"/>
      <c r="P397" s="102"/>
      <c r="Q397" s="103"/>
      <c r="R397" s="102"/>
      <c r="S397" s="103"/>
    </row>
    <row r="398">
      <c r="A398" s="107"/>
      <c r="B398" s="102"/>
      <c r="C398" s="103"/>
      <c r="D398" s="102"/>
      <c r="E398" s="103"/>
      <c r="F398" s="102"/>
      <c r="G398" s="103"/>
      <c r="H398" s="102"/>
      <c r="I398" s="103"/>
      <c r="J398" s="102"/>
      <c r="K398" s="103"/>
      <c r="L398" s="102"/>
      <c r="M398" s="103"/>
      <c r="N398" s="102"/>
      <c r="O398" s="103"/>
      <c r="P398" s="102"/>
      <c r="Q398" s="103"/>
      <c r="R398" s="102"/>
      <c r="S398" s="103"/>
    </row>
    <row r="399">
      <c r="A399" s="107"/>
      <c r="B399" s="102"/>
      <c r="C399" s="103"/>
      <c r="D399" s="102"/>
      <c r="E399" s="103"/>
      <c r="F399" s="102"/>
      <c r="G399" s="103"/>
      <c r="H399" s="102"/>
      <c r="I399" s="103"/>
      <c r="J399" s="102"/>
      <c r="K399" s="103"/>
      <c r="L399" s="102"/>
      <c r="M399" s="103"/>
      <c r="N399" s="102"/>
      <c r="O399" s="103"/>
      <c r="P399" s="102"/>
      <c r="Q399" s="103"/>
      <c r="R399" s="102"/>
      <c r="S399" s="103"/>
    </row>
    <row r="400">
      <c r="A400" s="107"/>
      <c r="B400" s="102"/>
      <c r="C400" s="103"/>
      <c r="D400" s="102"/>
      <c r="E400" s="103"/>
      <c r="F400" s="102"/>
      <c r="G400" s="103"/>
      <c r="H400" s="102"/>
      <c r="I400" s="103"/>
      <c r="J400" s="102"/>
      <c r="K400" s="103"/>
      <c r="L400" s="102"/>
      <c r="M400" s="103"/>
      <c r="N400" s="102"/>
      <c r="O400" s="103"/>
      <c r="P400" s="102"/>
      <c r="Q400" s="103"/>
      <c r="R400" s="102"/>
      <c r="S400" s="103"/>
    </row>
    <row r="401">
      <c r="A401" s="107"/>
      <c r="B401" s="102"/>
      <c r="C401" s="103"/>
      <c r="D401" s="102"/>
      <c r="E401" s="103"/>
      <c r="F401" s="102"/>
      <c r="G401" s="103"/>
      <c r="H401" s="102"/>
      <c r="I401" s="103"/>
      <c r="J401" s="102"/>
      <c r="K401" s="103"/>
      <c r="L401" s="102"/>
      <c r="M401" s="103"/>
      <c r="N401" s="102"/>
      <c r="O401" s="103"/>
      <c r="P401" s="102"/>
      <c r="Q401" s="103"/>
      <c r="R401" s="102"/>
      <c r="S401" s="103"/>
    </row>
    <row r="402">
      <c r="A402" s="107"/>
      <c r="B402" s="102"/>
      <c r="C402" s="103"/>
      <c r="D402" s="102"/>
      <c r="E402" s="103"/>
      <c r="F402" s="102"/>
      <c r="G402" s="103"/>
      <c r="H402" s="102"/>
      <c r="I402" s="103"/>
      <c r="J402" s="102"/>
      <c r="K402" s="103"/>
      <c r="L402" s="102"/>
      <c r="M402" s="103"/>
      <c r="N402" s="102"/>
      <c r="O402" s="103"/>
      <c r="P402" s="102"/>
      <c r="Q402" s="103"/>
      <c r="R402" s="102"/>
      <c r="S402" s="103"/>
    </row>
    <row r="403">
      <c r="A403" s="107"/>
      <c r="B403" s="102"/>
      <c r="C403" s="103"/>
      <c r="D403" s="102"/>
      <c r="E403" s="103"/>
      <c r="F403" s="102"/>
      <c r="G403" s="103"/>
      <c r="H403" s="102"/>
      <c r="I403" s="103"/>
      <c r="J403" s="102"/>
      <c r="K403" s="103"/>
      <c r="L403" s="102"/>
      <c r="M403" s="103"/>
      <c r="N403" s="102"/>
      <c r="O403" s="103"/>
      <c r="P403" s="102"/>
      <c r="Q403" s="103"/>
      <c r="R403" s="102"/>
      <c r="S403" s="103"/>
    </row>
    <row r="404">
      <c r="A404" s="107"/>
      <c r="B404" s="102"/>
      <c r="C404" s="103"/>
      <c r="D404" s="102"/>
      <c r="E404" s="103"/>
      <c r="F404" s="102"/>
      <c r="G404" s="103"/>
      <c r="H404" s="102"/>
      <c r="I404" s="103"/>
      <c r="J404" s="102"/>
      <c r="K404" s="103"/>
      <c r="L404" s="102"/>
      <c r="M404" s="103"/>
      <c r="N404" s="102"/>
      <c r="O404" s="103"/>
      <c r="P404" s="102"/>
      <c r="Q404" s="103"/>
      <c r="R404" s="102"/>
      <c r="S404" s="103"/>
    </row>
    <row r="405">
      <c r="A405" s="107"/>
      <c r="B405" s="102"/>
      <c r="C405" s="103"/>
      <c r="D405" s="102"/>
      <c r="E405" s="103"/>
      <c r="F405" s="102"/>
      <c r="G405" s="103"/>
      <c r="H405" s="102"/>
      <c r="I405" s="103"/>
      <c r="J405" s="102"/>
      <c r="K405" s="103"/>
      <c r="L405" s="102"/>
      <c r="M405" s="103"/>
      <c r="N405" s="102"/>
      <c r="O405" s="103"/>
      <c r="P405" s="102"/>
      <c r="Q405" s="103"/>
      <c r="R405" s="102"/>
      <c r="S405" s="103"/>
    </row>
    <row r="406">
      <c r="A406" s="107"/>
      <c r="B406" s="102"/>
      <c r="C406" s="103"/>
      <c r="D406" s="102"/>
      <c r="E406" s="103"/>
      <c r="F406" s="102"/>
      <c r="G406" s="103"/>
      <c r="H406" s="102"/>
      <c r="I406" s="103"/>
      <c r="J406" s="102"/>
      <c r="K406" s="103"/>
      <c r="L406" s="102"/>
      <c r="M406" s="103"/>
      <c r="N406" s="102"/>
      <c r="O406" s="103"/>
      <c r="P406" s="102"/>
      <c r="Q406" s="103"/>
      <c r="R406" s="102"/>
      <c r="S406" s="103"/>
    </row>
    <row r="407">
      <c r="A407" s="107"/>
      <c r="B407" s="102"/>
      <c r="C407" s="103"/>
      <c r="D407" s="102"/>
      <c r="E407" s="103"/>
      <c r="F407" s="102"/>
      <c r="G407" s="103"/>
      <c r="H407" s="102"/>
      <c r="I407" s="103"/>
      <c r="J407" s="102"/>
      <c r="K407" s="103"/>
      <c r="L407" s="102"/>
      <c r="M407" s="103"/>
      <c r="N407" s="102"/>
      <c r="O407" s="103"/>
      <c r="P407" s="102"/>
      <c r="Q407" s="103"/>
      <c r="R407" s="102"/>
      <c r="S407" s="103"/>
    </row>
    <row r="408">
      <c r="A408" s="107"/>
      <c r="B408" s="102"/>
      <c r="C408" s="103"/>
      <c r="D408" s="102"/>
      <c r="E408" s="103"/>
      <c r="F408" s="102"/>
      <c r="G408" s="103"/>
      <c r="H408" s="102"/>
      <c r="I408" s="103"/>
      <c r="J408" s="102"/>
      <c r="K408" s="103"/>
      <c r="L408" s="102"/>
      <c r="M408" s="103"/>
      <c r="N408" s="102"/>
      <c r="O408" s="103"/>
      <c r="P408" s="102"/>
      <c r="Q408" s="103"/>
      <c r="R408" s="102"/>
      <c r="S408" s="103"/>
    </row>
    <row r="409">
      <c r="A409" s="107"/>
      <c r="B409" s="102"/>
      <c r="C409" s="103"/>
      <c r="D409" s="102"/>
      <c r="E409" s="103"/>
      <c r="F409" s="102"/>
      <c r="G409" s="103"/>
      <c r="H409" s="102"/>
      <c r="I409" s="103"/>
      <c r="J409" s="102"/>
      <c r="K409" s="103"/>
      <c r="L409" s="102"/>
      <c r="M409" s="103"/>
      <c r="N409" s="102"/>
      <c r="O409" s="103"/>
      <c r="P409" s="102"/>
      <c r="Q409" s="103"/>
      <c r="R409" s="102"/>
      <c r="S409" s="103"/>
    </row>
    <row r="410">
      <c r="A410" s="107"/>
      <c r="B410" s="102"/>
      <c r="C410" s="103"/>
      <c r="D410" s="102"/>
      <c r="E410" s="103"/>
      <c r="F410" s="102"/>
      <c r="G410" s="103"/>
      <c r="H410" s="102"/>
      <c r="I410" s="103"/>
      <c r="J410" s="102"/>
      <c r="K410" s="103"/>
      <c r="L410" s="102"/>
      <c r="M410" s="103"/>
      <c r="N410" s="102"/>
      <c r="O410" s="103"/>
      <c r="P410" s="102"/>
      <c r="Q410" s="103"/>
      <c r="R410" s="102"/>
      <c r="S410" s="103"/>
    </row>
    <row r="411">
      <c r="A411" s="107"/>
      <c r="B411" s="102"/>
      <c r="C411" s="103"/>
      <c r="D411" s="102"/>
      <c r="E411" s="103"/>
      <c r="F411" s="102"/>
      <c r="G411" s="103"/>
      <c r="H411" s="102"/>
      <c r="I411" s="103"/>
      <c r="J411" s="102"/>
      <c r="K411" s="103"/>
      <c r="L411" s="102"/>
      <c r="M411" s="103"/>
      <c r="N411" s="102"/>
      <c r="O411" s="103"/>
      <c r="P411" s="102"/>
      <c r="Q411" s="103"/>
      <c r="R411" s="102"/>
      <c r="S411" s="103"/>
    </row>
    <row r="412">
      <c r="A412" s="107"/>
      <c r="B412" s="102"/>
      <c r="C412" s="103"/>
      <c r="D412" s="102"/>
      <c r="E412" s="103"/>
      <c r="F412" s="102"/>
      <c r="G412" s="103"/>
      <c r="H412" s="102"/>
      <c r="I412" s="103"/>
      <c r="J412" s="102"/>
      <c r="K412" s="103"/>
      <c r="L412" s="102"/>
      <c r="M412" s="103"/>
      <c r="N412" s="102"/>
      <c r="O412" s="103"/>
      <c r="P412" s="102"/>
      <c r="Q412" s="103"/>
      <c r="R412" s="102"/>
      <c r="S412" s="103"/>
    </row>
    <row r="413">
      <c r="A413" s="107"/>
      <c r="B413" s="102"/>
      <c r="C413" s="103"/>
      <c r="D413" s="102"/>
      <c r="E413" s="103"/>
      <c r="F413" s="102"/>
      <c r="G413" s="103"/>
      <c r="H413" s="102"/>
      <c r="I413" s="103"/>
      <c r="J413" s="102"/>
      <c r="K413" s="103"/>
      <c r="L413" s="102"/>
      <c r="M413" s="103"/>
      <c r="N413" s="102"/>
      <c r="O413" s="103"/>
      <c r="P413" s="102"/>
      <c r="Q413" s="103"/>
      <c r="R413" s="102"/>
      <c r="S413" s="103"/>
    </row>
    <row r="414">
      <c r="A414" s="107"/>
      <c r="B414" s="102"/>
      <c r="C414" s="103"/>
      <c r="D414" s="102"/>
      <c r="E414" s="103"/>
      <c r="F414" s="102"/>
      <c r="G414" s="103"/>
      <c r="H414" s="102"/>
      <c r="I414" s="103"/>
      <c r="J414" s="102"/>
      <c r="K414" s="103"/>
      <c r="L414" s="102"/>
      <c r="M414" s="103"/>
      <c r="N414" s="102"/>
      <c r="O414" s="103"/>
      <c r="P414" s="102"/>
      <c r="Q414" s="103"/>
      <c r="R414" s="102"/>
      <c r="S414" s="103"/>
    </row>
    <row r="415">
      <c r="A415" s="107"/>
      <c r="B415" s="102"/>
      <c r="C415" s="103"/>
      <c r="D415" s="102"/>
      <c r="E415" s="103"/>
      <c r="F415" s="102"/>
      <c r="G415" s="103"/>
      <c r="H415" s="102"/>
      <c r="I415" s="103"/>
      <c r="J415" s="102"/>
      <c r="K415" s="103"/>
      <c r="L415" s="102"/>
      <c r="M415" s="103"/>
      <c r="N415" s="102"/>
      <c r="O415" s="103"/>
      <c r="P415" s="102"/>
      <c r="Q415" s="103"/>
      <c r="R415" s="102"/>
      <c r="S415" s="103"/>
    </row>
    <row r="416">
      <c r="A416" s="107"/>
      <c r="B416" s="102"/>
      <c r="C416" s="103"/>
      <c r="D416" s="102"/>
      <c r="E416" s="103"/>
      <c r="F416" s="102"/>
      <c r="G416" s="103"/>
      <c r="H416" s="102"/>
      <c r="I416" s="103"/>
      <c r="J416" s="102"/>
      <c r="K416" s="103"/>
      <c r="L416" s="102"/>
      <c r="M416" s="103"/>
      <c r="N416" s="102"/>
      <c r="O416" s="103"/>
      <c r="P416" s="102"/>
      <c r="Q416" s="103"/>
      <c r="R416" s="102"/>
      <c r="S416" s="103"/>
    </row>
    <row r="417">
      <c r="A417" s="107"/>
      <c r="B417" s="102"/>
      <c r="C417" s="103"/>
      <c r="D417" s="102"/>
      <c r="E417" s="103"/>
      <c r="F417" s="102"/>
      <c r="G417" s="103"/>
      <c r="H417" s="102"/>
      <c r="I417" s="103"/>
      <c r="J417" s="102"/>
      <c r="K417" s="103"/>
      <c r="L417" s="102"/>
      <c r="M417" s="103"/>
      <c r="N417" s="102"/>
      <c r="O417" s="103"/>
      <c r="P417" s="102"/>
      <c r="Q417" s="103"/>
      <c r="R417" s="102"/>
      <c r="S417" s="103"/>
    </row>
    <row r="418">
      <c r="A418" s="107"/>
      <c r="B418" s="102"/>
      <c r="C418" s="103"/>
      <c r="D418" s="102"/>
      <c r="E418" s="103"/>
      <c r="F418" s="102"/>
      <c r="G418" s="103"/>
      <c r="H418" s="102"/>
      <c r="I418" s="103"/>
      <c r="J418" s="102"/>
      <c r="K418" s="103"/>
      <c r="L418" s="102"/>
      <c r="M418" s="103"/>
      <c r="N418" s="102"/>
      <c r="O418" s="103"/>
      <c r="P418" s="102"/>
      <c r="Q418" s="103"/>
      <c r="R418" s="102"/>
      <c r="S418" s="103"/>
    </row>
    <row r="419">
      <c r="A419" s="107"/>
      <c r="B419" s="102"/>
      <c r="C419" s="103"/>
      <c r="D419" s="102"/>
      <c r="E419" s="103"/>
      <c r="F419" s="102"/>
      <c r="G419" s="103"/>
      <c r="H419" s="102"/>
      <c r="I419" s="103"/>
      <c r="J419" s="102"/>
      <c r="K419" s="103"/>
      <c r="L419" s="102"/>
      <c r="M419" s="103"/>
      <c r="N419" s="102"/>
      <c r="O419" s="103"/>
      <c r="P419" s="102"/>
      <c r="Q419" s="103"/>
      <c r="R419" s="102"/>
      <c r="S419" s="103"/>
    </row>
    <row r="420">
      <c r="A420" s="107"/>
      <c r="B420" s="102"/>
      <c r="C420" s="103"/>
      <c r="D420" s="102"/>
      <c r="E420" s="103"/>
      <c r="F420" s="102"/>
      <c r="G420" s="103"/>
      <c r="H420" s="102"/>
      <c r="I420" s="103"/>
      <c r="J420" s="102"/>
      <c r="K420" s="103"/>
      <c r="L420" s="102"/>
      <c r="M420" s="103"/>
      <c r="N420" s="102"/>
      <c r="O420" s="103"/>
      <c r="P420" s="102"/>
      <c r="Q420" s="103"/>
      <c r="R420" s="102"/>
      <c r="S420" s="103"/>
    </row>
    <row r="421">
      <c r="A421" s="107"/>
      <c r="B421" s="102"/>
      <c r="C421" s="103"/>
      <c r="D421" s="102"/>
      <c r="E421" s="103"/>
      <c r="F421" s="102"/>
      <c r="G421" s="103"/>
      <c r="H421" s="102"/>
      <c r="I421" s="103"/>
      <c r="J421" s="102"/>
      <c r="K421" s="103"/>
      <c r="L421" s="102"/>
      <c r="M421" s="103"/>
      <c r="N421" s="102"/>
      <c r="O421" s="103"/>
      <c r="P421" s="102"/>
      <c r="Q421" s="103"/>
      <c r="R421" s="102"/>
      <c r="S421" s="103"/>
    </row>
    <row r="422">
      <c r="A422" s="107"/>
      <c r="B422" s="102"/>
      <c r="C422" s="103"/>
      <c r="D422" s="102"/>
      <c r="E422" s="103"/>
      <c r="F422" s="102"/>
      <c r="G422" s="103"/>
      <c r="H422" s="102"/>
      <c r="I422" s="103"/>
      <c r="J422" s="102"/>
      <c r="K422" s="103"/>
      <c r="L422" s="102"/>
      <c r="M422" s="103"/>
      <c r="N422" s="102"/>
      <c r="O422" s="103"/>
      <c r="P422" s="102"/>
      <c r="Q422" s="103"/>
      <c r="R422" s="102"/>
      <c r="S422" s="103"/>
    </row>
    <row r="423">
      <c r="A423" s="107"/>
      <c r="B423" s="102"/>
      <c r="C423" s="103"/>
      <c r="D423" s="102"/>
      <c r="E423" s="103"/>
      <c r="F423" s="102"/>
      <c r="G423" s="103"/>
      <c r="H423" s="102"/>
      <c r="I423" s="103"/>
      <c r="J423" s="102"/>
      <c r="K423" s="103"/>
      <c r="L423" s="102"/>
      <c r="M423" s="103"/>
      <c r="N423" s="102"/>
      <c r="O423" s="103"/>
      <c r="P423" s="102"/>
      <c r="Q423" s="103"/>
      <c r="R423" s="102"/>
      <c r="S423" s="103"/>
    </row>
    <row r="424">
      <c r="A424" s="107"/>
      <c r="B424" s="102"/>
      <c r="C424" s="103"/>
      <c r="D424" s="102"/>
      <c r="E424" s="103"/>
      <c r="F424" s="102"/>
      <c r="G424" s="103"/>
      <c r="H424" s="102"/>
      <c r="I424" s="103"/>
      <c r="J424" s="102"/>
      <c r="K424" s="103"/>
      <c r="L424" s="102"/>
      <c r="M424" s="103"/>
      <c r="N424" s="102"/>
      <c r="O424" s="103"/>
      <c r="P424" s="102"/>
      <c r="Q424" s="103"/>
      <c r="R424" s="102"/>
      <c r="S424" s="103"/>
    </row>
    <row r="425">
      <c r="A425" s="107"/>
      <c r="B425" s="102"/>
      <c r="C425" s="103"/>
      <c r="D425" s="102"/>
      <c r="E425" s="103"/>
      <c r="F425" s="102"/>
      <c r="G425" s="103"/>
      <c r="H425" s="102"/>
      <c r="I425" s="103"/>
      <c r="J425" s="102"/>
      <c r="K425" s="103"/>
      <c r="L425" s="102"/>
      <c r="M425" s="103"/>
      <c r="N425" s="102"/>
      <c r="O425" s="103"/>
      <c r="P425" s="102"/>
      <c r="Q425" s="103"/>
      <c r="R425" s="102"/>
      <c r="S425" s="103"/>
    </row>
    <row r="426">
      <c r="A426" s="107"/>
      <c r="B426" s="102"/>
      <c r="C426" s="103"/>
      <c r="D426" s="102"/>
      <c r="E426" s="103"/>
      <c r="F426" s="102"/>
      <c r="G426" s="103"/>
      <c r="H426" s="102"/>
      <c r="I426" s="103"/>
      <c r="J426" s="102"/>
      <c r="K426" s="103"/>
      <c r="L426" s="102"/>
      <c r="M426" s="103"/>
      <c r="N426" s="102"/>
      <c r="O426" s="103"/>
      <c r="P426" s="102"/>
      <c r="Q426" s="103"/>
      <c r="R426" s="102"/>
      <c r="S426" s="103"/>
    </row>
    <row r="427">
      <c r="A427" s="107"/>
      <c r="B427" s="102"/>
      <c r="C427" s="103"/>
      <c r="D427" s="102"/>
      <c r="E427" s="103"/>
      <c r="F427" s="102"/>
      <c r="G427" s="103"/>
      <c r="H427" s="102"/>
      <c r="I427" s="103"/>
      <c r="J427" s="102"/>
      <c r="K427" s="103"/>
      <c r="L427" s="102"/>
      <c r="M427" s="103"/>
      <c r="N427" s="102"/>
      <c r="O427" s="103"/>
      <c r="P427" s="102"/>
      <c r="Q427" s="103"/>
      <c r="R427" s="102"/>
      <c r="S427" s="103"/>
    </row>
    <row r="428">
      <c r="A428" s="107"/>
      <c r="B428" s="102"/>
      <c r="C428" s="103"/>
      <c r="D428" s="102"/>
      <c r="E428" s="103"/>
      <c r="F428" s="102"/>
      <c r="G428" s="103"/>
      <c r="H428" s="102"/>
      <c r="I428" s="103"/>
      <c r="J428" s="102"/>
      <c r="K428" s="103"/>
      <c r="L428" s="102"/>
      <c r="M428" s="103"/>
      <c r="N428" s="102"/>
      <c r="O428" s="103"/>
      <c r="P428" s="102"/>
      <c r="Q428" s="103"/>
      <c r="R428" s="102"/>
      <c r="S428" s="103"/>
    </row>
    <row r="429">
      <c r="A429" s="107"/>
      <c r="B429" s="102"/>
      <c r="C429" s="103"/>
      <c r="D429" s="102"/>
      <c r="E429" s="103"/>
      <c r="F429" s="102"/>
      <c r="G429" s="103"/>
      <c r="H429" s="102"/>
      <c r="I429" s="103"/>
      <c r="J429" s="102"/>
      <c r="K429" s="103"/>
      <c r="L429" s="102"/>
      <c r="M429" s="103"/>
      <c r="N429" s="102"/>
      <c r="O429" s="103"/>
      <c r="P429" s="102"/>
      <c r="Q429" s="103"/>
      <c r="R429" s="102"/>
      <c r="S429" s="103"/>
    </row>
    <row r="430">
      <c r="A430" s="107"/>
      <c r="B430" s="102"/>
      <c r="C430" s="103"/>
      <c r="D430" s="102"/>
      <c r="E430" s="103"/>
      <c r="F430" s="102"/>
      <c r="G430" s="103"/>
      <c r="H430" s="102"/>
      <c r="I430" s="103"/>
      <c r="J430" s="102"/>
      <c r="K430" s="103"/>
      <c r="L430" s="102"/>
      <c r="M430" s="103"/>
      <c r="N430" s="102"/>
      <c r="O430" s="103"/>
      <c r="P430" s="102"/>
      <c r="Q430" s="103"/>
      <c r="R430" s="102"/>
      <c r="S430" s="103"/>
    </row>
    <row r="431">
      <c r="A431" s="107"/>
      <c r="B431" s="102"/>
      <c r="C431" s="103"/>
      <c r="D431" s="102"/>
      <c r="E431" s="103"/>
      <c r="F431" s="102"/>
      <c r="G431" s="103"/>
      <c r="H431" s="102"/>
      <c r="I431" s="103"/>
      <c r="J431" s="102"/>
      <c r="K431" s="103"/>
      <c r="L431" s="102"/>
      <c r="M431" s="103"/>
      <c r="N431" s="102"/>
      <c r="O431" s="103"/>
      <c r="P431" s="102"/>
      <c r="Q431" s="103"/>
      <c r="R431" s="102"/>
      <c r="S431" s="103"/>
    </row>
    <row r="432">
      <c r="A432" s="107"/>
      <c r="B432" s="102"/>
      <c r="C432" s="103"/>
      <c r="D432" s="102"/>
      <c r="E432" s="103"/>
      <c r="F432" s="102"/>
      <c r="G432" s="103"/>
      <c r="H432" s="102"/>
      <c r="I432" s="103"/>
      <c r="J432" s="102"/>
      <c r="K432" s="103"/>
      <c r="L432" s="102"/>
      <c r="M432" s="103"/>
      <c r="N432" s="102"/>
      <c r="O432" s="103"/>
      <c r="P432" s="102"/>
      <c r="Q432" s="103"/>
      <c r="R432" s="102"/>
      <c r="S432" s="103"/>
    </row>
    <row r="433">
      <c r="A433" s="107"/>
      <c r="B433" s="102"/>
      <c r="C433" s="103"/>
      <c r="D433" s="102"/>
      <c r="E433" s="103"/>
      <c r="F433" s="102"/>
      <c r="G433" s="103"/>
      <c r="H433" s="102"/>
      <c r="I433" s="103"/>
      <c r="J433" s="102"/>
      <c r="K433" s="103"/>
      <c r="L433" s="102"/>
      <c r="M433" s="103"/>
      <c r="N433" s="102"/>
      <c r="O433" s="103"/>
      <c r="P433" s="102"/>
      <c r="Q433" s="103"/>
      <c r="R433" s="102"/>
      <c r="S433" s="103"/>
    </row>
    <row r="434">
      <c r="A434" s="107"/>
      <c r="B434" s="102"/>
      <c r="C434" s="103"/>
      <c r="D434" s="102"/>
      <c r="E434" s="103"/>
      <c r="F434" s="102"/>
      <c r="G434" s="103"/>
      <c r="H434" s="102"/>
      <c r="I434" s="103"/>
      <c r="J434" s="102"/>
      <c r="K434" s="103"/>
      <c r="L434" s="102"/>
      <c r="M434" s="103"/>
      <c r="N434" s="102"/>
      <c r="O434" s="103"/>
      <c r="P434" s="102"/>
      <c r="Q434" s="103"/>
      <c r="R434" s="102"/>
      <c r="S434" s="103"/>
    </row>
    <row r="435">
      <c r="A435" s="107"/>
      <c r="B435" s="102"/>
      <c r="C435" s="103"/>
      <c r="D435" s="102"/>
      <c r="E435" s="103"/>
      <c r="F435" s="102"/>
      <c r="G435" s="103"/>
      <c r="H435" s="102"/>
      <c r="I435" s="103"/>
      <c r="J435" s="102"/>
      <c r="K435" s="103"/>
      <c r="L435" s="102"/>
      <c r="M435" s="103"/>
      <c r="N435" s="102"/>
      <c r="O435" s="103"/>
      <c r="P435" s="102"/>
      <c r="Q435" s="103"/>
      <c r="R435" s="102"/>
      <c r="S435" s="103"/>
    </row>
    <row r="436">
      <c r="A436" s="107"/>
      <c r="B436" s="102"/>
      <c r="C436" s="103"/>
      <c r="D436" s="102"/>
      <c r="E436" s="103"/>
      <c r="F436" s="102"/>
      <c r="G436" s="103"/>
      <c r="H436" s="102"/>
      <c r="I436" s="103"/>
      <c r="J436" s="102"/>
      <c r="K436" s="103"/>
      <c r="L436" s="102"/>
      <c r="M436" s="103"/>
      <c r="N436" s="102"/>
      <c r="O436" s="103"/>
      <c r="P436" s="102"/>
      <c r="Q436" s="103"/>
      <c r="R436" s="102"/>
      <c r="S436" s="103"/>
    </row>
    <row r="437">
      <c r="A437" s="107"/>
      <c r="B437" s="102"/>
      <c r="C437" s="103"/>
      <c r="D437" s="102"/>
      <c r="E437" s="103"/>
      <c r="F437" s="102"/>
      <c r="G437" s="103"/>
      <c r="H437" s="102"/>
      <c r="I437" s="103"/>
      <c r="J437" s="102"/>
      <c r="K437" s="103"/>
      <c r="L437" s="102"/>
      <c r="M437" s="103"/>
      <c r="N437" s="102"/>
      <c r="O437" s="103"/>
      <c r="P437" s="102"/>
      <c r="Q437" s="103"/>
      <c r="R437" s="102"/>
      <c r="S437" s="103"/>
    </row>
    <row r="438">
      <c r="A438" s="107"/>
      <c r="B438" s="102"/>
      <c r="C438" s="103"/>
      <c r="D438" s="102"/>
      <c r="E438" s="103"/>
      <c r="F438" s="102"/>
      <c r="G438" s="103"/>
      <c r="H438" s="102"/>
      <c r="I438" s="103"/>
      <c r="J438" s="102"/>
      <c r="K438" s="103"/>
      <c r="L438" s="102"/>
      <c r="M438" s="103"/>
      <c r="N438" s="102"/>
      <c r="O438" s="103"/>
      <c r="P438" s="102"/>
      <c r="Q438" s="103"/>
      <c r="R438" s="102"/>
      <c r="S438" s="103"/>
    </row>
    <row r="439">
      <c r="A439" s="107"/>
      <c r="B439" s="102"/>
      <c r="C439" s="103"/>
      <c r="D439" s="102"/>
      <c r="E439" s="103"/>
      <c r="F439" s="102"/>
      <c r="G439" s="103"/>
      <c r="H439" s="102"/>
      <c r="I439" s="103"/>
      <c r="J439" s="102"/>
      <c r="K439" s="103"/>
      <c r="L439" s="102"/>
      <c r="M439" s="103"/>
      <c r="N439" s="102"/>
      <c r="O439" s="103"/>
      <c r="P439" s="102"/>
      <c r="Q439" s="103"/>
      <c r="R439" s="102"/>
      <c r="S439" s="103"/>
    </row>
    <row r="440">
      <c r="A440" s="107"/>
      <c r="B440" s="102"/>
      <c r="C440" s="103"/>
      <c r="D440" s="102"/>
      <c r="E440" s="103"/>
      <c r="F440" s="102"/>
      <c r="G440" s="103"/>
      <c r="H440" s="102"/>
      <c r="I440" s="103"/>
      <c r="J440" s="102"/>
      <c r="K440" s="103"/>
      <c r="L440" s="102"/>
      <c r="M440" s="103"/>
      <c r="N440" s="102"/>
      <c r="O440" s="103"/>
      <c r="P440" s="102"/>
      <c r="Q440" s="103"/>
      <c r="R440" s="102"/>
      <c r="S440" s="103"/>
    </row>
    <row r="441">
      <c r="A441" s="107"/>
      <c r="B441" s="102"/>
      <c r="C441" s="103"/>
      <c r="D441" s="102"/>
      <c r="E441" s="103"/>
      <c r="F441" s="102"/>
      <c r="G441" s="103"/>
      <c r="H441" s="102"/>
      <c r="I441" s="103"/>
      <c r="J441" s="102"/>
      <c r="K441" s="103"/>
      <c r="L441" s="102"/>
      <c r="M441" s="103"/>
      <c r="N441" s="102"/>
      <c r="O441" s="103"/>
      <c r="P441" s="102"/>
      <c r="Q441" s="103"/>
      <c r="R441" s="102"/>
      <c r="S441" s="103"/>
    </row>
    <row r="442">
      <c r="A442" s="107"/>
      <c r="B442" s="102"/>
      <c r="C442" s="103"/>
      <c r="D442" s="102"/>
      <c r="E442" s="103"/>
      <c r="F442" s="102"/>
      <c r="G442" s="103"/>
      <c r="H442" s="102"/>
      <c r="I442" s="103"/>
      <c r="J442" s="102"/>
      <c r="K442" s="103"/>
      <c r="L442" s="102"/>
      <c r="M442" s="103"/>
      <c r="N442" s="102"/>
      <c r="O442" s="103"/>
      <c r="P442" s="102"/>
      <c r="Q442" s="103"/>
      <c r="R442" s="102"/>
      <c r="S442" s="103"/>
    </row>
    <row r="443">
      <c r="A443" s="107"/>
      <c r="B443" s="102"/>
      <c r="C443" s="103"/>
      <c r="D443" s="102"/>
      <c r="E443" s="103"/>
      <c r="F443" s="102"/>
      <c r="G443" s="103"/>
      <c r="H443" s="102"/>
      <c r="I443" s="103"/>
      <c r="J443" s="102"/>
      <c r="K443" s="103"/>
      <c r="L443" s="102"/>
      <c r="M443" s="103"/>
      <c r="N443" s="102"/>
      <c r="O443" s="103"/>
      <c r="P443" s="102"/>
      <c r="Q443" s="103"/>
      <c r="R443" s="102"/>
      <c r="S443" s="103"/>
    </row>
    <row r="444">
      <c r="A444" s="107"/>
      <c r="B444" s="102"/>
      <c r="C444" s="103"/>
      <c r="D444" s="102"/>
      <c r="E444" s="103"/>
      <c r="F444" s="102"/>
      <c r="G444" s="103"/>
      <c r="H444" s="102"/>
      <c r="I444" s="103"/>
      <c r="J444" s="102"/>
      <c r="K444" s="103"/>
      <c r="L444" s="102"/>
      <c r="M444" s="103"/>
      <c r="N444" s="102"/>
      <c r="O444" s="103"/>
      <c r="P444" s="102"/>
      <c r="Q444" s="103"/>
      <c r="R444" s="102"/>
      <c r="S444" s="103"/>
    </row>
    <row r="445">
      <c r="A445" s="107"/>
      <c r="B445" s="102"/>
      <c r="C445" s="103"/>
      <c r="D445" s="102"/>
      <c r="E445" s="103"/>
      <c r="F445" s="102"/>
      <c r="G445" s="103"/>
      <c r="H445" s="102"/>
      <c r="I445" s="103"/>
      <c r="J445" s="102"/>
      <c r="K445" s="103"/>
      <c r="L445" s="102"/>
      <c r="M445" s="103"/>
      <c r="N445" s="102"/>
      <c r="O445" s="103"/>
      <c r="P445" s="102"/>
      <c r="Q445" s="103"/>
      <c r="R445" s="102"/>
      <c r="S445" s="103"/>
    </row>
    <row r="446">
      <c r="A446" s="107"/>
      <c r="B446" s="102"/>
      <c r="C446" s="103"/>
      <c r="D446" s="102"/>
      <c r="E446" s="103"/>
      <c r="F446" s="102"/>
      <c r="G446" s="103"/>
      <c r="H446" s="102"/>
      <c r="I446" s="103"/>
      <c r="J446" s="102"/>
      <c r="K446" s="103"/>
      <c r="L446" s="102"/>
      <c r="M446" s="103"/>
      <c r="N446" s="102"/>
      <c r="O446" s="103"/>
      <c r="P446" s="102"/>
      <c r="Q446" s="103"/>
      <c r="R446" s="102"/>
      <c r="S446" s="103"/>
    </row>
    <row r="447">
      <c r="A447" s="107"/>
      <c r="B447" s="102"/>
      <c r="C447" s="103"/>
      <c r="D447" s="102"/>
      <c r="E447" s="103"/>
      <c r="F447" s="102"/>
      <c r="G447" s="103"/>
      <c r="H447" s="102"/>
      <c r="I447" s="103"/>
      <c r="J447" s="102"/>
      <c r="K447" s="103"/>
      <c r="L447" s="102"/>
      <c r="M447" s="103"/>
      <c r="N447" s="102"/>
      <c r="O447" s="103"/>
      <c r="P447" s="102"/>
      <c r="Q447" s="103"/>
      <c r="R447" s="102"/>
      <c r="S447" s="103"/>
    </row>
    <row r="448">
      <c r="A448" s="107"/>
      <c r="B448" s="102"/>
      <c r="C448" s="103"/>
      <c r="D448" s="102"/>
      <c r="E448" s="103"/>
      <c r="F448" s="102"/>
      <c r="G448" s="103"/>
      <c r="H448" s="102"/>
      <c r="I448" s="103"/>
      <c r="J448" s="102"/>
      <c r="K448" s="103"/>
      <c r="L448" s="102"/>
      <c r="M448" s="103"/>
      <c r="N448" s="102"/>
      <c r="O448" s="103"/>
      <c r="P448" s="102"/>
      <c r="Q448" s="103"/>
      <c r="R448" s="102"/>
      <c r="S448" s="103"/>
    </row>
    <row r="449">
      <c r="A449" s="107"/>
      <c r="B449" s="102"/>
      <c r="C449" s="103"/>
      <c r="D449" s="102"/>
      <c r="E449" s="103"/>
      <c r="F449" s="102"/>
      <c r="G449" s="103"/>
      <c r="H449" s="102"/>
      <c r="I449" s="103"/>
      <c r="J449" s="102"/>
      <c r="K449" s="103"/>
      <c r="L449" s="102"/>
      <c r="M449" s="103"/>
      <c r="N449" s="102"/>
      <c r="O449" s="103"/>
      <c r="P449" s="102"/>
      <c r="Q449" s="103"/>
      <c r="R449" s="102"/>
      <c r="S449" s="103"/>
    </row>
    <row r="450">
      <c r="A450" s="107"/>
      <c r="B450" s="102"/>
      <c r="C450" s="103"/>
      <c r="D450" s="102"/>
      <c r="E450" s="103"/>
      <c r="F450" s="102"/>
      <c r="G450" s="103"/>
      <c r="H450" s="102"/>
      <c r="I450" s="103"/>
      <c r="J450" s="102"/>
      <c r="K450" s="103"/>
      <c r="L450" s="102"/>
      <c r="M450" s="103"/>
      <c r="N450" s="102"/>
      <c r="O450" s="103"/>
      <c r="P450" s="102"/>
      <c r="Q450" s="103"/>
      <c r="R450" s="102"/>
      <c r="S450" s="103"/>
    </row>
    <row r="451">
      <c r="A451" s="107"/>
      <c r="B451" s="102"/>
      <c r="C451" s="103"/>
      <c r="D451" s="102"/>
      <c r="E451" s="103"/>
      <c r="F451" s="102"/>
      <c r="G451" s="103"/>
      <c r="H451" s="102"/>
      <c r="I451" s="103"/>
      <c r="J451" s="102"/>
      <c r="K451" s="103"/>
      <c r="L451" s="102"/>
      <c r="M451" s="103"/>
      <c r="N451" s="102"/>
      <c r="O451" s="103"/>
      <c r="P451" s="102"/>
      <c r="Q451" s="103"/>
      <c r="R451" s="102"/>
      <c r="S451" s="103"/>
    </row>
    <row r="452">
      <c r="A452" s="107"/>
      <c r="B452" s="102"/>
      <c r="C452" s="103"/>
      <c r="D452" s="102"/>
      <c r="E452" s="103"/>
      <c r="F452" s="102"/>
      <c r="G452" s="103"/>
      <c r="H452" s="102"/>
      <c r="I452" s="103"/>
      <c r="J452" s="102"/>
      <c r="K452" s="103"/>
      <c r="L452" s="102"/>
      <c r="M452" s="103"/>
      <c r="N452" s="102"/>
      <c r="O452" s="103"/>
      <c r="P452" s="102"/>
      <c r="Q452" s="103"/>
      <c r="R452" s="102"/>
      <c r="S452" s="103"/>
    </row>
    <row r="453">
      <c r="A453" s="107"/>
      <c r="B453" s="102"/>
      <c r="C453" s="103"/>
      <c r="D453" s="102"/>
      <c r="E453" s="103"/>
      <c r="F453" s="102"/>
      <c r="G453" s="103"/>
      <c r="H453" s="102"/>
      <c r="I453" s="103"/>
      <c r="J453" s="102"/>
      <c r="K453" s="103"/>
      <c r="L453" s="102"/>
      <c r="M453" s="103"/>
      <c r="N453" s="102"/>
      <c r="O453" s="103"/>
      <c r="P453" s="102"/>
      <c r="Q453" s="103"/>
      <c r="R453" s="102"/>
      <c r="S453" s="103"/>
    </row>
    <row r="454">
      <c r="A454" s="107"/>
      <c r="B454" s="102"/>
      <c r="C454" s="103"/>
      <c r="D454" s="102"/>
      <c r="E454" s="103"/>
      <c r="F454" s="102"/>
      <c r="G454" s="103"/>
      <c r="H454" s="102"/>
      <c r="I454" s="103"/>
      <c r="J454" s="102"/>
      <c r="K454" s="103"/>
      <c r="L454" s="102"/>
      <c r="M454" s="103"/>
      <c r="N454" s="102"/>
      <c r="O454" s="103"/>
      <c r="P454" s="102"/>
      <c r="Q454" s="103"/>
      <c r="R454" s="102"/>
      <c r="S454" s="103"/>
    </row>
    <row r="455">
      <c r="A455" s="107"/>
      <c r="B455" s="102"/>
      <c r="C455" s="103"/>
      <c r="D455" s="102"/>
      <c r="E455" s="103"/>
      <c r="F455" s="102"/>
      <c r="G455" s="103"/>
      <c r="H455" s="102"/>
      <c r="I455" s="103"/>
      <c r="J455" s="102"/>
      <c r="K455" s="103"/>
      <c r="L455" s="102"/>
      <c r="M455" s="103"/>
      <c r="N455" s="102"/>
      <c r="O455" s="103"/>
      <c r="P455" s="102"/>
      <c r="Q455" s="103"/>
      <c r="R455" s="102"/>
      <c r="S455" s="103"/>
    </row>
    <row r="456">
      <c r="A456" s="107"/>
      <c r="B456" s="102"/>
      <c r="C456" s="103"/>
      <c r="D456" s="102"/>
      <c r="E456" s="103"/>
      <c r="F456" s="102"/>
      <c r="G456" s="103"/>
      <c r="H456" s="102"/>
      <c r="I456" s="103"/>
      <c r="J456" s="102"/>
      <c r="K456" s="103"/>
      <c r="L456" s="102"/>
      <c r="M456" s="103"/>
      <c r="N456" s="102"/>
      <c r="O456" s="103"/>
      <c r="P456" s="102"/>
      <c r="Q456" s="103"/>
      <c r="R456" s="102"/>
      <c r="S456" s="103"/>
    </row>
    <row r="457">
      <c r="A457" s="107"/>
      <c r="B457" s="102"/>
      <c r="C457" s="103"/>
      <c r="D457" s="102"/>
      <c r="E457" s="103"/>
      <c r="F457" s="102"/>
      <c r="G457" s="103"/>
      <c r="H457" s="102"/>
      <c r="I457" s="103"/>
      <c r="J457" s="102"/>
      <c r="K457" s="103"/>
      <c r="L457" s="102"/>
      <c r="M457" s="103"/>
      <c r="N457" s="102"/>
      <c r="O457" s="103"/>
      <c r="P457" s="102"/>
      <c r="Q457" s="103"/>
      <c r="R457" s="102"/>
      <c r="S457" s="103"/>
    </row>
    <row r="458">
      <c r="A458" s="107"/>
      <c r="B458" s="102"/>
      <c r="C458" s="103"/>
      <c r="D458" s="102"/>
      <c r="E458" s="103"/>
      <c r="F458" s="102"/>
      <c r="G458" s="103"/>
      <c r="H458" s="102"/>
      <c r="I458" s="103"/>
      <c r="J458" s="102"/>
      <c r="K458" s="103"/>
      <c r="L458" s="102"/>
      <c r="M458" s="103"/>
      <c r="N458" s="102"/>
      <c r="O458" s="103"/>
      <c r="P458" s="102"/>
      <c r="Q458" s="103"/>
      <c r="R458" s="102"/>
      <c r="S458" s="103"/>
    </row>
    <row r="459">
      <c r="A459" s="107"/>
      <c r="B459" s="102"/>
      <c r="C459" s="103"/>
      <c r="D459" s="102"/>
      <c r="E459" s="103"/>
      <c r="F459" s="102"/>
      <c r="G459" s="103"/>
      <c r="H459" s="102"/>
      <c r="I459" s="103"/>
      <c r="J459" s="102"/>
      <c r="K459" s="103"/>
      <c r="L459" s="102"/>
      <c r="M459" s="103"/>
      <c r="N459" s="102"/>
      <c r="O459" s="103"/>
      <c r="P459" s="102"/>
      <c r="Q459" s="103"/>
      <c r="R459" s="102"/>
      <c r="S459" s="103"/>
    </row>
    <row r="460">
      <c r="A460" s="107"/>
      <c r="B460" s="102"/>
      <c r="C460" s="103"/>
      <c r="D460" s="102"/>
      <c r="E460" s="103"/>
      <c r="F460" s="102"/>
      <c r="G460" s="103"/>
      <c r="H460" s="102"/>
      <c r="I460" s="103"/>
      <c r="J460" s="102"/>
      <c r="K460" s="103"/>
      <c r="L460" s="102"/>
      <c r="M460" s="103"/>
      <c r="N460" s="102"/>
      <c r="O460" s="103"/>
      <c r="P460" s="102"/>
      <c r="Q460" s="103"/>
      <c r="R460" s="102"/>
      <c r="S460" s="103"/>
    </row>
    <row r="461">
      <c r="A461" s="107"/>
      <c r="B461" s="102"/>
      <c r="C461" s="103"/>
      <c r="D461" s="102"/>
      <c r="E461" s="103"/>
      <c r="F461" s="102"/>
      <c r="G461" s="103"/>
      <c r="H461" s="102"/>
      <c r="I461" s="103"/>
      <c r="J461" s="102"/>
      <c r="K461" s="103"/>
      <c r="L461" s="102"/>
      <c r="M461" s="103"/>
      <c r="N461" s="102"/>
      <c r="O461" s="103"/>
      <c r="P461" s="102"/>
      <c r="Q461" s="103"/>
      <c r="R461" s="102"/>
      <c r="S461" s="103"/>
    </row>
    <row r="462">
      <c r="A462" s="107"/>
      <c r="B462" s="102"/>
      <c r="C462" s="103"/>
      <c r="D462" s="102"/>
      <c r="E462" s="103"/>
      <c r="F462" s="102"/>
      <c r="G462" s="103"/>
      <c r="H462" s="102"/>
      <c r="I462" s="103"/>
      <c r="J462" s="102"/>
      <c r="K462" s="103"/>
      <c r="L462" s="102"/>
      <c r="M462" s="103"/>
      <c r="N462" s="102"/>
      <c r="O462" s="103"/>
      <c r="P462" s="102"/>
      <c r="Q462" s="103"/>
      <c r="R462" s="102"/>
      <c r="S462" s="103"/>
    </row>
    <row r="463">
      <c r="A463" s="107"/>
      <c r="B463" s="102"/>
      <c r="C463" s="103"/>
      <c r="D463" s="102"/>
      <c r="E463" s="103"/>
      <c r="F463" s="102"/>
      <c r="G463" s="103"/>
      <c r="H463" s="102"/>
      <c r="I463" s="103"/>
      <c r="J463" s="102"/>
      <c r="K463" s="103"/>
      <c r="L463" s="102"/>
      <c r="M463" s="103"/>
      <c r="N463" s="102"/>
      <c r="O463" s="103"/>
      <c r="P463" s="102"/>
      <c r="Q463" s="103"/>
      <c r="R463" s="102"/>
      <c r="S463" s="103"/>
    </row>
    <row r="464">
      <c r="A464" s="107"/>
      <c r="B464" s="102"/>
      <c r="C464" s="103"/>
      <c r="D464" s="102"/>
      <c r="E464" s="103"/>
      <c r="F464" s="102"/>
      <c r="G464" s="103"/>
      <c r="H464" s="102"/>
      <c r="I464" s="103"/>
      <c r="J464" s="102"/>
      <c r="K464" s="103"/>
      <c r="L464" s="102"/>
      <c r="M464" s="103"/>
      <c r="N464" s="102"/>
      <c r="O464" s="103"/>
      <c r="P464" s="102"/>
      <c r="Q464" s="103"/>
      <c r="R464" s="102"/>
      <c r="S464" s="103"/>
    </row>
    <row r="465">
      <c r="A465" s="107"/>
      <c r="B465" s="102"/>
      <c r="C465" s="103"/>
      <c r="D465" s="102"/>
      <c r="E465" s="103"/>
      <c r="F465" s="102"/>
      <c r="G465" s="103"/>
      <c r="H465" s="102"/>
      <c r="I465" s="103"/>
      <c r="J465" s="102"/>
      <c r="K465" s="103"/>
      <c r="L465" s="102"/>
      <c r="M465" s="103"/>
      <c r="N465" s="102"/>
      <c r="O465" s="103"/>
      <c r="P465" s="102"/>
      <c r="Q465" s="103"/>
      <c r="R465" s="102"/>
      <c r="S465" s="103"/>
    </row>
    <row r="466">
      <c r="A466" s="107"/>
      <c r="B466" s="102"/>
      <c r="C466" s="103"/>
      <c r="D466" s="102"/>
      <c r="E466" s="103"/>
      <c r="F466" s="102"/>
      <c r="G466" s="103"/>
      <c r="H466" s="102"/>
      <c r="I466" s="103"/>
      <c r="J466" s="102"/>
      <c r="K466" s="103"/>
      <c r="L466" s="102"/>
      <c r="M466" s="103"/>
      <c r="N466" s="102"/>
      <c r="O466" s="103"/>
      <c r="P466" s="102"/>
      <c r="Q466" s="103"/>
      <c r="R466" s="102"/>
      <c r="S466" s="103"/>
    </row>
    <row r="467">
      <c r="A467" s="107"/>
      <c r="B467" s="102"/>
      <c r="C467" s="103"/>
      <c r="D467" s="102"/>
      <c r="E467" s="103"/>
      <c r="F467" s="102"/>
      <c r="G467" s="103"/>
      <c r="H467" s="102"/>
      <c r="I467" s="103"/>
      <c r="J467" s="102"/>
      <c r="K467" s="103"/>
      <c r="L467" s="102"/>
      <c r="M467" s="103"/>
      <c r="N467" s="102"/>
      <c r="O467" s="103"/>
      <c r="P467" s="102"/>
      <c r="Q467" s="103"/>
      <c r="R467" s="102"/>
      <c r="S467" s="103"/>
    </row>
    <row r="468">
      <c r="A468" s="107"/>
      <c r="B468" s="102"/>
      <c r="C468" s="103"/>
      <c r="D468" s="102"/>
      <c r="E468" s="103"/>
      <c r="F468" s="102"/>
      <c r="G468" s="103"/>
      <c r="H468" s="102"/>
      <c r="I468" s="103"/>
      <c r="J468" s="102"/>
      <c r="K468" s="103"/>
      <c r="L468" s="102"/>
      <c r="M468" s="103"/>
      <c r="N468" s="102"/>
      <c r="O468" s="103"/>
      <c r="P468" s="102"/>
      <c r="Q468" s="103"/>
      <c r="R468" s="102"/>
      <c r="S468" s="103"/>
    </row>
    <row r="469">
      <c r="A469" s="107"/>
      <c r="B469" s="102"/>
      <c r="C469" s="103"/>
      <c r="D469" s="102"/>
      <c r="E469" s="103"/>
      <c r="F469" s="102"/>
      <c r="G469" s="103"/>
      <c r="H469" s="102"/>
      <c r="I469" s="103"/>
      <c r="J469" s="102"/>
      <c r="K469" s="103"/>
      <c r="L469" s="102"/>
      <c r="M469" s="103"/>
      <c r="N469" s="102"/>
      <c r="O469" s="103"/>
      <c r="P469" s="102"/>
      <c r="Q469" s="103"/>
      <c r="R469" s="102"/>
      <c r="S469" s="103"/>
    </row>
    <row r="470">
      <c r="A470" s="107"/>
      <c r="B470" s="102"/>
      <c r="C470" s="103"/>
      <c r="D470" s="102"/>
      <c r="E470" s="103"/>
      <c r="F470" s="102"/>
      <c r="G470" s="103"/>
      <c r="H470" s="102"/>
      <c r="I470" s="103"/>
      <c r="J470" s="102"/>
      <c r="K470" s="103"/>
      <c r="L470" s="102"/>
      <c r="M470" s="103"/>
      <c r="N470" s="102"/>
      <c r="O470" s="103"/>
      <c r="P470" s="102"/>
      <c r="Q470" s="103"/>
      <c r="R470" s="102"/>
      <c r="S470" s="103"/>
    </row>
    <row r="471">
      <c r="A471" s="107"/>
      <c r="B471" s="102"/>
      <c r="C471" s="103"/>
      <c r="D471" s="102"/>
      <c r="E471" s="103"/>
      <c r="F471" s="102"/>
      <c r="G471" s="103"/>
      <c r="H471" s="102"/>
      <c r="I471" s="103"/>
      <c r="J471" s="102"/>
      <c r="K471" s="103"/>
      <c r="L471" s="102"/>
      <c r="M471" s="103"/>
      <c r="N471" s="102"/>
      <c r="O471" s="103"/>
      <c r="P471" s="102"/>
      <c r="Q471" s="103"/>
      <c r="R471" s="102"/>
      <c r="S471" s="103"/>
    </row>
    <row r="472">
      <c r="A472" s="107"/>
      <c r="B472" s="102"/>
      <c r="C472" s="103"/>
      <c r="D472" s="102"/>
      <c r="E472" s="103"/>
      <c r="F472" s="102"/>
      <c r="G472" s="103"/>
      <c r="H472" s="102"/>
      <c r="I472" s="103"/>
      <c r="J472" s="102"/>
      <c r="K472" s="103"/>
      <c r="L472" s="102"/>
      <c r="M472" s="103"/>
      <c r="N472" s="102"/>
      <c r="O472" s="103"/>
      <c r="P472" s="102"/>
      <c r="Q472" s="103"/>
      <c r="R472" s="102"/>
      <c r="S472" s="103"/>
    </row>
    <row r="473">
      <c r="A473" s="107"/>
      <c r="B473" s="102"/>
      <c r="C473" s="103"/>
      <c r="D473" s="102"/>
      <c r="E473" s="103"/>
      <c r="F473" s="102"/>
      <c r="G473" s="103"/>
      <c r="H473" s="102"/>
      <c r="I473" s="103"/>
      <c r="J473" s="102"/>
      <c r="K473" s="103"/>
      <c r="L473" s="102"/>
      <c r="M473" s="103"/>
      <c r="N473" s="102"/>
      <c r="O473" s="103"/>
      <c r="P473" s="102"/>
      <c r="Q473" s="103"/>
      <c r="R473" s="102"/>
      <c r="S473" s="103"/>
    </row>
    <row r="474">
      <c r="A474" s="107"/>
      <c r="B474" s="102"/>
      <c r="C474" s="103"/>
      <c r="D474" s="102"/>
      <c r="E474" s="103"/>
      <c r="F474" s="102"/>
      <c r="G474" s="103"/>
      <c r="H474" s="102"/>
      <c r="I474" s="103"/>
      <c r="J474" s="102"/>
      <c r="K474" s="103"/>
      <c r="L474" s="102"/>
      <c r="M474" s="103"/>
      <c r="N474" s="102"/>
      <c r="O474" s="103"/>
      <c r="P474" s="102"/>
      <c r="Q474" s="103"/>
      <c r="R474" s="102"/>
      <c r="S474" s="103"/>
    </row>
    <row r="475">
      <c r="A475" s="107"/>
      <c r="B475" s="102"/>
      <c r="C475" s="103"/>
      <c r="D475" s="102"/>
      <c r="E475" s="103"/>
      <c r="F475" s="102"/>
      <c r="G475" s="103"/>
      <c r="H475" s="102"/>
      <c r="I475" s="103"/>
      <c r="J475" s="102"/>
      <c r="K475" s="103"/>
      <c r="L475" s="102"/>
      <c r="M475" s="103"/>
      <c r="N475" s="102"/>
      <c r="O475" s="103"/>
      <c r="P475" s="102"/>
      <c r="Q475" s="103"/>
      <c r="R475" s="102"/>
      <c r="S475" s="103"/>
    </row>
    <row r="476">
      <c r="A476" s="107"/>
      <c r="B476" s="102"/>
      <c r="C476" s="103"/>
      <c r="D476" s="102"/>
      <c r="E476" s="103"/>
      <c r="F476" s="102"/>
      <c r="G476" s="103"/>
      <c r="H476" s="102"/>
      <c r="I476" s="103"/>
      <c r="J476" s="102"/>
      <c r="K476" s="103"/>
      <c r="L476" s="102"/>
      <c r="M476" s="103"/>
      <c r="N476" s="102"/>
      <c r="O476" s="103"/>
      <c r="P476" s="102"/>
      <c r="Q476" s="103"/>
      <c r="R476" s="102"/>
      <c r="S476" s="103"/>
    </row>
    <row r="477">
      <c r="A477" s="107"/>
      <c r="B477" s="102"/>
      <c r="C477" s="103"/>
      <c r="D477" s="102"/>
      <c r="E477" s="103"/>
      <c r="F477" s="102"/>
      <c r="G477" s="103"/>
      <c r="H477" s="102"/>
      <c r="I477" s="103"/>
      <c r="J477" s="102"/>
      <c r="K477" s="103"/>
      <c r="L477" s="102"/>
      <c r="M477" s="103"/>
      <c r="N477" s="102"/>
      <c r="O477" s="103"/>
      <c r="P477" s="102"/>
      <c r="Q477" s="103"/>
      <c r="R477" s="102"/>
      <c r="S477" s="103"/>
    </row>
    <row r="478">
      <c r="A478" s="107"/>
      <c r="B478" s="102"/>
      <c r="C478" s="103"/>
      <c r="D478" s="102"/>
      <c r="E478" s="103"/>
      <c r="F478" s="102"/>
      <c r="G478" s="103"/>
      <c r="H478" s="102"/>
      <c r="I478" s="103"/>
      <c r="J478" s="102"/>
      <c r="K478" s="103"/>
      <c r="L478" s="102"/>
      <c r="M478" s="103"/>
      <c r="N478" s="102"/>
      <c r="O478" s="103"/>
      <c r="P478" s="102"/>
      <c r="Q478" s="103"/>
      <c r="R478" s="102"/>
      <c r="S478" s="103"/>
    </row>
    <row r="479">
      <c r="A479" s="107"/>
      <c r="B479" s="102"/>
      <c r="C479" s="103"/>
      <c r="D479" s="102"/>
      <c r="E479" s="103"/>
      <c r="F479" s="102"/>
      <c r="G479" s="103"/>
      <c r="H479" s="102"/>
      <c r="I479" s="103"/>
      <c r="J479" s="102"/>
      <c r="K479" s="103"/>
      <c r="L479" s="102"/>
      <c r="M479" s="103"/>
      <c r="N479" s="102"/>
      <c r="O479" s="103"/>
      <c r="P479" s="102"/>
      <c r="Q479" s="103"/>
      <c r="R479" s="102"/>
      <c r="S479" s="103"/>
    </row>
    <row r="480">
      <c r="A480" s="107"/>
      <c r="B480" s="102"/>
      <c r="C480" s="103"/>
      <c r="D480" s="102"/>
      <c r="E480" s="103"/>
      <c r="F480" s="102"/>
      <c r="G480" s="103"/>
      <c r="H480" s="102"/>
      <c r="I480" s="103"/>
      <c r="J480" s="102"/>
      <c r="K480" s="103"/>
      <c r="L480" s="102"/>
      <c r="M480" s="103"/>
      <c r="N480" s="102"/>
      <c r="O480" s="103"/>
      <c r="P480" s="102"/>
      <c r="Q480" s="103"/>
      <c r="R480" s="102"/>
      <c r="S480" s="103"/>
    </row>
    <row r="481">
      <c r="A481" s="107"/>
      <c r="B481" s="102"/>
      <c r="C481" s="103"/>
      <c r="D481" s="102"/>
      <c r="E481" s="103"/>
      <c r="F481" s="102"/>
      <c r="G481" s="103"/>
      <c r="H481" s="102"/>
      <c r="I481" s="103"/>
      <c r="J481" s="102"/>
      <c r="K481" s="103"/>
      <c r="L481" s="102"/>
      <c r="M481" s="103"/>
      <c r="N481" s="102"/>
      <c r="O481" s="103"/>
      <c r="P481" s="102"/>
      <c r="Q481" s="103"/>
      <c r="R481" s="102"/>
      <c r="S481" s="103"/>
    </row>
    <row r="482">
      <c r="A482" s="107"/>
      <c r="B482" s="102"/>
      <c r="C482" s="103"/>
      <c r="D482" s="102"/>
      <c r="E482" s="103"/>
      <c r="F482" s="102"/>
      <c r="G482" s="103"/>
      <c r="H482" s="102"/>
      <c r="I482" s="103"/>
      <c r="J482" s="102"/>
      <c r="K482" s="103"/>
      <c r="L482" s="102"/>
      <c r="M482" s="103"/>
      <c r="N482" s="102"/>
      <c r="O482" s="103"/>
      <c r="P482" s="102"/>
      <c r="Q482" s="103"/>
      <c r="R482" s="102"/>
      <c r="S482" s="103"/>
    </row>
    <row r="483">
      <c r="A483" s="107"/>
      <c r="B483" s="102"/>
      <c r="C483" s="103"/>
      <c r="D483" s="102"/>
      <c r="E483" s="103"/>
      <c r="F483" s="102"/>
      <c r="G483" s="103"/>
      <c r="H483" s="102"/>
      <c r="I483" s="103"/>
      <c r="J483" s="102"/>
      <c r="K483" s="103"/>
      <c r="L483" s="102"/>
      <c r="M483" s="103"/>
      <c r="N483" s="102"/>
      <c r="O483" s="103"/>
      <c r="P483" s="102"/>
      <c r="Q483" s="103"/>
      <c r="R483" s="102"/>
      <c r="S483" s="103"/>
    </row>
    <row r="484">
      <c r="A484" s="107"/>
      <c r="B484" s="102"/>
      <c r="C484" s="103"/>
      <c r="D484" s="102"/>
      <c r="E484" s="103"/>
      <c r="F484" s="102"/>
      <c r="G484" s="103"/>
      <c r="H484" s="102"/>
      <c r="I484" s="103"/>
      <c r="J484" s="102"/>
      <c r="K484" s="103"/>
      <c r="L484" s="102"/>
      <c r="M484" s="103"/>
      <c r="N484" s="102"/>
      <c r="O484" s="103"/>
      <c r="P484" s="102"/>
      <c r="Q484" s="103"/>
      <c r="R484" s="102"/>
      <c r="S484" s="103"/>
    </row>
    <row r="485">
      <c r="A485" s="107"/>
      <c r="B485" s="102"/>
      <c r="C485" s="103"/>
      <c r="D485" s="102"/>
      <c r="E485" s="103"/>
      <c r="F485" s="102"/>
      <c r="G485" s="103"/>
      <c r="H485" s="102"/>
      <c r="I485" s="103"/>
      <c r="J485" s="102"/>
      <c r="K485" s="103"/>
      <c r="L485" s="102"/>
      <c r="M485" s="103"/>
      <c r="N485" s="102"/>
      <c r="O485" s="103"/>
      <c r="P485" s="102"/>
      <c r="Q485" s="103"/>
      <c r="R485" s="102"/>
      <c r="S485" s="103"/>
    </row>
    <row r="486">
      <c r="A486" s="107"/>
      <c r="B486" s="102"/>
      <c r="C486" s="103"/>
      <c r="D486" s="102"/>
      <c r="E486" s="103"/>
      <c r="F486" s="102"/>
      <c r="G486" s="103"/>
      <c r="H486" s="102"/>
      <c r="I486" s="103"/>
      <c r="J486" s="102"/>
      <c r="K486" s="103"/>
      <c r="L486" s="102"/>
      <c r="M486" s="103"/>
      <c r="N486" s="102"/>
      <c r="O486" s="103"/>
      <c r="P486" s="102"/>
      <c r="Q486" s="103"/>
      <c r="R486" s="102"/>
      <c r="S486" s="103"/>
    </row>
    <row r="487">
      <c r="A487" s="107"/>
      <c r="B487" s="102"/>
      <c r="C487" s="103"/>
      <c r="D487" s="102"/>
      <c r="E487" s="103"/>
      <c r="F487" s="102"/>
      <c r="G487" s="103"/>
      <c r="H487" s="102"/>
      <c r="I487" s="103"/>
      <c r="J487" s="102"/>
      <c r="K487" s="103"/>
      <c r="L487" s="102"/>
      <c r="M487" s="103"/>
      <c r="N487" s="102"/>
      <c r="O487" s="103"/>
      <c r="P487" s="102"/>
      <c r="Q487" s="103"/>
      <c r="R487" s="102"/>
      <c r="S487" s="103"/>
    </row>
    <row r="488">
      <c r="A488" s="107"/>
      <c r="B488" s="102"/>
      <c r="C488" s="103"/>
      <c r="D488" s="102"/>
      <c r="E488" s="103"/>
      <c r="F488" s="102"/>
      <c r="G488" s="103"/>
      <c r="H488" s="102"/>
      <c r="I488" s="103"/>
      <c r="J488" s="102"/>
      <c r="K488" s="103"/>
      <c r="L488" s="102"/>
      <c r="M488" s="103"/>
      <c r="N488" s="102"/>
      <c r="O488" s="103"/>
      <c r="P488" s="102"/>
      <c r="Q488" s="103"/>
      <c r="R488" s="102"/>
      <c r="S488" s="103"/>
    </row>
    <row r="489">
      <c r="A489" s="107"/>
      <c r="B489" s="102"/>
      <c r="C489" s="103"/>
      <c r="D489" s="102"/>
      <c r="E489" s="103"/>
      <c r="F489" s="102"/>
      <c r="G489" s="103"/>
      <c r="H489" s="102"/>
      <c r="I489" s="103"/>
      <c r="J489" s="102"/>
      <c r="K489" s="103"/>
      <c r="L489" s="102"/>
      <c r="M489" s="103"/>
      <c r="N489" s="102"/>
      <c r="O489" s="103"/>
      <c r="P489" s="102"/>
      <c r="Q489" s="103"/>
      <c r="R489" s="102"/>
      <c r="S489" s="103"/>
    </row>
    <row r="490">
      <c r="A490" s="107"/>
      <c r="B490" s="102"/>
      <c r="C490" s="103"/>
      <c r="D490" s="102"/>
      <c r="E490" s="103"/>
      <c r="F490" s="102"/>
      <c r="G490" s="103"/>
      <c r="H490" s="102"/>
      <c r="I490" s="103"/>
      <c r="J490" s="102"/>
      <c r="K490" s="103"/>
      <c r="L490" s="102"/>
      <c r="M490" s="103"/>
      <c r="N490" s="102"/>
      <c r="O490" s="103"/>
      <c r="P490" s="102"/>
      <c r="Q490" s="103"/>
      <c r="R490" s="102"/>
      <c r="S490" s="103"/>
    </row>
    <row r="491">
      <c r="A491" s="107"/>
      <c r="B491" s="102"/>
      <c r="C491" s="103"/>
      <c r="D491" s="102"/>
      <c r="E491" s="103"/>
      <c r="F491" s="102"/>
      <c r="G491" s="103"/>
      <c r="H491" s="102"/>
      <c r="I491" s="103"/>
      <c r="J491" s="102"/>
      <c r="K491" s="103"/>
      <c r="L491" s="102"/>
      <c r="M491" s="103"/>
      <c r="N491" s="102"/>
      <c r="O491" s="103"/>
      <c r="P491" s="102"/>
      <c r="Q491" s="103"/>
      <c r="R491" s="102"/>
      <c r="S491" s="103"/>
    </row>
    <row r="492">
      <c r="A492" s="107"/>
      <c r="B492" s="102"/>
      <c r="C492" s="103"/>
      <c r="D492" s="102"/>
      <c r="E492" s="103"/>
      <c r="F492" s="102"/>
      <c r="G492" s="103"/>
      <c r="H492" s="102"/>
      <c r="I492" s="103"/>
      <c r="J492" s="102"/>
      <c r="K492" s="103"/>
      <c r="L492" s="102"/>
      <c r="M492" s="103"/>
      <c r="N492" s="102"/>
      <c r="O492" s="103"/>
      <c r="P492" s="102"/>
      <c r="Q492" s="103"/>
      <c r="R492" s="102"/>
      <c r="S492" s="103"/>
    </row>
    <row r="493">
      <c r="A493" s="107"/>
      <c r="B493" s="102"/>
      <c r="C493" s="103"/>
      <c r="D493" s="102"/>
      <c r="E493" s="103"/>
      <c r="F493" s="102"/>
      <c r="G493" s="103"/>
      <c r="H493" s="102"/>
      <c r="I493" s="103"/>
      <c r="J493" s="102"/>
      <c r="K493" s="103"/>
      <c r="L493" s="102"/>
      <c r="M493" s="103"/>
      <c r="N493" s="102"/>
      <c r="O493" s="103"/>
      <c r="P493" s="102"/>
      <c r="Q493" s="103"/>
      <c r="R493" s="102"/>
      <c r="S493" s="103"/>
    </row>
    <row r="494">
      <c r="A494" s="107"/>
      <c r="B494" s="102"/>
      <c r="C494" s="103"/>
      <c r="D494" s="102"/>
      <c r="E494" s="103"/>
      <c r="F494" s="102"/>
      <c r="G494" s="103"/>
      <c r="H494" s="102"/>
      <c r="I494" s="103"/>
      <c r="J494" s="102"/>
      <c r="K494" s="103"/>
      <c r="L494" s="102"/>
      <c r="M494" s="103"/>
      <c r="N494" s="102"/>
      <c r="O494" s="103"/>
      <c r="P494" s="102"/>
      <c r="Q494" s="103"/>
      <c r="R494" s="102"/>
      <c r="S494" s="103"/>
    </row>
    <row r="495">
      <c r="A495" s="107"/>
      <c r="B495" s="102"/>
      <c r="C495" s="103"/>
      <c r="D495" s="102"/>
      <c r="E495" s="103"/>
      <c r="F495" s="102"/>
      <c r="G495" s="103"/>
      <c r="H495" s="102"/>
      <c r="I495" s="103"/>
      <c r="J495" s="102"/>
      <c r="K495" s="103"/>
      <c r="L495" s="102"/>
      <c r="M495" s="103"/>
      <c r="N495" s="102"/>
      <c r="O495" s="103"/>
      <c r="P495" s="102"/>
      <c r="Q495" s="103"/>
      <c r="R495" s="102"/>
      <c r="S495" s="103"/>
    </row>
    <row r="496">
      <c r="A496" s="107"/>
      <c r="B496" s="102"/>
      <c r="C496" s="103"/>
      <c r="D496" s="102"/>
      <c r="E496" s="103"/>
      <c r="F496" s="102"/>
      <c r="G496" s="103"/>
      <c r="H496" s="102"/>
      <c r="I496" s="103"/>
      <c r="J496" s="102"/>
      <c r="K496" s="103"/>
      <c r="L496" s="102"/>
      <c r="M496" s="103"/>
      <c r="N496" s="102"/>
      <c r="O496" s="103"/>
      <c r="P496" s="102"/>
      <c r="Q496" s="103"/>
      <c r="R496" s="102"/>
      <c r="S496" s="103"/>
    </row>
    <row r="497">
      <c r="A497" s="107"/>
      <c r="B497" s="102"/>
      <c r="C497" s="103"/>
      <c r="D497" s="102"/>
      <c r="E497" s="103"/>
      <c r="F497" s="102"/>
      <c r="G497" s="103"/>
      <c r="H497" s="102"/>
      <c r="I497" s="103"/>
      <c r="J497" s="102"/>
      <c r="K497" s="103"/>
      <c r="L497" s="102"/>
      <c r="M497" s="103"/>
      <c r="N497" s="102"/>
      <c r="O497" s="103"/>
      <c r="P497" s="102"/>
      <c r="Q497" s="103"/>
      <c r="R497" s="102"/>
      <c r="S497" s="103"/>
    </row>
    <row r="498">
      <c r="A498" s="107"/>
      <c r="B498" s="102"/>
      <c r="C498" s="103"/>
      <c r="D498" s="102"/>
      <c r="E498" s="103"/>
      <c r="F498" s="102"/>
      <c r="G498" s="103"/>
      <c r="H498" s="102"/>
      <c r="I498" s="103"/>
      <c r="J498" s="102"/>
      <c r="K498" s="103"/>
      <c r="L498" s="102"/>
      <c r="M498" s="103"/>
      <c r="N498" s="102"/>
      <c r="O498" s="103"/>
      <c r="P498" s="102"/>
      <c r="Q498" s="103"/>
      <c r="R498" s="102"/>
      <c r="S498" s="103"/>
    </row>
    <row r="499">
      <c r="A499" s="107"/>
      <c r="B499" s="102"/>
      <c r="C499" s="103"/>
      <c r="D499" s="102"/>
      <c r="E499" s="103"/>
      <c r="F499" s="102"/>
      <c r="G499" s="103"/>
      <c r="H499" s="102"/>
      <c r="I499" s="103"/>
      <c r="J499" s="102"/>
      <c r="K499" s="103"/>
      <c r="L499" s="102"/>
      <c r="M499" s="103"/>
      <c r="N499" s="102"/>
      <c r="O499" s="103"/>
      <c r="P499" s="102"/>
      <c r="Q499" s="103"/>
      <c r="R499" s="102"/>
      <c r="S499" s="103"/>
    </row>
    <row r="500">
      <c r="A500" s="107"/>
      <c r="B500" s="102"/>
      <c r="C500" s="103"/>
      <c r="D500" s="102"/>
      <c r="E500" s="103"/>
      <c r="F500" s="102"/>
      <c r="G500" s="103"/>
      <c r="H500" s="102"/>
      <c r="I500" s="103"/>
      <c r="J500" s="102"/>
      <c r="K500" s="103"/>
      <c r="L500" s="102"/>
      <c r="M500" s="103"/>
      <c r="N500" s="102"/>
      <c r="O500" s="103"/>
      <c r="P500" s="102"/>
      <c r="Q500" s="103"/>
      <c r="R500" s="102"/>
      <c r="S500" s="103"/>
    </row>
    <row r="501">
      <c r="A501" s="107"/>
      <c r="B501" s="102"/>
      <c r="C501" s="103"/>
      <c r="D501" s="102"/>
      <c r="E501" s="103"/>
      <c r="F501" s="102"/>
      <c r="G501" s="103"/>
      <c r="H501" s="102"/>
      <c r="I501" s="103"/>
      <c r="J501" s="102"/>
      <c r="K501" s="103"/>
      <c r="L501" s="102"/>
      <c r="M501" s="103"/>
      <c r="N501" s="102"/>
      <c r="O501" s="103"/>
      <c r="P501" s="102"/>
      <c r="Q501" s="103"/>
      <c r="R501" s="102"/>
      <c r="S501" s="103"/>
    </row>
    <row r="502">
      <c r="A502" s="107"/>
      <c r="B502" s="102"/>
      <c r="C502" s="103"/>
      <c r="D502" s="102"/>
      <c r="E502" s="103"/>
      <c r="F502" s="102"/>
      <c r="G502" s="103"/>
      <c r="H502" s="102"/>
      <c r="I502" s="103"/>
      <c r="J502" s="102"/>
      <c r="K502" s="103"/>
      <c r="L502" s="102"/>
      <c r="M502" s="103"/>
      <c r="N502" s="102"/>
      <c r="O502" s="103"/>
      <c r="P502" s="102"/>
      <c r="Q502" s="103"/>
      <c r="R502" s="102"/>
      <c r="S502" s="103"/>
    </row>
    <row r="503">
      <c r="A503" s="107"/>
      <c r="B503" s="102"/>
      <c r="C503" s="103"/>
      <c r="D503" s="102"/>
      <c r="E503" s="103"/>
      <c r="F503" s="102"/>
      <c r="G503" s="103"/>
      <c r="H503" s="102"/>
      <c r="I503" s="103"/>
      <c r="J503" s="102"/>
      <c r="K503" s="103"/>
      <c r="L503" s="102"/>
      <c r="M503" s="103"/>
      <c r="N503" s="102"/>
      <c r="O503" s="103"/>
      <c r="P503" s="102"/>
      <c r="Q503" s="103"/>
      <c r="R503" s="102"/>
      <c r="S503" s="103"/>
    </row>
    <row r="504">
      <c r="A504" s="107"/>
      <c r="B504" s="102"/>
      <c r="C504" s="103"/>
      <c r="D504" s="102"/>
      <c r="E504" s="103"/>
      <c r="F504" s="102"/>
      <c r="G504" s="103"/>
      <c r="H504" s="102"/>
      <c r="I504" s="103"/>
      <c r="J504" s="102"/>
      <c r="K504" s="103"/>
      <c r="L504" s="102"/>
      <c r="M504" s="103"/>
      <c r="N504" s="102"/>
      <c r="O504" s="103"/>
      <c r="P504" s="102"/>
      <c r="Q504" s="103"/>
      <c r="R504" s="102"/>
      <c r="S504" s="103"/>
    </row>
    <row r="505">
      <c r="A505" s="107"/>
      <c r="B505" s="102"/>
      <c r="C505" s="103"/>
      <c r="D505" s="102"/>
      <c r="E505" s="103"/>
      <c r="F505" s="102"/>
      <c r="G505" s="103"/>
      <c r="H505" s="102"/>
      <c r="I505" s="103"/>
      <c r="J505" s="102"/>
      <c r="K505" s="103"/>
      <c r="L505" s="102"/>
      <c r="M505" s="103"/>
      <c r="N505" s="102"/>
      <c r="O505" s="103"/>
      <c r="P505" s="102"/>
      <c r="Q505" s="103"/>
      <c r="R505" s="102"/>
      <c r="S505" s="103"/>
    </row>
    <row r="506">
      <c r="A506" s="107"/>
      <c r="B506" s="102"/>
      <c r="C506" s="103"/>
      <c r="D506" s="102"/>
      <c r="E506" s="103"/>
      <c r="F506" s="102"/>
      <c r="G506" s="103"/>
      <c r="H506" s="102"/>
      <c r="I506" s="103"/>
      <c r="J506" s="102"/>
      <c r="K506" s="103"/>
      <c r="L506" s="102"/>
      <c r="M506" s="103"/>
      <c r="N506" s="102"/>
      <c r="O506" s="103"/>
      <c r="P506" s="102"/>
      <c r="Q506" s="103"/>
      <c r="R506" s="102"/>
      <c r="S506" s="103"/>
    </row>
    <row r="507">
      <c r="A507" s="107"/>
      <c r="B507" s="102"/>
      <c r="C507" s="103"/>
      <c r="D507" s="102"/>
      <c r="E507" s="103"/>
      <c r="F507" s="102"/>
      <c r="G507" s="103"/>
      <c r="H507" s="102"/>
      <c r="I507" s="103"/>
      <c r="J507" s="102"/>
      <c r="K507" s="103"/>
      <c r="L507" s="102"/>
      <c r="M507" s="103"/>
      <c r="N507" s="102"/>
      <c r="O507" s="103"/>
      <c r="P507" s="102"/>
      <c r="Q507" s="103"/>
      <c r="R507" s="102"/>
      <c r="S507" s="103"/>
    </row>
    <row r="508">
      <c r="A508" s="107"/>
      <c r="B508" s="102"/>
      <c r="C508" s="103"/>
      <c r="D508" s="102"/>
      <c r="E508" s="103"/>
      <c r="F508" s="102"/>
      <c r="G508" s="103"/>
      <c r="H508" s="102"/>
      <c r="I508" s="103"/>
      <c r="J508" s="102"/>
      <c r="K508" s="103"/>
      <c r="L508" s="102"/>
      <c r="M508" s="103"/>
      <c r="N508" s="102"/>
      <c r="O508" s="103"/>
      <c r="P508" s="102"/>
      <c r="Q508" s="103"/>
      <c r="R508" s="102"/>
      <c r="S508" s="103"/>
    </row>
    <row r="509">
      <c r="A509" s="107"/>
      <c r="B509" s="102"/>
      <c r="C509" s="103"/>
      <c r="D509" s="102"/>
      <c r="E509" s="103"/>
      <c r="F509" s="102"/>
      <c r="G509" s="103"/>
      <c r="H509" s="102"/>
      <c r="I509" s="103"/>
      <c r="J509" s="102"/>
      <c r="K509" s="103"/>
      <c r="L509" s="102"/>
      <c r="M509" s="103"/>
      <c r="N509" s="102"/>
      <c r="O509" s="103"/>
      <c r="P509" s="102"/>
      <c r="Q509" s="103"/>
      <c r="R509" s="102"/>
      <c r="S509" s="103"/>
    </row>
    <row r="510">
      <c r="A510" s="107"/>
      <c r="B510" s="102"/>
      <c r="C510" s="103"/>
      <c r="D510" s="102"/>
      <c r="E510" s="103"/>
      <c r="F510" s="102"/>
      <c r="G510" s="103"/>
      <c r="H510" s="102"/>
      <c r="I510" s="103"/>
      <c r="J510" s="102"/>
      <c r="K510" s="103"/>
      <c r="L510" s="102"/>
      <c r="M510" s="103"/>
      <c r="N510" s="102"/>
      <c r="O510" s="103"/>
      <c r="P510" s="102"/>
      <c r="Q510" s="103"/>
      <c r="R510" s="102"/>
      <c r="S510" s="103"/>
    </row>
    <row r="511">
      <c r="A511" s="107"/>
      <c r="B511" s="102"/>
      <c r="C511" s="103"/>
      <c r="D511" s="102"/>
      <c r="E511" s="103"/>
      <c r="F511" s="102"/>
      <c r="G511" s="103"/>
      <c r="H511" s="102"/>
      <c r="I511" s="103"/>
      <c r="J511" s="102"/>
      <c r="K511" s="103"/>
      <c r="L511" s="102"/>
      <c r="M511" s="103"/>
      <c r="N511" s="102"/>
      <c r="O511" s="103"/>
      <c r="P511" s="102"/>
      <c r="Q511" s="103"/>
      <c r="R511" s="102"/>
      <c r="S511" s="103"/>
    </row>
    <row r="512">
      <c r="A512" s="107"/>
      <c r="B512" s="102"/>
      <c r="C512" s="103"/>
      <c r="D512" s="102"/>
      <c r="E512" s="103"/>
      <c r="F512" s="102"/>
      <c r="G512" s="103"/>
      <c r="H512" s="102"/>
      <c r="I512" s="103"/>
      <c r="J512" s="102"/>
      <c r="K512" s="103"/>
      <c r="L512" s="102"/>
      <c r="M512" s="103"/>
      <c r="N512" s="102"/>
      <c r="O512" s="103"/>
      <c r="P512" s="102"/>
      <c r="Q512" s="103"/>
      <c r="R512" s="102"/>
      <c r="S512" s="103"/>
    </row>
    <row r="513">
      <c r="A513" s="107"/>
      <c r="B513" s="102"/>
      <c r="C513" s="103"/>
      <c r="D513" s="102"/>
      <c r="E513" s="103"/>
      <c r="F513" s="102"/>
      <c r="G513" s="103"/>
      <c r="H513" s="102"/>
      <c r="I513" s="103"/>
      <c r="J513" s="102"/>
      <c r="K513" s="103"/>
      <c r="L513" s="102"/>
      <c r="M513" s="103"/>
      <c r="N513" s="102"/>
      <c r="O513" s="103"/>
      <c r="P513" s="102"/>
      <c r="Q513" s="103"/>
      <c r="R513" s="102"/>
      <c r="S513" s="103"/>
    </row>
    <row r="514">
      <c r="A514" s="107"/>
      <c r="B514" s="102"/>
      <c r="C514" s="103"/>
      <c r="D514" s="102"/>
      <c r="E514" s="103"/>
      <c r="F514" s="102"/>
      <c r="G514" s="103"/>
      <c r="H514" s="102"/>
      <c r="I514" s="103"/>
      <c r="J514" s="102"/>
      <c r="K514" s="103"/>
      <c r="L514" s="102"/>
      <c r="M514" s="103"/>
      <c r="N514" s="102"/>
      <c r="O514" s="103"/>
      <c r="P514" s="102"/>
      <c r="Q514" s="103"/>
      <c r="R514" s="102"/>
      <c r="S514" s="103"/>
    </row>
    <row r="515">
      <c r="A515" s="107"/>
      <c r="B515" s="102"/>
      <c r="C515" s="103"/>
      <c r="D515" s="102"/>
      <c r="E515" s="103"/>
      <c r="F515" s="102"/>
      <c r="G515" s="103"/>
      <c r="H515" s="102"/>
      <c r="I515" s="103"/>
      <c r="J515" s="102"/>
      <c r="K515" s="103"/>
      <c r="L515" s="102"/>
      <c r="M515" s="103"/>
      <c r="N515" s="102"/>
      <c r="O515" s="103"/>
      <c r="P515" s="102"/>
      <c r="Q515" s="103"/>
      <c r="R515" s="102"/>
      <c r="S515" s="103"/>
    </row>
    <row r="516">
      <c r="A516" s="107"/>
      <c r="B516" s="102"/>
      <c r="C516" s="103"/>
      <c r="D516" s="102"/>
      <c r="E516" s="103"/>
      <c r="F516" s="102"/>
      <c r="G516" s="103"/>
      <c r="H516" s="102"/>
      <c r="I516" s="103"/>
      <c r="J516" s="102"/>
      <c r="K516" s="103"/>
      <c r="L516" s="102"/>
      <c r="M516" s="103"/>
      <c r="N516" s="102"/>
      <c r="O516" s="103"/>
      <c r="P516" s="102"/>
      <c r="Q516" s="103"/>
      <c r="R516" s="102"/>
      <c r="S516" s="103"/>
    </row>
    <row r="517">
      <c r="A517" s="107"/>
      <c r="B517" s="102"/>
      <c r="C517" s="103"/>
      <c r="D517" s="102"/>
      <c r="E517" s="103"/>
      <c r="F517" s="102"/>
      <c r="G517" s="103"/>
      <c r="H517" s="102"/>
      <c r="I517" s="103"/>
      <c r="J517" s="102"/>
      <c r="K517" s="103"/>
      <c r="L517" s="102"/>
      <c r="M517" s="103"/>
      <c r="N517" s="102"/>
      <c r="O517" s="103"/>
      <c r="P517" s="102"/>
      <c r="Q517" s="103"/>
      <c r="R517" s="102"/>
      <c r="S517" s="103"/>
    </row>
    <row r="518">
      <c r="A518" s="107"/>
      <c r="B518" s="102"/>
      <c r="C518" s="103"/>
      <c r="D518" s="102"/>
      <c r="E518" s="103"/>
      <c r="F518" s="102"/>
      <c r="G518" s="103"/>
      <c r="H518" s="102"/>
      <c r="I518" s="103"/>
      <c r="J518" s="102"/>
      <c r="K518" s="103"/>
      <c r="L518" s="102"/>
      <c r="M518" s="103"/>
      <c r="N518" s="102"/>
      <c r="O518" s="103"/>
      <c r="P518" s="102"/>
      <c r="Q518" s="103"/>
      <c r="R518" s="102"/>
      <c r="S518" s="103"/>
    </row>
    <row r="519">
      <c r="A519" s="107"/>
      <c r="B519" s="102"/>
      <c r="C519" s="103"/>
      <c r="D519" s="102"/>
      <c r="E519" s="103"/>
      <c r="F519" s="102"/>
      <c r="G519" s="103"/>
      <c r="H519" s="102"/>
      <c r="I519" s="103"/>
      <c r="J519" s="102"/>
      <c r="K519" s="103"/>
      <c r="L519" s="102"/>
      <c r="M519" s="103"/>
      <c r="N519" s="102"/>
      <c r="O519" s="103"/>
      <c r="P519" s="102"/>
      <c r="Q519" s="103"/>
      <c r="R519" s="102"/>
      <c r="S519" s="103"/>
    </row>
    <row r="520">
      <c r="A520" s="107"/>
      <c r="B520" s="102"/>
      <c r="C520" s="103"/>
      <c r="D520" s="102"/>
      <c r="E520" s="103"/>
      <c r="F520" s="102"/>
      <c r="G520" s="103"/>
      <c r="H520" s="102"/>
      <c r="I520" s="103"/>
      <c r="J520" s="102"/>
      <c r="K520" s="103"/>
      <c r="L520" s="102"/>
      <c r="M520" s="103"/>
      <c r="N520" s="102"/>
      <c r="O520" s="103"/>
      <c r="P520" s="102"/>
      <c r="Q520" s="103"/>
      <c r="R520" s="102"/>
      <c r="S520" s="103"/>
    </row>
    <row r="521">
      <c r="A521" s="107"/>
      <c r="B521" s="102"/>
      <c r="C521" s="103"/>
      <c r="D521" s="102"/>
      <c r="E521" s="103"/>
      <c r="F521" s="102"/>
      <c r="G521" s="103"/>
      <c r="H521" s="102"/>
      <c r="I521" s="103"/>
      <c r="J521" s="102"/>
      <c r="K521" s="103"/>
      <c r="L521" s="102"/>
      <c r="M521" s="103"/>
      <c r="N521" s="102"/>
      <c r="O521" s="103"/>
      <c r="P521" s="102"/>
      <c r="Q521" s="103"/>
      <c r="R521" s="102"/>
      <c r="S521" s="103"/>
    </row>
    <row r="522">
      <c r="A522" s="107"/>
      <c r="B522" s="102"/>
      <c r="C522" s="103"/>
      <c r="D522" s="102"/>
      <c r="E522" s="103"/>
      <c r="F522" s="102"/>
      <c r="G522" s="103"/>
      <c r="H522" s="102"/>
      <c r="I522" s="103"/>
      <c r="J522" s="102"/>
      <c r="K522" s="103"/>
      <c r="L522" s="102"/>
      <c r="M522" s="103"/>
      <c r="N522" s="102"/>
      <c r="O522" s="103"/>
      <c r="P522" s="102"/>
      <c r="Q522" s="103"/>
      <c r="R522" s="102"/>
      <c r="S522" s="103"/>
    </row>
    <row r="523">
      <c r="A523" s="107"/>
      <c r="B523" s="102"/>
      <c r="C523" s="103"/>
      <c r="D523" s="102"/>
      <c r="E523" s="103"/>
      <c r="F523" s="102"/>
      <c r="G523" s="103"/>
      <c r="H523" s="102"/>
      <c r="I523" s="103"/>
      <c r="J523" s="102"/>
      <c r="K523" s="103"/>
      <c r="L523" s="102"/>
      <c r="M523" s="103"/>
      <c r="N523" s="102"/>
      <c r="O523" s="103"/>
      <c r="P523" s="102"/>
      <c r="Q523" s="103"/>
      <c r="R523" s="102"/>
      <c r="S523" s="103"/>
    </row>
    <row r="524">
      <c r="A524" s="107"/>
      <c r="B524" s="102"/>
      <c r="C524" s="103"/>
      <c r="D524" s="102"/>
      <c r="E524" s="103"/>
      <c r="F524" s="102"/>
      <c r="G524" s="103"/>
      <c r="H524" s="102"/>
      <c r="I524" s="103"/>
      <c r="J524" s="102"/>
      <c r="K524" s="103"/>
      <c r="L524" s="102"/>
      <c r="M524" s="103"/>
      <c r="N524" s="102"/>
      <c r="O524" s="103"/>
      <c r="P524" s="102"/>
      <c r="Q524" s="103"/>
      <c r="R524" s="102"/>
      <c r="S524" s="103"/>
    </row>
    <row r="525">
      <c r="A525" s="107"/>
      <c r="B525" s="102"/>
      <c r="C525" s="103"/>
      <c r="D525" s="102"/>
      <c r="E525" s="103"/>
      <c r="F525" s="102"/>
      <c r="G525" s="103"/>
      <c r="H525" s="102"/>
      <c r="I525" s="103"/>
      <c r="J525" s="102"/>
      <c r="K525" s="103"/>
      <c r="L525" s="102"/>
      <c r="M525" s="103"/>
      <c r="N525" s="102"/>
      <c r="O525" s="103"/>
      <c r="P525" s="102"/>
      <c r="Q525" s="103"/>
      <c r="R525" s="102"/>
      <c r="S525" s="103"/>
    </row>
    <row r="526">
      <c r="A526" s="107"/>
      <c r="B526" s="102"/>
      <c r="C526" s="103"/>
      <c r="D526" s="102"/>
      <c r="E526" s="103"/>
      <c r="F526" s="102"/>
      <c r="G526" s="103"/>
      <c r="H526" s="102"/>
      <c r="I526" s="103"/>
      <c r="J526" s="102"/>
      <c r="K526" s="103"/>
      <c r="L526" s="102"/>
      <c r="M526" s="103"/>
      <c r="N526" s="102"/>
      <c r="O526" s="103"/>
      <c r="P526" s="102"/>
      <c r="Q526" s="103"/>
      <c r="R526" s="102"/>
      <c r="S526" s="103"/>
    </row>
    <row r="527">
      <c r="A527" s="107"/>
      <c r="B527" s="102"/>
      <c r="C527" s="103"/>
      <c r="D527" s="102"/>
      <c r="E527" s="103"/>
      <c r="F527" s="102"/>
      <c r="G527" s="103"/>
      <c r="H527" s="102"/>
      <c r="I527" s="103"/>
      <c r="J527" s="102"/>
      <c r="K527" s="103"/>
      <c r="L527" s="102"/>
      <c r="M527" s="103"/>
      <c r="N527" s="102"/>
      <c r="O527" s="103"/>
      <c r="P527" s="102"/>
      <c r="Q527" s="103"/>
      <c r="R527" s="102"/>
      <c r="S527" s="103"/>
    </row>
    <row r="528">
      <c r="A528" s="107"/>
      <c r="B528" s="102"/>
      <c r="C528" s="103"/>
      <c r="D528" s="102"/>
      <c r="E528" s="103"/>
      <c r="F528" s="102"/>
      <c r="G528" s="103"/>
      <c r="H528" s="102"/>
      <c r="I528" s="103"/>
      <c r="J528" s="102"/>
      <c r="K528" s="103"/>
      <c r="L528" s="102"/>
      <c r="M528" s="103"/>
      <c r="N528" s="102"/>
      <c r="O528" s="103"/>
      <c r="P528" s="102"/>
      <c r="Q528" s="103"/>
      <c r="R528" s="102"/>
      <c r="S528" s="103"/>
    </row>
    <row r="529">
      <c r="A529" s="107"/>
      <c r="B529" s="102"/>
      <c r="C529" s="103"/>
      <c r="D529" s="102"/>
      <c r="E529" s="103"/>
      <c r="F529" s="102"/>
      <c r="G529" s="103"/>
      <c r="H529" s="102"/>
      <c r="I529" s="103"/>
      <c r="J529" s="102"/>
      <c r="K529" s="103"/>
      <c r="L529" s="102"/>
      <c r="M529" s="103"/>
      <c r="N529" s="102"/>
      <c r="O529" s="103"/>
      <c r="P529" s="102"/>
      <c r="Q529" s="103"/>
      <c r="R529" s="102"/>
      <c r="S529" s="103"/>
    </row>
    <row r="530">
      <c r="A530" s="107"/>
      <c r="B530" s="102"/>
      <c r="C530" s="103"/>
      <c r="D530" s="102"/>
      <c r="E530" s="103"/>
      <c r="F530" s="102"/>
      <c r="G530" s="103"/>
      <c r="H530" s="102"/>
      <c r="I530" s="103"/>
      <c r="J530" s="102"/>
      <c r="K530" s="103"/>
      <c r="L530" s="102"/>
      <c r="M530" s="103"/>
      <c r="N530" s="102"/>
      <c r="O530" s="103"/>
      <c r="P530" s="102"/>
      <c r="Q530" s="103"/>
      <c r="R530" s="102"/>
      <c r="S530" s="103"/>
    </row>
    <row r="531">
      <c r="A531" s="107"/>
      <c r="B531" s="102"/>
      <c r="C531" s="103"/>
      <c r="D531" s="102"/>
      <c r="E531" s="103"/>
      <c r="F531" s="102"/>
      <c r="G531" s="103"/>
      <c r="H531" s="102"/>
      <c r="I531" s="103"/>
      <c r="J531" s="102"/>
      <c r="K531" s="103"/>
      <c r="L531" s="102"/>
      <c r="M531" s="103"/>
      <c r="N531" s="102"/>
      <c r="O531" s="103"/>
      <c r="P531" s="102"/>
      <c r="Q531" s="103"/>
      <c r="R531" s="102"/>
      <c r="S531" s="103"/>
    </row>
    <row r="532">
      <c r="A532" s="107"/>
      <c r="B532" s="102"/>
      <c r="C532" s="103"/>
      <c r="D532" s="102"/>
      <c r="E532" s="103"/>
      <c r="F532" s="102"/>
      <c r="G532" s="103"/>
      <c r="H532" s="102"/>
      <c r="I532" s="103"/>
      <c r="J532" s="102"/>
      <c r="K532" s="103"/>
      <c r="L532" s="102"/>
      <c r="M532" s="103"/>
      <c r="N532" s="102"/>
      <c r="O532" s="103"/>
      <c r="P532" s="102"/>
      <c r="Q532" s="103"/>
      <c r="R532" s="102"/>
      <c r="S532" s="103"/>
    </row>
    <row r="533">
      <c r="A533" s="107"/>
      <c r="B533" s="102"/>
      <c r="C533" s="103"/>
      <c r="D533" s="102"/>
      <c r="E533" s="103"/>
      <c r="F533" s="102"/>
      <c r="G533" s="103"/>
      <c r="H533" s="102"/>
      <c r="I533" s="103"/>
      <c r="J533" s="102"/>
      <c r="K533" s="103"/>
      <c r="L533" s="102"/>
      <c r="M533" s="103"/>
      <c r="N533" s="102"/>
      <c r="O533" s="103"/>
      <c r="P533" s="102"/>
      <c r="Q533" s="103"/>
      <c r="R533" s="102"/>
      <c r="S533" s="103"/>
    </row>
    <row r="534">
      <c r="A534" s="107"/>
      <c r="B534" s="102"/>
      <c r="C534" s="103"/>
      <c r="D534" s="102"/>
      <c r="E534" s="103"/>
      <c r="F534" s="102"/>
      <c r="G534" s="103"/>
      <c r="H534" s="102"/>
      <c r="I534" s="103"/>
      <c r="J534" s="102"/>
      <c r="K534" s="103"/>
      <c r="L534" s="102"/>
      <c r="M534" s="103"/>
      <c r="N534" s="102"/>
      <c r="O534" s="103"/>
      <c r="P534" s="102"/>
      <c r="Q534" s="103"/>
      <c r="R534" s="102"/>
      <c r="S534" s="103"/>
    </row>
    <row r="535">
      <c r="A535" s="107"/>
      <c r="B535" s="102"/>
      <c r="C535" s="103"/>
      <c r="D535" s="102"/>
      <c r="E535" s="103"/>
      <c r="F535" s="102"/>
      <c r="G535" s="103"/>
      <c r="H535" s="102"/>
      <c r="I535" s="103"/>
      <c r="J535" s="102"/>
      <c r="K535" s="103"/>
      <c r="L535" s="102"/>
      <c r="M535" s="103"/>
      <c r="N535" s="102"/>
      <c r="O535" s="103"/>
      <c r="P535" s="102"/>
      <c r="Q535" s="103"/>
      <c r="R535" s="102"/>
      <c r="S535" s="103"/>
    </row>
    <row r="536">
      <c r="A536" s="107"/>
      <c r="B536" s="102"/>
      <c r="C536" s="103"/>
      <c r="D536" s="102"/>
      <c r="E536" s="103"/>
      <c r="F536" s="102"/>
      <c r="G536" s="103"/>
      <c r="H536" s="102"/>
      <c r="I536" s="103"/>
      <c r="J536" s="102"/>
      <c r="K536" s="103"/>
      <c r="L536" s="102"/>
      <c r="M536" s="103"/>
      <c r="N536" s="102"/>
      <c r="O536" s="103"/>
      <c r="P536" s="102"/>
      <c r="Q536" s="103"/>
      <c r="R536" s="102"/>
      <c r="S536" s="103"/>
    </row>
    <row r="537">
      <c r="A537" s="107"/>
      <c r="B537" s="102"/>
      <c r="C537" s="103"/>
      <c r="D537" s="102"/>
      <c r="E537" s="103"/>
      <c r="F537" s="102"/>
      <c r="G537" s="103"/>
      <c r="H537" s="102"/>
      <c r="I537" s="103"/>
      <c r="J537" s="102"/>
      <c r="K537" s="103"/>
      <c r="L537" s="102"/>
      <c r="M537" s="103"/>
      <c r="N537" s="102"/>
      <c r="O537" s="103"/>
      <c r="P537" s="102"/>
      <c r="Q537" s="103"/>
      <c r="R537" s="102"/>
      <c r="S537" s="103"/>
    </row>
    <row r="538">
      <c r="A538" s="107"/>
      <c r="B538" s="102"/>
      <c r="C538" s="103"/>
      <c r="D538" s="102"/>
      <c r="E538" s="103"/>
      <c r="F538" s="102"/>
      <c r="G538" s="103"/>
      <c r="H538" s="102"/>
      <c r="I538" s="103"/>
      <c r="J538" s="102"/>
      <c r="K538" s="103"/>
      <c r="L538" s="102"/>
      <c r="M538" s="103"/>
      <c r="N538" s="102"/>
      <c r="O538" s="103"/>
      <c r="P538" s="102"/>
      <c r="Q538" s="103"/>
      <c r="R538" s="102"/>
      <c r="S538" s="103"/>
    </row>
    <row r="539">
      <c r="A539" s="107"/>
      <c r="B539" s="102"/>
      <c r="C539" s="103"/>
      <c r="D539" s="102"/>
      <c r="E539" s="103"/>
      <c r="F539" s="102"/>
      <c r="G539" s="103"/>
      <c r="H539" s="102"/>
      <c r="I539" s="103"/>
      <c r="J539" s="102"/>
      <c r="K539" s="103"/>
      <c r="L539" s="102"/>
      <c r="M539" s="103"/>
      <c r="N539" s="102"/>
      <c r="O539" s="103"/>
      <c r="P539" s="102"/>
      <c r="Q539" s="103"/>
      <c r="R539" s="102"/>
      <c r="S539" s="103"/>
    </row>
    <row r="540">
      <c r="A540" s="107"/>
      <c r="B540" s="102"/>
      <c r="C540" s="103"/>
      <c r="D540" s="102"/>
      <c r="E540" s="103"/>
      <c r="F540" s="102"/>
      <c r="G540" s="103"/>
      <c r="H540" s="102"/>
      <c r="I540" s="103"/>
      <c r="J540" s="102"/>
      <c r="K540" s="103"/>
      <c r="L540" s="102"/>
      <c r="M540" s="103"/>
      <c r="N540" s="102"/>
      <c r="O540" s="103"/>
      <c r="P540" s="102"/>
      <c r="Q540" s="103"/>
      <c r="R540" s="102"/>
      <c r="S540" s="103"/>
    </row>
    <row r="541">
      <c r="A541" s="107"/>
      <c r="B541" s="102"/>
      <c r="C541" s="103"/>
      <c r="D541" s="102"/>
      <c r="E541" s="103"/>
      <c r="F541" s="102"/>
      <c r="G541" s="103"/>
      <c r="H541" s="102"/>
      <c r="I541" s="103"/>
      <c r="J541" s="102"/>
      <c r="K541" s="103"/>
      <c r="L541" s="102"/>
      <c r="M541" s="103"/>
      <c r="N541" s="102"/>
      <c r="O541" s="103"/>
      <c r="P541" s="102"/>
      <c r="Q541" s="103"/>
      <c r="R541" s="102"/>
      <c r="S541" s="103"/>
    </row>
    <row r="542">
      <c r="A542" s="107"/>
      <c r="B542" s="102"/>
      <c r="C542" s="103"/>
      <c r="D542" s="102"/>
      <c r="E542" s="103"/>
      <c r="F542" s="102"/>
      <c r="G542" s="103"/>
      <c r="H542" s="102"/>
      <c r="I542" s="103"/>
      <c r="J542" s="102"/>
      <c r="K542" s="103"/>
      <c r="L542" s="102"/>
      <c r="M542" s="103"/>
      <c r="N542" s="102"/>
      <c r="O542" s="103"/>
      <c r="P542" s="102"/>
      <c r="Q542" s="103"/>
      <c r="R542" s="102"/>
      <c r="S542" s="103"/>
    </row>
    <row r="543">
      <c r="A543" s="107"/>
      <c r="B543" s="102"/>
      <c r="C543" s="103"/>
      <c r="D543" s="102"/>
      <c r="E543" s="103"/>
      <c r="F543" s="102"/>
      <c r="G543" s="103"/>
      <c r="H543" s="102"/>
      <c r="I543" s="103"/>
      <c r="J543" s="102"/>
      <c r="K543" s="103"/>
      <c r="L543" s="102"/>
      <c r="M543" s="103"/>
      <c r="N543" s="102"/>
      <c r="O543" s="103"/>
      <c r="P543" s="102"/>
      <c r="Q543" s="103"/>
      <c r="R543" s="102"/>
      <c r="S543" s="103"/>
    </row>
    <row r="544">
      <c r="A544" s="107"/>
      <c r="B544" s="102"/>
      <c r="C544" s="103"/>
      <c r="D544" s="102"/>
      <c r="E544" s="103"/>
      <c r="F544" s="102"/>
      <c r="G544" s="103"/>
      <c r="H544" s="102"/>
      <c r="I544" s="103"/>
      <c r="J544" s="102"/>
      <c r="K544" s="103"/>
      <c r="L544" s="102"/>
      <c r="M544" s="103"/>
      <c r="N544" s="102"/>
      <c r="O544" s="103"/>
      <c r="P544" s="102"/>
      <c r="Q544" s="103"/>
      <c r="R544" s="102"/>
      <c r="S544" s="103"/>
    </row>
    <row r="545">
      <c r="A545" s="107"/>
      <c r="B545" s="102"/>
      <c r="C545" s="103"/>
      <c r="D545" s="102"/>
      <c r="E545" s="103"/>
      <c r="F545" s="102"/>
      <c r="G545" s="103"/>
      <c r="H545" s="102"/>
      <c r="I545" s="103"/>
      <c r="J545" s="102"/>
      <c r="K545" s="103"/>
      <c r="L545" s="102"/>
      <c r="M545" s="103"/>
      <c r="N545" s="102"/>
      <c r="O545" s="103"/>
      <c r="P545" s="102"/>
      <c r="Q545" s="103"/>
      <c r="R545" s="102"/>
      <c r="S545" s="103"/>
    </row>
    <row r="546">
      <c r="A546" s="107"/>
      <c r="B546" s="102"/>
      <c r="C546" s="103"/>
      <c r="D546" s="102"/>
      <c r="E546" s="103"/>
      <c r="F546" s="102"/>
      <c r="G546" s="103"/>
      <c r="H546" s="102"/>
      <c r="I546" s="103"/>
      <c r="J546" s="102"/>
      <c r="K546" s="103"/>
      <c r="L546" s="102"/>
      <c r="M546" s="103"/>
      <c r="N546" s="102"/>
      <c r="O546" s="103"/>
      <c r="P546" s="102"/>
      <c r="Q546" s="103"/>
      <c r="R546" s="102"/>
      <c r="S546" s="103"/>
    </row>
    <row r="547">
      <c r="A547" s="107"/>
      <c r="B547" s="102"/>
      <c r="C547" s="103"/>
      <c r="D547" s="102"/>
      <c r="E547" s="103"/>
      <c r="F547" s="102"/>
      <c r="G547" s="103"/>
      <c r="H547" s="102"/>
      <c r="I547" s="103"/>
      <c r="J547" s="102"/>
      <c r="K547" s="103"/>
      <c r="L547" s="102"/>
      <c r="M547" s="103"/>
      <c r="N547" s="102"/>
      <c r="O547" s="103"/>
      <c r="P547" s="102"/>
      <c r="Q547" s="103"/>
      <c r="R547" s="102"/>
      <c r="S547" s="103"/>
    </row>
    <row r="548">
      <c r="A548" s="107"/>
      <c r="B548" s="102"/>
      <c r="C548" s="103"/>
      <c r="D548" s="102"/>
      <c r="E548" s="103"/>
      <c r="F548" s="102"/>
      <c r="G548" s="103"/>
      <c r="H548" s="102"/>
      <c r="I548" s="103"/>
      <c r="J548" s="102"/>
      <c r="K548" s="103"/>
      <c r="L548" s="102"/>
      <c r="M548" s="103"/>
      <c r="N548" s="102"/>
      <c r="O548" s="103"/>
      <c r="P548" s="102"/>
      <c r="Q548" s="103"/>
      <c r="R548" s="102"/>
      <c r="S548" s="103"/>
    </row>
    <row r="549">
      <c r="A549" s="107"/>
      <c r="B549" s="102"/>
      <c r="C549" s="103"/>
      <c r="D549" s="102"/>
      <c r="E549" s="103"/>
      <c r="F549" s="102"/>
      <c r="G549" s="103"/>
      <c r="H549" s="102"/>
      <c r="I549" s="103"/>
      <c r="J549" s="102"/>
      <c r="K549" s="103"/>
      <c r="L549" s="102"/>
      <c r="M549" s="103"/>
      <c r="N549" s="102"/>
      <c r="O549" s="103"/>
      <c r="P549" s="102"/>
      <c r="Q549" s="103"/>
      <c r="R549" s="102"/>
      <c r="S549" s="103"/>
    </row>
    <row r="550">
      <c r="A550" s="107"/>
      <c r="B550" s="102"/>
      <c r="C550" s="103"/>
      <c r="D550" s="102"/>
      <c r="E550" s="103"/>
      <c r="F550" s="102"/>
      <c r="G550" s="103"/>
      <c r="H550" s="102"/>
      <c r="I550" s="103"/>
      <c r="J550" s="102"/>
      <c r="K550" s="103"/>
      <c r="L550" s="102"/>
      <c r="M550" s="103"/>
      <c r="N550" s="102"/>
      <c r="O550" s="103"/>
      <c r="P550" s="102"/>
      <c r="Q550" s="103"/>
      <c r="R550" s="102"/>
      <c r="S550" s="103"/>
    </row>
    <row r="551">
      <c r="A551" s="107"/>
      <c r="B551" s="102"/>
      <c r="C551" s="103"/>
      <c r="D551" s="102"/>
      <c r="E551" s="103"/>
      <c r="F551" s="102"/>
      <c r="G551" s="103"/>
      <c r="H551" s="102"/>
      <c r="I551" s="103"/>
      <c r="J551" s="102"/>
      <c r="K551" s="103"/>
      <c r="L551" s="102"/>
      <c r="M551" s="103"/>
      <c r="N551" s="102"/>
      <c r="O551" s="103"/>
      <c r="P551" s="102"/>
      <c r="Q551" s="103"/>
      <c r="R551" s="102"/>
      <c r="S551" s="103"/>
    </row>
    <row r="552">
      <c r="A552" s="107"/>
      <c r="B552" s="102"/>
      <c r="C552" s="103"/>
      <c r="D552" s="102"/>
      <c r="E552" s="103"/>
      <c r="F552" s="102"/>
      <c r="G552" s="103"/>
      <c r="H552" s="102"/>
      <c r="I552" s="103"/>
      <c r="J552" s="102"/>
      <c r="K552" s="103"/>
      <c r="L552" s="102"/>
      <c r="M552" s="103"/>
      <c r="N552" s="102"/>
      <c r="O552" s="103"/>
      <c r="P552" s="102"/>
      <c r="Q552" s="103"/>
      <c r="R552" s="102"/>
      <c r="S552" s="103"/>
    </row>
    <row r="553">
      <c r="A553" s="107"/>
      <c r="B553" s="102"/>
      <c r="C553" s="103"/>
      <c r="D553" s="102"/>
      <c r="E553" s="103"/>
      <c r="F553" s="102"/>
      <c r="G553" s="103"/>
      <c r="H553" s="102"/>
      <c r="I553" s="103"/>
      <c r="J553" s="102"/>
      <c r="K553" s="103"/>
      <c r="L553" s="102"/>
      <c r="M553" s="103"/>
      <c r="N553" s="102"/>
      <c r="O553" s="103"/>
      <c r="P553" s="102"/>
      <c r="Q553" s="103"/>
      <c r="R553" s="102"/>
      <c r="S553" s="103"/>
    </row>
    <row r="554">
      <c r="A554" s="107"/>
      <c r="B554" s="102"/>
      <c r="C554" s="103"/>
      <c r="D554" s="102"/>
      <c r="E554" s="103"/>
      <c r="F554" s="102"/>
      <c r="G554" s="103"/>
      <c r="H554" s="102"/>
      <c r="I554" s="103"/>
      <c r="J554" s="102"/>
      <c r="K554" s="103"/>
      <c r="L554" s="102"/>
      <c r="M554" s="103"/>
      <c r="N554" s="102"/>
      <c r="O554" s="103"/>
      <c r="P554" s="102"/>
      <c r="Q554" s="103"/>
      <c r="R554" s="102"/>
      <c r="S554" s="103"/>
    </row>
    <row r="555">
      <c r="A555" s="107"/>
      <c r="B555" s="102"/>
      <c r="C555" s="103"/>
      <c r="D555" s="102"/>
      <c r="E555" s="103"/>
      <c r="F555" s="102"/>
      <c r="G555" s="103"/>
      <c r="H555" s="102"/>
      <c r="I555" s="103"/>
      <c r="J555" s="102"/>
      <c r="K555" s="103"/>
      <c r="L555" s="102"/>
      <c r="M555" s="103"/>
      <c r="N555" s="102"/>
      <c r="O555" s="103"/>
      <c r="P555" s="102"/>
      <c r="Q555" s="103"/>
      <c r="R555" s="102"/>
      <c r="S555" s="103"/>
    </row>
    <row r="556">
      <c r="A556" s="107"/>
      <c r="B556" s="102"/>
      <c r="C556" s="103"/>
      <c r="D556" s="102"/>
      <c r="E556" s="103"/>
      <c r="F556" s="102"/>
      <c r="G556" s="103"/>
      <c r="H556" s="102"/>
      <c r="I556" s="103"/>
      <c r="J556" s="102"/>
      <c r="K556" s="103"/>
      <c r="L556" s="102"/>
      <c r="M556" s="103"/>
      <c r="N556" s="102"/>
      <c r="O556" s="103"/>
      <c r="P556" s="102"/>
      <c r="Q556" s="103"/>
      <c r="R556" s="102"/>
      <c r="S556" s="103"/>
    </row>
    <row r="557">
      <c r="A557" s="107"/>
      <c r="B557" s="102"/>
      <c r="C557" s="103"/>
      <c r="D557" s="102"/>
      <c r="E557" s="103"/>
      <c r="F557" s="102"/>
      <c r="G557" s="103"/>
      <c r="H557" s="102"/>
      <c r="I557" s="103"/>
      <c r="J557" s="102"/>
      <c r="K557" s="103"/>
      <c r="L557" s="102"/>
      <c r="M557" s="103"/>
      <c r="N557" s="102"/>
      <c r="O557" s="103"/>
      <c r="P557" s="102"/>
      <c r="Q557" s="103"/>
      <c r="R557" s="102"/>
      <c r="S557" s="103"/>
    </row>
    <row r="558">
      <c r="A558" s="107"/>
      <c r="B558" s="102"/>
      <c r="C558" s="103"/>
      <c r="D558" s="102"/>
      <c r="E558" s="103"/>
      <c r="F558" s="102"/>
      <c r="G558" s="103"/>
      <c r="H558" s="102"/>
      <c r="I558" s="103"/>
      <c r="J558" s="102"/>
      <c r="K558" s="103"/>
      <c r="L558" s="102"/>
      <c r="M558" s="103"/>
      <c r="N558" s="102"/>
      <c r="O558" s="103"/>
      <c r="P558" s="102"/>
      <c r="Q558" s="103"/>
      <c r="R558" s="102"/>
      <c r="S558" s="103"/>
    </row>
    <row r="559">
      <c r="A559" s="107"/>
      <c r="B559" s="102"/>
      <c r="C559" s="103"/>
      <c r="D559" s="102"/>
      <c r="E559" s="103"/>
      <c r="F559" s="102"/>
      <c r="G559" s="103"/>
      <c r="H559" s="102"/>
      <c r="I559" s="103"/>
      <c r="J559" s="102"/>
      <c r="K559" s="103"/>
      <c r="L559" s="102"/>
      <c r="M559" s="103"/>
      <c r="N559" s="102"/>
      <c r="O559" s="103"/>
      <c r="P559" s="102"/>
      <c r="Q559" s="103"/>
      <c r="R559" s="102"/>
      <c r="S559" s="103"/>
    </row>
    <row r="560">
      <c r="A560" s="107"/>
      <c r="B560" s="102"/>
      <c r="C560" s="103"/>
      <c r="D560" s="102"/>
      <c r="E560" s="103"/>
      <c r="F560" s="102"/>
      <c r="G560" s="103"/>
      <c r="H560" s="102"/>
      <c r="I560" s="103"/>
      <c r="J560" s="102"/>
      <c r="K560" s="103"/>
      <c r="L560" s="102"/>
      <c r="M560" s="103"/>
      <c r="N560" s="102"/>
      <c r="O560" s="103"/>
      <c r="P560" s="102"/>
      <c r="Q560" s="103"/>
      <c r="R560" s="102"/>
      <c r="S560" s="103"/>
    </row>
    <row r="561">
      <c r="A561" s="107"/>
      <c r="B561" s="102"/>
      <c r="C561" s="103"/>
      <c r="D561" s="102"/>
      <c r="E561" s="103"/>
      <c r="F561" s="102"/>
      <c r="G561" s="103"/>
      <c r="H561" s="102"/>
      <c r="I561" s="103"/>
      <c r="J561" s="102"/>
      <c r="K561" s="103"/>
      <c r="L561" s="102"/>
      <c r="M561" s="103"/>
      <c r="N561" s="102"/>
      <c r="O561" s="103"/>
      <c r="P561" s="102"/>
      <c r="Q561" s="103"/>
      <c r="R561" s="102"/>
      <c r="S561" s="103"/>
    </row>
    <row r="562">
      <c r="A562" s="107"/>
      <c r="B562" s="102"/>
      <c r="C562" s="103"/>
      <c r="D562" s="102"/>
      <c r="E562" s="103"/>
      <c r="F562" s="102"/>
      <c r="G562" s="103"/>
      <c r="H562" s="102"/>
      <c r="I562" s="103"/>
      <c r="J562" s="102"/>
      <c r="K562" s="103"/>
      <c r="L562" s="102"/>
      <c r="M562" s="103"/>
      <c r="N562" s="102"/>
      <c r="O562" s="103"/>
      <c r="P562" s="102"/>
      <c r="Q562" s="103"/>
      <c r="R562" s="102"/>
      <c r="S562" s="103"/>
    </row>
    <row r="563">
      <c r="A563" s="107"/>
      <c r="B563" s="102"/>
      <c r="C563" s="103"/>
      <c r="D563" s="102"/>
      <c r="E563" s="103"/>
      <c r="F563" s="102"/>
      <c r="G563" s="103"/>
      <c r="H563" s="102"/>
      <c r="I563" s="103"/>
      <c r="J563" s="102"/>
      <c r="K563" s="103"/>
      <c r="L563" s="102"/>
      <c r="M563" s="103"/>
      <c r="N563" s="102"/>
      <c r="O563" s="103"/>
      <c r="P563" s="102"/>
      <c r="Q563" s="103"/>
      <c r="R563" s="102"/>
      <c r="S563" s="103"/>
    </row>
    <row r="564">
      <c r="A564" s="107"/>
      <c r="B564" s="102"/>
      <c r="C564" s="103"/>
      <c r="D564" s="102"/>
      <c r="E564" s="103"/>
      <c r="F564" s="102"/>
      <c r="G564" s="103"/>
      <c r="H564" s="102"/>
      <c r="I564" s="103"/>
      <c r="J564" s="102"/>
      <c r="K564" s="103"/>
      <c r="L564" s="102"/>
      <c r="M564" s="103"/>
      <c r="N564" s="102"/>
      <c r="O564" s="103"/>
      <c r="P564" s="102"/>
      <c r="Q564" s="103"/>
      <c r="R564" s="102"/>
      <c r="S564" s="103"/>
    </row>
    <row r="565">
      <c r="A565" s="107"/>
      <c r="B565" s="102"/>
      <c r="C565" s="103"/>
      <c r="D565" s="102"/>
      <c r="E565" s="103"/>
      <c r="F565" s="102"/>
      <c r="G565" s="103"/>
      <c r="H565" s="102"/>
      <c r="I565" s="103"/>
      <c r="J565" s="102"/>
      <c r="K565" s="103"/>
      <c r="L565" s="102"/>
      <c r="M565" s="103"/>
      <c r="N565" s="102"/>
      <c r="O565" s="103"/>
      <c r="P565" s="102"/>
      <c r="Q565" s="103"/>
      <c r="R565" s="102"/>
      <c r="S565" s="103"/>
    </row>
    <row r="566">
      <c r="A566" s="107"/>
      <c r="B566" s="102"/>
      <c r="C566" s="103"/>
      <c r="D566" s="102"/>
      <c r="E566" s="103"/>
      <c r="F566" s="102"/>
      <c r="G566" s="103"/>
      <c r="H566" s="102"/>
      <c r="I566" s="103"/>
      <c r="J566" s="102"/>
      <c r="K566" s="103"/>
      <c r="L566" s="102"/>
      <c r="M566" s="103"/>
      <c r="N566" s="102"/>
      <c r="O566" s="103"/>
      <c r="P566" s="102"/>
      <c r="Q566" s="103"/>
      <c r="R566" s="102"/>
      <c r="S566" s="103"/>
    </row>
    <row r="567">
      <c r="A567" s="107"/>
      <c r="B567" s="102"/>
      <c r="C567" s="103"/>
      <c r="D567" s="102"/>
      <c r="E567" s="103"/>
      <c r="F567" s="102"/>
      <c r="G567" s="103"/>
      <c r="H567" s="102"/>
      <c r="I567" s="103"/>
      <c r="J567" s="102"/>
      <c r="K567" s="103"/>
      <c r="L567" s="102"/>
      <c r="M567" s="103"/>
      <c r="N567" s="102"/>
      <c r="O567" s="103"/>
      <c r="P567" s="102"/>
      <c r="Q567" s="103"/>
      <c r="R567" s="102"/>
      <c r="S567" s="103"/>
    </row>
    <row r="568">
      <c r="A568" s="107"/>
      <c r="B568" s="102"/>
      <c r="C568" s="103"/>
      <c r="D568" s="102"/>
      <c r="E568" s="103"/>
      <c r="F568" s="102"/>
      <c r="G568" s="103"/>
      <c r="H568" s="102"/>
      <c r="I568" s="103"/>
      <c r="J568" s="102"/>
      <c r="K568" s="103"/>
      <c r="L568" s="102"/>
      <c r="M568" s="103"/>
      <c r="N568" s="102"/>
      <c r="O568" s="103"/>
      <c r="P568" s="102"/>
      <c r="Q568" s="103"/>
      <c r="R568" s="102"/>
      <c r="S568" s="103"/>
    </row>
    <row r="569">
      <c r="A569" s="107"/>
      <c r="B569" s="102"/>
      <c r="C569" s="103"/>
      <c r="D569" s="102"/>
      <c r="E569" s="103"/>
      <c r="F569" s="102"/>
      <c r="G569" s="103"/>
      <c r="H569" s="102"/>
      <c r="I569" s="103"/>
      <c r="J569" s="102"/>
      <c r="K569" s="103"/>
      <c r="L569" s="102"/>
      <c r="M569" s="103"/>
      <c r="N569" s="102"/>
      <c r="O569" s="103"/>
      <c r="P569" s="102"/>
      <c r="Q569" s="103"/>
      <c r="R569" s="102"/>
      <c r="S569" s="103"/>
    </row>
    <row r="570">
      <c r="A570" s="107"/>
      <c r="B570" s="102"/>
      <c r="C570" s="103"/>
      <c r="D570" s="102"/>
      <c r="E570" s="103"/>
      <c r="F570" s="102"/>
      <c r="G570" s="103"/>
      <c r="H570" s="102"/>
      <c r="I570" s="103"/>
      <c r="J570" s="102"/>
      <c r="K570" s="103"/>
      <c r="L570" s="102"/>
      <c r="M570" s="103"/>
      <c r="N570" s="102"/>
      <c r="O570" s="103"/>
      <c r="P570" s="102"/>
      <c r="Q570" s="103"/>
      <c r="R570" s="102"/>
      <c r="S570" s="103"/>
    </row>
    <row r="571">
      <c r="A571" s="107"/>
      <c r="B571" s="102"/>
      <c r="C571" s="103"/>
      <c r="D571" s="102"/>
      <c r="E571" s="103"/>
      <c r="F571" s="102"/>
      <c r="G571" s="103"/>
      <c r="H571" s="102"/>
      <c r="I571" s="103"/>
      <c r="J571" s="102"/>
      <c r="K571" s="103"/>
      <c r="L571" s="102"/>
      <c r="M571" s="103"/>
      <c r="N571" s="102"/>
      <c r="O571" s="103"/>
      <c r="P571" s="102"/>
      <c r="Q571" s="103"/>
      <c r="R571" s="102"/>
      <c r="S571" s="103"/>
    </row>
    <row r="572">
      <c r="A572" s="107"/>
      <c r="B572" s="102"/>
      <c r="C572" s="103"/>
      <c r="D572" s="102"/>
      <c r="E572" s="103"/>
      <c r="F572" s="102"/>
      <c r="G572" s="103"/>
      <c r="H572" s="102"/>
      <c r="I572" s="103"/>
      <c r="J572" s="102"/>
      <c r="K572" s="103"/>
      <c r="L572" s="102"/>
      <c r="M572" s="103"/>
      <c r="N572" s="102"/>
      <c r="O572" s="103"/>
      <c r="P572" s="102"/>
      <c r="Q572" s="103"/>
      <c r="R572" s="102"/>
      <c r="S572" s="103"/>
    </row>
    <row r="573">
      <c r="A573" s="107"/>
      <c r="B573" s="102"/>
      <c r="C573" s="103"/>
      <c r="D573" s="102"/>
      <c r="E573" s="103"/>
      <c r="F573" s="102"/>
      <c r="G573" s="103"/>
      <c r="H573" s="102"/>
      <c r="I573" s="103"/>
      <c r="J573" s="102"/>
      <c r="K573" s="103"/>
      <c r="L573" s="102"/>
      <c r="M573" s="103"/>
      <c r="N573" s="102"/>
      <c r="O573" s="103"/>
      <c r="P573" s="102"/>
      <c r="Q573" s="103"/>
      <c r="R573" s="102"/>
      <c r="S573" s="103"/>
    </row>
    <row r="574">
      <c r="A574" s="107"/>
      <c r="B574" s="102"/>
      <c r="C574" s="103"/>
      <c r="D574" s="102"/>
      <c r="E574" s="103"/>
      <c r="F574" s="102"/>
      <c r="G574" s="103"/>
      <c r="H574" s="102"/>
      <c r="I574" s="103"/>
      <c r="J574" s="102"/>
      <c r="K574" s="103"/>
      <c r="L574" s="102"/>
      <c r="M574" s="103"/>
      <c r="N574" s="102"/>
      <c r="O574" s="103"/>
      <c r="P574" s="102"/>
      <c r="Q574" s="103"/>
      <c r="R574" s="102"/>
      <c r="S574" s="103"/>
    </row>
    <row r="575">
      <c r="A575" s="107"/>
      <c r="B575" s="102"/>
      <c r="C575" s="103"/>
      <c r="D575" s="102"/>
      <c r="E575" s="103"/>
      <c r="F575" s="102"/>
      <c r="G575" s="103"/>
      <c r="H575" s="102"/>
      <c r="I575" s="103"/>
      <c r="J575" s="102"/>
      <c r="K575" s="103"/>
      <c r="L575" s="102"/>
      <c r="M575" s="103"/>
      <c r="N575" s="102"/>
      <c r="O575" s="103"/>
      <c r="P575" s="102"/>
      <c r="Q575" s="103"/>
      <c r="R575" s="102"/>
      <c r="S575" s="103"/>
    </row>
    <row r="576">
      <c r="A576" s="107"/>
      <c r="B576" s="102"/>
      <c r="C576" s="103"/>
      <c r="D576" s="102"/>
      <c r="E576" s="103"/>
      <c r="F576" s="102"/>
      <c r="G576" s="103"/>
      <c r="H576" s="102"/>
      <c r="I576" s="103"/>
      <c r="J576" s="102"/>
      <c r="K576" s="103"/>
      <c r="L576" s="102"/>
      <c r="M576" s="103"/>
      <c r="N576" s="102"/>
      <c r="O576" s="103"/>
      <c r="P576" s="102"/>
      <c r="Q576" s="103"/>
      <c r="R576" s="102"/>
      <c r="S576" s="103"/>
    </row>
    <row r="577">
      <c r="A577" s="107"/>
      <c r="B577" s="102"/>
      <c r="C577" s="103"/>
      <c r="D577" s="102"/>
      <c r="E577" s="103"/>
      <c r="F577" s="102"/>
      <c r="G577" s="103"/>
      <c r="H577" s="102"/>
      <c r="I577" s="103"/>
      <c r="J577" s="102"/>
      <c r="K577" s="103"/>
      <c r="L577" s="102"/>
      <c r="M577" s="103"/>
      <c r="N577" s="102"/>
      <c r="O577" s="103"/>
      <c r="P577" s="102"/>
      <c r="Q577" s="103"/>
      <c r="R577" s="102"/>
      <c r="S577" s="103"/>
    </row>
    <row r="578">
      <c r="A578" s="107"/>
      <c r="B578" s="102"/>
      <c r="C578" s="103"/>
      <c r="D578" s="102"/>
      <c r="E578" s="103"/>
      <c r="F578" s="102"/>
      <c r="G578" s="103"/>
      <c r="H578" s="102"/>
      <c r="I578" s="103"/>
      <c r="J578" s="102"/>
      <c r="K578" s="103"/>
      <c r="L578" s="102"/>
      <c r="M578" s="103"/>
      <c r="N578" s="102"/>
      <c r="O578" s="103"/>
      <c r="P578" s="102"/>
      <c r="Q578" s="103"/>
      <c r="R578" s="102"/>
      <c r="S578" s="103"/>
    </row>
    <row r="579">
      <c r="A579" s="107"/>
      <c r="B579" s="102"/>
      <c r="C579" s="103"/>
      <c r="D579" s="102"/>
      <c r="E579" s="103"/>
      <c r="F579" s="102"/>
      <c r="G579" s="103"/>
      <c r="H579" s="102"/>
      <c r="I579" s="103"/>
      <c r="J579" s="102"/>
      <c r="K579" s="103"/>
      <c r="L579" s="102"/>
      <c r="M579" s="103"/>
      <c r="N579" s="102"/>
      <c r="O579" s="103"/>
      <c r="P579" s="102"/>
      <c r="Q579" s="103"/>
      <c r="R579" s="102"/>
      <c r="S579" s="103"/>
    </row>
    <row r="580">
      <c r="A580" s="107"/>
      <c r="B580" s="102"/>
      <c r="C580" s="103"/>
      <c r="D580" s="102"/>
      <c r="E580" s="103"/>
      <c r="F580" s="102"/>
      <c r="G580" s="103"/>
      <c r="H580" s="102"/>
      <c r="I580" s="103"/>
      <c r="J580" s="102"/>
      <c r="K580" s="103"/>
      <c r="L580" s="102"/>
      <c r="M580" s="103"/>
      <c r="N580" s="102"/>
      <c r="O580" s="103"/>
      <c r="P580" s="102"/>
      <c r="Q580" s="103"/>
      <c r="R580" s="102"/>
      <c r="S580" s="103"/>
    </row>
    <row r="581">
      <c r="A581" s="107"/>
      <c r="B581" s="102"/>
      <c r="C581" s="103"/>
      <c r="D581" s="102"/>
      <c r="E581" s="103"/>
      <c r="F581" s="102"/>
      <c r="G581" s="103"/>
      <c r="H581" s="102"/>
      <c r="I581" s="103"/>
      <c r="J581" s="102"/>
      <c r="K581" s="103"/>
      <c r="L581" s="102"/>
      <c r="M581" s="103"/>
      <c r="N581" s="102"/>
      <c r="O581" s="103"/>
      <c r="P581" s="102"/>
      <c r="Q581" s="103"/>
      <c r="R581" s="102"/>
      <c r="S581" s="103"/>
    </row>
    <row r="582">
      <c r="A582" s="107"/>
      <c r="B582" s="102"/>
      <c r="C582" s="103"/>
      <c r="D582" s="102"/>
      <c r="E582" s="103"/>
      <c r="F582" s="102"/>
      <c r="G582" s="103"/>
      <c r="H582" s="102"/>
      <c r="I582" s="103"/>
      <c r="J582" s="102"/>
      <c r="K582" s="103"/>
      <c r="L582" s="102"/>
      <c r="M582" s="103"/>
      <c r="N582" s="102"/>
      <c r="O582" s="103"/>
      <c r="P582" s="102"/>
      <c r="Q582" s="103"/>
      <c r="R582" s="102"/>
      <c r="S582" s="103"/>
    </row>
    <row r="583">
      <c r="A583" s="107"/>
      <c r="B583" s="102"/>
      <c r="C583" s="103"/>
      <c r="D583" s="102"/>
      <c r="E583" s="103"/>
      <c r="F583" s="102"/>
      <c r="G583" s="103"/>
      <c r="H583" s="102"/>
      <c r="I583" s="103"/>
      <c r="J583" s="102"/>
      <c r="K583" s="103"/>
      <c r="L583" s="102"/>
      <c r="M583" s="103"/>
      <c r="N583" s="102"/>
      <c r="O583" s="103"/>
      <c r="P583" s="102"/>
      <c r="Q583" s="103"/>
      <c r="R583" s="102"/>
      <c r="S583" s="103"/>
    </row>
    <row r="584">
      <c r="A584" s="107"/>
      <c r="B584" s="102"/>
      <c r="C584" s="103"/>
      <c r="D584" s="102"/>
      <c r="E584" s="103"/>
      <c r="F584" s="102"/>
      <c r="G584" s="103"/>
      <c r="H584" s="102"/>
      <c r="I584" s="103"/>
      <c r="J584" s="102"/>
      <c r="K584" s="103"/>
      <c r="L584" s="102"/>
      <c r="M584" s="103"/>
      <c r="N584" s="102"/>
      <c r="O584" s="103"/>
      <c r="P584" s="102"/>
      <c r="Q584" s="103"/>
      <c r="R584" s="102"/>
      <c r="S584" s="103"/>
    </row>
    <row r="585">
      <c r="A585" s="107"/>
      <c r="B585" s="102"/>
      <c r="C585" s="103"/>
      <c r="D585" s="102"/>
      <c r="E585" s="103"/>
      <c r="F585" s="102"/>
      <c r="G585" s="103"/>
      <c r="H585" s="102"/>
      <c r="I585" s="103"/>
      <c r="J585" s="102"/>
      <c r="K585" s="103"/>
      <c r="L585" s="102"/>
      <c r="M585" s="103"/>
      <c r="N585" s="102"/>
      <c r="O585" s="103"/>
      <c r="P585" s="102"/>
      <c r="Q585" s="103"/>
      <c r="R585" s="102"/>
      <c r="S585" s="103"/>
    </row>
    <row r="586">
      <c r="A586" s="107"/>
      <c r="B586" s="102"/>
      <c r="C586" s="103"/>
      <c r="D586" s="102"/>
      <c r="E586" s="103"/>
      <c r="F586" s="102"/>
      <c r="G586" s="103"/>
      <c r="H586" s="102"/>
      <c r="I586" s="103"/>
      <c r="J586" s="102"/>
      <c r="K586" s="103"/>
      <c r="L586" s="102"/>
      <c r="M586" s="103"/>
      <c r="N586" s="102"/>
      <c r="O586" s="103"/>
      <c r="P586" s="102"/>
      <c r="Q586" s="103"/>
      <c r="R586" s="102"/>
      <c r="S586" s="103"/>
    </row>
    <row r="587">
      <c r="A587" s="107"/>
      <c r="B587" s="102"/>
      <c r="C587" s="103"/>
      <c r="D587" s="102"/>
      <c r="E587" s="103"/>
      <c r="F587" s="102"/>
      <c r="G587" s="103"/>
      <c r="H587" s="102"/>
      <c r="I587" s="103"/>
      <c r="J587" s="102"/>
      <c r="K587" s="103"/>
      <c r="L587" s="102"/>
      <c r="M587" s="103"/>
      <c r="N587" s="102"/>
      <c r="O587" s="103"/>
      <c r="P587" s="102"/>
      <c r="Q587" s="103"/>
      <c r="R587" s="102"/>
      <c r="S587" s="103"/>
    </row>
    <row r="588">
      <c r="A588" s="107"/>
      <c r="B588" s="102"/>
      <c r="C588" s="103"/>
      <c r="D588" s="102"/>
      <c r="E588" s="103"/>
      <c r="F588" s="102"/>
      <c r="G588" s="103"/>
      <c r="H588" s="102"/>
      <c r="I588" s="103"/>
      <c r="J588" s="102"/>
      <c r="K588" s="103"/>
      <c r="L588" s="102"/>
      <c r="M588" s="103"/>
      <c r="N588" s="102"/>
      <c r="O588" s="103"/>
      <c r="P588" s="102"/>
      <c r="Q588" s="103"/>
      <c r="R588" s="102"/>
      <c r="S588" s="103"/>
    </row>
    <row r="589">
      <c r="A589" s="107"/>
      <c r="B589" s="102"/>
      <c r="C589" s="103"/>
      <c r="D589" s="102"/>
      <c r="E589" s="103"/>
      <c r="F589" s="102"/>
      <c r="G589" s="103"/>
      <c r="H589" s="102"/>
      <c r="I589" s="103"/>
      <c r="J589" s="102"/>
      <c r="K589" s="103"/>
      <c r="L589" s="102"/>
      <c r="M589" s="103"/>
      <c r="N589" s="102"/>
      <c r="O589" s="103"/>
      <c r="P589" s="102"/>
      <c r="Q589" s="103"/>
      <c r="R589" s="102"/>
      <c r="S589" s="103"/>
    </row>
    <row r="590">
      <c r="A590" s="107"/>
      <c r="B590" s="102"/>
      <c r="C590" s="103"/>
      <c r="D590" s="102"/>
      <c r="E590" s="103"/>
      <c r="F590" s="102"/>
      <c r="G590" s="103"/>
      <c r="H590" s="102"/>
      <c r="I590" s="103"/>
      <c r="J590" s="102"/>
      <c r="K590" s="103"/>
      <c r="L590" s="102"/>
      <c r="M590" s="103"/>
      <c r="N590" s="102"/>
      <c r="O590" s="103"/>
      <c r="P590" s="102"/>
      <c r="Q590" s="103"/>
      <c r="R590" s="102"/>
      <c r="S590" s="103"/>
    </row>
    <row r="591">
      <c r="A591" s="107"/>
      <c r="B591" s="102"/>
      <c r="C591" s="103"/>
      <c r="D591" s="102"/>
      <c r="E591" s="103"/>
      <c r="F591" s="102"/>
      <c r="G591" s="103"/>
      <c r="H591" s="102"/>
      <c r="I591" s="103"/>
      <c r="J591" s="102"/>
      <c r="K591" s="103"/>
      <c r="L591" s="102"/>
      <c r="M591" s="103"/>
      <c r="N591" s="102"/>
      <c r="O591" s="103"/>
      <c r="P591" s="102"/>
      <c r="Q591" s="103"/>
      <c r="R591" s="102"/>
      <c r="S591" s="103"/>
    </row>
    <row r="592">
      <c r="A592" s="107"/>
      <c r="B592" s="102"/>
      <c r="C592" s="103"/>
      <c r="D592" s="102"/>
      <c r="E592" s="103"/>
      <c r="F592" s="102"/>
      <c r="G592" s="103"/>
      <c r="H592" s="102"/>
      <c r="I592" s="103"/>
      <c r="J592" s="102"/>
      <c r="K592" s="103"/>
      <c r="L592" s="102"/>
      <c r="M592" s="103"/>
      <c r="N592" s="102"/>
      <c r="O592" s="103"/>
      <c r="P592" s="102"/>
      <c r="Q592" s="103"/>
      <c r="R592" s="102"/>
      <c r="S592" s="103"/>
    </row>
    <row r="593">
      <c r="A593" s="107"/>
      <c r="B593" s="102"/>
      <c r="C593" s="103"/>
      <c r="D593" s="102"/>
      <c r="E593" s="103"/>
      <c r="F593" s="102"/>
      <c r="G593" s="103"/>
      <c r="H593" s="102"/>
      <c r="I593" s="103"/>
      <c r="J593" s="102"/>
      <c r="K593" s="103"/>
      <c r="L593" s="102"/>
      <c r="M593" s="103"/>
      <c r="N593" s="102"/>
      <c r="O593" s="103"/>
      <c r="P593" s="102"/>
      <c r="Q593" s="103"/>
      <c r="R593" s="102"/>
      <c r="S593" s="103"/>
    </row>
    <row r="594">
      <c r="A594" s="107"/>
      <c r="B594" s="102"/>
      <c r="C594" s="103"/>
      <c r="D594" s="102"/>
      <c r="E594" s="103"/>
      <c r="F594" s="102"/>
      <c r="G594" s="103"/>
      <c r="H594" s="102"/>
      <c r="I594" s="103"/>
      <c r="J594" s="102"/>
      <c r="K594" s="103"/>
      <c r="L594" s="102"/>
      <c r="M594" s="103"/>
      <c r="N594" s="102"/>
      <c r="O594" s="103"/>
      <c r="P594" s="102"/>
      <c r="Q594" s="103"/>
      <c r="R594" s="102"/>
      <c r="S594" s="103"/>
    </row>
    <row r="595">
      <c r="A595" s="107"/>
      <c r="B595" s="102"/>
      <c r="C595" s="103"/>
      <c r="D595" s="102"/>
      <c r="E595" s="103"/>
      <c r="F595" s="102"/>
      <c r="G595" s="103"/>
      <c r="H595" s="102"/>
      <c r="I595" s="103"/>
      <c r="J595" s="102"/>
      <c r="K595" s="103"/>
      <c r="L595" s="102"/>
      <c r="M595" s="103"/>
      <c r="N595" s="102"/>
      <c r="O595" s="103"/>
      <c r="P595" s="102"/>
      <c r="Q595" s="103"/>
      <c r="R595" s="102"/>
      <c r="S595" s="103"/>
    </row>
    <row r="596">
      <c r="A596" s="107"/>
      <c r="B596" s="102"/>
      <c r="C596" s="103"/>
      <c r="D596" s="102"/>
      <c r="E596" s="103"/>
      <c r="F596" s="102"/>
      <c r="G596" s="103"/>
      <c r="H596" s="102"/>
      <c r="I596" s="103"/>
      <c r="J596" s="102"/>
      <c r="K596" s="103"/>
      <c r="L596" s="102"/>
      <c r="M596" s="103"/>
      <c r="N596" s="102"/>
      <c r="O596" s="103"/>
      <c r="P596" s="102"/>
      <c r="Q596" s="103"/>
      <c r="R596" s="102"/>
      <c r="S596" s="103"/>
    </row>
    <row r="597">
      <c r="A597" s="107"/>
      <c r="B597" s="102"/>
      <c r="C597" s="103"/>
      <c r="D597" s="102"/>
      <c r="E597" s="103"/>
      <c r="F597" s="102"/>
      <c r="G597" s="103"/>
      <c r="H597" s="102"/>
      <c r="I597" s="103"/>
      <c r="J597" s="102"/>
      <c r="K597" s="103"/>
      <c r="L597" s="102"/>
      <c r="M597" s="103"/>
      <c r="N597" s="102"/>
      <c r="O597" s="103"/>
      <c r="P597" s="102"/>
      <c r="Q597" s="103"/>
      <c r="R597" s="102"/>
      <c r="S597" s="103"/>
    </row>
    <row r="598">
      <c r="A598" s="107"/>
      <c r="B598" s="102"/>
      <c r="C598" s="103"/>
      <c r="D598" s="102"/>
      <c r="E598" s="103"/>
      <c r="F598" s="102"/>
      <c r="G598" s="103"/>
      <c r="H598" s="102"/>
      <c r="I598" s="103"/>
      <c r="J598" s="102"/>
      <c r="K598" s="103"/>
      <c r="L598" s="102"/>
      <c r="M598" s="103"/>
      <c r="N598" s="102"/>
      <c r="O598" s="103"/>
      <c r="P598" s="102"/>
      <c r="Q598" s="103"/>
      <c r="R598" s="102"/>
      <c r="S598" s="103"/>
    </row>
    <row r="599">
      <c r="A599" s="107"/>
      <c r="B599" s="102"/>
      <c r="C599" s="103"/>
      <c r="D599" s="102"/>
      <c r="E599" s="103"/>
      <c r="F599" s="102"/>
      <c r="G599" s="103"/>
      <c r="H599" s="102"/>
      <c r="I599" s="103"/>
      <c r="J599" s="102"/>
      <c r="K599" s="103"/>
      <c r="L599" s="102"/>
      <c r="M599" s="103"/>
      <c r="N599" s="102"/>
      <c r="O599" s="103"/>
      <c r="P599" s="102"/>
      <c r="Q599" s="103"/>
      <c r="R599" s="102"/>
      <c r="S599" s="103"/>
    </row>
    <row r="600">
      <c r="A600" s="107"/>
      <c r="B600" s="102"/>
      <c r="C600" s="103"/>
      <c r="D600" s="102"/>
      <c r="E600" s="103"/>
      <c r="F600" s="102"/>
      <c r="G600" s="103"/>
      <c r="H600" s="102"/>
      <c r="I600" s="103"/>
      <c r="J600" s="102"/>
      <c r="K600" s="103"/>
      <c r="L600" s="102"/>
      <c r="M600" s="103"/>
      <c r="N600" s="102"/>
      <c r="O600" s="103"/>
      <c r="P600" s="102"/>
      <c r="Q600" s="103"/>
      <c r="R600" s="102"/>
      <c r="S600" s="103"/>
    </row>
    <row r="601">
      <c r="A601" s="107"/>
      <c r="B601" s="102"/>
      <c r="C601" s="103"/>
      <c r="D601" s="102"/>
      <c r="E601" s="103"/>
      <c r="F601" s="102"/>
      <c r="G601" s="103"/>
      <c r="H601" s="102"/>
      <c r="I601" s="103"/>
      <c r="J601" s="102"/>
      <c r="K601" s="103"/>
      <c r="L601" s="102"/>
      <c r="M601" s="103"/>
      <c r="N601" s="102"/>
      <c r="O601" s="103"/>
      <c r="P601" s="102"/>
      <c r="Q601" s="103"/>
      <c r="R601" s="102"/>
      <c r="S601" s="103"/>
    </row>
    <row r="602">
      <c r="A602" s="107"/>
      <c r="B602" s="102"/>
      <c r="C602" s="103"/>
      <c r="D602" s="102"/>
      <c r="E602" s="103"/>
      <c r="F602" s="102"/>
      <c r="G602" s="103"/>
      <c r="H602" s="102"/>
      <c r="I602" s="103"/>
      <c r="J602" s="102"/>
      <c r="K602" s="103"/>
      <c r="L602" s="102"/>
      <c r="M602" s="103"/>
      <c r="N602" s="102"/>
      <c r="O602" s="103"/>
      <c r="P602" s="102"/>
      <c r="Q602" s="103"/>
      <c r="R602" s="102"/>
      <c r="S602" s="103"/>
    </row>
    <row r="603">
      <c r="A603" s="107"/>
      <c r="B603" s="102"/>
      <c r="C603" s="103"/>
      <c r="D603" s="102"/>
      <c r="E603" s="103"/>
      <c r="F603" s="102"/>
      <c r="G603" s="103"/>
      <c r="H603" s="102"/>
      <c r="I603" s="103"/>
      <c r="J603" s="102"/>
      <c r="K603" s="103"/>
      <c r="L603" s="102"/>
      <c r="M603" s="103"/>
      <c r="N603" s="102"/>
      <c r="O603" s="103"/>
      <c r="P603" s="102"/>
      <c r="Q603" s="103"/>
      <c r="R603" s="102"/>
      <c r="S603" s="103"/>
    </row>
    <row r="604">
      <c r="A604" s="107"/>
      <c r="B604" s="102"/>
      <c r="C604" s="103"/>
      <c r="D604" s="102"/>
      <c r="E604" s="103"/>
      <c r="F604" s="102"/>
      <c r="G604" s="103"/>
      <c r="H604" s="102"/>
      <c r="I604" s="103"/>
      <c r="J604" s="102"/>
      <c r="K604" s="103"/>
      <c r="L604" s="102"/>
      <c r="M604" s="103"/>
      <c r="N604" s="102"/>
      <c r="O604" s="103"/>
      <c r="P604" s="102"/>
      <c r="Q604" s="103"/>
      <c r="R604" s="102"/>
      <c r="S604" s="103"/>
    </row>
    <row r="605">
      <c r="A605" s="107"/>
      <c r="B605" s="102"/>
      <c r="C605" s="103"/>
      <c r="D605" s="102"/>
      <c r="E605" s="103"/>
      <c r="F605" s="102"/>
      <c r="G605" s="103"/>
      <c r="H605" s="102"/>
      <c r="I605" s="103"/>
      <c r="J605" s="102"/>
      <c r="K605" s="103"/>
      <c r="L605" s="102"/>
      <c r="M605" s="103"/>
      <c r="N605" s="102"/>
      <c r="O605" s="103"/>
      <c r="P605" s="102"/>
      <c r="Q605" s="103"/>
      <c r="R605" s="102"/>
      <c r="S605" s="103"/>
    </row>
    <row r="606">
      <c r="A606" s="107"/>
      <c r="B606" s="102"/>
      <c r="C606" s="103"/>
      <c r="D606" s="102"/>
      <c r="E606" s="103"/>
      <c r="F606" s="102"/>
      <c r="G606" s="103"/>
      <c r="H606" s="102"/>
      <c r="I606" s="103"/>
      <c r="J606" s="102"/>
      <c r="K606" s="103"/>
      <c r="L606" s="102"/>
      <c r="M606" s="103"/>
      <c r="N606" s="102"/>
      <c r="O606" s="103"/>
      <c r="P606" s="102"/>
      <c r="Q606" s="103"/>
      <c r="R606" s="102"/>
      <c r="S606" s="103"/>
    </row>
    <row r="607">
      <c r="A607" s="107"/>
      <c r="B607" s="102"/>
      <c r="C607" s="103"/>
      <c r="D607" s="102"/>
      <c r="E607" s="103"/>
      <c r="F607" s="102"/>
      <c r="G607" s="103"/>
      <c r="H607" s="102"/>
      <c r="I607" s="103"/>
      <c r="J607" s="102"/>
      <c r="K607" s="103"/>
      <c r="L607" s="102"/>
      <c r="M607" s="103"/>
      <c r="N607" s="102"/>
      <c r="O607" s="103"/>
      <c r="P607" s="102"/>
      <c r="Q607" s="103"/>
      <c r="R607" s="102"/>
      <c r="S607" s="103"/>
    </row>
    <row r="608">
      <c r="A608" s="107"/>
      <c r="B608" s="102"/>
      <c r="C608" s="103"/>
      <c r="D608" s="102"/>
      <c r="E608" s="103"/>
      <c r="F608" s="102"/>
      <c r="G608" s="103"/>
      <c r="H608" s="102"/>
      <c r="I608" s="103"/>
      <c r="J608" s="102"/>
      <c r="K608" s="103"/>
      <c r="L608" s="102"/>
      <c r="M608" s="103"/>
      <c r="N608" s="102"/>
      <c r="O608" s="103"/>
      <c r="P608" s="102"/>
      <c r="Q608" s="103"/>
      <c r="R608" s="102"/>
      <c r="S608" s="103"/>
    </row>
    <row r="609">
      <c r="A609" s="107"/>
      <c r="B609" s="102"/>
      <c r="C609" s="103"/>
      <c r="D609" s="102"/>
      <c r="E609" s="103"/>
      <c r="F609" s="102"/>
      <c r="G609" s="103"/>
      <c r="H609" s="102"/>
      <c r="I609" s="103"/>
      <c r="J609" s="102"/>
      <c r="K609" s="103"/>
      <c r="L609" s="102"/>
      <c r="M609" s="103"/>
      <c r="N609" s="102"/>
      <c r="O609" s="103"/>
      <c r="P609" s="102"/>
      <c r="Q609" s="103"/>
      <c r="R609" s="102"/>
      <c r="S609" s="103"/>
    </row>
    <row r="610">
      <c r="A610" s="107"/>
      <c r="B610" s="102"/>
      <c r="C610" s="103"/>
      <c r="D610" s="102"/>
      <c r="E610" s="103"/>
      <c r="F610" s="102"/>
      <c r="G610" s="103"/>
      <c r="H610" s="102"/>
      <c r="I610" s="103"/>
      <c r="J610" s="102"/>
      <c r="K610" s="103"/>
      <c r="L610" s="102"/>
      <c r="M610" s="103"/>
      <c r="N610" s="102"/>
      <c r="O610" s="103"/>
      <c r="P610" s="102"/>
      <c r="Q610" s="103"/>
      <c r="R610" s="102"/>
      <c r="S610" s="103"/>
    </row>
    <row r="611">
      <c r="A611" s="107"/>
      <c r="B611" s="102"/>
      <c r="C611" s="103"/>
      <c r="D611" s="102"/>
      <c r="E611" s="103"/>
      <c r="F611" s="102"/>
      <c r="G611" s="103"/>
      <c r="H611" s="102"/>
      <c r="I611" s="103"/>
      <c r="J611" s="102"/>
      <c r="K611" s="103"/>
      <c r="L611" s="102"/>
      <c r="M611" s="103"/>
      <c r="N611" s="102"/>
      <c r="O611" s="103"/>
      <c r="P611" s="102"/>
      <c r="Q611" s="103"/>
      <c r="R611" s="102"/>
      <c r="S611" s="103"/>
    </row>
    <row r="612">
      <c r="A612" s="107"/>
      <c r="B612" s="102"/>
      <c r="C612" s="103"/>
      <c r="D612" s="102"/>
      <c r="E612" s="103"/>
      <c r="F612" s="102"/>
      <c r="G612" s="103"/>
      <c r="H612" s="102"/>
      <c r="I612" s="103"/>
      <c r="J612" s="102"/>
      <c r="K612" s="103"/>
      <c r="L612" s="102"/>
      <c r="M612" s="103"/>
      <c r="N612" s="102"/>
      <c r="O612" s="103"/>
      <c r="P612" s="102"/>
      <c r="Q612" s="103"/>
      <c r="R612" s="102"/>
      <c r="S612" s="103"/>
    </row>
    <row r="613">
      <c r="A613" s="107"/>
      <c r="B613" s="102"/>
      <c r="C613" s="103"/>
      <c r="D613" s="102"/>
      <c r="E613" s="103"/>
      <c r="F613" s="102"/>
      <c r="G613" s="103"/>
      <c r="H613" s="102"/>
      <c r="I613" s="103"/>
      <c r="J613" s="102"/>
      <c r="K613" s="103"/>
      <c r="L613" s="102"/>
      <c r="M613" s="103"/>
      <c r="N613" s="102"/>
      <c r="O613" s="103"/>
      <c r="P613" s="102"/>
      <c r="Q613" s="103"/>
      <c r="R613" s="102"/>
      <c r="S613" s="103"/>
    </row>
    <row r="614">
      <c r="A614" s="107"/>
      <c r="B614" s="102"/>
      <c r="C614" s="103"/>
      <c r="D614" s="102"/>
      <c r="E614" s="103"/>
      <c r="F614" s="102"/>
      <c r="G614" s="103"/>
      <c r="H614" s="102"/>
      <c r="I614" s="103"/>
      <c r="J614" s="102"/>
      <c r="K614" s="103"/>
      <c r="L614" s="102"/>
      <c r="M614" s="103"/>
      <c r="N614" s="102"/>
      <c r="O614" s="103"/>
      <c r="P614" s="102"/>
      <c r="Q614" s="103"/>
      <c r="R614" s="102"/>
      <c r="S614" s="103"/>
    </row>
    <row r="615">
      <c r="A615" s="107"/>
      <c r="B615" s="102"/>
      <c r="C615" s="103"/>
      <c r="D615" s="102"/>
      <c r="E615" s="103"/>
      <c r="F615" s="102"/>
      <c r="G615" s="103"/>
      <c r="H615" s="102"/>
      <c r="I615" s="103"/>
      <c r="J615" s="102"/>
      <c r="K615" s="103"/>
      <c r="L615" s="102"/>
      <c r="M615" s="103"/>
      <c r="N615" s="102"/>
      <c r="O615" s="103"/>
      <c r="P615" s="102"/>
      <c r="Q615" s="103"/>
      <c r="R615" s="102"/>
      <c r="S615" s="103"/>
    </row>
    <row r="616">
      <c r="A616" s="107"/>
      <c r="B616" s="102"/>
      <c r="C616" s="103"/>
      <c r="D616" s="102"/>
      <c r="E616" s="103"/>
      <c r="F616" s="102"/>
      <c r="G616" s="103"/>
      <c r="H616" s="102"/>
      <c r="I616" s="103"/>
      <c r="J616" s="102"/>
      <c r="K616" s="103"/>
      <c r="L616" s="102"/>
      <c r="M616" s="103"/>
      <c r="N616" s="102"/>
      <c r="O616" s="103"/>
      <c r="P616" s="102"/>
      <c r="Q616" s="103"/>
      <c r="R616" s="102"/>
      <c r="S616" s="103"/>
    </row>
    <row r="617">
      <c r="A617" s="107"/>
      <c r="B617" s="102"/>
      <c r="C617" s="103"/>
      <c r="D617" s="102"/>
      <c r="E617" s="103"/>
      <c r="F617" s="102"/>
      <c r="G617" s="103"/>
      <c r="H617" s="102"/>
      <c r="I617" s="103"/>
      <c r="J617" s="102"/>
      <c r="K617" s="103"/>
      <c r="L617" s="102"/>
      <c r="M617" s="103"/>
      <c r="N617" s="102"/>
      <c r="O617" s="103"/>
      <c r="P617" s="102"/>
      <c r="Q617" s="103"/>
      <c r="R617" s="102"/>
      <c r="S617" s="103"/>
    </row>
    <row r="618">
      <c r="A618" s="107"/>
      <c r="B618" s="102"/>
      <c r="C618" s="103"/>
      <c r="D618" s="102"/>
      <c r="E618" s="103"/>
      <c r="F618" s="102"/>
      <c r="G618" s="103"/>
      <c r="H618" s="102"/>
      <c r="I618" s="103"/>
      <c r="J618" s="102"/>
      <c r="K618" s="103"/>
      <c r="L618" s="102"/>
      <c r="M618" s="103"/>
      <c r="N618" s="102"/>
      <c r="O618" s="103"/>
      <c r="P618" s="102"/>
      <c r="Q618" s="103"/>
      <c r="R618" s="102"/>
      <c r="S618" s="103"/>
    </row>
    <row r="619">
      <c r="A619" s="107"/>
      <c r="B619" s="102"/>
      <c r="C619" s="103"/>
      <c r="D619" s="102"/>
      <c r="E619" s="103"/>
      <c r="F619" s="102"/>
      <c r="G619" s="103"/>
      <c r="H619" s="102"/>
      <c r="I619" s="103"/>
      <c r="J619" s="102"/>
      <c r="K619" s="103"/>
      <c r="L619" s="102"/>
      <c r="M619" s="103"/>
      <c r="N619" s="102"/>
      <c r="O619" s="103"/>
      <c r="P619" s="102"/>
      <c r="Q619" s="103"/>
      <c r="R619" s="102"/>
      <c r="S619" s="103"/>
    </row>
    <row r="620">
      <c r="A620" s="107"/>
      <c r="B620" s="102"/>
      <c r="C620" s="103"/>
      <c r="D620" s="102"/>
      <c r="E620" s="103"/>
      <c r="F620" s="102"/>
      <c r="G620" s="103"/>
      <c r="H620" s="102"/>
      <c r="I620" s="103"/>
      <c r="J620" s="102"/>
      <c r="K620" s="103"/>
      <c r="L620" s="102"/>
      <c r="M620" s="103"/>
      <c r="N620" s="102"/>
      <c r="O620" s="103"/>
      <c r="P620" s="102"/>
      <c r="Q620" s="103"/>
      <c r="R620" s="102"/>
      <c r="S620" s="103"/>
    </row>
    <row r="621">
      <c r="A621" s="107"/>
      <c r="B621" s="102"/>
      <c r="C621" s="103"/>
      <c r="D621" s="102"/>
      <c r="E621" s="103"/>
      <c r="F621" s="102"/>
      <c r="G621" s="103"/>
      <c r="H621" s="102"/>
      <c r="I621" s="103"/>
      <c r="J621" s="102"/>
      <c r="K621" s="103"/>
      <c r="L621" s="102"/>
      <c r="M621" s="103"/>
      <c r="N621" s="102"/>
      <c r="O621" s="103"/>
      <c r="P621" s="102"/>
      <c r="Q621" s="103"/>
      <c r="R621" s="102"/>
      <c r="S621" s="103"/>
    </row>
    <row r="622">
      <c r="A622" s="107"/>
      <c r="B622" s="102"/>
      <c r="C622" s="103"/>
      <c r="D622" s="102"/>
      <c r="E622" s="103"/>
      <c r="F622" s="102"/>
      <c r="G622" s="103"/>
      <c r="H622" s="102"/>
      <c r="I622" s="103"/>
      <c r="J622" s="102"/>
      <c r="K622" s="103"/>
      <c r="L622" s="102"/>
      <c r="M622" s="103"/>
      <c r="N622" s="102"/>
      <c r="O622" s="103"/>
      <c r="P622" s="102"/>
      <c r="Q622" s="103"/>
      <c r="R622" s="102"/>
      <c r="S622" s="103"/>
    </row>
    <row r="623">
      <c r="A623" s="107"/>
      <c r="B623" s="102"/>
      <c r="C623" s="103"/>
      <c r="D623" s="102"/>
      <c r="E623" s="103"/>
      <c r="F623" s="102"/>
      <c r="G623" s="103"/>
      <c r="H623" s="102"/>
      <c r="I623" s="103"/>
      <c r="J623" s="102"/>
      <c r="K623" s="103"/>
      <c r="L623" s="102"/>
      <c r="M623" s="103"/>
      <c r="N623" s="102"/>
      <c r="O623" s="103"/>
      <c r="P623" s="102"/>
      <c r="Q623" s="103"/>
      <c r="R623" s="102"/>
      <c r="S623" s="103"/>
    </row>
    <row r="624">
      <c r="A624" s="107"/>
      <c r="B624" s="102"/>
      <c r="C624" s="103"/>
      <c r="D624" s="102"/>
      <c r="E624" s="103"/>
      <c r="F624" s="102"/>
      <c r="G624" s="103"/>
      <c r="H624" s="102"/>
      <c r="I624" s="103"/>
      <c r="J624" s="102"/>
      <c r="K624" s="103"/>
      <c r="L624" s="102"/>
      <c r="M624" s="103"/>
      <c r="N624" s="102"/>
      <c r="O624" s="103"/>
      <c r="P624" s="102"/>
      <c r="Q624" s="103"/>
      <c r="R624" s="102"/>
      <c r="S624" s="103"/>
    </row>
    <row r="625">
      <c r="A625" s="107"/>
      <c r="B625" s="102"/>
      <c r="C625" s="103"/>
      <c r="D625" s="102"/>
      <c r="E625" s="103"/>
      <c r="F625" s="102"/>
      <c r="G625" s="103"/>
      <c r="H625" s="102"/>
      <c r="I625" s="103"/>
      <c r="J625" s="102"/>
      <c r="K625" s="103"/>
      <c r="L625" s="102"/>
      <c r="M625" s="103"/>
      <c r="N625" s="102"/>
      <c r="O625" s="103"/>
      <c r="P625" s="102"/>
      <c r="Q625" s="103"/>
      <c r="R625" s="102"/>
      <c r="S625" s="103"/>
    </row>
    <row r="626">
      <c r="A626" s="107"/>
      <c r="B626" s="102"/>
      <c r="C626" s="103"/>
      <c r="D626" s="102"/>
      <c r="E626" s="103"/>
      <c r="F626" s="102"/>
      <c r="G626" s="103"/>
      <c r="H626" s="102"/>
      <c r="I626" s="103"/>
      <c r="J626" s="102"/>
      <c r="K626" s="103"/>
      <c r="L626" s="102"/>
      <c r="M626" s="103"/>
      <c r="N626" s="102"/>
      <c r="O626" s="103"/>
      <c r="P626" s="102"/>
      <c r="Q626" s="103"/>
      <c r="R626" s="102"/>
      <c r="S626" s="103"/>
    </row>
    <row r="627">
      <c r="A627" s="107"/>
      <c r="B627" s="102"/>
      <c r="C627" s="103"/>
      <c r="D627" s="102"/>
      <c r="E627" s="103"/>
      <c r="F627" s="102"/>
      <c r="G627" s="103"/>
      <c r="H627" s="102"/>
      <c r="I627" s="103"/>
      <c r="J627" s="102"/>
      <c r="K627" s="103"/>
      <c r="L627" s="102"/>
      <c r="M627" s="103"/>
      <c r="N627" s="102"/>
      <c r="O627" s="103"/>
      <c r="P627" s="102"/>
      <c r="Q627" s="103"/>
      <c r="R627" s="102"/>
      <c r="S627" s="103"/>
    </row>
    <row r="628">
      <c r="A628" s="107"/>
      <c r="B628" s="102"/>
      <c r="C628" s="103"/>
      <c r="D628" s="102"/>
      <c r="E628" s="103"/>
      <c r="F628" s="102"/>
      <c r="G628" s="103"/>
      <c r="H628" s="102"/>
      <c r="I628" s="103"/>
      <c r="J628" s="102"/>
      <c r="K628" s="103"/>
      <c r="L628" s="102"/>
      <c r="M628" s="103"/>
      <c r="N628" s="102"/>
      <c r="O628" s="103"/>
      <c r="P628" s="102"/>
      <c r="Q628" s="103"/>
      <c r="R628" s="102"/>
      <c r="S628" s="103"/>
    </row>
    <row r="629">
      <c r="A629" s="107"/>
      <c r="B629" s="102"/>
      <c r="C629" s="103"/>
      <c r="D629" s="102"/>
      <c r="E629" s="103"/>
      <c r="F629" s="102"/>
      <c r="G629" s="103"/>
      <c r="H629" s="102"/>
      <c r="I629" s="103"/>
      <c r="J629" s="102"/>
      <c r="K629" s="103"/>
      <c r="L629" s="102"/>
      <c r="M629" s="103"/>
      <c r="N629" s="102"/>
      <c r="O629" s="103"/>
      <c r="P629" s="102"/>
      <c r="Q629" s="103"/>
      <c r="R629" s="102"/>
      <c r="S629" s="103"/>
    </row>
    <row r="630">
      <c r="A630" s="107"/>
      <c r="B630" s="102"/>
      <c r="C630" s="103"/>
      <c r="D630" s="102"/>
      <c r="E630" s="103"/>
      <c r="F630" s="102"/>
      <c r="G630" s="103"/>
      <c r="H630" s="102"/>
      <c r="I630" s="103"/>
      <c r="J630" s="102"/>
      <c r="K630" s="103"/>
      <c r="L630" s="102"/>
      <c r="M630" s="103"/>
      <c r="N630" s="102"/>
      <c r="O630" s="103"/>
      <c r="P630" s="102"/>
      <c r="Q630" s="103"/>
      <c r="R630" s="102"/>
      <c r="S630" s="103"/>
    </row>
    <row r="631">
      <c r="A631" s="107"/>
      <c r="B631" s="102"/>
      <c r="C631" s="103"/>
      <c r="D631" s="102"/>
      <c r="E631" s="103"/>
      <c r="F631" s="102"/>
      <c r="G631" s="103"/>
      <c r="H631" s="102"/>
      <c r="I631" s="103"/>
      <c r="J631" s="102"/>
      <c r="K631" s="103"/>
      <c r="L631" s="102"/>
      <c r="M631" s="103"/>
      <c r="N631" s="102"/>
      <c r="O631" s="103"/>
      <c r="P631" s="102"/>
      <c r="Q631" s="103"/>
      <c r="R631" s="102"/>
      <c r="S631" s="103"/>
    </row>
    <row r="632">
      <c r="A632" s="107"/>
      <c r="B632" s="102"/>
      <c r="C632" s="103"/>
      <c r="D632" s="102"/>
      <c r="E632" s="103"/>
      <c r="F632" s="102"/>
      <c r="G632" s="103"/>
      <c r="H632" s="102"/>
      <c r="I632" s="103"/>
      <c r="J632" s="102"/>
      <c r="K632" s="103"/>
      <c r="L632" s="102"/>
      <c r="M632" s="103"/>
      <c r="N632" s="102"/>
      <c r="O632" s="103"/>
      <c r="P632" s="102"/>
      <c r="Q632" s="103"/>
      <c r="R632" s="102"/>
      <c r="S632" s="103"/>
    </row>
    <row r="633">
      <c r="A633" s="107"/>
      <c r="B633" s="102"/>
      <c r="C633" s="103"/>
      <c r="D633" s="102"/>
      <c r="E633" s="103"/>
      <c r="F633" s="102"/>
      <c r="G633" s="103"/>
      <c r="H633" s="102"/>
      <c r="I633" s="103"/>
      <c r="J633" s="102"/>
      <c r="K633" s="103"/>
      <c r="L633" s="102"/>
      <c r="M633" s="103"/>
      <c r="N633" s="102"/>
      <c r="O633" s="103"/>
      <c r="P633" s="102"/>
      <c r="Q633" s="103"/>
      <c r="R633" s="102"/>
      <c r="S633" s="103"/>
    </row>
    <row r="634">
      <c r="A634" s="107"/>
      <c r="B634" s="102"/>
      <c r="C634" s="103"/>
      <c r="D634" s="102"/>
      <c r="E634" s="103"/>
      <c r="F634" s="102"/>
      <c r="G634" s="103"/>
      <c r="H634" s="102"/>
      <c r="I634" s="103"/>
      <c r="J634" s="102"/>
      <c r="K634" s="103"/>
      <c r="L634" s="102"/>
      <c r="M634" s="103"/>
      <c r="N634" s="102"/>
      <c r="O634" s="103"/>
      <c r="P634" s="102"/>
      <c r="Q634" s="103"/>
      <c r="R634" s="102"/>
      <c r="S634" s="103"/>
    </row>
    <row r="635">
      <c r="A635" s="107"/>
      <c r="B635" s="102"/>
      <c r="C635" s="103"/>
      <c r="D635" s="102"/>
      <c r="E635" s="103"/>
      <c r="F635" s="102"/>
      <c r="G635" s="103"/>
      <c r="H635" s="102"/>
      <c r="I635" s="103"/>
      <c r="J635" s="102"/>
      <c r="K635" s="103"/>
      <c r="L635" s="102"/>
      <c r="M635" s="103"/>
      <c r="N635" s="102"/>
      <c r="O635" s="103"/>
      <c r="P635" s="102"/>
      <c r="Q635" s="103"/>
      <c r="R635" s="102"/>
      <c r="S635" s="103"/>
    </row>
    <row r="636">
      <c r="A636" s="107"/>
      <c r="B636" s="102"/>
      <c r="C636" s="103"/>
      <c r="D636" s="102"/>
      <c r="E636" s="103"/>
      <c r="F636" s="102"/>
      <c r="G636" s="103"/>
      <c r="H636" s="102"/>
      <c r="I636" s="103"/>
      <c r="J636" s="102"/>
      <c r="K636" s="103"/>
      <c r="L636" s="102"/>
      <c r="M636" s="103"/>
      <c r="N636" s="102"/>
      <c r="O636" s="103"/>
      <c r="P636" s="102"/>
      <c r="Q636" s="103"/>
      <c r="R636" s="102"/>
      <c r="S636" s="103"/>
    </row>
    <row r="637">
      <c r="A637" s="107"/>
      <c r="B637" s="102"/>
      <c r="C637" s="103"/>
      <c r="D637" s="102"/>
      <c r="E637" s="103"/>
      <c r="F637" s="102"/>
      <c r="G637" s="103"/>
      <c r="H637" s="102"/>
      <c r="I637" s="103"/>
      <c r="J637" s="102"/>
      <c r="K637" s="103"/>
      <c r="L637" s="102"/>
      <c r="M637" s="103"/>
      <c r="N637" s="102"/>
      <c r="O637" s="103"/>
      <c r="P637" s="102"/>
      <c r="Q637" s="103"/>
      <c r="R637" s="102"/>
      <c r="S637" s="103"/>
    </row>
    <row r="638">
      <c r="A638" s="107"/>
      <c r="B638" s="102"/>
      <c r="C638" s="103"/>
      <c r="D638" s="102"/>
      <c r="E638" s="103"/>
      <c r="F638" s="102"/>
      <c r="G638" s="103"/>
      <c r="H638" s="102"/>
      <c r="I638" s="103"/>
      <c r="J638" s="102"/>
      <c r="K638" s="103"/>
      <c r="L638" s="102"/>
      <c r="M638" s="103"/>
      <c r="N638" s="102"/>
      <c r="O638" s="103"/>
      <c r="P638" s="102"/>
      <c r="Q638" s="103"/>
      <c r="R638" s="102"/>
      <c r="S638" s="103"/>
    </row>
    <row r="639">
      <c r="A639" s="107"/>
      <c r="B639" s="102"/>
      <c r="C639" s="103"/>
      <c r="D639" s="102"/>
      <c r="E639" s="103"/>
      <c r="F639" s="102"/>
      <c r="G639" s="103"/>
      <c r="H639" s="102"/>
      <c r="I639" s="103"/>
      <c r="J639" s="102"/>
      <c r="K639" s="103"/>
      <c r="L639" s="102"/>
      <c r="M639" s="103"/>
      <c r="N639" s="102"/>
      <c r="O639" s="103"/>
      <c r="P639" s="102"/>
      <c r="Q639" s="103"/>
      <c r="R639" s="102"/>
      <c r="S639" s="103"/>
    </row>
    <row r="640">
      <c r="A640" s="107"/>
      <c r="B640" s="102"/>
      <c r="C640" s="103"/>
      <c r="D640" s="102"/>
      <c r="E640" s="103"/>
      <c r="F640" s="102"/>
      <c r="G640" s="103"/>
      <c r="H640" s="102"/>
      <c r="I640" s="103"/>
      <c r="J640" s="102"/>
      <c r="K640" s="103"/>
      <c r="L640" s="102"/>
      <c r="M640" s="103"/>
      <c r="N640" s="102"/>
      <c r="O640" s="103"/>
      <c r="P640" s="102"/>
      <c r="Q640" s="103"/>
      <c r="R640" s="102"/>
      <c r="S640" s="103"/>
    </row>
    <row r="641">
      <c r="A641" s="107"/>
      <c r="B641" s="102"/>
      <c r="C641" s="103"/>
      <c r="D641" s="102"/>
      <c r="E641" s="103"/>
      <c r="F641" s="102"/>
      <c r="G641" s="103"/>
      <c r="H641" s="102"/>
      <c r="I641" s="103"/>
      <c r="J641" s="102"/>
      <c r="K641" s="103"/>
      <c r="L641" s="102"/>
      <c r="M641" s="103"/>
      <c r="N641" s="102"/>
      <c r="O641" s="103"/>
      <c r="P641" s="102"/>
      <c r="Q641" s="103"/>
      <c r="R641" s="102"/>
      <c r="S641" s="103"/>
    </row>
    <row r="642">
      <c r="A642" s="107"/>
      <c r="B642" s="102"/>
      <c r="C642" s="103"/>
      <c r="D642" s="102"/>
      <c r="E642" s="103"/>
      <c r="F642" s="102"/>
      <c r="G642" s="103"/>
      <c r="H642" s="102"/>
      <c r="I642" s="103"/>
      <c r="J642" s="102"/>
      <c r="K642" s="103"/>
      <c r="L642" s="102"/>
      <c r="M642" s="103"/>
      <c r="N642" s="102"/>
      <c r="O642" s="103"/>
      <c r="P642" s="102"/>
      <c r="Q642" s="103"/>
      <c r="R642" s="102"/>
      <c r="S642" s="103"/>
    </row>
    <row r="643">
      <c r="A643" s="107"/>
      <c r="B643" s="102"/>
      <c r="C643" s="103"/>
      <c r="D643" s="102"/>
      <c r="E643" s="103"/>
      <c r="F643" s="102"/>
      <c r="G643" s="103"/>
      <c r="H643" s="102"/>
      <c r="I643" s="103"/>
      <c r="J643" s="102"/>
      <c r="K643" s="103"/>
      <c r="L643" s="102"/>
      <c r="M643" s="103"/>
      <c r="N643" s="102"/>
      <c r="O643" s="103"/>
      <c r="P643" s="102"/>
      <c r="Q643" s="103"/>
      <c r="R643" s="102"/>
      <c r="S643" s="103"/>
    </row>
    <row r="644">
      <c r="A644" s="107"/>
      <c r="B644" s="102"/>
      <c r="C644" s="103"/>
      <c r="D644" s="102"/>
      <c r="E644" s="103"/>
      <c r="F644" s="102"/>
      <c r="G644" s="103"/>
      <c r="H644" s="102"/>
      <c r="I644" s="103"/>
      <c r="J644" s="102"/>
      <c r="K644" s="103"/>
      <c r="L644" s="102"/>
      <c r="M644" s="103"/>
      <c r="N644" s="102"/>
      <c r="O644" s="103"/>
      <c r="P644" s="102"/>
      <c r="Q644" s="103"/>
      <c r="R644" s="102"/>
      <c r="S644" s="103"/>
    </row>
    <row r="645">
      <c r="A645" s="107"/>
      <c r="B645" s="102"/>
      <c r="C645" s="103"/>
      <c r="D645" s="102"/>
      <c r="E645" s="103"/>
      <c r="F645" s="102"/>
      <c r="G645" s="103"/>
      <c r="H645" s="102"/>
      <c r="I645" s="103"/>
      <c r="J645" s="102"/>
      <c r="K645" s="103"/>
      <c r="L645" s="102"/>
      <c r="M645" s="103"/>
      <c r="N645" s="102"/>
      <c r="O645" s="103"/>
      <c r="P645" s="102"/>
      <c r="Q645" s="103"/>
      <c r="R645" s="102"/>
      <c r="S645" s="103"/>
    </row>
    <row r="646">
      <c r="A646" s="107"/>
      <c r="B646" s="102"/>
      <c r="C646" s="103"/>
      <c r="D646" s="102"/>
      <c r="E646" s="103"/>
      <c r="F646" s="102"/>
      <c r="G646" s="103"/>
      <c r="H646" s="102"/>
      <c r="I646" s="103"/>
      <c r="J646" s="102"/>
      <c r="K646" s="103"/>
      <c r="L646" s="102"/>
      <c r="M646" s="103"/>
      <c r="N646" s="102"/>
      <c r="O646" s="103"/>
      <c r="P646" s="102"/>
      <c r="Q646" s="103"/>
      <c r="R646" s="102"/>
      <c r="S646" s="103"/>
    </row>
    <row r="647">
      <c r="A647" s="107"/>
      <c r="B647" s="102"/>
      <c r="C647" s="103"/>
      <c r="D647" s="102"/>
      <c r="E647" s="103"/>
      <c r="F647" s="102"/>
      <c r="G647" s="103"/>
      <c r="H647" s="102"/>
      <c r="I647" s="103"/>
      <c r="J647" s="102"/>
      <c r="K647" s="103"/>
      <c r="L647" s="102"/>
      <c r="M647" s="103"/>
      <c r="N647" s="102"/>
      <c r="O647" s="103"/>
      <c r="P647" s="102"/>
      <c r="Q647" s="103"/>
      <c r="R647" s="102"/>
      <c r="S647" s="103"/>
    </row>
    <row r="648">
      <c r="A648" s="107"/>
      <c r="B648" s="102"/>
      <c r="C648" s="103"/>
      <c r="D648" s="102"/>
      <c r="E648" s="103"/>
      <c r="F648" s="102"/>
      <c r="G648" s="103"/>
      <c r="H648" s="102"/>
      <c r="I648" s="103"/>
      <c r="J648" s="102"/>
      <c r="K648" s="103"/>
      <c r="L648" s="102"/>
      <c r="M648" s="103"/>
      <c r="N648" s="102"/>
      <c r="O648" s="103"/>
      <c r="P648" s="102"/>
      <c r="Q648" s="103"/>
      <c r="R648" s="102"/>
      <c r="S648" s="103"/>
    </row>
    <row r="649">
      <c r="A649" s="107"/>
      <c r="B649" s="102"/>
      <c r="C649" s="103"/>
      <c r="D649" s="102"/>
      <c r="E649" s="103"/>
      <c r="F649" s="102"/>
      <c r="G649" s="103"/>
      <c r="H649" s="102"/>
      <c r="I649" s="103"/>
      <c r="J649" s="102"/>
      <c r="K649" s="103"/>
      <c r="L649" s="102"/>
      <c r="M649" s="103"/>
      <c r="N649" s="102"/>
      <c r="O649" s="103"/>
      <c r="P649" s="102"/>
      <c r="Q649" s="103"/>
      <c r="R649" s="102"/>
      <c r="S649" s="103"/>
    </row>
    <row r="650">
      <c r="A650" s="107"/>
      <c r="B650" s="102"/>
      <c r="C650" s="103"/>
      <c r="D650" s="102"/>
      <c r="E650" s="103"/>
      <c r="F650" s="102"/>
      <c r="G650" s="103"/>
      <c r="H650" s="102"/>
      <c r="I650" s="103"/>
      <c r="J650" s="102"/>
      <c r="K650" s="103"/>
      <c r="L650" s="102"/>
      <c r="M650" s="103"/>
      <c r="N650" s="102"/>
      <c r="O650" s="103"/>
      <c r="P650" s="102"/>
      <c r="Q650" s="103"/>
      <c r="R650" s="102"/>
      <c r="S650" s="103"/>
    </row>
    <row r="651">
      <c r="A651" s="107"/>
      <c r="B651" s="102"/>
      <c r="C651" s="103"/>
      <c r="D651" s="102"/>
      <c r="E651" s="103"/>
      <c r="F651" s="102"/>
      <c r="G651" s="103"/>
      <c r="H651" s="102"/>
      <c r="I651" s="103"/>
      <c r="J651" s="102"/>
      <c r="K651" s="103"/>
      <c r="L651" s="102"/>
      <c r="M651" s="103"/>
      <c r="N651" s="102"/>
      <c r="O651" s="103"/>
      <c r="P651" s="102"/>
      <c r="Q651" s="103"/>
      <c r="R651" s="102"/>
      <c r="S651" s="103"/>
    </row>
    <row r="652">
      <c r="A652" s="107"/>
      <c r="B652" s="102"/>
      <c r="C652" s="103"/>
      <c r="D652" s="102"/>
      <c r="E652" s="103"/>
      <c r="F652" s="102"/>
      <c r="G652" s="103"/>
      <c r="H652" s="102"/>
      <c r="I652" s="103"/>
      <c r="J652" s="102"/>
      <c r="K652" s="103"/>
      <c r="L652" s="102"/>
      <c r="M652" s="103"/>
      <c r="N652" s="102"/>
      <c r="O652" s="103"/>
      <c r="P652" s="102"/>
      <c r="Q652" s="103"/>
      <c r="R652" s="102"/>
      <c r="S652" s="103"/>
    </row>
    <row r="653">
      <c r="A653" s="107"/>
      <c r="B653" s="102"/>
      <c r="C653" s="103"/>
      <c r="D653" s="102"/>
      <c r="E653" s="103"/>
      <c r="F653" s="102"/>
      <c r="G653" s="103"/>
      <c r="H653" s="102"/>
      <c r="I653" s="103"/>
      <c r="J653" s="102"/>
      <c r="K653" s="103"/>
      <c r="L653" s="102"/>
      <c r="M653" s="103"/>
      <c r="N653" s="102"/>
      <c r="O653" s="103"/>
      <c r="P653" s="102"/>
      <c r="Q653" s="103"/>
      <c r="R653" s="102"/>
      <c r="S653" s="103"/>
    </row>
    <row r="654">
      <c r="A654" s="107"/>
      <c r="B654" s="102"/>
      <c r="C654" s="103"/>
      <c r="D654" s="102"/>
      <c r="E654" s="103"/>
      <c r="F654" s="102"/>
      <c r="G654" s="103"/>
      <c r="H654" s="102"/>
      <c r="I654" s="103"/>
      <c r="J654" s="102"/>
      <c r="K654" s="103"/>
      <c r="L654" s="102"/>
      <c r="M654" s="103"/>
      <c r="N654" s="102"/>
      <c r="O654" s="103"/>
      <c r="P654" s="102"/>
      <c r="Q654" s="103"/>
      <c r="R654" s="102"/>
      <c r="S654" s="103"/>
    </row>
    <row r="655">
      <c r="A655" s="107"/>
      <c r="B655" s="102"/>
      <c r="C655" s="103"/>
      <c r="D655" s="102"/>
      <c r="E655" s="103"/>
      <c r="F655" s="102"/>
      <c r="G655" s="103"/>
      <c r="H655" s="102"/>
      <c r="I655" s="103"/>
      <c r="J655" s="102"/>
      <c r="K655" s="103"/>
      <c r="L655" s="102"/>
      <c r="M655" s="103"/>
      <c r="N655" s="102"/>
      <c r="O655" s="103"/>
      <c r="P655" s="102"/>
      <c r="Q655" s="103"/>
      <c r="R655" s="102"/>
      <c r="S655" s="103"/>
    </row>
    <row r="656">
      <c r="A656" s="107"/>
      <c r="B656" s="102"/>
      <c r="C656" s="103"/>
      <c r="D656" s="102"/>
      <c r="E656" s="103"/>
      <c r="F656" s="102"/>
      <c r="G656" s="103"/>
      <c r="H656" s="102"/>
      <c r="I656" s="103"/>
      <c r="J656" s="102"/>
      <c r="K656" s="103"/>
      <c r="L656" s="102"/>
      <c r="M656" s="103"/>
      <c r="N656" s="102"/>
      <c r="O656" s="103"/>
      <c r="P656" s="102"/>
      <c r="Q656" s="103"/>
      <c r="R656" s="102"/>
      <c r="S656" s="103"/>
    </row>
    <row r="657">
      <c r="A657" s="107"/>
      <c r="B657" s="102"/>
      <c r="C657" s="103"/>
      <c r="D657" s="102"/>
      <c r="E657" s="103"/>
      <c r="F657" s="102"/>
      <c r="G657" s="103"/>
      <c r="H657" s="102"/>
      <c r="I657" s="103"/>
      <c r="J657" s="102"/>
      <c r="K657" s="103"/>
      <c r="L657" s="102"/>
      <c r="M657" s="103"/>
      <c r="N657" s="102"/>
      <c r="O657" s="103"/>
      <c r="P657" s="102"/>
      <c r="Q657" s="103"/>
      <c r="R657" s="102"/>
      <c r="S657" s="103"/>
    </row>
    <row r="658">
      <c r="A658" s="107"/>
      <c r="B658" s="102"/>
      <c r="C658" s="103"/>
      <c r="D658" s="102"/>
      <c r="E658" s="103"/>
      <c r="F658" s="102"/>
      <c r="G658" s="103"/>
      <c r="H658" s="102"/>
      <c r="I658" s="103"/>
      <c r="J658" s="102"/>
      <c r="K658" s="103"/>
      <c r="L658" s="102"/>
      <c r="M658" s="103"/>
      <c r="N658" s="102"/>
      <c r="O658" s="103"/>
      <c r="P658" s="102"/>
      <c r="Q658" s="103"/>
      <c r="R658" s="102"/>
      <c r="S658" s="103"/>
    </row>
    <row r="659">
      <c r="A659" s="107"/>
      <c r="B659" s="102"/>
      <c r="C659" s="103"/>
      <c r="D659" s="102"/>
      <c r="E659" s="103"/>
      <c r="F659" s="102"/>
      <c r="G659" s="103"/>
      <c r="H659" s="102"/>
      <c r="I659" s="103"/>
      <c r="J659" s="102"/>
      <c r="K659" s="103"/>
      <c r="L659" s="102"/>
      <c r="M659" s="103"/>
      <c r="N659" s="102"/>
      <c r="O659" s="103"/>
      <c r="P659" s="102"/>
      <c r="Q659" s="103"/>
      <c r="R659" s="102"/>
      <c r="S659" s="103"/>
    </row>
    <row r="660">
      <c r="A660" s="107"/>
      <c r="B660" s="102"/>
      <c r="C660" s="103"/>
      <c r="D660" s="102"/>
      <c r="E660" s="103"/>
      <c r="F660" s="102"/>
      <c r="G660" s="103"/>
      <c r="H660" s="102"/>
      <c r="I660" s="103"/>
      <c r="J660" s="102"/>
      <c r="K660" s="103"/>
      <c r="L660" s="102"/>
      <c r="M660" s="103"/>
      <c r="N660" s="102"/>
      <c r="O660" s="103"/>
      <c r="P660" s="102"/>
      <c r="Q660" s="103"/>
      <c r="R660" s="102"/>
      <c r="S660" s="103"/>
    </row>
    <row r="661">
      <c r="A661" s="107"/>
      <c r="B661" s="102"/>
      <c r="C661" s="103"/>
      <c r="D661" s="102"/>
      <c r="E661" s="103"/>
      <c r="F661" s="102"/>
      <c r="G661" s="103"/>
      <c r="H661" s="102"/>
      <c r="I661" s="103"/>
      <c r="J661" s="102"/>
      <c r="K661" s="103"/>
      <c r="L661" s="102"/>
      <c r="M661" s="103"/>
      <c r="N661" s="102"/>
      <c r="O661" s="103"/>
      <c r="P661" s="102"/>
      <c r="Q661" s="103"/>
      <c r="R661" s="102"/>
      <c r="S661" s="103"/>
    </row>
    <row r="662">
      <c r="A662" s="107"/>
      <c r="B662" s="102"/>
      <c r="C662" s="103"/>
      <c r="D662" s="102"/>
      <c r="E662" s="103"/>
      <c r="F662" s="102"/>
      <c r="G662" s="103"/>
      <c r="H662" s="102"/>
      <c r="I662" s="103"/>
      <c r="J662" s="102"/>
      <c r="K662" s="103"/>
      <c r="L662" s="102"/>
      <c r="M662" s="103"/>
      <c r="N662" s="102"/>
      <c r="O662" s="103"/>
      <c r="P662" s="102"/>
      <c r="Q662" s="103"/>
      <c r="R662" s="102"/>
      <c r="S662" s="103"/>
    </row>
    <row r="663">
      <c r="A663" s="107"/>
      <c r="B663" s="102"/>
      <c r="C663" s="103"/>
      <c r="D663" s="102"/>
      <c r="E663" s="103"/>
      <c r="F663" s="102"/>
      <c r="G663" s="103"/>
      <c r="H663" s="102"/>
      <c r="I663" s="103"/>
      <c r="J663" s="102"/>
      <c r="K663" s="103"/>
      <c r="L663" s="102"/>
      <c r="M663" s="103"/>
      <c r="N663" s="102"/>
      <c r="O663" s="103"/>
      <c r="P663" s="102"/>
      <c r="Q663" s="103"/>
      <c r="R663" s="102"/>
      <c r="S663" s="103"/>
    </row>
    <row r="664">
      <c r="A664" s="107"/>
      <c r="B664" s="102"/>
      <c r="C664" s="103"/>
      <c r="D664" s="102"/>
      <c r="E664" s="103"/>
      <c r="F664" s="102"/>
      <c r="G664" s="103"/>
      <c r="H664" s="102"/>
      <c r="I664" s="103"/>
      <c r="J664" s="102"/>
      <c r="K664" s="103"/>
      <c r="L664" s="102"/>
      <c r="M664" s="103"/>
      <c r="N664" s="102"/>
      <c r="O664" s="103"/>
      <c r="P664" s="102"/>
      <c r="Q664" s="103"/>
      <c r="R664" s="102"/>
      <c r="S664" s="103"/>
    </row>
    <row r="665">
      <c r="A665" s="107"/>
      <c r="B665" s="102"/>
      <c r="C665" s="103"/>
      <c r="D665" s="102"/>
      <c r="E665" s="103"/>
      <c r="F665" s="102"/>
      <c r="G665" s="103"/>
      <c r="H665" s="102"/>
      <c r="I665" s="103"/>
      <c r="J665" s="102"/>
      <c r="K665" s="103"/>
      <c r="L665" s="102"/>
      <c r="M665" s="103"/>
      <c r="N665" s="102"/>
      <c r="O665" s="103"/>
      <c r="P665" s="102"/>
      <c r="Q665" s="103"/>
      <c r="R665" s="102"/>
      <c r="S665" s="103"/>
    </row>
    <row r="666">
      <c r="A666" s="107"/>
      <c r="B666" s="102"/>
      <c r="C666" s="103"/>
      <c r="D666" s="102"/>
      <c r="E666" s="103"/>
      <c r="F666" s="102"/>
      <c r="G666" s="103"/>
      <c r="H666" s="102"/>
      <c r="I666" s="103"/>
      <c r="J666" s="102"/>
      <c r="K666" s="103"/>
      <c r="L666" s="102"/>
      <c r="M666" s="103"/>
      <c r="N666" s="102"/>
      <c r="O666" s="103"/>
      <c r="P666" s="102"/>
      <c r="Q666" s="103"/>
      <c r="R666" s="102"/>
      <c r="S666" s="103"/>
    </row>
    <row r="667">
      <c r="A667" s="107"/>
      <c r="B667" s="102"/>
      <c r="C667" s="103"/>
      <c r="D667" s="102"/>
      <c r="E667" s="103"/>
      <c r="F667" s="102"/>
      <c r="G667" s="103"/>
      <c r="H667" s="102"/>
      <c r="I667" s="103"/>
      <c r="J667" s="102"/>
      <c r="K667" s="103"/>
      <c r="L667" s="102"/>
      <c r="M667" s="103"/>
      <c r="N667" s="102"/>
      <c r="O667" s="103"/>
      <c r="P667" s="102"/>
      <c r="Q667" s="103"/>
      <c r="R667" s="102"/>
      <c r="S667" s="103"/>
    </row>
    <row r="668">
      <c r="A668" s="107"/>
      <c r="B668" s="102"/>
      <c r="C668" s="103"/>
      <c r="D668" s="102"/>
      <c r="E668" s="103"/>
      <c r="F668" s="102"/>
      <c r="G668" s="103"/>
      <c r="H668" s="102"/>
      <c r="I668" s="103"/>
      <c r="J668" s="102"/>
      <c r="K668" s="103"/>
      <c r="L668" s="102"/>
      <c r="M668" s="103"/>
      <c r="N668" s="102"/>
      <c r="O668" s="103"/>
      <c r="P668" s="102"/>
      <c r="Q668" s="103"/>
      <c r="R668" s="102"/>
      <c r="S668" s="103"/>
    </row>
    <row r="669">
      <c r="A669" s="107"/>
      <c r="B669" s="102"/>
      <c r="C669" s="103"/>
      <c r="D669" s="102"/>
      <c r="E669" s="103"/>
      <c r="F669" s="102"/>
      <c r="G669" s="103"/>
      <c r="H669" s="102"/>
      <c r="I669" s="103"/>
      <c r="J669" s="102"/>
      <c r="K669" s="103"/>
      <c r="L669" s="102"/>
      <c r="M669" s="103"/>
      <c r="N669" s="102"/>
      <c r="O669" s="103"/>
      <c r="P669" s="102"/>
      <c r="Q669" s="103"/>
      <c r="R669" s="102"/>
      <c r="S669" s="103"/>
    </row>
    <row r="670">
      <c r="A670" s="107"/>
      <c r="B670" s="102"/>
      <c r="C670" s="103"/>
      <c r="D670" s="102"/>
      <c r="E670" s="103"/>
      <c r="F670" s="102"/>
      <c r="G670" s="103"/>
      <c r="H670" s="102"/>
      <c r="I670" s="103"/>
      <c r="J670" s="102"/>
      <c r="K670" s="103"/>
      <c r="L670" s="102"/>
      <c r="M670" s="103"/>
      <c r="N670" s="102"/>
      <c r="O670" s="103"/>
      <c r="P670" s="102"/>
      <c r="Q670" s="103"/>
      <c r="R670" s="102"/>
      <c r="S670" s="103"/>
    </row>
    <row r="671">
      <c r="A671" s="107"/>
      <c r="B671" s="102"/>
      <c r="C671" s="103"/>
      <c r="D671" s="102"/>
      <c r="E671" s="103"/>
      <c r="F671" s="102"/>
      <c r="G671" s="103"/>
      <c r="H671" s="102"/>
      <c r="I671" s="103"/>
      <c r="J671" s="102"/>
      <c r="K671" s="103"/>
      <c r="L671" s="102"/>
      <c r="M671" s="103"/>
      <c r="N671" s="102"/>
      <c r="O671" s="103"/>
      <c r="P671" s="102"/>
      <c r="Q671" s="103"/>
      <c r="R671" s="102"/>
      <c r="S671" s="103"/>
    </row>
    <row r="672">
      <c r="A672" s="107"/>
      <c r="B672" s="102"/>
      <c r="C672" s="103"/>
      <c r="D672" s="102"/>
      <c r="E672" s="103"/>
      <c r="F672" s="102"/>
      <c r="G672" s="103"/>
      <c r="H672" s="102"/>
      <c r="I672" s="103"/>
      <c r="J672" s="102"/>
      <c r="K672" s="103"/>
      <c r="L672" s="102"/>
      <c r="M672" s="103"/>
      <c r="N672" s="102"/>
      <c r="O672" s="103"/>
      <c r="P672" s="102"/>
      <c r="Q672" s="103"/>
      <c r="R672" s="102"/>
      <c r="S672" s="103"/>
    </row>
    <row r="673">
      <c r="A673" s="107"/>
      <c r="B673" s="102"/>
      <c r="C673" s="103"/>
      <c r="D673" s="102"/>
      <c r="E673" s="103"/>
      <c r="F673" s="102"/>
      <c r="G673" s="103"/>
      <c r="H673" s="102"/>
      <c r="I673" s="103"/>
      <c r="J673" s="102"/>
      <c r="K673" s="103"/>
      <c r="L673" s="102"/>
      <c r="M673" s="103"/>
      <c r="N673" s="102"/>
      <c r="O673" s="103"/>
      <c r="P673" s="102"/>
      <c r="Q673" s="103"/>
      <c r="R673" s="102"/>
      <c r="S673" s="103"/>
    </row>
    <row r="674">
      <c r="A674" s="107"/>
      <c r="B674" s="102"/>
      <c r="C674" s="103"/>
      <c r="D674" s="102"/>
      <c r="E674" s="103"/>
      <c r="F674" s="102"/>
      <c r="G674" s="103"/>
      <c r="H674" s="102"/>
      <c r="I674" s="103"/>
      <c r="J674" s="102"/>
      <c r="K674" s="103"/>
      <c r="L674" s="102"/>
      <c r="M674" s="103"/>
      <c r="N674" s="102"/>
      <c r="O674" s="103"/>
      <c r="P674" s="102"/>
      <c r="Q674" s="103"/>
      <c r="R674" s="102"/>
      <c r="S674" s="103"/>
    </row>
    <row r="675">
      <c r="A675" s="107"/>
      <c r="B675" s="102"/>
      <c r="C675" s="103"/>
      <c r="D675" s="102"/>
      <c r="E675" s="103"/>
      <c r="F675" s="102"/>
      <c r="G675" s="103"/>
      <c r="H675" s="102"/>
      <c r="I675" s="103"/>
      <c r="J675" s="102"/>
      <c r="K675" s="103"/>
      <c r="L675" s="102"/>
      <c r="M675" s="103"/>
      <c r="N675" s="102"/>
      <c r="O675" s="103"/>
      <c r="P675" s="102"/>
      <c r="Q675" s="103"/>
      <c r="R675" s="102"/>
      <c r="S675" s="103"/>
    </row>
    <row r="676">
      <c r="A676" s="107"/>
      <c r="B676" s="102"/>
      <c r="C676" s="103"/>
      <c r="D676" s="102"/>
      <c r="E676" s="103"/>
      <c r="F676" s="102"/>
      <c r="G676" s="103"/>
      <c r="H676" s="102"/>
      <c r="I676" s="103"/>
      <c r="J676" s="102"/>
      <c r="K676" s="103"/>
      <c r="L676" s="102"/>
      <c r="M676" s="103"/>
      <c r="N676" s="102"/>
      <c r="O676" s="103"/>
      <c r="P676" s="102"/>
      <c r="Q676" s="103"/>
      <c r="R676" s="102"/>
      <c r="S676" s="103"/>
    </row>
    <row r="677">
      <c r="A677" s="107"/>
      <c r="B677" s="102"/>
      <c r="C677" s="103"/>
      <c r="D677" s="102"/>
      <c r="E677" s="103"/>
      <c r="F677" s="102"/>
      <c r="G677" s="103"/>
      <c r="H677" s="102"/>
      <c r="I677" s="103"/>
      <c r="J677" s="102"/>
      <c r="K677" s="103"/>
      <c r="L677" s="102"/>
      <c r="M677" s="103"/>
      <c r="N677" s="102"/>
      <c r="O677" s="103"/>
      <c r="P677" s="102"/>
      <c r="Q677" s="103"/>
      <c r="R677" s="102"/>
      <c r="S677" s="103"/>
    </row>
    <row r="678">
      <c r="A678" s="107"/>
      <c r="B678" s="102"/>
      <c r="C678" s="103"/>
      <c r="D678" s="102"/>
      <c r="E678" s="103"/>
      <c r="F678" s="102"/>
      <c r="G678" s="103"/>
      <c r="H678" s="102"/>
      <c r="I678" s="103"/>
      <c r="J678" s="102"/>
      <c r="K678" s="103"/>
      <c r="L678" s="102"/>
      <c r="M678" s="103"/>
      <c r="N678" s="102"/>
      <c r="O678" s="103"/>
      <c r="P678" s="102"/>
      <c r="Q678" s="103"/>
      <c r="R678" s="102"/>
      <c r="S678" s="103"/>
    </row>
    <row r="679">
      <c r="A679" s="107"/>
      <c r="B679" s="102"/>
      <c r="C679" s="103"/>
      <c r="D679" s="102"/>
      <c r="E679" s="103"/>
      <c r="F679" s="102"/>
      <c r="G679" s="103"/>
      <c r="H679" s="102"/>
      <c r="I679" s="103"/>
      <c r="J679" s="102"/>
      <c r="K679" s="103"/>
      <c r="L679" s="102"/>
      <c r="M679" s="103"/>
      <c r="N679" s="102"/>
      <c r="O679" s="103"/>
      <c r="P679" s="102"/>
      <c r="Q679" s="103"/>
      <c r="R679" s="102"/>
      <c r="S679" s="103"/>
    </row>
    <row r="680">
      <c r="A680" s="107"/>
      <c r="B680" s="102"/>
      <c r="C680" s="103"/>
      <c r="D680" s="102"/>
      <c r="E680" s="103"/>
      <c r="F680" s="102"/>
      <c r="G680" s="103"/>
      <c r="H680" s="102"/>
      <c r="I680" s="103"/>
      <c r="J680" s="102"/>
      <c r="K680" s="103"/>
      <c r="L680" s="102"/>
      <c r="M680" s="103"/>
      <c r="N680" s="102"/>
      <c r="O680" s="103"/>
      <c r="P680" s="102"/>
      <c r="Q680" s="103"/>
      <c r="R680" s="102"/>
      <c r="S680" s="103"/>
    </row>
    <row r="681">
      <c r="A681" s="107"/>
      <c r="B681" s="102"/>
      <c r="C681" s="103"/>
      <c r="D681" s="102"/>
      <c r="E681" s="103"/>
      <c r="F681" s="102"/>
      <c r="G681" s="103"/>
      <c r="H681" s="102"/>
      <c r="I681" s="103"/>
      <c r="J681" s="102"/>
      <c r="K681" s="103"/>
      <c r="L681" s="102"/>
      <c r="M681" s="103"/>
      <c r="N681" s="102"/>
      <c r="O681" s="103"/>
      <c r="P681" s="102"/>
      <c r="Q681" s="103"/>
      <c r="R681" s="102"/>
      <c r="S681" s="103"/>
    </row>
    <row r="682">
      <c r="A682" s="107"/>
      <c r="B682" s="102"/>
      <c r="C682" s="103"/>
      <c r="D682" s="102"/>
      <c r="E682" s="103"/>
      <c r="F682" s="102"/>
      <c r="G682" s="103"/>
      <c r="H682" s="102"/>
      <c r="I682" s="103"/>
      <c r="J682" s="102"/>
      <c r="K682" s="103"/>
      <c r="L682" s="102"/>
      <c r="M682" s="103"/>
      <c r="N682" s="102"/>
      <c r="O682" s="103"/>
      <c r="P682" s="102"/>
      <c r="Q682" s="103"/>
      <c r="R682" s="102"/>
      <c r="S682" s="103"/>
    </row>
    <row r="683">
      <c r="A683" s="107"/>
      <c r="B683" s="102"/>
      <c r="C683" s="103"/>
      <c r="D683" s="102"/>
      <c r="E683" s="103"/>
      <c r="F683" s="102"/>
      <c r="G683" s="103"/>
      <c r="H683" s="102"/>
      <c r="I683" s="103"/>
      <c r="J683" s="102"/>
      <c r="K683" s="103"/>
      <c r="L683" s="102"/>
      <c r="M683" s="103"/>
      <c r="N683" s="102"/>
      <c r="O683" s="103"/>
      <c r="P683" s="102"/>
      <c r="Q683" s="103"/>
      <c r="R683" s="102"/>
      <c r="S683" s="103"/>
    </row>
    <row r="684">
      <c r="A684" s="107"/>
      <c r="B684" s="102"/>
      <c r="C684" s="103"/>
      <c r="D684" s="102"/>
      <c r="E684" s="103"/>
      <c r="F684" s="102"/>
      <c r="G684" s="103"/>
      <c r="H684" s="102"/>
      <c r="I684" s="103"/>
      <c r="J684" s="102"/>
      <c r="K684" s="103"/>
      <c r="L684" s="102"/>
      <c r="M684" s="103"/>
      <c r="N684" s="102"/>
      <c r="O684" s="103"/>
      <c r="P684" s="102"/>
      <c r="Q684" s="103"/>
      <c r="R684" s="102"/>
      <c r="S684" s="103"/>
    </row>
    <row r="685">
      <c r="A685" s="107"/>
      <c r="B685" s="102"/>
      <c r="C685" s="103"/>
      <c r="D685" s="102"/>
      <c r="E685" s="103"/>
      <c r="F685" s="102"/>
      <c r="G685" s="103"/>
      <c r="H685" s="102"/>
      <c r="I685" s="103"/>
      <c r="J685" s="102"/>
      <c r="K685" s="103"/>
      <c r="L685" s="102"/>
      <c r="M685" s="103"/>
      <c r="N685" s="102"/>
      <c r="O685" s="103"/>
      <c r="P685" s="102"/>
      <c r="Q685" s="103"/>
      <c r="R685" s="102"/>
      <c r="S685" s="103"/>
    </row>
    <row r="686">
      <c r="A686" s="107"/>
      <c r="B686" s="102"/>
      <c r="C686" s="103"/>
      <c r="D686" s="102"/>
      <c r="E686" s="103"/>
      <c r="F686" s="102"/>
      <c r="G686" s="103"/>
      <c r="H686" s="102"/>
      <c r="I686" s="103"/>
      <c r="J686" s="102"/>
      <c r="K686" s="103"/>
      <c r="L686" s="102"/>
      <c r="M686" s="103"/>
      <c r="N686" s="102"/>
      <c r="O686" s="103"/>
      <c r="P686" s="102"/>
      <c r="Q686" s="103"/>
      <c r="R686" s="102"/>
      <c r="S686" s="103"/>
    </row>
    <row r="687">
      <c r="A687" s="107"/>
      <c r="B687" s="102"/>
      <c r="C687" s="103"/>
      <c r="D687" s="102"/>
      <c r="E687" s="103"/>
      <c r="F687" s="102"/>
      <c r="G687" s="103"/>
      <c r="H687" s="102"/>
      <c r="I687" s="103"/>
      <c r="J687" s="102"/>
      <c r="K687" s="103"/>
      <c r="L687" s="102"/>
      <c r="M687" s="103"/>
      <c r="N687" s="102"/>
      <c r="O687" s="103"/>
      <c r="P687" s="102"/>
      <c r="Q687" s="103"/>
      <c r="R687" s="102"/>
      <c r="S687" s="103"/>
    </row>
    <row r="688">
      <c r="A688" s="107"/>
      <c r="B688" s="102"/>
      <c r="C688" s="103"/>
      <c r="D688" s="102"/>
      <c r="E688" s="103"/>
      <c r="F688" s="102"/>
      <c r="G688" s="103"/>
      <c r="H688" s="102"/>
      <c r="I688" s="103"/>
      <c r="J688" s="102"/>
      <c r="K688" s="103"/>
      <c r="L688" s="102"/>
      <c r="M688" s="103"/>
      <c r="N688" s="102"/>
      <c r="O688" s="103"/>
      <c r="P688" s="102"/>
      <c r="Q688" s="103"/>
      <c r="R688" s="102"/>
      <c r="S688" s="103"/>
    </row>
    <row r="689">
      <c r="A689" s="107"/>
      <c r="B689" s="102"/>
      <c r="C689" s="103"/>
      <c r="D689" s="102"/>
      <c r="E689" s="103"/>
      <c r="F689" s="102"/>
      <c r="G689" s="103"/>
      <c r="H689" s="102"/>
      <c r="I689" s="103"/>
      <c r="J689" s="102"/>
      <c r="K689" s="103"/>
      <c r="L689" s="102"/>
      <c r="M689" s="103"/>
      <c r="N689" s="102"/>
      <c r="O689" s="103"/>
      <c r="P689" s="102"/>
      <c r="Q689" s="103"/>
      <c r="R689" s="102"/>
      <c r="S689" s="103"/>
    </row>
    <row r="690">
      <c r="A690" s="107"/>
      <c r="B690" s="102"/>
      <c r="C690" s="103"/>
      <c r="D690" s="102"/>
      <c r="E690" s="103"/>
      <c r="F690" s="102"/>
      <c r="G690" s="103"/>
      <c r="H690" s="102"/>
      <c r="I690" s="103"/>
      <c r="J690" s="102"/>
      <c r="K690" s="103"/>
      <c r="L690" s="102"/>
      <c r="M690" s="103"/>
      <c r="N690" s="102"/>
      <c r="O690" s="103"/>
      <c r="P690" s="102"/>
      <c r="Q690" s="103"/>
      <c r="R690" s="102"/>
      <c r="S690" s="103"/>
    </row>
    <row r="691">
      <c r="A691" s="107"/>
      <c r="B691" s="102"/>
      <c r="C691" s="103"/>
      <c r="D691" s="102"/>
      <c r="E691" s="103"/>
      <c r="F691" s="102"/>
      <c r="G691" s="103"/>
      <c r="H691" s="102"/>
      <c r="I691" s="103"/>
      <c r="J691" s="102"/>
      <c r="K691" s="103"/>
      <c r="L691" s="102"/>
      <c r="M691" s="103"/>
      <c r="N691" s="102"/>
      <c r="O691" s="103"/>
      <c r="P691" s="102"/>
      <c r="Q691" s="103"/>
      <c r="R691" s="102"/>
      <c r="S691" s="103"/>
    </row>
    <row r="692">
      <c r="A692" s="107"/>
      <c r="B692" s="102"/>
      <c r="C692" s="103"/>
      <c r="D692" s="102"/>
      <c r="E692" s="103"/>
      <c r="F692" s="102"/>
      <c r="G692" s="103"/>
      <c r="H692" s="102"/>
      <c r="I692" s="103"/>
      <c r="J692" s="102"/>
      <c r="K692" s="103"/>
      <c r="L692" s="102"/>
      <c r="M692" s="103"/>
      <c r="N692" s="102"/>
      <c r="O692" s="103"/>
      <c r="P692" s="102"/>
      <c r="Q692" s="103"/>
      <c r="R692" s="102"/>
      <c r="S692" s="103"/>
    </row>
    <row r="693">
      <c r="A693" s="107"/>
      <c r="B693" s="102"/>
      <c r="C693" s="103"/>
      <c r="D693" s="102"/>
      <c r="E693" s="103"/>
      <c r="F693" s="102"/>
      <c r="G693" s="103"/>
      <c r="H693" s="102"/>
      <c r="I693" s="103"/>
      <c r="J693" s="102"/>
      <c r="K693" s="103"/>
      <c r="L693" s="102"/>
      <c r="M693" s="103"/>
      <c r="N693" s="102"/>
      <c r="O693" s="103"/>
      <c r="P693" s="102"/>
      <c r="Q693" s="103"/>
      <c r="R693" s="102"/>
      <c r="S693" s="103"/>
    </row>
    <row r="694">
      <c r="A694" s="107"/>
      <c r="B694" s="102"/>
      <c r="C694" s="103"/>
      <c r="D694" s="102"/>
      <c r="E694" s="103"/>
      <c r="F694" s="102"/>
      <c r="G694" s="103"/>
      <c r="H694" s="102"/>
      <c r="I694" s="103"/>
      <c r="J694" s="102"/>
      <c r="K694" s="103"/>
      <c r="L694" s="102"/>
      <c r="M694" s="103"/>
      <c r="N694" s="102"/>
      <c r="O694" s="103"/>
      <c r="P694" s="102"/>
      <c r="Q694" s="103"/>
      <c r="R694" s="102"/>
      <c r="S694" s="103"/>
    </row>
    <row r="695">
      <c r="A695" s="107"/>
      <c r="B695" s="102"/>
      <c r="C695" s="103"/>
      <c r="D695" s="102"/>
      <c r="E695" s="103"/>
      <c r="F695" s="102"/>
      <c r="G695" s="103"/>
      <c r="H695" s="102"/>
      <c r="I695" s="103"/>
      <c r="J695" s="102"/>
      <c r="K695" s="103"/>
      <c r="L695" s="102"/>
      <c r="M695" s="103"/>
      <c r="N695" s="102"/>
      <c r="O695" s="103"/>
      <c r="P695" s="102"/>
      <c r="Q695" s="103"/>
      <c r="R695" s="102"/>
      <c r="S695" s="103"/>
    </row>
    <row r="696">
      <c r="A696" s="107"/>
      <c r="B696" s="102"/>
      <c r="C696" s="103"/>
      <c r="D696" s="102"/>
      <c r="E696" s="103"/>
      <c r="F696" s="102"/>
      <c r="G696" s="103"/>
      <c r="H696" s="102"/>
      <c r="I696" s="103"/>
      <c r="J696" s="102"/>
      <c r="K696" s="103"/>
      <c r="L696" s="102"/>
      <c r="M696" s="103"/>
      <c r="N696" s="102"/>
      <c r="O696" s="103"/>
      <c r="P696" s="102"/>
      <c r="Q696" s="103"/>
      <c r="R696" s="102"/>
      <c r="S696" s="103"/>
    </row>
    <row r="697">
      <c r="A697" s="107"/>
      <c r="B697" s="102"/>
      <c r="C697" s="103"/>
      <c r="D697" s="102"/>
      <c r="E697" s="103"/>
      <c r="F697" s="102"/>
      <c r="G697" s="103"/>
      <c r="H697" s="102"/>
      <c r="I697" s="103"/>
      <c r="J697" s="102"/>
      <c r="K697" s="103"/>
      <c r="L697" s="102"/>
      <c r="M697" s="103"/>
      <c r="N697" s="102"/>
      <c r="O697" s="103"/>
      <c r="P697" s="102"/>
      <c r="Q697" s="103"/>
      <c r="R697" s="102"/>
      <c r="S697" s="103"/>
    </row>
    <row r="698">
      <c r="A698" s="107"/>
      <c r="B698" s="102"/>
      <c r="C698" s="103"/>
      <c r="D698" s="102"/>
      <c r="E698" s="103"/>
      <c r="F698" s="102"/>
      <c r="G698" s="103"/>
      <c r="H698" s="102"/>
      <c r="I698" s="103"/>
      <c r="J698" s="102"/>
      <c r="K698" s="103"/>
      <c r="L698" s="102"/>
      <c r="M698" s="103"/>
      <c r="N698" s="102"/>
      <c r="O698" s="103"/>
      <c r="P698" s="102"/>
      <c r="Q698" s="103"/>
      <c r="R698" s="102"/>
      <c r="S698" s="103"/>
    </row>
    <row r="699">
      <c r="A699" s="107"/>
      <c r="B699" s="102"/>
      <c r="C699" s="103"/>
      <c r="D699" s="102"/>
      <c r="E699" s="103"/>
      <c r="F699" s="102"/>
      <c r="G699" s="103"/>
      <c r="H699" s="102"/>
      <c r="I699" s="103"/>
      <c r="J699" s="102"/>
      <c r="K699" s="103"/>
      <c r="L699" s="102"/>
      <c r="M699" s="103"/>
      <c r="N699" s="102"/>
      <c r="O699" s="103"/>
      <c r="P699" s="102"/>
      <c r="Q699" s="103"/>
      <c r="R699" s="102"/>
      <c r="S699" s="103"/>
    </row>
    <row r="700">
      <c r="A700" s="107"/>
      <c r="B700" s="102"/>
      <c r="C700" s="103"/>
      <c r="D700" s="102"/>
      <c r="E700" s="103"/>
      <c r="F700" s="102"/>
      <c r="G700" s="103"/>
      <c r="H700" s="102"/>
      <c r="I700" s="103"/>
      <c r="J700" s="102"/>
      <c r="K700" s="103"/>
      <c r="L700" s="102"/>
      <c r="M700" s="103"/>
      <c r="N700" s="102"/>
      <c r="O700" s="103"/>
      <c r="P700" s="102"/>
      <c r="Q700" s="103"/>
      <c r="R700" s="102"/>
      <c r="S700" s="103"/>
    </row>
    <row r="701">
      <c r="A701" s="107"/>
      <c r="B701" s="102"/>
      <c r="C701" s="103"/>
      <c r="D701" s="102"/>
      <c r="E701" s="103"/>
      <c r="F701" s="102"/>
      <c r="G701" s="103"/>
      <c r="H701" s="102"/>
      <c r="I701" s="103"/>
      <c r="J701" s="102"/>
      <c r="K701" s="103"/>
      <c r="L701" s="102"/>
      <c r="M701" s="103"/>
      <c r="N701" s="102"/>
      <c r="O701" s="103"/>
      <c r="P701" s="102"/>
      <c r="Q701" s="103"/>
      <c r="R701" s="102"/>
      <c r="S701" s="103"/>
    </row>
    <row r="702">
      <c r="A702" s="107"/>
      <c r="B702" s="102"/>
      <c r="C702" s="103"/>
      <c r="D702" s="102"/>
      <c r="E702" s="103"/>
      <c r="F702" s="102"/>
      <c r="G702" s="103"/>
      <c r="H702" s="102"/>
      <c r="I702" s="103"/>
      <c r="J702" s="102"/>
      <c r="K702" s="103"/>
      <c r="L702" s="102"/>
      <c r="M702" s="103"/>
      <c r="N702" s="102"/>
      <c r="O702" s="103"/>
      <c r="P702" s="102"/>
      <c r="Q702" s="103"/>
      <c r="R702" s="102"/>
      <c r="S702" s="103"/>
    </row>
    <row r="703">
      <c r="A703" s="107"/>
      <c r="B703" s="102"/>
      <c r="C703" s="103"/>
      <c r="D703" s="102"/>
      <c r="E703" s="103"/>
      <c r="F703" s="102"/>
      <c r="G703" s="103"/>
      <c r="H703" s="102"/>
      <c r="I703" s="103"/>
      <c r="J703" s="102"/>
      <c r="K703" s="103"/>
      <c r="L703" s="102"/>
      <c r="M703" s="103"/>
      <c r="N703" s="102"/>
      <c r="O703" s="103"/>
      <c r="P703" s="102"/>
      <c r="Q703" s="103"/>
      <c r="R703" s="102"/>
      <c r="S703" s="103"/>
    </row>
    <row r="704">
      <c r="A704" s="107"/>
      <c r="B704" s="102"/>
      <c r="C704" s="103"/>
      <c r="D704" s="102"/>
      <c r="E704" s="103"/>
      <c r="F704" s="102"/>
      <c r="G704" s="103"/>
      <c r="H704" s="102"/>
      <c r="I704" s="103"/>
      <c r="J704" s="102"/>
      <c r="K704" s="103"/>
      <c r="L704" s="102"/>
      <c r="M704" s="103"/>
      <c r="N704" s="102"/>
      <c r="O704" s="103"/>
      <c r="P704" s="102"/>
      <c r="Q704" s="103"/>
      <c r="R704" s="102"/>
      <c r="S704" s="103"/>
    </row>
    <row r="705">
      <c r="A705" s="107"/>
      <c r="B705" s="102"/>
      <c r="C705" s="103"/>
      <c r="D705" s="102"/>
      <c r="E705" s="103"/>
      <c r="F705" s="102"/>
      <c r="G705" s="103"/>
      <c r="H705" s="102"/>
      <c r="I705" s="103"/>
      <c r="J705" s="102"/>
      <c r="K705" s="103"/>
      <c r="L705" s="102"/>
      <c r="M705" s="103"/>
      <c r="N705" s="102"/>
      <c r="O705" s="103"/>
      <c r="P705" s="102"/>
      <c r="Q705" s="103"/>
      <c r="R705" s="102"/>
      <c r="S705" s="103"/>
    </row>
    <row r="706">
      <c r="A706" s="107"/>
      <c r="B706" s="102"/>
      <c r="C706" s="103"/>
      <c r="D706" s="102"/>
      <c r="E706" s="103"/>
      <c r="F706" s="102"/>
      <c r="G706" s="103"/>
      <c r="H706" s="102"/>
      <c r="I706" s="103"/>
      <c r="J706" s="102"/>
      <c r="K706" s="103"/>
      <c r="L706" s="102"/>
      <c r="M706" s="103"/>
      <c r="N706" s="102"/>
      <c r="O706" s="103"/>
      <c r="P706" s="102"/>
      <c r="Q706" s="103"/>
      <c r="R706" s="102"/>
      <c r="S706" s="103"/>
    </row>
    <row r="707">
      <c r="A707" s="107"/>
      <c r="B707" s="102"/>
      <c r="C707" s="103"/>
      <c r="D707" s="102"/>
      <c r="E707" s="103"/>
      <c r="F707" s="102"/>
      <c r="G707" s="103"/>
      <c r="H707" s="102"/>
      <c r="I707" s="103"/>
      <c r="J707" s="102"/>
      <c r="K707" s="103"/>
      <c r="L707" s="102"/>
      <c r="M707" s="103"/>
      <c r="N707" s="102"/>
      <c r="O707" s="103"/>
      <c r="P707" s="102"/>
      <c r="Q707" s="103"/>
      <c r="R707" s="102"/>
      <c r="S707" s="103"/>
    </row>
    <row r="708">
      <c r="A708" s="107"/>
      <c r="B708" s="102"/>
      <c r="C708" s="103"/>
      <c r="D708" s="102"/>
      <c r="E708" s="103"/>
      <c r="F708" s="102"/>
      <c r="G708" s="103"/>
      <c r="H708" s="102"/>
      <c r="I708" s="103"/>
      <c r="J708" s="102"/>
      <c r="K708" s="103"/>
      <c r="L708" s="102"/>
      <c r="M708" s="103"/>
      <c r="N708" s="102"/>
      <c r="O708" s="103"/>
      <c r="P708" s="102"/>
      <c r="Q708" s="103"/>
      <c r="R708" s="102"/>
      <c r="S708" s="103"/>
    </row>
    <row r="709">
      <c r="A709" s="107"/>
      <c r="B709" s="102"/>
      <c r="C709" s="103"/>
      <c r="D709" s="102"/>
      <c r="E709" s="103"/>
      <c r="F709" s="102"/>
      <c r="G709" s="103"/>
      <c r="H709" s="102"/>
      <c r="I709" s="103"/>
      <c r="J709" s="102"/>
      <c r="K709" s="103"/>
      <c r="L709" s="102"/>
      <c r="M709" s="103"/>
      <c r="N709" s="102"/>
      <c r="O709" s="103"/>
      <c r="P709" s="102"/>
      <c r="Q709" s="103"/>
      <c r="R709" s="102"/>
      <c r="S709" s="103"/>
    </row>
    <row r="710">
      <c r="A710" s="107"/>
      <c r="B710" s="102"/>
      <c r="C710" s="103"/>
      <c r="D710" s="102"/>
      <c r="E710" s="103"/>
      <c r="F710" s="102"/>
      <c r="G710" s="103"/>
      <c r="H710" s="102"/>
      <c r="I710" s="103"/>
      <c r="J710" s="102"/>
      <c r="K710" s="103"/>
      <c r="L710" s="102"/>
      <c r="M710" s="103"/>
      <c r="N710" s="102"/>
      <c r="O710" s="103"/>
      <c r="P710" s="102"/>
      <c r="Q710" s="103"/>
      <c r="R710" s="102"/>
      <c r="S710" s="103"/>
    </row>
    <row r="711">
      <c r="A711" s="107"/>
      <c r="B711" s="102"/>
      <c r="C711" s="103"/>
      <c r="D711" s="102"/>
      <c r="E711" s="103"/>
      <c r="F711" s="102"/>
      <c r="G711" s="103"/>
      <c r="H711" s="102"/>
      <c r="I711" s="103"/>
      <c r="J711" s="102"/>
      <c r="K711" s="103"/>
      <c r="L711" s="102"/>
      <c r="M711" s="103"/>
      <c r="N711" s="102"/>
      <c r="O711" s="103"/>
      <c r="P711" s="102"/>
      <c r="Q711" s="103"/>
      <c r="R711" s="102"/>
      <c r="S711" s="103"/>
    </row>
    <row r="712">
      <c r="A712" s="107"/>
      <c r="B712" s="102"/>
      <c r="C712" s="103"/>
      <c r="D712" s="102"/>
      <c r="E712" s="103"/>
      <c r="F712" s="102"/>
      <c r="G712" s="103"/>
      <c r="H712" s="102"/>
      <c r="I712" s="103"/>
      <c r="J712" s="102"/>
      <c r="K712" s="103"/>
      <c r="L712" s="102"/>
      <c r="M712" s="103"/>
      <c r="N712" s="102"/>
      <c r="O712" s="103"/>
      <c r="P712" s="102"/>
      <c r="Q712" s="103"/>
      <c r="R712" s="102"/>
      <c r="S712" s="103"/>
    </row>
    <row r="713">
      <c r="A713" s="107"/>
      <c r="B713" s="102"/>
      <c r="C713" s="103"/>
      <c r="D713" s="102"/>
      <c r="E713" s="103"/>
      <c r="F713" s="102"/>
      <c r="G713" s="103"/>
      <c r="H713" s="102"/>
      <c r="I713" s="103"/>
      <c r="J713" s="102"/>
      <c r="K713" s="103"/>
      <c r="L713" s="102"/>
      <c r="M713" s="103"/>
      <c r="N713" s="102"/>
      <c r="O713" s="103"/>
      <c r="P713" s="102"/>
      <c r="Q713" s="103"/>
      <c r="R713" s="102"/>
      <c r="S713" s="103"/>
    </row>
    <row r="714">
      <c r="A714" s="107"/>
      <c r="B714" s="102"/>
      <c r="C714" s="103"/>
      <c r="D714" s="102"/>
      <c r="E714" s="103"/>
      <c r="F714" s="102"/>
      <c r="G714" s="103"/>
      <c r="H714" s="102"/>
      <c r="I714" s="103"/>
      <c r="J714" s="102"/>
      <c r="K714" s="103"/>
      <c r="L714" s="102"/>
      <c r="M714" s="103"/>
      <c r="N714" s="102"/>
      <c r="O714" s="103"/>
      <c r="P714" s="102"/>
      <c r="Q714" s="103"/>
      <c r="R714" s="102"/>
      <c r="S714" s="103"/>
    </row>
    <row r="715">
      <c r="A715" s="107"/>
      <c r="B715" s="102"/>
      <c r="C715" s="103"/>
      <c r="D715" s="102"/>
      <c r="E715" s="103"/>
      <c r="F715" s="102"/>
      <c r="G715" s="103"/>
      <c r="H715" s="102"/>
      <c r="I715" s="103"/>
      <c r="J715" s="102"/>
      <c r="K715" s="103"/>
      <c r="L715" s="102"/>
      <c r="M715" s="103"/>
      <c r="N715" s="102"/>
      <c r="O715" s="103"/>
      <c r="P715" s="102"/>
      <c r="Q715" s="103"/>
      <c r="R715" s="102"/>
      <c r="S715" s="103"/>
    </row>
    <row r="716">
      <c r="A716" s="107"/>
      <c r="B716" s="102"/>
      <c r="C716" s="103"/>
      <c r="D716" s="102"/>
      <c r="E716" s="103"/>
      <c r="F716" s="102"/>
      <c r="G716" s="103"/>
      <c r="H716" s="102"/>
      <c r="I716" s="103"/>
      <c r="J716" s="102"/>
      <c r="K716" s="103"/>
      <c r="L716" s="102"/>
      <c r="M716" s="103"/>
      <c r="N716" s="102"/>
      <c r="O716" s="103"/>
      <c r="P716" s="102"/>
      <c r="Q716" s="103"/>
      <c r="R716" s="102"/>
      <c r="S716" s="103"/>
    </row>
    <row r="717">
      <c r="A717" s="107"/>
      <c r="B717" s="102"/>
      <c r="C717" s="103"/>
      <c r="D717" s="102"/>
      <c r="E717" s="103"/>
      <c r="F717" s="102"/>
      <c r="G717" s="103"/>
      <c r="H717" s="102"/>
      <c r="I717" s="103"/>
      <c r="J717" s="102"/>
      <c r="K717" s="103"/>
      <c r="L717" s="102"/>
      <c r="M717" s="103"/>
      <c r="N717" s="102"/>
      <c r="O717" s="103"/>
      <c r="P717" s="102"/>
      <c r="Q717" s="103"/>
      <c r="R717" s="102"/>
      <c r="S717" s="103"/>
    </row>
    <row r="718">
      <c r="A718" s="107"/>
      <c r="B718" s="102"/>
      <c r="C718" s="103"/>
      <c r="D718" s="102"/>
      <c r="E718" s="103"/>
      <c r="F718" s="102"/>
      <c r="G718" s="103"/>
      <c r="H718" s="102"/>
      <c r="I718" s="103"/>
      <c r="J718" s="102"/>
      <c r="K718" s="103"/>
      <c r="L718" s="102"/>
      <c r="M718" s="103"/>
      <c r="N718" s="102"/>
      <c r="O718" s="103"/>
      <c r="P718" s="102"/>
      <c r="Q718" s="103"/>
      <c r="R718" s="102"/>
      <c r="S718" s="103"/>
    </row>
    <row r="719">
      <c r="A719" s="107"/>
      <c r="B719" s="102"/>
      <c r="C719" s="103"/>
      <c r="D719" s="102"/>
      <c r="E719" s="103"/>
      <c r="F719" s="102"/>
      <c r="G719" s="103"/>
      <c r="H719" s="102"/>
      <c r="I719" s="103"/>
      <c r="J719" s="102"/>
      <c r="K719" s="103"/>
      <c r="L719" s="102"/>
      <c r="M719" s="103"/>
      <c r="N719" s="102"/>
      <c r="O719" s="103"/>
      <c r="P719" s="102"/>
      <c r="Q719" s="103"/>
      <c r="R719" s="102"/>
      <c r="S719" s="103"/>
    </row>
    <row r="720">
      <c r="A720" s="107"/>
      <c r="B720" s="102"/>
      <c r="C720" s="103"/>
      <c r="D720" s="102"/>
      <c r="E720" s="103"/>
      <c r="F720" s="102"/>
      <c r="G720" s="103"/>
      <c r="H720" s="102"/>
      <c r="I720" s="103"/>
      <c r="J720" s="102"/>
      <c r="K720" s="103"/>
      <c r="L720" s="102"/>
      <c r="M720" s="103"/>
      <c r="N720" s="102"/>
      <c r="O720" s="103"/>
      <c r="P720" s="102"/>
      <c r="Q720" s="103"/>
      <c r="R720" s="102"/>
      <c r="S720" s="103"/>
    </row>
    <row r="721">
      <c r="A721" s="107"/>
      <c r="B721" s="102"/>
      <c r="C721" s="103"/>
      <c r="D721" s="102"/>
      <c r="E721" s="103"/>
      <c r="F721" s="102"/>
      <c r="G721" s="103"/>
      <c r="H721" s="102"/>
      <c r="I721" s="103"/>
      <c r="J721" s="102"/>
      <c r="K721" s="103"/>
      <c r="L721" s="102"/>
      <c r="M721" s="103"/>
      <c r="N721" s="102"/>
      <c r="O721" s="103"/>
      <c r="P721" s="102"/>
      <c r="Q721" s="103"/>
      <c r="R721" s="102"/>
      <c r="S721" s="103"/>
    </row>
    <row r="722">
      <c r="A722" s="107"/>
      <c r="B722" s="102"/>
      <c r="C722" s="103"/>
      <c r="D722" s="102"/>
      <c r="E722" s="103"/>
      <c r="F722" s="102"/>
      <c r="G722" s="103"/>
      <c r="H722" s="102"/>
      <c r="I722" s="103"/>
      <c r="J722" s="102"/>
      <c r="K722" s="103"/>
      <c r="L722" s="102"/>
      <c r="M722" s="103"/>
      <c r="N722" s="102"/>
      <c r="O722" s="103"/>
      <c r="P722" s="102"/>
      <c r="Q722" s="103"/>
      <c r="R722" s="102"/>
      <c r="S722" s="103"/>
    </row>
    <row r="723">
      <c r="A723" s="107"/>
      <c r="B723" s="102"/>
      <c r="C723" s="103"/>
      <c r="D723" s="102"/>
      <c r="E723" s="103"/>
      <c r="F723" s="102"/>
      <c r="G723" s="103"/>
      <c r="H723" s="102"/>
      <c r="I723" s="103"/>
      <c r="J723" s="102"/>
      <c r="K723" s="103"/>
      <c r="L723" s="102"/>
      <c r="M723" s="103"/>
      <c r="N723" s="102"/>
      <c r="O723" s="103"/>
      <c r="P723" s="102"/>
      <c r="Q723" s="103"/>
      <c r="R723" s="102"/>
      <c r="S723" s="103"/>
    </row>
    <row r="724">
      <c r="A724" s="107"/>
      <c r="B724" s="102"/>
      <c r="C724" s="103"/>
      <c r="D724" s="102"/>
      <c r="E724" s="103"/>
      <c r="F724" s="102"/>
      <c r="G724" s="103"/>
      <c r="H724" s="102"/>
      <c r="I724" s="103"/>
      <c r="J724" s="102"/>
      <c r="K724" s="103"/>
      <c r="L724" s="102"/>
      <c r="M724" s="103"/>
      <c r="N724" s="102"/>
      <c r="O724" s="103"/>
      <c r="P724" s="102"/>
      <c r="Q724" s="103"/>
      <c r="R724" s="102"/>
      <c r="S724" s="103"/>
    </row>
    <row r="725">
      <c r="A725" s="107"/>
      <c r="B725" s="102"/>
      <c r="C725" s="103"/>
      <c r="D725" s="102"/>
      <c r="E725" s="103"/>
      <c r="F725" s="102"/>
      <c r="G725" s="103"/>
      <c r="H725" s="102"/>
      <c r="I725" s="103"/>
      <c r="J725" s="102"/>
      <c r="K725" s="103"/>
      <c r="L725" s="102"/>
      <c r="M725" s="103"/>
      <c r="N725" s="102"/>
      <c r="O725" s="103"/>
      <c r="P725" s="102"/>
      <c r="Q725" s="103"/>
      <c r="R725" s="102"/>
      <c r="S725" s="103"/>
    </row>
    <row r="726">
      <c r="A726" s="107"/>
      <c r="B726" s="102"/>
      <c r="C726" s="103"/>
      <c r="D726" s="102"/>
      <c r="E726" s="103"/>
      <c r="F726" s="102"/>
      <c r="G726" s="103"/>
      <c r="H726" s="102"/>
      <c r="I726" s="103"/>
      <c r="J726" s="102"/>
      <c r="K726" s="103"/>
      <c r="L726" s="102"/>
      <c r="M726" s="103"/>
      <c r="N726" s="102"/>
      <c r="O726" s="103"/>
      <c r="P726" s="102"/>
      <c r="Q726" s="103"/>
      <c r="R726" s="102"/>
      <c r="S726" s="103"/>
    </row>
    <row r="727">
      <c r="A727" s="107"/>
      <c r="B727" s="102"/>
      <c r="C727" s="103"/>
      <c r="D727" s="102"/>
      <c r="E727" s="103"/>
      <c r="F727" s="102"/>
      <c r="G727" s="103"/>
      <c r="H727" s="102"/>
      <c r="I727" s="103"/>
      <c r="J727" s="102"/>
      <c r="K727" s="103"/>
      <c r="L727" s="102"/>
      <c r="M727" s="103"/>
      <c r="N727" s="102"/>
      <c r="O727" s="103"/>
      <c r="P727" s="102"/>
      <c r="Q727" s="103"/>
      <c r="R727" s="102"/>
      <c r="S727" s="103"/>
    </row>
    <row r="728">
      <c r="A728" s="107"/>
      <c r="B728" s="102"/>
      <c r="C728" s="103"/>
      <c r="D728" s="102"/>
      <c r="E728" s="103"/>
      <c r="F728" s="102"/>
      <c r="G728" s="103"/>
      <c r="H728" s="102"/>
      <c r="I728" s="103"/>
      <c r="J728" s="102"/>
      <c r="K728" s="103"/>
      <c r="L728" s="102"/>
      <c r="M728" s="103"/>
      <c r="N728" s="102"/>
      <c r="O728" s="103"/>
      <c r="P728" s="102"/>
      <c r="Q728" s="103"/>
      <c r="R728" s="102"/>
      <c r="S728" s="103"/>
    </row>
    <row r="729">
      <c r="A729" s="107"/>
      <c r="B729" s="102"/>
      <c r="C729" s="103"/>
      <c r="D729" s="102"/>
      <c r="E729" s="103"/>
      <c r="F729" s="102"/>
      <c r="G729" s="103"/>
      <c r="H729" s="102"/>
      <c r="I729" s="103"/>
      <c r="J729" s="102"/>
      <c r="K729" s="103"/>
      <c r="L729" s="102"/>
      <c r="M729" s="103"/>
      <c r="N729" s="102"/>
      <c r="O729" s="103"/>
      <c r="P729" s="102"/>
      <c r="Q729" s="103"/>
      <c r="R729" s="102"/>
      <c r="S729" s="103"/>
    </row>
    <row r="730">
      <c r="A730" s="107"/>
      <c r="B730" s="102"/>
      <c r="C730" s="103"/>
      <c r="D730" s="102"/>
      <c r="E730" s="103"/>
      <c r="F730" s="102"/>
      <c r="G730" s="103"/>
      <c r="H730" s="102"/>
      <c r="I730" s="103"/>
      <c r="J730" s="102"/>
      <c r="K730" s="103"/>
      <c r="L730" s="102"/>
      <c r="M730" s="103"/>
      <c r="N730" s="102"/>
      <c r="O730" s="103"/>
      <c r="P730" s="102"/>
      <c r="Q730" s="103"/>
      <c r="R730" s="102"/>
      <c r="S730" s="103"/>
    </row>
    <row r="731">
      <c r="A731" s="107"/>
      <c r="B731" s="102"/>
      <c r="C731" s="103"/>
      <c r="D731" s="102"/>
      <c r="E731" s="103"/>
      <c r="F731" s="102"/>
      <c r="G731" s="103"/>
      <c r="H731" s="102"/>
      <c r="I731" s="103"/>
      <c r="J731" s="102"/>
      <c r="K731" s="103"/>
      <c r="L731" s="102"/>
      <c r="M731" s="103"/>
      <c r="N731" s="102"/>
      <c r="O731" s="103"/>
      <c r="P731" s="102"/>
      <c r="Q731" s="103"/>
      <c r="R731" s="102"/>
      <c r="S731" s="103"/>
    </row>
    <row r="732">
      <c r="A732" s="107"/>
      <c r="B732" s="102"/>
      <c r="C732" s="103"/>
      <c r="D732" s="102"/>
      <c r="E732" s="103"/>
      <c r="F732" s="102"/>
      <c r="G732" s="103"/>
      <c r="H732" s="102"/>
      <c r="I732" s="103"/>
      <c r="J732" s="102"/>
      <c r="K732" s="103"/>
      <c r="L732" s="102"/>
      <c r="M732" s="103"/>
      <c r="N732" s="102"/>
      <c r="O732" s="103"/>
      <c r="P732" s="102"/>
      <c r="Q732" s="103"/>
      <c r="R732" s="102"/>
      <c r="S732" s="103"/>
    </row>
    <row r="733">
      <c r="A733" s="107"/>
      <c r="B733" s="102"/>
      <c r="C733" s="103"/>
      <c r="D733" s="102"/>
      <c r="E733" s="103"/>
      <c r="F733" s="102"/>
      <c r="G733" s="103"/>
      <c r="H733" s="102"/>
      <c r="I733" s="103"/>
      <c r="J733" s="102"/>
      <c r="K733" s="103"/>
      <c r="L733" s="102"/>
      <c r="M733" s="103"/>
      <c r="N733" s="102"/>
      <c r="O733" s="103"/>
      <c r="P733" s="102"/>
      <c r="Q733" s="103"/>
      <c r="R733" s="102"/>
      <c r="S733" s="103"/>
    </row>
    <row r="734">
      <c r="A734" s="107"/>
      <c r="B734" s="102"/>
      <c r="C734" s="103"/>
      <c r="D734" s="102"/>
      <c r="E734" s="103"/>
      <c r="F734" s="102"/>
      <c r="G734" s="103"/>
      <c r="H734" s="102"/>
      <c r="I734" s="103"/>
      <c r="J734" s="102"/>
      <c r="K734" s="103"/>
      <c r="L734" s="102"/>
      <c r="M734" s="103"/>
      <c r="N734" s="102"/>
      <c r="O734" s="103"/>
      <c r="P734" s="102"/>
      <c r="Q734" s="103"/>
      <c r="R734" s="102"/>
      <c r="S734" s="103"/>
    </row>
    <row r="735">
      <c r="A735" s="107"/>
      <c r="B735" s="102"/>
      <c r="C735" s="103"/>
      <c r="D735" s="102"/>
      <c r="E735" s="103"/>
      <c r="F735" s="102"/>
      <c r="G735" s="103"/>
      <c r="H735" s="102"/>
      <c r="I735" s="103"/>
      <c r="J735" s="102"/>
      <c r="K735" s="103"/>
      <c r="L735" s="102"/>
      <c r="M735" s="103"/>
      <c r="N735" s="102"/>
      <c r="O735" s="103"/>
      <c r="P735" s="102"/>
      <c r="Q735" s="103"/>
      <c r="R735" s="102"/>
      <c r="S735" s="103"/>
    </row>
    <row r="736">
      <c r="A736" s="107"/>
      <c r="B736" s="102"/>
      <c r="C736" s="103"/>
      <c r="D736" s="102"/>
      <c r="E736" s="103"/>
      <c r="F736" s="102"/>
      <c r="G736" s="103"/>
      <c r="H736" s="102"/>
      <c r="I736" s="103"/>
      <c r="J736" s="102"/>
      <c r="K736" s="103"/>
      <c r="L736" s="102"/>
      <c r="M736" s="103"/>
      <c r="N736" s="102"/>
      <c r="O736" s="103"/>
      <c r="P736" s="102"/>
      <c r="Q736" s="103"/>
      <c r="R736" s="102"/>
      <c r="S736" s="103"/>
    </row>
    <row r="737">
      <c r="A737" s="107"/>
      <c r="B737" s="102"/>
      <c r="C737" s="103"/>
      <c r="D737" s="102"/>
      <c r="E737" s="103"/>
      <c r="F737" s="102"/>
      <c r="G737" s="103"/>
      <c r="H737" s="102"/>
      <c r="I737" s="103"/>
      <c r="J737" s="102"/>
      <c r="K737" s="103"/>
      <c r="L737" s="102"/>
      <c r="M737" s="103"/>
      <c r="N737" s="102"/>
      <c r="O737" s="103"/>
      <c r="P737" s="102"/>
      <c r="Q737" s="103"/>
      <c r="R737" s="102"/>
      <c r="S737" s="103"/>
    </row>
    <row r="738">
      <c r="A738" s="107"/>
      <c r="B738" s="102"/>
      <c r="C738" s="103"/>
      <c r="D738" s="102"/>
      <c r="E738" s="103"/>
      <c r="F738" s="102"/>
      <c r="G738" s="103"/>
      <c r="H738" s="102"/>
      <c r="I738" s="103"/>
      <c r="J738" s="102"/>
      <c r="K738" s="103"/>
      <c r="L738" s="102"/>
      <c r="M738" s="103"/>
      <c r="N738" s="102"/>
      <c r="O738" s="103"/>
      <c r="P738" s="102"/>
      <c r="Q738" s="103"/>
      <c r="R738" s="102"/>
      <c r="S738" s="103"/>
    </row>
    <row r="739">
      <c r="A739" s="107"/>
      <c r="B739" s="102"/>
      <c r="C739" s="103"/>
      <c r="D739" s="102"/>
      <c r="E739" s="103"/>
      <c r="F739" s="102"/>
      <c r="G739" s="103"/>
      <c r="H739" s="102"/>
      <c r="I739" s="103"/>
      <c r="J739" s="102"/>
      <c r="K739" s="103"/>
      <c r="L739" s="102"/>
      <c r="M739" s="103"/>
      <c r="N739" s="102"/>
      <c r="O739" s="103"/>
      <c r="P739" s="102"/>
      <c r="Q739" s="103"/>
      <c r="R739" s="102"/>
      <c r="S739" s="103"/>
    </row>
    <row r="740">
      <c r="A740" s="107"/>
      <c r="B740" s="102"/>
      <c r="C740" s="103"/>
      <c r="D740" s="102"/>
      <c r="E740" s="103"/>
      <c r="F740" s="102"/>
      <c r="G740" s="103"/>
      <c r="H740" s="102"/>
      <c r="I740" s="103"/>
      <c r="J740" s="102"/>
      <c r="K740" s="103"/>
      <c r="L740" s="102"/>
      <c r="M740" s="103"/>
      <c r="N740" s="102"/>
      <c r="O740" s="103"/>
      <c r="P740" s="102"/>
      <c r="Q740" s="103"/>
      <c r="R740" s="102"/>
      <c r="S740" s="103"/>
    </row>
    <row r="741">
      <c r="A741" s="107"/>
      <c r="B741" s="102"/>
      <c r="C741" s="103"/>
      <c r="D741" s="102"/>
      <c r="E741" s="103"/>
      <c r="F741" s="102"/>
      <c r="G741" s="103"/>
      <c r="H741" s="102"/>
      <c r="I741" s="103"/>
      <c r="J741" s="102"/>
      <c r="K741" s="103"/>
      <c r="L741" s="102"/>
      <c r="M741" s="103"/>
      <c r="N741" s="102"/>
      <c r="O741" s="103"/>
      <c r="P741" s="102"/>
      <c r="Q741" s="103"/>
      <c r="R741" s="102"/>
      <c r="S741" s="103"/>
    </row>
    <row r="742">
      <c r="A742" s="107"/>
      <c r="B742" s="102"/>
      <c r="C742" s="103"/>
      <c r="D742" s="102"/>
      <c r="E742" s="103"/>
      <c r="F742" s="102"/>
      <c r="G742" s="103"/>
      <c r="H742" s="102"/>
      <c r="I742" s="103"/>
      <c r="J742" s="102"/>
      <c r="K742" s="103"/>
      <c r="L742" s="102"/>
      <c r="M742" s="103"/>
      <c r="N742" s="102"/>
      <c r="O742" s="103"/>
      <c r="P742" s="102"/>
      <c r="Q742" s="103"/>
      <c r="R742" s="102"/>
      <c r="S742" s="103"/>
    </row>
    <row r="743">
      <c r="A743" s="107"/>
      <c r="B743" s="102"/>
      <c r="C743" s="103"/>
      <c r="D743" s="102"/>
      <c r="E743" s="103"/>
      <c r="F743" s="102"/>
      <c r="G743" s="103"/>
      <c r="H743" s="102"/>
      <c r="I743" s="103"/>
      <c r="J743" s="102"/>
      <c r="K743" s="103"/>
      <c r="L743" s="102"/>
      <c r="M743" s="103"/>
      <c r="N743" s="102"/>
      <c r="O743" s="103"/>
      <c r="P743" s="102"/>
      <c r="Q743" s="103"/>
      <c r="R743" s="102"/>
      <c r="S743" s="103"/>
    </row>
    <row r="744">
      <c r="A744" s="107"/>
      <c r="B744" s="102"/>
      <c r="C744" s="103"/>
      <c r="D744" s="102"/>
      <c r="E744" s="103"/>
      <c r="F744" s="102"/>
      <c r="G744" s="103"/>
      <c r="H744" s="102"/>
      <c r="I744" s="103"/>
      <c r="J744" s="102"/>
      <c r="K744" s="103"/>
      <c r="L744" s="102"/>
      <c r="M744" s="103"/>
      <c r="N744" s="102"/>
      <c r="O744" s="103"/>
      <c r="P744" s="102"/>
      <c r="Q744" s="103"/>
      <c r="R744" s="102"/>
      <c r="S744" s="103"/>
    </row>
    <row r="745">
      <c r="A745" s="107"/>
      <c r="B745" s="102"/>
      <c r="C745" s="103"/>
      <c r="D745" s="102"/>
      <c r="E745" s="103"/>
      <c r="F745" s="102"/>
      <c r="G745" s="103"/>
      <c r="H745" s="102"/>
      <c r="I745" s="103"/>
      <c r="J745" s="102"/>
      <c r="K745" s="103"/>
      <c r="L745" s="102"/>
      <c r="M745" s="103"/>
      <c r="N745" s="102"/>
      <c r="O745" s="103"/>
      <c r="P745" s="102"/>
      <c r="Q745" s="103"/>
      <c r="R745" s="102"/>
      <c r="S745" s="103"/>
    </row>
    <row r="746">
      <c r="A746" s="107"/>
      <c r="B746" s="102"/>
      <c r="C746" s="103"/>
      <c r="D746" s="102"/>
      <c r="E746" s="103"/>
      <c r="F746" s="102"/>
      <c r="G746" s="103"/>
      <c r="H746" s="102"/>
      <c r="I746" s="103"/>
      <c r="J746" s="102"/>
      <c r="K746" s="103"/>
      <c r="L746" s="102"/>
      <c r="M746" s="103"/>
      <c r="N746" s="102"/>
      <c r="O746" s="103"/>
      <c r="P746" s="102"/>
      <c r="Q746" s="103"/>
      <c r="R746" s="102"/>
      <c r="S746" s="103"/>
    </row>
    <row r="747">
      <c r="A747" s="107"/>
      <c r="B747" s="102"/>
      <c r="C747" s="103"/>
      <c r="D747" s="102"/>
      <c r="E747" s="103"/>
      <c r="F747" s="102"/>
      <c r="G747" s="103"/>
      <c r="H747" s="102"/>
      <c r="I747" s="103"/>
      <c r="J747" s="102"/>
      <c r="K747" s="103"/>
      <c r="L747" s="102"/>
      <c r="M747" s="103"/>
      <c r="N747" s="102"/>
      <c r="O747" s="103"/>
      <c r="P747" s="102"/>
      <c r="Q747" s="103"/>
      <c r="R747" s="102"/>
      <c r="S747" s="103"/>
    </row>
    <row r="748">
      <c r="A748" s="107"/>
      <c r="B748" s="102"/>
      <c r="C748" s="103"/>
      <c r="D748" s="102"/>
      <c r="E748" s="103"/>
      <c r="F748" s="102"/>
      <c r="G748" s="103"/>
      <c r="H748" s="102"/>
      <c r="I748" s="103"/>
      <c r="J748" s="102"/>
      <c r="K748" s="103"/>
      <c r="L748" s="102"/>
      <c r="M748" s="103"/>
      <c r="N748" s="102"/>
      <c r="O748" s="103"/>
      <c r="P748" s="102"/>
      <c r="Q748" s="103"/>
      <c r="R748" s="102"/>
      <c r="S748" s="103"/>
    </row>
    <row r="749">
      <c r="A749" s="107"/>
      <c r="B749" s="102"/>
      <c r="C749" s="103"/>
      <c r="D749" s="102"/>
      <c r="E749" s="103"/>
      <c r="F749" s="102"/>
      <c r="G749" s="103"/>
      <c r="H749" s="102"/>
      <c r="I749" s="103"/>
      <c r="J749" s="102"/>
      <c r="K749" s="103"/>
      <c r="L749" s="102"/>
      <c r="M749" s="103"/>
      <c r="N749" s="102"/>
      <c r="O749" s="103"/>
      <c r="P749" s="102"/>
      <c r="Q749" s="103"/>
      <c r="R749" s="102"/>
      <c r="S749" s="103"/>
    </row>
    <row r="750">
      <c r="A750" s="107"/>
      <c r="B750" s="102"/>
      <c r="C750" s="103"/>
      <c r="D750" s="102"/>
      <c r="E750" s="103"/>
      <c r="F750" s="102"/>
      <c r="G750" s="103"/>
      <c r="H750" s="102"/>
      <c r="I750" s="103"/>
      <c r="J750" s="102"/>
      <c r="K750" s="103"/>
      <c r="L750" s="102"/>
      <c r="M750" s="103"/>
      <c r="N750" s="102"/>
      <c r="O750" s="103"/>
      <c r="P750" s="102"/>
      <c r="Q750" s="103"/>
      <c r="R750" s="102"/>
      <c r="S750" s="103"/>
    </row>
    <row r="751">
      <c r="A751" s="107"/>
      <c r="B751" s="102"/>
      <c r="C751" s="103"/>
      <c r="D751" s="102"/>
      <c r="E751" s="103"/>
      <c r="F751" s="102"/>
      <c r="G751" s="103"/>
      <c r="H751" s="102"/>
      <c r="I751" s="103"/>
      <c r="J751" s="102"/>
      <c r="K751" s="103"/>
      <c r="L751" s="102"/>
      <c r="M751" s="103"/>
      <c r="N751" s="102"/>
      <c r="O751" s="103"/>
      <c r="P751" s="102"/>
      <c r="Q751" s="103"/>
      <c r="R751" s="102"/>
      <c r="S751" s="103"/>
    </row>
    <row r="752">
      <c r="A752" s="107"/>
      <c r="B752" s="102"/>
      <c r="C752" s="103"/>
      <c r="D752" s="102"/>
      <c r="E752" s="103"/>
      <c r="F752" s="102"/>
      <c r="G752" s="103"/>
      <c r="H752" s="102"/>
      <c r="I752" s="103"/>
      <c r="J752" s="102"/>
      <c r="K752" s="103"/>
      <c r="L752" s="102"/>
      <c r="M752" s="103"/>
      <c r="N752" s="102"/>
      <c r="O752" s="103"/>
      <c r="P752" s="102"/>
      <c r="Q752" s="103"/>
      <c r="R752" s="102"/>
      <c r="S752" s="103"/>
    </row>
    <row r="753">
      <c r="A753" s="107"/>
      <c r="B753" s="102"/>
      <c r="C753" s="103"/>
      <c r="D753" s="102"/>
      <c r="E753" s="103"/>
      <c r="F753" s="102"/>
      <c r="G753" s="103"/>
      <c r="H753" s="102"/>
      <c r="I753" s="103"/>
      <c r="J753" s="102"/>
      <c r="K753" s="103"/>
      <c r="L753" s="102"/>
      <c r="M753" s="103"/>
      <c r="N753" s="102"/>
      <c r="O753" s="103"/>
      <c r="P753" s="102"/>
      <c r="Q753" s="103"/>
      <c r="R753" s="102"/>
      <c r="S753" s="103"/>
    </row>
    <row r="754">
      <c r="A754" s="107"/>
      <c r="B754" s="102"/>
      <c r="C754" s="103"/>
      <c r="D754" s="102"/>
      <c r="E754" s="103"/>
      <c r="F754" s="102"/>
      <c r="G754" s="103"/>
      <c r="H754" s="102"/>
      <c r="I754" s="103"/>
      <c r="J754" s="102"/>
      <c r="K754" s="103"/>
      <c r="L754" s="102"/>
      <c r="M754" s="103"/>
      <c r="N754" s="102"/>
      <c r="O754" s="103"/>
      <c r="P754" s="102"/>
      <c r="Q754" s="103"/>
      <c r="R754" s="102"/>
      <c r="S754" s="103"/>
    </row>
    <row r="755">
      <c r="A755" s="107"/>
      <c r="B755" s="102"/>
      <c r="C755" s="103"/>
      <c r="D755" s="102"/>
      <c r="E755" s="103"/>
      <c r="F755" s="102"/>
      <c r="G755" s="103"/>
      <c r="H755" s="102"/>
      <c r="I755" s="103"/>
      <c r="J755" s="102"/>
      <c r="K755" s="103"/>
      <c r="L755" s="102"/>
      <c r="M755" s="103"/>
      <c r="N755" s="102"/>
      <c r="O755" s="103"/>
      <c r="P755" s="102"/>
      <c r="Q755" s="103"/>
      <c r="R755" s="102"/>
      <c r="S755" s="103"/>
    </row>
    <row r="756">
      <c r="A756" s="107"/>
      <c r="B756" s="102"/>
      <c r="C756" s="103"/>
      <c r="D756" s="102"/>
      <c r="E756" s="103"/>
      <c r="F756" s="102"/>
      <c r="G756" s="103"/>
      <c r="H756" s="102"/>
      <c r="I756" s="103"/>
      <c r="J756" s="102"/>
      <c r="K756" s="103"/>
      <c r="L756" s="102"/>
      <c r="M756" s="103"/>
      <c r="N756" s="102"/>
      <c r="O756" s="103"/>
      <c r="P756" s="102"/>
      <c r="Q756" s="103"/>
      <c r="R756" s="102"/>
      <c r="S756" s="103"/>
    </row>
    <row r="757">
      <c r="A757" s="107"/>
      <c r="B757" s="102"/>
      <c r="C757" s="103"/>
      <c r="D757" s="102"/>
      <c r="E757" s="103"/>
      <c r="F757" s="102"/>
      <c r="G757" s="103"/>
      <c r="H757" s="102"/>
      <c r="I757" s="103"/>
      <c r="J757" s="102"/>
      <c r="K757" s="103"/>
      <c r="L757" s="102"/>
      <c r="M757" s="103"/>
      <c r="N757" s="102"/>
      <c r="O757" s="103"/>
      <c r="P757" s="102"/>
      <c r="Q757" s="103"/>
      <c r="R757" s="102"/>
      <c r="S757" s="103"/>
    </row>
    <row r="758">
      <c r="A758" s="107"/>
      <c r="B758" s="102"/>
      <c r="C758" s="103"/>
      <c r="D758" s="102"/>
      <c r="E758" s="103"/>
      <c r="F758" s="102"/>
      <c r="G758" s="103"/>
      <c r="H758" s="102"/>
      <c r="I758" s="103"/>
      <c r="J758" s="102"/>
      <c r="K758" s="103"/>
      <c r="L758" s="102"/>
      <c r="M758" s="103"/>
      <c r="N758" s="102"/>
      <c r="O758" s="103"/>
      <c r="P758" s="102"/>
      <c r="Q758" s="103"/>
      <c r="R758" s="102"/>
      <c r="S758" s="103"/>
    </row>
    <row r="759">
      <c r="A759" s="107"/>
      <c r="B759" s="102"/>
      <c r="C759" s="103"/>
      <c r="D759" s="102"/>
      <c r="E759" s="103"/>
      <c r="F759" s="102"/>
      <c r="G759" s="103"/>
      <c r="H759" s="102"/>
      <c r="I759" s="103"/>
      <c r="J759" s="102"/>
      <c r="K759" s="103"/>
      <c r="L759" s="102"/>
      <c r="M759" s="103"/>
      <c r="N759" s="102"/>
      <c r="O759" s="103"/>
      <c r="P759" s="102"/>
      <c r="Q759" s="103"/>
      <c r="R759" s="102"/>
      <c r="S759" s="103"/>
    </row>
    <row r="760">
      <c r="A760" s="107"/>
      <c r="B760" s="102"/>
      <c r="C760" s="103"/>
      <c r="D760" s="102"/>
      <c r="E760" s="103"/>
      <c r="F760" s="102"/>
      <c r="G760" s="103"/>
      <c r="H760" s="102"/>
      <c r="I760" s="103"/>
      <c r="J760" s="102"/>
      <c r="K760" s="103"/>
      <c r="L760" s="102"/>
      <c r="M760" s="103"/>
      <c r="N760" s="102"/>
      <c r="O760" s="103"/>
      <c r="P760" s="102"/>
      <c r="Q760" s="103"/>
      <c r="R760" s="102"/>
      <c r="S760" s="103"/>
    </row>
    <row r="761">
      <c r="A761" s="107"/>
      <c r="B761" s="102"/>
      <c r="C761" s="103"/>
      <c r="D761" s="102"/>
      <c r="E761" s="103"/>
      <c r="F761" s="102"/>
      <c r="G761" s="103"/>
      <c r="H761" s="102"/>
      <c r="I761" s="103"/>
      <c r="J761" s="102"/>
      <c r="K761" s="103"/>
      <c r="L761" s="102"/>
      <c r="M761" s="103"/>
      <c r="N761" s="102"/>
      <c r="O761" s="103"/>
      <c r="P761" s="102"/>
      <c r="Q761" s="103"/>
      <c r="R761" s="102"/>
      <c r="S761" s="103"/>
    </row>
    <row r="762">
      <c r="A762" s="107"/>
      <c r="B762" s="102"/>
      <c r="C762" s="103"/>
      <c r="D762" s="102"/>
      <c r="E762" s="103"/>
      <c r="F762" s="102"/>
      <c r="G762" s="103"/>
      <c r="H762" s="102"/>
      <c r="I762" s="103"/>
      <c r="J762" s="102"/>
      <c r="K762" s="103"/>
      <c r="L762" s="102"/>
      <c r="M762" s="103"/>
      <c r="N762" s="102"/>
      <c r="O762" s="103"/>
      <c r="P762" s="102"/>
      <c r="Q762" s="103"/>
      <c r="R762" s="102"/>
      <c r="S762" s="103"/>
    </row>
    <row r="763">
      <c r="A763" s="107"/>
      <c r="B763" s="102"/>
      <c r="C763" s="103"/>
      <c r="D763" s="102"/>
      <c r="E763" s="103"/>
      <c r="F763" s="102"/>
      <c r="G763" s="103"/>
      <c r="H763" s="102"/>
      <c r="I763" s="103"/>
      <c r="J763" s="102"/>
      <c r="K763" s="103"/>
      <c r="L763" s="102"/>
      <c r="M763" s="103"/>
      <c r="N763" s="102"/>
      <c r="O763" s="103"/>
      <c r="P763" s="102"/>
      <c r="Q763" s="103"/>
      <c r="R763" s="102"/>
      <c r="S763" s="103"/>
    </row>
    <row r="764">
      <c r="A764" s="107"/>
      <c r="B764" s="102"/>
      <c r="C764" s="103"/>
      <c r="D764" s="102"/>
      <c r="E764" s="103"/>
      <c r="F764" s="102"/>
      <c r="G764" s="103"/>
      <c r="H764" s="102"/>
      <c r="I764" s="103"/>
      <c r="J764" s="102"/>
      <c r="K764" s="103"/>
      <c r="L764" s="102"/>
      <c r="M764" s="103"/>
      <c r="N764" s="102"/>
      <c r="O764" s="103"/>
      <c r="P764" s="102"/>
      <c r="Q764" s="103"/>
      <c r="R764" s="102"/>
      <c r="S764" s="103"/>
    </row>
    <row r="765">
      <c r="A765" s="107"/>
      <c r="B765" s="102"/>
      <c r="C765" s="103"/>
      <c r="D765" s="102"/>
      <c r="E765" s="103"/>
      <c r="F765" s="102"/>
      <c r="G765" s="103"/>
      <c r="H765" s="102"/>
      <c r="I765" s="103"/>
      <c r="J765" s="102"/>
      <c r="K765" s="103"/>
      <c r="L765" s="102"/>
      <c r="M765" s="103"/>
      <c r="N765" s="102"/>
      <c r="O765" s="103"/>
      <c r="P765" s="102"/>
      <c r="Q765" s="103"/>
      <c r="R765" s="102"/>
      <c r="S765" s="103"/>
    </row>
    <row r="766">
      <c r="A766" s="107"/>
      <c r="B766" s="102"/>
      <c r="C766" s="103"/>
      <c r="D766" s="102"/>
      <c r="E766" s="103"/>
      <c r="F766" s="102"/>
      <c r="G766" s="103"/>
      <c r="H766" s="102"/>
      <c r="I766" s="103"/>
      <c r="J766" s="102"/>
      <c r="K766" s="103"/>
      <c r="L766" s="102"/>
      <c r="M766" s="103"/>
      <c r="N766" s="102"/>
      <c r="O766" s="103"/>
      <c r="P766" s="102"/>
      <c r="Q766" s="103"/>
      <c r="R766" s="102"/>
      <c r="S766" s="103"/>
    </row>
    <row r="767">
      <c r="A767" s="107"/>
      <c r="B767" s="102"/>
      <c r="C767" s="103"/>
      <c r="D767" s="102"/>
      <c r="E767" s="103"/>
      <c r="F767" s="102"/>
      <c r="G767" s="103"/>
      <c r="H767" s="102"/>
      <c r="I767" s="103"/>
      <c r="J767" s="102"/>
      <c r="K767" s="103"/>
      <c r="L767" s="102"/>
      <c r="M767" s="103"/>
      <c r="N767" s="102"/>
      <c r="O767" s="103"/>
      <c r="P767" s="102"/>
      <c r="Q767" s="103"/>
      <c r="R767" s="102"/>
      <c r="S767" s="103"/>
    </row>
    <row r="768">
      <c r="A768" s="107"/>
      <c r="B768" s="102"/>
      <c r="C768" s="103"/>
      <c r="D768" s="102"/>
      <c r="E768" s="103"/>
      <c r="F768" s="102"/>
      <c r="G768" s="103"/>
      <c r="H768" s="102"/>
      <c r="I768" s="103"/>
      <c r="J768" s="102"/>
      <c r="K768" s="103"/>
      <c r="L768" s="102"/>
      <c r="M768" s="103"/>
      <c r="N768" s="102"/>
      <c r="O768" s="103"/>
      <c r="P768" s="102"/>
      <c r="Q768" s="103"/>
      <c r="R768" s="102"/>
      <c r="S768" s="103"/>
    </row>
    <row r="769">
      <c r="A769" s="107"/>
      <c r="B769" s="102"/>
      <c r="C769" s="103"/>
      <c r="D769" s="102"/>
      <c r="E769" s="103"/>
      <c r="F769" s="102"/>
      <c r="G769" s="103"/>
      <c r="H769" s="102"/>
      <c r="I769" s="103"/>
      <c r="J769" s="102"/>
      <c r="K769" s="103"/>
      <c r="L769" s="102"/>
      <c r="M769" s="103"/>
      <c r="N769" s="102"/>
      <c r="O769" s="103"/>
      <c r="P769" s="102"/>
      <c r="Q769" s="103"/>
      <c r="R769" s="102"/>
      <c r="S769" s="103"/>
    </row>
    <row r="770">
      <c r="A770" s="107"/>
      <c r="B770" s="102"/>
      <c r="C770" s="103"/>
      <c r="D770" s="102"/>
      <c r="E770" s="103"/>
      <c r="F770" s="102"/>
      <c r="G770" s="103"/>
      <c r="H770" s="102"/>
      <c r="I770" s="103"/>
      <c r="J770" s="102"/>
      <c r="K770" s="103"/>
      <c r="L770" s="102"/>
      <c r="M770" s="103"/>
      <c r="N770" s="102"/>
      <c r="O770" s="103"/>
      <c r="P770" s="102"/>
      <c r="Q770" s="103"/>
      <c r="R770" s="102"/>
      <c r="S770" s="103"/>
    </row>
    <row r="771">
      <c r="A771" s="107"/>
      <c r="B771" s="102"/>
      <c r="C771" s="103"/>
      <c r="D771" s="102"/>
      <c r="E771" s="103"/>
      <c r="F771" s="102"/>
      <c r="G771" s="103"/>
      <c r="H771" s="102"/>
      <c r="I771" s="103"/>
      <c r="J771" s="102"/>
      <c r="K771" s="103"/>
      <c r="L771" s="102"/>
      <c r="M771" s="103"/>
      <c r="N771" s="102"/>
      <c r="O771" s="103"/>
      <c r="P771" s="102"/>
      <c r="Q771" s="103"/>
      <c r="R771" s="102"/>
      <c r="S771" s="103"/>
    </row>
    <row r="772">
      <c r="A772" s="107"/>
      <c r="B772" s="102"/>
      <c r="C772" s="103"/>
      <c r="D772" s="102"/>
      <c r="E772" s="103"/>
      <c r="F772" s="102"/>
      <c r="G772" s="103"/>
      <c r="H772" s="102"/>
      <c r="I772" s="103"/>
      <c r="J772" s="102"/>
      <c r="K772" s="103"/>
      <c r="L772" s="102"/>
      <c r="M772" s="103"/>
      <c r="N772" s="102"/>
      <c r="O772" s="103"/>
      <c r="P772" s="102"/>
      <c r="Q772" s="103"/>
      <c r="R772" s="102"/>
      <c r="S772" s="103"/>
    </row>
    <row r="773">
      <c r="A773" s="107"/>
      <c r="B773" s="102"/>
      <c r="C773" s="103"/>
      <c r="D773" s="102"/>
      <c r="E773" s="103"/>
      <c r="F773" s="102"/>
      <c r="G773" s="103"/>
      <c r="H773" s="102"/>
      <c r="I773" s="103"/>
      <c r="J773" s="102"/>
      <c r="K773" s="103"/>
      <c r="L773" s="102"/>
      <c r="M773" s="103"/>
      <c r="N773" s="102"/>
      <c r="O773" s="103"/>
      <c r="P773" s="102"/>
      <c r="Q773" s="103"/>
      <c r="R773" s="102"/>
      <c r="S773" s="103"/>
    </row>
    <row r="774">
      <c r="A774" s="107"/>
      <c r="B774" s="102"/>
      <c r="C774" s="103"/>
      <c r="D774" s="102"/>
      <c r="E774" s="103"/>
      <c r="F774" s="102"/>
      <c r="G774" s="103"/>
      <c r="H774" s="102"/>
      <c r="I774" s="103"/>
      <c r="J774" s="102"/>
      <c r="K774" s="103"/>
      <c r="L774" s="102"/>
      <c r="M774" s="103"/>
      <c r="N774" s="102"/>
      <c r="O774" s="103"/>
      <c r="P774" s="102"/>
      <c r="Q774" s="103"/>
      <c r="R774" s="102"/>
      <c r="S774" s="103"/>
    </row>
    <row r="775">
      <c r="A775" s="107"/>
      <c r="B775" s="102"/>
      <c r="C775" s="103"/>
      <c r="D775" s="102"/>
      <c r="E775" s="103"/>
      <c r="F775" s="102"/>
      <c r="G775" s="103"/>
      <c r="H775" s="102"/>
      <c r="I775" s="103"/>
      <c r="J775" s="102"/>
      <c r="K775" s="103"/>
      <c r="L775" s="102"/>
      <c r="M775" s="103"/>
      <c r="N775" s="102"/>
      <c r="O775" s="103"/>
      <c r="P775" s="102"/>
      <c r="Q775" s="103"/>
      <c r="R775" s="102"/>
      <c r="S775" s="103"/>
    </row>
    <row r="776">
      <c r="A776" s="107"/>
      <c r="B776" s="102"/>
      <c r="C776" s="103"/>
      <c r="D776" s="102"/>
      <c r="E776" s="103"/>
      <c r="F776" s="102"/>
      <c r="G776" s="103"/>
      <c r="H776" s="102"/>
      <c r="I776" s="103"/>
      <c r="J776" s="102"/>
      <c r="K776" s="103"/>
      <c r="L776" s="102"/>
      <c r="M776" s="103"/>
      <c r="N776" s="102"/>
      <c r="O776" s="103"/>
      <c r="P776" s="102"/>
      <c r="Q776" s="103"/>
      <c r="R776" s="102"/>
      <c r="S776" s="103"/>
    </row>
    <row r="777">
      <c r="A777" s="107"/>
      <c r="B777" s="102"/>
      <c r="C777" s="103"/>
      <c r="D777" s="102"/>
      <c r="E777" s="103"/>
      <c r="F777" s="102"/>
      <c r="G777" s="103"/>
      <c r="H777" s="102"/>
      <c r="I777" s="103"/>
      <c r="J777" s="102"/>
      <c r="K777" s="103"/>
      <c r="L777" s="102"/>
      <c r="M777" s="103"/>
      <c r="N777" s="102"/>
      <c r="O777" s="103"/>
      <c r="P777" s="102"/>
      <c r="Q777" s="103"/>
      <c r="R777" s="102"/>
      <c r="S777" s="103"/>
    </row>
    <row r="778">
      <c r="A778" s="107"/>
      <c r="B778" s="102"/>
      <c r="C778" s="103"/>
      <c r="D778" s="102"/>
      <c r="E778" s="103"/>
      <c r="F778" s="102"/>
      <c r="G778" s="103"/>
      <c r="H778" s="102"/>
      <c r="I778" s="103"/>
      <c r="J778" s="102"/>
      <c r="K778" s="103"/>
      <c r="L778" s="102"/>
      <c r="M778" s="103"/>
      <c r="N778" s="102"/>
      <c r="O778" s="103"/>
      <c r="P778" s="102"/>
      <c r="Q778" s="103"/>
      <c r="R778" s="102"/>
      <c r="S778" s="103"/>
    </row>
    <row r="779">
      <c r="A779" s="107"/>
      <c r="B779" s="102"/>
      <c r="C779" s="103"/>
      <c r="D779" s="102"/>
      <c r="E779" s="103"/>
      <c r="F779" s="102"/>
      <c r="G779" s="103"/>
      <c r="H779" s="102"/>
      <c r="I779" s="103"/>
      <c r="J779" s="102"/>
      <c r="K779" s="103"/>
      <c r="L779" s="102"/>
      <c r="M779" s="103"/>
      <c r="N779" s="102"/>
      <c r="O779" s="103"/>
      <c r="P779" s="102"/>
      <c r="Q779" s="103"/>
      <c r="R779" s="102"/>
      <c r="S779" s="103"/>
    </row>
    <row r="780">
      <c r="A780" s="107"/>
      <c r="B780" s="102"/>
      <c r="C780" s="103"/>
      <c r="D780" s="102"/>
      <c r="E780" s="103"/>
      <c r="F780" s="102"/>
      <c r="G780" s="103"/>
      <c r="H780" s="102"/>
      <c r="I780" s="103"/>
      <c r="J780" s="102"/>
      <c r="K780" s="103"/>
      <c r="L780" s="102"/>
      <c r="M780" s="103"/>
      <c r="N780" s="102"/>
      <c r="O780" s="103"/>
      <c r="P780" s="102"/>
      <c r="Q780" s="103"/>
      <c r="R780" s="102"/>
      <c r="S780" s="103"/>
    </row>
    <row r="781">
      <c r="A781" s="107"/>
      <c r="B781" s="102"/>
      <c r="C781" s="103"/>
      <c r="D781" s="102"/>
      <c r="E781" s="103"/>
      <c r="F781" s="102"/>
      <c r="G781" s="103"/>
      <c r="H781" s="102"/>
      <c r="I781" s="103"/>
      <c r="J781" s="102"/>
      <c r="K781" s="103"/>
      <c r="L781" s="102"/>
      <c r="M781" s="103"/>
      <c r="N781" s="102"/>
      <c r="O781" s="103"/>
      <c r="P781" s="102"/>
      <c r="Q781" s="103"/>
      <c r="R781" s="102"/>
      <c r="S781" s="103"/>
    </row>
    <row r="782">
      <c r="A782" s="107"/>
      <c r="B782" s="102"/>
      <c r="C782" s="103"/>
      <c r="D782" s="102"/>
      <c r="E782" s="103"/>
      <c r="F782" s="102"/>
      <c r="G782" s="103"/>
      <c r="H782" s="102"/>
      <c r="I782" s="103"/>
      <c r="J782" s="102"/>
      <c r="K782" s="103"/>
      <c r="L782" s="102"/>
      <c r="M782" s="103"/>
      <c r="N782" s="102"/>
      <c r="O782" s="103"/>
      <c r="P782" s="102"/>
      <c r="Q782" s="103"/>
      <c r="R782" s="102"/>
      <c r="S782" s="103"/>
    </row>
    <row r="783">
      <c r="A783" s="107"/>
      <c r="B783" s="102"/>
      <c r="C783" s="103"/>
      <c r="D783" s="102"/>
      <c r="E783" s="103"/>
      <c r="F783" s="102"/>
      <c r="G783" s="103"/>
      <c r="H783" s="102"/>
      <c r="I783" s="103"/>
      <c r="J783" s="102"/>
      <c r="K783" s="103"/>
      <c r="L783" s="102"/>
      <c r="M783" s="103"/>
      <c r="N783" s="102"/>
      <c r="O783" s="103"/>
      <c r="P783" s="102"/>
      <c r="Q783" s="103"/>
      <c r="R783" s="102"/>
      <c r="S783" s="103"/>
    </row>
    <row r="784">
      <c r="A784" s="107"/>
      <c r="B784" s="102"/>
      <c r="C784" s="103"/>
      <c r="D784" s="102"/>
      <c r="E784" s="103"/>
      <c r="F784" s="102"/>
      <c r="G784" s="103"/>
      <c r="H784" s="102"/>
      <c r="I784" s="103"/>
      <c r="J784" s="102"/>
      <c r="K784" s="103"/>
      <c r="L784" s="102"/>
      <c r="M784" s="103"/>
      <c r="N784" s="102"/>
      <c r="O784" s="103"/>
      <c r="P784" s="102"/>
      <c r="Q784" s="103"/>
      <c r="R784" s="102"/>
      <c r="S784" s="103"/>
    </row>
    <row r="785">
      <c r="A785" s="107"/>
      <c r="B785" s="102"/>
      <c r="C785" s="103"/>
      <c r="D785" s="102"/>
      <c r="E785" s="103"/>
      <c r="F785" s="102"/>
      <c r="G785" s="103"/>
      <c r="H785" s="102"/>
      <c r="I785" s="103"/>
      <c r="J785" s="102"/>
      <c r="K785" s="103"/>
      <c r="L785" s="102"/>
      <c r="M785" s="103"/>
      <c r="N785" s="102"/>
      <c r="O785" s="103"/>
      <c r="P785" s="102"/>
      <c r="Q785" s="103"/>
      <c r="R785" s="102"/>
      <c r="S785" s="103"/>
    </row>
    <row r="786">
      <c r="A786" s="107"/>
      <c r="B786" s="102"/>
      <c r="C786" s="103"/>
      <c r="D786" s="102"/>
      <c r="E786" s="103"/>
      <c r="F786" s="102"/>
      <c r="G786" s="103"/>
      <c r="H786" s="102"/>
      <c r="I786" s="103"/>
      <c r="J786" s="102"/>
      <c r="K786" s="103"/>
      <c r="L786" s="102"/>
      <c r="M786" s="103"/>
      <c r="N786" s="102"/>
      <c r="O786" s="103"/>
      <c r="P786" s="102"/>
      <c r="Q786" s="103"/>
      <c r="R786" s="102"/>
      <c r="S786" s="103"/>
    </row>
    <row r="787">
      <c r="A787" s="107"/>
      <c r="B787" s="102"/>
      <c r="C787" s="103"/>
      <c r="D787" s="102"/>
      <c r="E787" s="103"/>
      <c r="F787" s="102"/>
      <c r="G787" s="103"/>
      <c r="H787" s="102"/>
      <c r="I787" s="103"/>
      <c r="J787" s="102"/>
      <c r="K787" s="103"/>
      <c r="L787" s="102"/>
      <c r="M787" s="103"/>
      <c r="N787" s="102"/>
      <c r="O787" s="103"/>
      <c r="P787" s="102"/>
      <c r="Q787" s="103"/>
      <c r="R787" s="102"/>
      <c r="S787" s="103"/>
    </row>
    <row r="788">
      <c r="A788" s="107"/>
      <c r="B788" s="102"/>
      <c r="C788" s="103"/>
      <c r="D788" s="102"/>
      <c r="E788" s="103"/>
      <c r="F788" s="102"/>
      <c r="G788" s="103"/>
      <c r="H788" s="102"/>
      <c r="I788" s="103"/>
      <c r="J788" s="102"/>
      <c r="K788" s="103"/>
      <c r="L788" s="102"/>
      <c r="M788" s="103"/>
      <c r="N788" s="102"/>
      <c r="O788" s="103"/>
      <c r="P788" s="102"/>
      <c r="Q788" s="103"/>
      <c r="R788" s="102"/>
      <c r="S788" s="103"/>
    </row>
    <row r="789">
      <c r="A789" s="107"/>
      <c r="B789" s="102"/>
      <c r="C789" s="103"/>
      <c r="D789" s="102"/>
      <c r="E789" s="103"/>
      <c r="F789" s="102"/>
      <c r="G789" s="103"/>
      <c r="H789" s="102"/>
      <c r="I789" s="103"/>
      <c r="J789" s="102"/>
      <c r="K789" s="103"/>
      <c r="L789" s="102"/>
      <c r="M789" s="103"/>
      <c r="N789" s="102"/>
      <c r="O789" s="103"/>
      <c r="P789" s="102"/>
      <c r="Q789" s="103"/>
      <c r="R789" s="102"/>
      <c r="S789" s="103"/>
    </row>
    <row r="790">
      <c r="A790" s="107"/>
      <c r="B790" s="102"/>
      <c r="C790" s="103"/>
      <c r="D790" s="102"/>
      <c r="E790" s="103"/>
      <c r="F790" s="102"/>
      <c r="G790" s="103"/>
      <c r="H790" s="102"/>
      <c r="I790" s="103"/>
      <c r="J790" s="102"/>
      <c r="K790" s="103"/>
      <c r="L790" s="102"/>
      <c r="M790" s="103"/>
      <c r="N790" s="102"/>
      <c r="O790" s="103"/>
      <c r="P790" s="102"/>
      <c r="Q790" s="103"/>
      <c r="R790" s="102"/>
      <c r="S790" s="103"/>
    </row>
    <row r="791">
      <c r="A791" s="107"/>
      <c r="B791" s="102"/>
      <c r="C791" s="103"/>
      <c r="D791" s="102"/>
      <c r="E791" s="103"/>
      <c r="F791" s="102"/>
      <c r="G791" s="103"/>
      <c r="H791" s="102"/>
      <c r="I791" s="103"/>
      <c r="J791" s="102"/>
      <c r="K791" s="103"/>
      <c r="L791" s="102"/>
      <c r="M791" s="103"/>
      <c r="N791" s="102"/>
      <c r="O791" s="103"/>
      <c r="P791" s="102"/>
      <c r="Q791" s="103"/>
      <c r="R791" s="102"/>
      <c r="S791" s="103"/>
    </row>
    <row r="792">
      <c r="A792" s="107"/>
      <c r="B792" s="102"/>
      <c r="C792" s="103"/>
      <c r="D792" s="102"/>
      <c r="E792" s="103"/>
      <c r="F792" s="102"/>
      <c r="G792" s="103"/>
      <c r="H792" s="102"/>
      <c r="I792" s="103"/>
      <c r="J792" s="102"/>
      <c r="K792" s="103"/>
      <c r="L792" s="102"/>
      <c r="M792" s="103"/>
      <c r="N792" s="102"/>
      <c r="O792" s="103"/>
      <c r="P792" s="102"/>
      <c r="Q792" s="103"/>
      <c r="R792" s="102"/>
      <c r="S792" s="103"/>
    </row>
    <row r="793">
      <c r="A793" s="107"/>
      <c r="B793" s="102"/>
      <c r="C793" s="103"/>
      <c r="D793" s="102"/>
      <c r="E793" s="103"/>
      <c r="F793" s="102"/>
      <c r="G793" s="103"/>
      <c r="H793" s="102"/>
      <c r="I793" s="103"/>
      <c r="J793" s="102"/>
      <c r="K793" s="103"/>
      <c r="L793" s="102"/>
      <c r="M793" s="103"/>
      <c r="N793" s="102"/>
      <c r="O793" s="103"/>
      <c r="P793" s="102"/>
      <c r="Q793" s="103"/>
      <c r="R793" s="102"/>
      <c r="S793" s="103"/>
    </row>
    <row r="794">
      <c r="A794" s="107"/>
      <c r="B794" s="102"/>
      <c r="C794" s="103"/>
      <c r="D794" s="102"/>
      <c r="E794" s="103"/>
      <c r="F794" s="102"/>
      <c r="G794" s="103"/>
      <c r="H794" s="102"/>
      <c r="I794" s="103"/>
      <c r="J794" s="102"/>
      <c r="K794" s="103"/>
      <c r="L794" s="102"/>
      <c r="M794" s="103"/>
      <c r="N794" s="102"/>
      <c r="O794" s="103"/>
      <c r="P794" s="102"/>
      <c r="Q794" s="103"/>
      <c r="R794" s="102"/>
      <c r="S794" s="103"/>
    </row>
    <row r="795">
      <c r="A795" s="107"/>
      <c r="B795" s="102"/>
      <c r="C795" s="103"/>
      <c r="D795" s="102"/>
      <c r="E795" s="103"/>
      <c r="F795" s="102"/>
      <c r="G795" s="103"/>
      <c r="H795" s="102"/>
      <c r="I795" s="103"/>
      <c r="J795" s="102"/>
      <c r="K795" s="103"/>
      <c r="L795" s="102"/>
      <c r="M795" s="103"/>
      <c r="N795" s="102"/>
      <c r="O795" s="103"/>
      <c r="P795" s="102"/>
      <c r="Q795" s="103"/>
      <c r="R795" s="102"/>
      <c r="S795" s="103"/>
    </row>
    <row r="796">
      <c r="A796" s="107"/>
      <c r="B796" s="102"/>
      <c r="C796" s="103"/>
      <c r="D796" s="102"/>
      <c r="E796" s="103"/>
      <c r="F796" s="102"/>
      <c r="G796" s="103"/>
      <c r="H796" s="102"/>
      <c r="I796" s="103"/>
      <c r="J796" s="102"/>
      <c r="K796" s="103"/>
      <c r="L796" s="102"/>
      <c r="M796" s="103"/>
      <c r="N796" s="102"/>
      <c r="O796" s="103"/>
      <c r="P796" s="102"/>
      <c r="Q796" s="103"/>
      <c r="R796" s="102"/>
      <c r="S796" s="103"/>
    </row>
    <row r="797">
      <c r="A797" s="107"/>
      <c r="B797" s="102"/>
      <c r="C797" s="103"/>
      <c r="D797" s="102"/>
      <c r="E797" s="103"/>
      <c r="F797" s="102"/>
      <c r="G797" s="103"/>
      <c r="H797" s="102"/>
      <c r="I797" s="103"/>
      <c r="J797" s="102"/>
      <c r="K797" s="103"/>
      <c r="L797" s="102"/>
      <c r="M797" s="103"/>
      <c r="N797" s="102"/>
      <c r="O797" s="103"/>
      <c r="P797" s="102"/>
      <c r="Q797" s="103"/>
      <c r="R797" s="102"/>
      <c r="S797" s="103"/>
    </row>
    <row r="798">
      <c r="A798" s="107"/>
      <c r="B798" s="102"/>
      <c r="C798" s="103"/>
      <c r="D798" s="102"/>
      <c r="E798" s="103"/>
      <c r="F798" s="102"/>
      <c r="G798" s="103"/>
      <c r="H798" s="102"/>
      <c r="I798" s="103"/>
      <c r="J798" s="102"/>
      <c r="K798" s="103"/>
      <c r="L798" s="102"/>
      <c r="M798" s="103"/>
      <c r="N798" s="102"/>
      <c r="O798" s="103"/>
      <c r="P798" s="102"/>
      <c r="Q798" s="103"/>
      <c r="R798" s="102"/>
      <c r="S798" s="103"/>
    </row>
    <row r="799">
      <c r="A799" s="107"/>
      <c r="B799" s="102"/>
      <c r="C799" s="103"/>
      <c r="D799" s="102"/>
      <c r="E799" s="103"/>
      <c r="F799" s="102"/>
      <c r="G799" s="103"/>
      <c r="H799" s="102"/>
      <c r="I799" s="103"/>
      <c r="J799" s="102"/>
      <c r="K799" s="103"/>
      <c r="L799" s="102"/>
      <c r="M799" s="103"/>
      <c r="N799" s="102"/>
      <c r="O799" s="103"/>
      <c r="P799" s="102"/>
      <c r="Q799" s="103"/>
      <c r="R799" s="102"/>
      <c r="S799" s="103"/>
    </row>
    <row r="800">
      <c r="A800" s="107"/>
      <c r="B800" s="102"/>
      <c r="C800" s="103"/>
      <c r="D800" s="102"/>
      <c r="E800" s="103"/>
      <c r="F800" s="102"/>
      <c r="G800" s="103"/>
      <c r="H800" s="102"/>
      <c r="I800" s="103"/>
      <c r="J800" s="102"/>
      <c r="K800" s="103"/>
      <c r="L800" s="102"/>
      <c r="M800" s="103"/>
      <c r="N800" s="102"/>
      <c r="O800" s="103"/>
      <c r="P800" s="102"/>
      <c r="Q800" s="103"/>
      <c r="R800" s="102"/>
      <c r="S800" s="103"/>
    </row>
    <row r="801">
      <c r="A801" s="107"/>
      <c r="B801" s="102"/>
      <c r="C801" s="103"/>
      <c r="D801" s="102"/>
      <c r="E801" s="103"/>
      <c r="F801" s="102"/>
      <c r="G801" s="103"/>
      <c r="H801" s="102"/>
      <c r="I801" s="103"/>
      <c r="J801" s="102"/>
      <c r="K801" s="103"/>
      <c r="L801" s="102"/>
      <c r="M801" s="103"/>
      <c r="N801" s="102"/>
      <c r="O801" s="103"/>
      <c r="P801" s="102"/>
      <c r="Q801" s="103"/>
      <c r="R801" s="102"/>
      <c r="S801" s="103"/>
    </row>
    <row r="802">
      <c r="A802" s="107"/>
      <c r="B802" s="102"/>
      <c r="C802" s="103"/>
      <c r="D802" s="102"/>
      <c r="E802" s="103"/>
      <c r="F802" s="102"/>
      <c r="G802" s="103"/>
      <c r="H802" s="102"/>
      <c r="I802" s="103"/>
      <c r="J802" s="102"/>
      <c r="K802" s="103"/>
      <c r="L802" s="102"/>
      <c r="M802" s="103"/>
      <c r="N802" s="102"/>
      <c r="O802" s="103"/>
      <c r="P802" s="102"/>
      <c r="Q802" s="103"/>
      <c r="R802" s="102"/>
      <c r="S802" s="103"/>
    </row>
    <row r="803">
      <c r="A803" s="107"/>
      <c r="B803" s="102"/>
      <c r="C803" s="103"/>
      <c r="D803" s="102"/>
      <c r="E803" s="103"/>
      <c r="F803" s="102"/>
      <c r="G803" s="103"/>
      <c r="H803" s="102"/>
      <c r="I803" s="103"/>
      <c r="J803" s="102"/>
      <c r="K803" s="103"/>
      <c r="L803" s="102"/>
      <c r="M803" s="103"/>
      <c r="N803" s="102"/>
      <c r="O803" s="103"/>
      <c r="P803" s="102"/>
      <c r="Q803" s="103"/>
      <c r="R803" s="102"/>
      <c r="S803" s="103"/>
    </row>
    <row r="804">
      <c r="A804" s="107"/>
      <c r="B804" s="102"/>
      <c r="C804" s="103"/>
      <c r="D804" s="102"/>
      <c r="E804" s="103"/>
      <c r="F804" s="102"/>
      <c r="G804" s="103"/>
      <c r="H804" s="102"/>
      <c r="I804" s="103"/>
      <c r="J804" s="102"/>
      <c r="K804" s="103"/>
      <c r="L804" s="102"/>
      <c r="M804" s="103"/>
      <c r="N804" s="102"/>
      <c r="O804" s="103"/>
      <c r="P804" s="102"/>
      <c r="Q804" s="103"/>
      <c r="R804" s="102"/>
      <c r="S804" s="103"/>
    </row>
    <row r="805">
      <c r="A805" s="107"/>
      <c r="B805" s="102"/>
      <c r="C805" s="103"/>
      <c r="D805" s="102"/>
      <c r="E805" s="103"/>
      <c r="F805" s="102"/>
      <c r="G805" s="103"/>
      <c r="H805" s="102"/>
      <c r="I805" s="103"/>
      <c r="J805" s="102"/>
      <c r="K805" s="103"/>
      <c r="L805" s="102"/>
      <c r="M805" s="103"/>
      <c r="N805" s="102"/>
      <c r="O805" s="103"/>
      <c r="P805" s="102"/>
      <c r="Q805" s="103"/>
      <c r="R805" s="102"/>
      <c r="S805" s="103"/>
    </row>
    <row r="806">
      <c r="A806" s="107"/>
      <c r="B806" s="102"/>
      <c r="C806" s="103"/>
      <c r="D806" s="102"/>
      <c r="E806" s="103"/>
      <c r="F806" s="102"/>
      <c r="G806" s="103"/>
      <c r="H806" s="102"/>
      <c r="I806" s="103"/>
      <c r="J806" s="102"/>
      <c r="K806" s="103"/>
      <c r="L806" s="102"/>
      <c r="M806" s="103"/>
      <c r="N806" s="102"/>
      <c r="O806" s="103"/>
      <c r="P806" s="102"/>
      <c r="Q806" s="103"/>
      <c r="R806" s="102"/>
      <c r="S806" s="103"/>
    </row>
    <row r="807">
      <c r="A807" s="107"/>
      <c r="B807" s="102"/>
      <c r="C807" s="103"/>
      <c r="D807" s="102"/>
      <c r="E807" s="103"/>
      <c r="F807" s="102"/>
      <c r="G807" s="103"/>
      <c r="H807" s="102"/>
      <c r="I807" s="103"/>
      <c r="J807" s="102"/>
      <c r="K807" s="103"/>
      <c r="L807" s="102"/>
      <c r="M807" s="103"/>
      <c r="N807" s="102"/>
      <c r="O807" s="103"/>
      <c r="P807" s="102"/>
      <c r="Q807" s="103"/>
      <c r="R807" s="102"/>
      <c r="S807" s="103"/>
    </row>
    <row r="808">
      <c r="A808" s="107"/>
      <c r="B808" s="102"/>
      <c r="C808" s="103"/>
      <c r="D808" s="102"/>
      <c r="E808" s="103"/>
      <c r="F808" s="102"/>
      <c r="G808" s="103"/>
      <c r="H808" s="102"/>
      <c r="I808" s="103"/>
      <c r="J808" s="102"/>
      <c r="K808" s="103"/>
      <c r="L808" s="102"/>
      <c r="M808" s="103"/>
      <c r="N808" s="102"/>
      <c r="O808" s="103"/>
      <c r="P808" s="102"/>
      <c r="Q808" s="103"/>
      <c r="R808" s="102"/>
      <c r="S808" s="103"/>
    </row>
    <row r="809">
      <c r="A809" s="107"/>
      <c r="B809" s="102"/>
      <c r="C809" s="103"/>
      <c r="D809" s="102"/>
      <c r="E809" s="103"/>
      <c r="F809" s="102"/>
      <c r="G809" s="103"/>
      <c r="H809" s="102"/>
      <c r="I809" s="103"/>
      <c r="J809" s="102"/>
      <c r="K809" s="103"/>
      <c r="L809" s="102"/>
      <c r="M809" s="103"/>
      <c r="N809" s="102"/>
      <c r="O809" s="103"/>
      <c r="P809" s="102"/>
      <c r="Q809" s="103"/>
      <c r="R809" s="102"/>
      <c r="S809" s="103"/>
    </row>
    <row r="810">
      <c r="A810" s="107"/>
      <c r="B810" s="102"/>
      <c r="C810" s="103"/>
      <c r="D810" s="102"/>
      <c r="E810" s="103"/>
      <c r="F810" s="102"/>
      <c r="G810" s="103"/>
      <c r="H810" s="102"/>
      <c r="I810" s="103"/>
      <c r="J810" s="102"/>
      <c r="K810" s="103"/>
      <c r="L810" s="102"/>
      <c r="M810" s="103"/>
      <c r="N810" s="102"/>
      <c r="O810" s="103"/>
      <c r="P810" s="102"/>
      <c r="Q810" s="103"/>
      <c r="R810" s="102"/>
      <c r="S810" s="103"/>
    </row>
    <row r="811">
      <c r="A811" s="107"/>
      <c r="B811" s="102"/>
      <c r="C811" s="103"/>
      <c r="D811" s="102"/>
      <c r="E811" s="103"/>
      <c r="F811" s="102"/>
      <c r="G811" s="103"/>
      <c r="H811" s="102"/>
      <c r="I811" s="103"/>
      <c r="J811" s="102"/>
      <c r="K811" s="103"/>
      <c r="L811" s="102"/>
      <c r="M811" s="103"/>
      <c r="N811" s="102"/>
      <c r="O811" s="103"/>
      <c r="P811" s="102"/>
      <c r="Q811" s="103"/>
      <c r="R811" s="102"/>
      <c r="S811" s="103"/>
    </row>
    <row r="812">
      <c r="A812" s="107"/>
      <c r="B812" s="102"/>
      <c r="C812" s="103"/>
      <c r="D812" s="102"/>
      <c r="E812" s="103"/>
      <c r="F812" s="102"/>
      <c r="G812" s="103"/>
      <c r="H812" s="102"/>
      <c r="I812" s="103"/>
      <c r="J812" s="102"/>
      <c r="K812" s="103"/>
      <c r="L812" s="102"/>
      <c r="M812" s="103"/>
      <c r="N812" s="102"/>
      <c r="O812" s="103"/>
      <c r="P812" s="102"/>
      <c r="Q812" s="103"/>
      <c r="R812" s="102"/>
      <c r="S812" s="103"/>
    </row>
    <row r="813">
      <c r="A813" s="107"/>
      <c r="B813" s="102"/>
      <c r="C813" s="103"/>
      <c r="D813" s="102"/>
      <c r="E813" s="103"/>
      <c r="F813" s="102"/>
      <c r="G813" s="103"/>
      <c r="H813" s="102"/>
      <c r="I813" s="103"/>
      <c r="J813" s="102"/>
      <c r="K813" s="103"/>
      <c r="L813" s="102"/>
      <c r="M813" s="103"/>
      <c r="N813" s="102"/>
      <c r="O813" s="103"/>
      <c r="P813" s="102"/>
      <c r="Q813" s="103"/>
      <c r="R813" s="102"/>
      <c r="S813" s="103"/>
    </row>
    <row r="814">
      <c r="A814" s="107"/>
      <c r="B814" s="102"/>
      <c r="C814" s="103"/>
      <c r="D814" s="102"/>
      <c r="E814" s="103"/>
      <c r="F814" s="102"/>
      <c r="G814" s="103"/>
      <c r="H814" s="102"/>
      <c r="I814" s="103"/>
      <c r="J814" s="102"/>
      <c r="K814" s="103"/>
      <c r="L814" s="102"/>
      <c r="M814" s="103"/>
      <c r="N814" s="102"/>
      <c r="O814" s="103"/>
      <c r="P814" s="102"/>
      <c r="Q814" s="103"/>
      <c r="R814" s="102"/>
      <c r="S814" s="103"/>
    </row>
    <row r="815">
      <c r="A815" s="107"/>
      <c r="B815" s="102"/>
      <c r="C815" s="103"/>
      <c r="D815" s="102"/>
      <c r="E815" s="103"/>
      <c r="F815" s="102"/>
      <c r="G815" s="103"/>
      <c r="H815" s="102"/>
      <c r="I815" s="103"/>
      <c r="J815" s="102"/>
      <c r="K815" s="103"/>
      <c r="L815" s="102"/>
      <c r="M815" s="103"/>
      <c r="N815" s="102"/>
      <c r="O815" s="103"/>
      <c r="P815" s="102"/>
      <c r="Q815" s="103"/>
      <c r="R815" s="102"/>
      <c r="S815" s="103"/>
    </row>
    <row r="816">
      <c r="A816" s="107"/>
      <c r="B816" s="102"/>
      <c r="C816" s="103"/>
      <c r="D816" s="102"/>
      <c r="E816" s="103"/>
      <c r="F816" s="102"/>
      <c r="G816" s="103"/>
      <c r="H816" s="102"/>
      <c r="I816" s="103"/>
      <c r="J816" s="102"/>
      <c r="K816" s="103"/>
      <c r="L816" s="102"/>
      <c r="M816" s="103"/>
      <c r="N816" s="102"/>
      <c r="O816" s="103"/>
      <c r="P816" s="102"/>
      <c r="Q816" s="103"/>
      <c r="R816" s="102"/>
      <c r="S816" s="103"/>
    </row>
    <row r="817">
      <c r="A817" s="107"/>
      <c r="B817" s="102"/>
      <c r="C817" s="103"/>
      <c r="D817" s="102"/>
      <c r="E817" s="103"/>
      <c r="F817" s="102"/>
      <c r="G817" s="103"/>
      <c r="H817" s="102"/>
      <c r="I817" s="103"/>
      <c r="J817" s="102"/>
      <c r="K817" s="103"/>
      <c r="L817" s="102"/>
      <c r="M817" s="103"/>
      <c r="N817" s="102"/>
      <c r="O817" s="103"/>
      <c r="P817" s="102"/>
      <c r="Q817" s="103"/>
      <c r="R817" s="102"/>
      <c r="S817" s="103"/>
    </row>
    <row r="818">
      <c r="A818" s="107"/>
      <c r="B818" s="102"/>
      <c r="C818" s="103"/>
      <c r="D818" s="102"/>
      <c r="E818" s="103"/>
      <c r="F818" s="102"/>
      <c r="G818" s="103"/>
      <c r="H818" s="102"/>
      <c r="I818" s="103"/>
      <c r="J818" s="102"/>
      <c r="K818" s="103"/>
      <c r="L818" s="102"/>
      <c r="M818" s="103"/>
      <c r="N818" s="102"/>
      <c r="O818" s="103"/>
      <c r="P818" s="102"/>
      <c r="Q818" s="103"/>
      <c r="R818" s="102"/>
      <c r="S818" s="103"/>
    </row>
    <row r="819">
      <c r="A819" s="107"/>
      <c r="B819" s="102"/>
      <c r="C819" s="103"/>
      <c r="D819" s="102"/>
      <c r="E819" s="103"/>
      <c r="F819" s="102"/>
      <c r="G819" s="103"/>
      <c r="H819" s="102"/>
      <c r="I819" s="103"/>
      <c r="J819" s="102"/>
      <c r="K819" s="103"/>
      <c r="L819" s="102"/>
      <c r="M819" s="103"/>
      <c r="N819" s="102"/>
      <c r="O819" s="103"/>
      <c r="P819" s="102"/>
      <c r="Q819" s="103"/>
      <c r="R819" s="102"/>
      <c r="S819" s="103"/>
    </row>
    <row r="820">
      <c r="A820" s="107"/>
      <c r="B820" s="102"/>
      <c r="C820" s="103"/>
      <c r="D820" s="102"/>
      <c r="E820" s="103"/>
      <c r="F820" s="102"/>
      <c r="G820" s="103"/>
      <c r="H820" s="102"/>
      <c r="I820" s="103"/>
      <c r="J820" s="102"/>
      <c r="K820" s="103"/>
      <c r="L820" s="102"/>
      <c r="M820" s="103"/>
      <c r="N820" s="102"/>
      <c r="O820" s="103"/>
      <c r="P820" s="102"/>
      <c r="Q820" s="103"/>
      <c r="R820" s="102"/>
      <c r="S820" s="103"/>
    </row>
    <row r="821">
      <c r="A821" s="107"/>
      <c r="B821" s="102"/>
      <c r="C821" s="103"/>
      <c r="D821" s="102"/>
      <c r="E821" s="103"/>
      <c r="F821" s="102"/>
      <c r="G821" s="103"/>
      <c r="H821" s="102"/>
      <c r="I821" s="103"/>
      <c r="J821" s="102"/>
      <c r="K821" s="103"/>
      <c r="L821" s="102"/>
      <c r="M821" s="103"/>
      <c r="N821" s="102"/>
      <c r="O821" s="103"/>
      <c r="P821" s="102"/>
      <c r="Q821" s="103"/>
      <c r="R821" s="102"/>
      <c r="S821" s="103"/>
    </row>
    <row r="822">
      <c r="A822" s="107"/>
      <c r="B822" s="102"/>
      <c r="C822" s="103"/>
      <c r="D822" s="102"/>
      <c r="E822" s="103"/>
      <c r="F822" s="102"/>
      <c r="G822" s="103"/>
      <c r="H822" s="102"/>
      <c r="I822" s="103"/>
      <c r="J822" s="102"/>
      <c r="K822" s="103"/>
      <c r="L822" s="102"/>
      <c r="M822" s="103"/>
      <c r="N822" s="102"/>
      <c r="O822" s="103"/>
      <c r="P822" s="102"/>
      <c r="Q822" s="103"/>
      <c r="R822" s="102"/>
      <c r="S822" s="103"/>
    </row>
    <row r="823">
      <c r="A823" s="107"/>
      <c r="B823" s="102"/>
      <c r="C823" s="103"/>
      <c r="D823" s="102"/>
      <c r="E823" s="103"/>
      <c r="F823" s="102"/>
      <c r="G823" s="103"/>
      <c r="H823" s="102"/>
      <c r="I823" s="103"/>
      <c r="J823" s="102"/>
      <c r="K823" s="103"/>
      <c r="L823" s="102"/>
      <c r="M823" s="103"/>
      <c r="N823" s="102"/>
      <c r="O823" s="103"/>
      <c r="P823" s="102"/>
      <c r="Q823" s="103"/>
      <c r="R823" s="102"/>
      <c r="S823" s="103"/>
    </row>
    <row r="824">
      <c r="A824" s="107"/>
      <c r="B824" s="102"/>
      <c r="C824" s="103"/>
      <c r="D824" s="102"/>
      <c r="E824" s="103"/>
      <c r="F824" s="102"/>
      <c r="G824" s="103"/>
      <c r="H824" s="102"/>
      <c r="I824" s="103"/>
      <c r="J824" s="102"/>
      <c r="K824" s="103"/>
      <c r="L824" s="102"/>
      <c r="M824" s="103"/>
      <c r="N824" s="102"/>
      <c r="O824" s="103"/>
      <c r="P824" s="102"/>
      <c r="Q824" s="103"/>
      <c r="R824" s="102"/>
      <c r="S824" s="103"/>
    </row>
    <row r="825">
      <c r="A825" s="107"/>
      <c r="B825" s="102"/>
      <c r="C825" s="103"/>
      <c r="D825" s="102"/>
      <c r="E825" s="103"/>
      <c r="F825" s="102"/>
      <c r="G825" s="103"/>
      <c r="H825" s="102"/>
      <c r="I825" s="103"/>
      <c r="J825" s="102"/>
      <c r="K825" s="103"/>
      <c r="L825" s="102"/>
      <c r="M825" s="103"/>
      <c r="N825" s="102"/>
      <c r="O825" s="103"/>
      <c r="P825" s="102"/>
      <c r="Q825" s="103"/>
      <c r="R825" s="102"/>
      <c r="S825" s="103"/>
    </row>
    <row r="826">
      <c r="A826" s="107"/>
      <c r="B826" s="102"/>
      <c r="C826" s="103"/>
      <c r="D826" s="102"/>
      <c r="E826" s="103"/>
      <c r="F826" s="102"/>
      <c r="G826" s="103"/>
      <c r="H826" s="102"/>
      <c r="I826" s="103"/>
      <c r="J826" s="102"/>
      <c r="K826" s="103"/>
      <c r="L826" s="102"/>
      <c r="M826" s="103"/>
      <c r="N826" s="102"/>
      <c r="O826" s="103"/>
      <c r="P826" s="102"/>
      <c r="Q826" s="103"/>
      <c r="R826" s="102"/>
      <c r="S826" s="103"/>
    </row>
    <row r="827">
      <c r="A827" s="107"/>
      <c r="B827" s="102"/>
      <c r="C827" s="103"/>
      <c r="D827" s="102"/>
      <c r="E827" s="103"/>
      <c r="F827" s="102"/>
      <c r="G827" s="103"/>
      <c r="H827" s="102"/>
      <c r="I827" s="103"/>
      <c r="J827" s="102"/>
      <c r="K827" s="103"/>
      <c r="L827" s="102"/>
      <c r="M827" s="103"/>
      <c r="N827" s="102"/>
      <c r="O827" s="103"/>
      <c r="P827" s="102"/>
      <c r="Q827" s="103"/>
      <c r="R827" s="102"/>
      <c r="S827" s="103"/>
    </row>
    <row r="828">
      <c r="A828" s="107"/>
      <c r="B828" s="102"/>
      <c r="C828" s="103"/>
      <c r="D828" s="102"/>
      <c r="E828" s="103"/>
      <c r="F828" s="102"/>
      <c r="G828" s="103"/>
      <c r="H828" s="102"/>
      <c r="I828" s="103"/>
      <c r="J828" s="102"/>
      <c r="K828" s="103"/>
      <c r="L828" s="102"/>
      <c r="M828" s="103"/>
      <c r="N828" s="102"/>
      <c r="O828" s="103"/>
      <c r="P828" s="102"/>
      <c r="Q828" s="103"/>
      <c r="R828" s="102"/>
      <c r="S828" s="103"/>
    </row>
    <row r="829">
      <c r="A829" s="107"/>
      <c r="B829" s="102"/>
      <c r="C829" s="103"/>
      <c r="D829" s="102"/>
      <c r="E829" s="103"/>
      <c r="F829" s="102"/>
      <c r="G829" s="103"/>
      <c r="H829" s="102"/>
      <c r="I829" s="103"/>
      <c r="J829" s="102"/>
      <c r="K829" s="103"/>
      <c r="L829" s="102"/>
      <c r="M829" s="103"/>
      <c r="N829" s="102"/>
      <c r="O829" s="103"/>
      <c r="P829" s="102"/>
      <c r="Q829" s="103"/>
      <c r="R829" s="102"/>
      <c r="S829" s="103"/>
    </row>
    <row r="830">
      <c r="A830" s="107"/>
      <c r="B830" s="102"/>
      <c r="C830" s="103"/>
      <c r="D830" s="102"/>
      <c r="E830" s="103"/>
      <c r="F830" s="102"/>
      <c r="G830" s="103"/>
      <c r="H830" s="102"/>
      <c r="I830" s="103"/>
      <c r="J830" s="102"/>
      <c r="K830" s="103"/>
      <c r="L830" s="102"/>
      <c r="M830" s="103"/>
      <c r="N830" s="102"/>
      <c r="O830" s="103"/>
      <c r="P830" s="102"/>
      <c r="Q830" s="103"/>
      <c r="R830" s="102"/>
      <c r="S830" s="103"/>
    </row>
    <row r="831">
      <c r="A831" s="107"/>
      <c r="B831" s="102"/>
      <c r="C831" s="103"/>
      <c r="D831" s="102"/>
      <c r="E831" s="103"/>
      <c r="F831" s="102"/>
      <c r="G831" s="103"/>
      <c r="H831" s="102"/>
      <c r="I831" s="103"/>
      <c r="J831" s="102"/>
      <c r="K831" s="103"/>
      <c r="L831" s="102"/>
      <c r="M831" s="103"/>
      <c r="N831" s="102"/>
      <c r="O831" s="103"/>
      <c r="P831" s="102"/>
      <c r="Q831" s="103"/>
      <c r="R831" s="102"/>
      <c r="S831" s="103"/>
    </row>
    <row r="832">
      <c r="A832" s="107"/>
      <c r="B832" s="102"/>
      <c r="C832" s="103"/>
      <c r="D832" s="102"/>
      <c r="E832" s="103"/>
      <c r="F832" s="102"/>
      <c r="G832" s="103"/>
      <c r="H832" s="102"/>
      <c r="I832" s="103"/>
      <c r="J832" s="102"/>
      <c r="K832" s="103"/>
      <c r="L832" s="102"/>
      <c r="M832" s="103"/>
      <c r="N832" s="102"/>
      <c r="O832" s="103"/>
      <c r="P832" s="102"/>
      <c r="Q832" s="103"/>
      <c r="R832" s="102"/>
      <c r="S832" s="103"/>
    </row>
    <row r="833">
      <c r="A833" s="107"/>
      <c r="B833" s="102"/>
      <c r="C833" s="103"/>
      <c r="D833" s="102"/>
      <c r="E833" s="103"/>
      <c r="F833" s="102"/>
      <c r="G833" s="103"/>
      <c r="H833" s="102"/>
      <c r="I833" s="103"/>
      <c r="J833" s="102"/>
      <c r="K833" s="103"/>
      <c r="L833" s="102"/>
      <c r="M833" s="103"/>
      <c r="N833" s="102"/>
      <c r="O833" s="103"/>
      <c r="P833" s="102"/>
      <c r="Q833" s="103"/>
      <c r="R833" s="102"/>
      <c r="S833" s="103"/>
    </row>
    <row r="834">
      <c r="A834" s="107"/>
      <c r="B834" s="102"/>
      <c r="C834" s="103"/>
      <c r="D834" s="102"/>
      <c r="E834" s="103"/>
      <c r="F834" s="102"/>
      <c r="G834" s="103"/>
      <c r="H834" s="102"/>
      <c r="I834" s="103"/>
      <c r="J834" s="102"/>
      <c r="K834" s="103"/>
      <c r="L834" s="102"/>
      <c r="M834" s="103"/>
      <c r="N834" s="102"/>
      <c r="O834" s="103"/>
      <c r="P834" s="102"/>
      <c r="Q834" s="103"/>
      <c r="R834" s="102"/>
      <c r="S834" s="103"/>
    </row>
    <row r="835">
      <c r="A835" s="107"/>
      <c r="B835" s="102"/>
      <c r="C835" s="103"/>
      <c r="D835" s="102"/>
      <c r="E835" s="103"/>
      <c r="F835" s="102"/>
      <c r="G835" s="103"/>
      <c r="H835" s="102"/>
      <c r="I835" s="103"/>
      <c r="J835" s="102"/>
      <c r="K835" s="103"/>
      <c r="L835" s="102"/>
      <c r="M835" s="103"/>
      <c r="N835" s="102"/>
      <c r="O835" s="103"/>
      <c r="P835" s="102"/>
      <c r="Q835" s="103"/>
      <c r="R835" s="102"/>
      <c r="S835" s="103"/>
    </row>
    <row r="836">
      <c r="A836" s="107"/>
      <c r="B836" s="102"/>
      <c r="C836" s="103"/>
      <c r="D836" s="102"/>
      <c r="E836" s="103"/>
      <c r="F836" s="102"/>
      <c r="G836" s="103"/>
      <c r="H836" s="102"/>
      <c r="I836" s="103"/>
      <c r="J836" s="102"/>
      <c r="K836" s="103"/>
      <c r="L836" s="102"/>
      <c r="M836" s="103"/>
      <c r="N836" s="102"/>
      <c r="O836" s="103"/>
      <c r="P836" s="102"/>
      <c r="Q836" s="103"/>
      <c r="R836" s="102"/>
      <c r="S836" s="103"/>
    </row>
    <row r="837">
      <c r="A837" s="107"/>
      <c r="B837" s="102"/>
      <c r="C837" s="103"/>
      <c r="D837" s="102"/>
      <c r="E837" s="103"/>
      <c r="F837" s="102"/>
      <c r="G837" s="103"/>
      <c r="H837" s="102"/>
      <c r="I837" s="103"/>
      <c r="J837" s="102"/>
      <c r="K837" s="103"/>
      <c r="L837" s="102"/>
      <c r="M837" s="103"/>
      <c r="N837" s="102"/>
      <c r="O837" s="103"/>
      <c r="P837" s="102"/>
      <c r="Q837" s="103"/>
      <c r="R837" s="102"/>
      <c r="S837" s="103"/>
    </row>
    <row r="838">
      <c r="A838" s="107"/>
      <c r="B838" s="102"/>
      <c r="C838" s="103"/>
      <c r="D838" s="102"/>
      <c r="E838" s="103"/>
      <c r="F838" s="102"/>
      <c r="G838" s="103"/>
      <c r="H838" s="102"/>
      <c r="I838" s="103"/>
      <c r="J838" s="102"/>
      <c r="K838" s="103"/>
      <c r="L838" s="102"/>
      <c r="M838" s="103"/>
      <c r="N838" s="102"/>
      <c r="O838" s="103"/>
      <c r="P838" s="102"/>
      <c r="Q838" s="103"/>
      <c r="R838" s="102"/>
      <c r="S838" s="103"/>
    </row>
    <row r="839">
      <c r="A839" s="107"/>
      <c r="B839" s="102"/>
      <c r="C839" s="103"/>
      <c r="D839" s="102"/>
      <c r="E839" s="103"/>
      <c r="F839" s="102"/>
      <c r="G839" s="103"/>
      <c r="H839" s="102"/>
      <c r="I839" s="103"/>
      <c r="J839" s="102"/>
      <c r="K839" s="103"/>
      <c r="L839" s="102"/>
      <c r="M839" s="103"/>
      <c r="N839" s="102"/>
      <c r="O839" s="103"/>
      <c r="P839" s="102"/>
      <c r="Q839" s="103"/>
      <c r="R839" s="102"/>
      <c r="S839" s="103"/>
    </row>
    <row r="840">
      <c r="A840" s="107"/>
      <c r="B840" s="102"/>
      <c r="C840" s="103"/>
      <c r="D840" s="102"/>
      <c r="E840" s="103"/>
      <c r="F840" s="102"/>
      <c r="G840" s="103"/>
      <c r="H840" s="102"/>
      <c r="I840" s="103"/>
      <c r="J840" s="102"/>
      <c r="K840" s="103"/>
      <c r="L840" s="102"/>
      <c r="M840" s="103"/>
      <c r="N840" s="102"/>
      <c r="O840" s="103"/>
      <c r="P840" s="102"/>
      <c r="Q840" s="103"/>
      <c r="R840" s="102"/>
      <c r="S840" s="103"/>
    </row>
    <row r="841">
      <c r="A841" s="107"/>
      <c r="B841" s="102"/>
      <c r="C841" s="103"/>
      <c r="D841" s="102"/>
      <c r="E841" s="103"/>
      <c r="F841" s="102"/>
      <c r="G841" s="103"/>
      <c r="H841" s="102"/>
      <c r="I841" s="103"/>
      <c r="J841" s="102"/>
      <c r="K841" s="103"/>
      <c r="L841" s="102"/>
      <c r="M841" s="103"/>
      <c r="N841" s="102"/>
      <c r="O841" s="103"/>
      <c r="P841" s="102"/>
      <c r="Q841" s="103"/>
      <c r="R841" s="102"/>
      <c r="S841" s="103"/>
    </row>
    <row r="842">
      <c r="A842" s="107"/>
      <c r="B842" s="102"/>
      <c r="C842" s="103"/>
      <c r="D842" s="102"/>
      <c r="E842" s="103"/>
      <c r="F842" s="102"/>
      <c r="G842" s="103"/>
      <c r="H842" s="102"/>
      <c r="I842" s="103"/>
      <c r="J842" s="102"/>
      <c r="K842" s="103"/>
      <c r="L842" s="102"/>
      <c r="M842" s="103"/>
      <c r="N842" s="102"/>
      <c r="O842" s="103"/>
      <c r="P842" s="102"/>
      <c r="Q842" s="103"/>
      <c r="R842" s="102"/>
      <c r="S842" s="103"/>
    </row>
    <row r="843">
      <c r="A843" s="107"/>
      <c r="B843" s="102"/>
      <c r="C843" s="103"/>
      <c r="D843" s="102"/>
      <c r="E843" s="103"/>
      <c r="F843" s="102"/>
      <c r="G843" s="103"/>
      <c r="H843" s="102"/>
      <c r="I843" s="103"/>
      <c r="J843" s="102"/>
      <c r="K843" s="103"/>
      <c r="L843" s="102"/>
      <c r="M843" s="103"/>
      <c r="N843" s="102"/>
      <c r="O843" s="103"/>
      <c r="P843" s="102"/>
      <c r="Q843" s="103"/>
      <c r="R843" s="102"/>
      <c r="S843" s="103"/>
    </row>
    <row r="844">
      <c r="A844" s="107"/>
      <c r="B844" s="102"/>
      <c r="C844" s="103"/>
      <c r="D844" s="102"/>
      <c r="E844" s="103"/>
      <c r="F844" s="102"/>
      <c r="G844" s="103"/>
      <c r="H844" s="102"/>
      <c r="I844" s="103"/>
      <c r="J844" s="102"/>
      <c r="K844" s="103"/>
      <c r="L844" s="102"/>
      <c r="M844" s="103"/>
      <c r="N844" s="102"/>
      <c r="O844" s="103"/>
      <c r="P844" s="102"/>
      <c r="Q844" s="103"/>
      <c r="R844" s="102"/>
      <c r="S844" s="103"/>
    </row>
    <row r="845">
      <c r="A845" s="107"/>
      <c r="B845" s="102"/>
      <c r="C845" s="103"/>
      <c r="D845" s="102"/>
      <c r="E845" s="103"/>
      <c r="F845" s="102"/>
      <c r="G845" s="103"/>
      <c r="H845" s="102"/>
      <c r="I845" s="103"/>
      <c r="J845" s="102"/>
      <c r="K845" s="103"/>
      <c r="L845" s="102"/>
      <c r="M845" s="103"/>
      <c r="N845" s="102"/>
      <c r="O845" s="103"/>
      <c r="P845" s="102"/>
      <c r="Q845" s="103"/>
      <c r="R845" s="102"/>
      <c r="S845" s="103"/>
    </row>
    <row r="846">
      <c r="A846" s="107"/>
      <c r="B846" s="102"/>
      <c r="C846" s="103"/>
      <c r="D846" s="102"/>
      <c r="E846" s="103"/>
      <c r="F846" s="102"/>
      <c r="G846" s="103"/>
      <c r="H846" s="102"/>
      <c r="I846" s="103"/>
      <c r="J846" s="102"/>
      <c r="K846" s="103"/>
      <c r="L846" s="102"/>
      <c r="M846" s="103"/>
      <c r="N846" s="102"/>
      <c r="O846" s="103"/>
      <c r="P846" s="102"/>
      <c r="Q846" s="103"/>
      <c r="R846" s="102"/>
      <c r="S846" s="103"/>
    </row>
    <row r="847">
      <c r="A847" s="107"/>
      <c r="B847" s="102"/>
      <c r="C847" s="103"/>
      <c r="D847" s="102"/>
      <c r="E847" s="103"/>
      <c r="F847" s="102"/>
      <c r="G847" s="103"/>
      <c r="H847" s="102"/>
      <c r="I847" s="103"/>
      <c r="J847" s="102"/>
      <c r="K847" s="103"/>
      <c r="L847" s="102"/>
      <c r="M847" s="103"/>
      <c r="N847" s="102"/>
      <c r="O847" s="103"/>
      <c r="P847" s="102"/>
      <c r="Q847" s="103"/>
      <c r="R847" s="102"/>
      <c r="S847" s="103"/>
    </row>
    <row r="848">
      <c r="A848" s="107"/>
      <c r="B848" s="102"/>
      <c r="C848" s="103"/>
      <c r="D848" s="102"/>
      <c r="E848" s="103"/>
      <c r="F848" s="102"/>
      <c r="G848" s="103"/>
      <c r="H848" s="102"/>
      <c r="I848" s="103"/>
      <c r="J848" s="102"/>
      <c r="K848" s="103"/>
      <c r="L848" s="102"/>
      <c r="M848" s="103"/>
      <c r="N848" s="102"/>
      <c r="O848" s="103"/>
      <c r="P848" s="102"/>
      <c r="Q848" s="103"/>
      <c r="R848" s="102"/>
      <c r="S848" s="103"/>
    </row>
    <row r="849">
      <c r="A849" s="107"/>
      <c r="B849" s="102"/>
      <c r="C849" s="103"/>
      <c r="D849" s="102"/>
      <c r="E849" s="103"/>
      <c r="F849" s="102"/>
      <c r="G849" s="103"/>
      <c r="H849" s="102"/>
      <c r="I849" s="103"/>
      <c r="J849" s="102"/>
      <c r="K849" s="103"/>
      <c r="L849" s="102"/>
      <c r="M849" s="103"/>
      <c r="N849" s="102"/>
      <c r="O849" s="103"/>
      <c r="P849" s="102"/>
      <c r="Q849" s="103"/>
      <c r="R849" s="102"/>
      <c r="S849" s="103"/>
    </row>
    <row r="850">
      <c r="A850" s="107"/>
      <c r="B850" s="102"/>
      <c r="C850" s="103"/>
      <c r="D850" s="102"/>
      <c r="E850" s="103"/>
      <c r="F850" s="102"/>
      <c r="G850" s="103"/>
      <c r="H850" s="102"/>
      <c r="I850" s="103"/>
      <c r="J850" s="102"/>
      <c r="K850" s="103"/>
      <c r="L850" s="102"/>
      <c r="M850" s="103"/>
      <c r="N850" s="102"/>
      <c r="O850" s="103"/>
      <c r="P850" s="102"/>
      <c r="Q850" s="103"/>
      <c r="R850" s="102"/>
      <c r="S850" s="103"/>
    </row>
    <row r="851">
      <c r="A851" s="107"/>
      <c r="B851" s="102"/>
      <c r="C851" s="103"/>
      <c r="D851" s="102"/>
      <c r="E851" s="103"/>
      <c r="F851" s="102"/>
      <c r="G851" s="103"/>
      <c r="H851" s="102"/>
      <c r="I851" s="103"/>
      <c r="J851" s="102"/>
      <c r="K851" s="103"/>
      <c r="L851" s="102"/>
      <c r="M851" s="103"/>
      <c r="N851" s="102"/>
      <c r="O851" s="103"/>
      <c r="P851" s="102"/>
      <c r="Q851" s="103"/>
      <c r="R851" s="102"/>
      <c r="S851" s="103"/>
    </row>
    <row r="852">
      <c r="A852" s="107"/>
      <c r="B852" s="102"/>
      <c r="C852" s="103"/>
      <c r="D852" s="102"/>
      <c r="E852" s="103"/>
      <c r="F852" s="102"/>
      <c r="G852" s="103"/>
      <c r="H852" s="102"/>
      <c r="I852" s="103"/>
      <c r="J852" s="102"/>
      <c r="K852" s="103"/>
      <c r="L852" s="102"/>
      <c r="M852" s="103"/>
      <c r="N852" s="102"/>
      <c r="O852" s="103"/>
      <c r="P852" s="102"/>
      <c r="Q852" s="103"/>
      <c r="R852" s="102"/>
      <c r="S852" s="103"/>
    </row>
    <row r="853">
      <c r="A853" s="107"/>
      <c r="B853" s="102"/>
      <c r="C853" s="103"/>
      <c r="D853" s="102"/>
      <c r="E853" s="103"/>
      <c r="F853" s="102"/>
      <c r="G853" s="103"/>
      <c r="H853" s="102"/>
      <c r="I853" s="103"/>
      <c r="J853" s="102"/>
      <c r="K853" s="103"/>
      <c r="L853" s="102"/>
      <c r="M853" s="103"/>
      <c r="N853" s="102"/>
      <c r="O853" s="103"/>
      <c r="P853" s="102"/>
      <c r="Q853" s="103"/>
      <c r="R853" s="102"/>
      <c r="S853" s="103"/>
    </row>
    <row r="854">
      <c r="A854" s="107"/>
      <c r="B854" s="102"/>
      <c r="C854" s="103"/>
      <c r="D854" s="102"/>
      <c r="E854" s="103"/>
      <c r="F854" s="102"/>
      <c r="G854" s="103"/>
      <c r="H854" s="102"/>
      <c r="I854" s="103"/>
      <c r="J854" s="102"/>
      <c r="K854" s="103"/>
      <c r="L854" s="102"/>
      <c r="M854" s="103"/>
      <c r="N854" s="102"/>
      <c r="O854" s="103"/>
      <c r="P854" s="102"/>
      <c r="Q854" s="103"/>
      <c r="R854" s="102"/>
      <c r="S854" s="103"/>
    </row>
    <row r="855">
      <c r="A855" s="107"/>
      <c r="B855" s="102"/>
      <c r="C855" s="103"/>
      <c r="D855" s="102"/>
      <c r="E855" s="103"/>
      <c r="F855" s="102"/>
      <c r="G855" s="103"/>
      <c r="H855" s="102"/>
      <c r="I855" s="103"/>
      <c r="J855" s="102"/>
      <c r="K855" s="103"/>
      <c r="L855" s="102"/>
      <c r="M855" s="103"/>
      <c r="N855" s="102"/>
      <c r="O855" s="103"/>
      <c r="P855" s="102"/>
      <c r="Q855" s="103"/>
      <c r="R855" s="102"/>
      <c r="S855" s="103"/>
    </row>
    <row r="856">
      <c r="A856" s="107"/>
      <c r="B856" s="102"/>
      <c r="C856" s="103"/>
      <c r="D856" s="102"/>
      <c r="E856" s="103"/>
      <c r="F856" s="102"/>
      <c r="G856" s="103"/>
      <c r="H856" s="102"/>
      <c r="I856" s="103"/>
      <c r="J856" s="102"/>
      <c r="K856" s="103"/>
      <c r="L856" s="102"/>
      <c r="M856" s="103"/>
      <c r="N856" s="102"/>
      <c r="O856" s="103"/>
      <c r="P856" s="102"/>
      <c r="Q856" s="103"/>
      <c r="R856" s="102"/>
      <c r="S856" s="103"/>
    </row>
    <row r="857">
      <c r="A857" s="107"/>
      <c r="B857" s="102"/>
      <c r="C857" s="103"/>
      <c r="D857" s="102"/>
      <c r="E857" s="103"/>
      <c r="F857" s="102"/>
      <c r="G857" s="103"/>
      <c r="H857" s="102"/>
      <c r="I857" s="103"/>
      <c r="J857" s="102"/>
      <c r="K857" s="103"/>
      <c r="L857" s="102"/>
      <c r="M857" s="103"/>
      <c r="N857" s="102"/>
      <c r="O857" s="103"/>
      <c r="P857" s="102"/>
      <c r="Q857" s="103"/>
      <c r="R857" s="102"/>
      <c r="S857" s="103"/>
    </row>
    <row r="858">
      <c r="A858" s="107"/>
      <c r="B858" s="102"/>
      <c r="C858" s="103"/>
      <c r="D858" s="102"/>
      <c r="E858" s="103"/>
      <c r="F858" s="102"/>
      <c r="G858" s="103"/>
      <c r="H858" s="102"/>
      <c r="I858" s="103"/>
      <c r="J858" s="102"/>
      <c r="K858" s="103"/>
      <c r="L858" s="102"/>
      <c r="M858" s="103"/>
      <c r="N858" s="102"/>
      <c r="O858" s="103"/>
      <c r="P858" s="102"/>
      <c r="Q858" s="103"/>
      <c r="R858" s="102"/>
      <c r="S858" s="103"/>
    </row>
    <row r="859">
      <c r="A859" s="107"/>
      <c r="B859" s="102"/>
      <c r="C859" s="103"/>
      <c r="D859" s="102"/>
      <c r="E859" s="103"/>
      <c r="F859" s="102"/>
      <c r="G859" s="103"/>
      <c r="H859" s="102"/>
      <c r="I859" s="103"/>
      <c r="J859" s="102"/>
      <c r="K859" s="103"/>
      <c r="L859" s="102"/>
      <c r="M859" s="103"/>
      <c r="N859" s="102"/>
      <c r="O859" s="103"/>
      <c r="P859" s="102"/>
      <c r="Q859" s="103"/>
      <c r="R859" s="102"/>
      <c r="S859" s="103"/>
    </row>
    <row r="860">
      <c r="A860" s="107"/>
      <c r="B860" s="102"/>
      <c r="C860" s="103"/>
      <c r="D860" s="102"/>
      <c r="E860" s="103"/>
      <c r="F860" s="102"/>
      <c r="G860" s="103"/>
      <c r="H860" s="102"/>
      <c r="I860" s="103"/>
      <c r="J860" s="102"/>
      <c r="K860" s="103"/>
      <c r="L860" s="102"/>
      <c r="M860" s="103"/>
      <c r="N860" s="102"/>
      <c r="O860" s="103"/>
      <c r="P860" s="102"/>
      <c r="Q860" s="103"/>
      <c r="R860" s="102"/>
      <c r="S860" s="103"/>
    </row>
    <row r="861">
      <c r="A861" s="107"/>
      <c r="B861" s="102"/>
      <c r="C861" s="103"/>
      <c r="D861" s="102"/>
      <c r="E861" s="103"/>
      <c r="F861" s="102"/>
      <c r="G861" s="103"/>
      <c r="H861" s="102"/>
      <c r="I861" s="103"/>
      <c r="J861" s="102"/>
      <c r="K861" s="103"/>
      <c r="L861" s="102"/>
      <c r="M861" s="103"/>
      <c r="N861" s="102"/>
      <c r="O861" s="103"/>
      <c r="P861" s="102"/>
      <c r="Q861" s="103"/>
      <c r="R861" s="102"/>
      <c r="S861" s="103"/>
    </row>
    <row r="862">
      <c r="A862" s="107"/>
      <c r="B862" s="102"/>
      <c r="C862" s="103"/>
      <c r="D862" s="102"/>
      <c r="E862" s="103"/>
      <c r="F862" s="102"/>
      <c r="G862" s="103"/>
      <c r="H862" s="102"/>
      <c r="I862" s="103"/>
      <c r="J862" s="102"/>
      <c r="K862" s="103"/>
      <c r="L862" s="102"/>
      <c r="M862" s="103"/>
      <c r="N862" s="102"/>
      <c r="O862" s="103"/>
      <c r="P862" s="102"/>
      <c r="Q862" s="103"/>
      <c r="R862" s="102"/>
      <c r="S862" s="103"/>
    </row>
    <row r="863">
      <c r="A863" s="107"/>
      <c r="B863" s="102"/>
      <c r="C863" s="103"/>
      <c r="D863" s="102"/>
      <c r="E863" s="103"/>
      <c r="F863" s="102"/>
      <c r="G863" s="103"/>
      <c r="H863" s="102"/>
      <c r="I863" s="103"/>
      <c r="J863" s="102"/>
      <c r="K863" s="103"/>
      <c r="L863" s="102"/>
      <c r="M863" s="103"/>
      <c r="N863" s="102"/>
      <c r="O863" s="103"/>
      <c r="P863" s="102"/>
      <c r="Q863" s="103"/>
      <c r="R863" s="102"/>
      <c r="S863" s="103"/>
    </row>
    <row r="864">
      <c r="A864" s="107"/>
      <c r="B864" s="102"/>
      <c r="C864" s="103"/>
      <c r="D864" s="102"/>
      <c r="E864" s="103"/>
      <c r="F864" s="102"/>
      <c r="G864" s="103"/>
      <c r="H864" s="102"/>
      <c r="I864" s="103"/>
      <c r="J864" s="102"/>
      <c r="K864" s="103"/>
      <c r="L864" s="102"/>
      <c r="M864" s="103"/>
      <c r="N864" s="102"/>
      <c r="O864" s="103"/>
      <c r="P864" s="102"/>
      <c r="Q864" s="103"/>
      <c r="R864" s="102"/>
      <c r="S864" s="103"/>
    </row>
    <row r="865">
      <c r="A865" s="107"/>
      <c r="B865" s="102"/>
      <c r="C865" s="103"/>
      <c r="D865" s="102"/>
      <c r="E865" s="103"/>
      <c r="F865" s="102"/>
      <c r="G865" s="103"/>
      <c r="H865" s="102"/>
      <c r="I865" s="103"/>
      <c r="J865" s="102"/>
      <c r="K865" s="103"/>
      <c r="L865" s="102"/>
      <c r="M865" s="103"/>
      <c r="N865" s="102"/>
      <c r="O865" s="103"/>
      <c r="P865" s="102"/>
      <c r="Q865" s="103"/>
      <c r="R865" s="102"/>
      <c r="S865" s="103"/>
    </row>
    <row r="866">
      <c r="A866" s="107"/>
      <c r="B866" s="102"/>
      <c r="C866" s="103"/>
      <c r="D866" s="102"/>
      <c r="E866" s="103"/>
      <c r="F866" s="102"/>
      <c r="G866" s="103"/>
      <c r="H866" s="102"/>
      <c r="I866" s="103"/>
      <c r="J866" s="102"/>
      <c r="K866" s="103"/>
      <c r="L866" s="102"/>
      <c r="M866" s="103"/>
      <c r="N866" s="102"/>
      <c r="O866" s="103"/>
      <c r="P866" s="102"/>
      <c r="Q866" s="103"/>
      <c r="R866" s="102"/>
      <c r="S866" s="103"/>
    </row>
    <row r="867">
      <c r="A867" s="107"/>
      <c r="B867" s="102"/>
      <c r="C867" s="103"/>
      <c r="D867" s="102"/>
      <c r="E867" s="103"/>
      <c r="F867" s="102"/>
      <c r="G867" s="103"/>
      <c r="H867" s="102"/>
      <c r="I867" s="103"/>
      <c r="J867" s="102"/>
      <c r="K867" s="103"/>
      <c r="L867" s="102"/>
      <c r="M867" s="103"/>
      <c r="N867" s="102"/>
      <c r="O867" s="103"/>
      <c r="P867" s="102"/>
      <c r="Q867" s="103"/>
      <c r="R867" s="102"/>
      <c r="S867" s="103"/>
    </row>
    <row r="868">
      <c r="A868" s="107"/>
      <c r="B868" s="102"/>
      <c r="C868" s="103"/>
      <c r="D868" s="102"/>
      <c r="E868" s="103"/>
      <c r="F868" s="102"/>
      <c r="G868" s="103"/>
      <c r="H868" s="102"/>
      <c r="I868" s="103"/>
      <c r="J868" s="102"/>
      <c r="K868" s="103"/>
      <c r="L868" s="102"/>
      <c r="M868" s="103"/>
      <c r="N868" s="102"/>
      <c r="O868" s="103"/>
      <c r="P868" s="102"/>
      <c r="Q868" s="103"/>
      <c r="R868" s="102"/>
      <c r="S868" s="103"/>
    </row>
    <row r="869">
      <c r="A869" s="107"/>
      <c r="B869" s="102"/>
      <c r="C869" s="103"/>
      <c r="D869" s="102"/>
      <c r="E869" s="103"/>
      <c r="F869" s="102"/>
      <c r="G869" s="103"/>
      <c r="H869" s="102"/>
      <c r="I869" s="103"/>
      <c r="J869" s="102"/>
      <c r="K869" s="103"/>
      <c r="L869" s="102"/>
      <c r="M869" s="103"/>
      <c r="N869" s="102"/>
      <c r="O869" s="103"/>
      <c r="P869" s="102"/>
      <c r="Q869" s="103"/>
      <c r="R869" s="102"/>
      <c r="S869" s="103"/>
    </row>
    <row r="870">
      <c r="A870" s="107"/>
      <c r="B870" s="102"/>
      <c r="C870" s="103"/>
      <c r="D870" s="102"/>
      <c r="E870" s="103"/>
      <c r="F870" s="102"/>
      <c r="G870" s="103"/>
      <c r="H870" s="102"/>
      <c r="I870" s="103"/>
      <c r="J870" s="102"/>
      <c r="K870" s="103"/>
      <c r="L870" s="102"/>
      <c r="M870" s="103"/>
      <c r="N870" s="102"/>
      <c r="O870" s="103"/>
      <c r="P870" s="102"/>
      <c r="Q870" s="103"/>
      <c r="R870" s="102"/>
      <c r="S870" s="103"/>
    </row>
    <row r="871">
      <c r="A871" s="107"/>
      <c r="B871" s="102"/>
      <c r="C871" s="103"/>
      <c r="D871" s="102"/>
      <c r="E871" s="103"/>
      <c r="F871" s="102"/>
      <c r="G871" s="103"/>
      <c r="H871" s="102"/>
      <c r="I871" s="103"/>
      <c r="J871" s="102"/>
      <c r="K871" s="103"/>
      <c r="L871" s="102"/>
      <c r="M871" s="103"/>
      <c r="N871" s="102"/>
      <c r="O871" s="103"/>
      <c r="P871" s="102"/>
      <c r="Q871" s="103"/>
      <c r="R871" s="102"/>
      <c r="S871" s="103"/>
    </row>
    <row r="872">
      <c r="A872" s="107"/>
      <c r="B872" s="102"/>
      <c r="C872" s="103"/>
      <c r="D872" s="102"/>
      <c r="E872" s="103"/>
      <c r="F872" s="102"/>
      <c r="G872" s="103"/>
      <c r="H872" s="102"/>
      <c r="I872" s="103"/>
      <c r="J872" s="102"/>
      <c r="K872" s="103"/>
      <c r="L872" s="102"/>
      <c r="M872" s="103"/>
      <c r="N872" s="102"/>
      <c r="O872" s="103"/>
      <c r="P872" s="102"/>
      <c r="Q872" s="103"/>
      <c r="R872" s="102"/>
      <c r="S872" s="103"/>
    </row>
    <row r="873">
      <c r="A873" s="107"/>
      <c r="B873" s="102"/>
      <c r="C873" s="103"/>
      <c r="D873" s="102"/>
      <c r="E873" s="103"/>
      <c r="F873" s="102"/>
      <c r="G873" s="103"/>
      <c r="H873" s="102"/>
      <c r="I873" s="103"/>
      <c r="J873" s="102"/>
      <c r="K873" s="103"/>
      <c r="L873" s="102"/>
      <c r="M873" s="103"/>
      <c r="N873" s="102"/>
      <c r="O873" s="103"/>
      <c r="P873" s="102"/>
      <c r="Q873" s="103"/>
      <c r="R873" s="102"/>
      <c r="S873" s="103"/>
    </row>
    <row r="874">
      <c r="A874" s="107"/>
      <c r="B874" s="102"/>
      <c r="C874" s="103"/>
      <c r="D874" s="102"/>
      <c r="E874" s="103"/>
      <c r="F874" s="102"/>
      <c r="G874" s="103"/>
      <c r="H874" s="102"/>
      <c r="I874" s="103"/>
      <c r="J874" s="102"/>
      <c r="K874" s="103"/>
      <c r="L874" s="102"/>
      <c r="M874" s="103"/>
      <c r="N874" s="102"/>
      <c r="O874" s="103"/>
      <c r="P874" s="102"/>
      <c r="Q874" s="103"/>
      <c r="R874" s="102"/>
      <c r="S874" s="103"/>
    </row>
    <row r="875">
      <c r="A875" s="107"/>
      <c r="B875" s="102"/>
      <c r="C875" s="103"/>
      <c r="D875" s="102"/>
      <c r="E875" s="103"/>
      <c r="F875" s="102"/>
      <c r="G875" s="103"/>
      <c r="H875" s="102"/>
      <c r="I875" s="103"/>
      <c r="J875" s="102"/>
      <c r="K875" s="103"/>
      <c r="L875" s="102"/>
      <c r="M875" s="103"/>
      <c r="N875" s="102"/>
      <c r="O875" s="103"/>
      <c r="P875" s="102"/>
      <c r="Q875" s="103"/>
      <c r="R875" s="102"/>
      <c r="S875" s="103"/>
    </row>
    <row r="876">
      <c r="A876" s="107"/>
      <c r="B876" s="102"/>
      <c r="C876" s="103"/>
      <c r="D876" s="102"/>
      <c r="E876" s="103"/>
      <c r="F876" s="102"/>
      <c r="G876" s="103"/>
      <c r="H876" s="102"/>
      <c r="I876" s="103"/>
      <c r="J876" s="102"/>
      <c r="K876" s="103"/>
      <c r="L876" s="102"/>
      <c r="M876" s="103"/>
      <c r="N876" s="102"/>
      <c r="O876" s="103"/>
      <c r="P876" s="102"/>
      <c r="Q876" s="103"/>
      <c r="R876" s="102"/>
      <c r="S876" s="103"/>
    </row>
    <row r="877">
      <c r="A877" s="107"/>
      <c r="B877" s="102"/>
      <c r="C877" s="103"/>
      <c r="D877" s="102"/>
      <c r="E877" s="103"/>
      <c r="F877" s="102"/>
      <c r="G877" s="103"/>
      <c r="H877" s="102"/>
      <c r="I877" s="103"/>
      <c r="J877" s="102"/>
      <c r="K877" s="103"/>
      <c r="L877" s="102"/>
      <c r="M877" s="103"/>
      <c r="N877" s="102"/>
      <c r="O877" s="103"/>
      <c r="P877" s="102"/>
      <c r="Q877" s="103"/>
      <c r="R877" s="102"/>
      <c r="S877" s="103"/>
    </row>
    <row r="878">
      <c r="A878" s="107"/>
      <c r="B878" s="102"/>
      <c r="C878" s="103"/>
      <c r="D878" s="102"/>
      <c r="E878" s="103"/>
      <c r="F878" s="102"/>
      <c r="G878" s="103"/>
      <c r="H878" s="102"/>
      <c r="I878" s="103"/>
      <c r="J878" s="102"/>
      <c r="K878" s="103"/>
      <c r="L878" s="102"/>
      <c r="M878" s="103"/>
      <c r="N878" s="102"/>
      <c r="O878" s="103"/>
      <c r="P878" s="102"/>
      <c r="Q878" s="103"/>
      <c r="R878" s="102"/>
      <c r="S878" s="103"/>
    </row>
    <row r="879">
      <c r="A879" s="107"/>
      <c r="B879" s="102"/>
      <c r="C879" s="103"/>
      <c r="D879" s="102"/>
      <c r="E879" s="103"/>
      <c r="F879" s="102"/>
      <c r="G879" s="103"/>
      <c r="H879" s="102"/>
      <c r="I879" s="103"/>
      <c r="J879" s="102"/>
      <c r="K879" s="103"/>
      <c r="L879" s="102"/>
      <c r="M879" s="103"/>
      <c r="N879" s="102"/>
      <c r="O879" s="103"/>
      <c r="P879" s="102"/>
      <c r="Q879" s="103"/>
      <c r="R879" s="102"/>
      <c r="S879" s="103"/>
    </row>
    <row r="880">
      <c r="A880" s="107"/>
      <c r="B880" s="102"/>
      <c r="C880" s="103"/>
      <c r="D880" s="102"/>
      <c r="E880" s="103"/>
      <c r="F880" s="102"/>
      <c r="G880" s="103"/>
      <c r="H880" s="102"/>
      <c r="I880" s="103"/>
      <c r="J880" s="102"/>
      <c r="K880" s="103"/>
      <c r="L880" s="102"/>
      <c r="M880" s="103"/>
      <c r="N880" s="102"/>
      <c r="O880" s="103"/>
      <c r="P880" s="102"/>
      <c r="Q880" s="103"/>
      <c r="R880" s="102"/>
      <c r="S880" s="103"/>
    </row>
    <row r="881">
      <c r="A881" s="107"/>
      <c r="B881" s="102"/>
      <c r="C881" s="103"/>
      <c r="D881" s="102"/>
      <c r="E881" s="103"/>
      <c r="F881" s="102"/>
      <c r="G881" s="103"/>
      <c r="H881" s="102"/>
      <c r="I881" s="103"/>
      <c r="J881" s="102"/>
      <c r="K881" s="103"/>
      <c r="L881" s="102"/>
      <c r="M881" s="103"/>
      <c r="N881" s="102"/>
      <c r="O881" s="103"/>
      <c r="P881" s="102"/>
      <c r="Q881" s="103"/>
      <c r="R881" s="102"/>
      <c r="S881" s="103"/>
    </row>
    <row r="882">
      <c r="A882" s="107"/>
      <c r="B882" s="102"/>
      <c r="C882" s="103"/>
      <c r="D882" s="102"/>
      <c r="E882" s="103"/>
      <c r="F882" s="102"/>
      <c r="G882" s="103"/>
      <c r="H882" s="102"/>
      <c r="I882" s="103"/>
      <c r="J882" s="102"/>
      <c r="K882" s="103"/>
      <c r="L882" s="102"/>
      <c r="M882" s="103"/>
      <c r="N882" s="102"/>
      <c r="O882" s="103"/>
      <c r="P882" s="102"/>
      <c r="Q882" s="103"/>
      <c r="R882" s="102"/>
      <c r="S882" s="103"/>
    </row>
    <row r="883">
      <c r="A883" s="107"/>
      <c r="B883" s="102"/>
      <c r="C883" s="103"/>
      <c r="D883" s="102"/>
      <c r="E883" s="103"/>
      <c r="F883" s="102"/>
      <c r="G883" s="103"/>
      <c r="H883" s="102"/>
      <c r="I883" s="103"/>
      <c r="J883" s="102"/>
      <c r="K883" s="103"/>
      <c r="L883" s="102"/>
      <c r="M883" s="103"/>
      <c r="N883" s="102"/>
      <c r="O883" s="103"/>
      <c r="P883" s="102"/>
      <c r="Q883" s="103"/>
      <c r="R883" s="102"/>
      <c r="S883" s="103"/>
    </row>
    <row r="884">
      <c r="A884" s="107"/>
      <c r="B884" s="102"/>
      <c r="C884" s="103"/>
      <c r="D884" s="102"/>
      <c r="E884" s="103"/>
      <c r="F884" s="102"/>
      <c r="G884" s="103"/>
      <c r="H884" s="102"/>
      <c r="I884" s="103"/>
      <c r="J884" s="102"/>
      <c r="K884" s="103"/>
      <c r="L884" s="102"/>
      <c r="M884" s="103"/>
      <c r="N884" s="102"/>
      <c r="O884" s="103"/>
      <c r="P884" s="102"/>
      <c r="Q884" s="103"/>
      <c r="R884" s="102"/>
      <c r="S884" s="103"/>
    </row>
    <row r="885">
      <c r="A885" s="107"/>
      <c r="B885" s="102"/>
      <c r="C885" s="103"/>
      <c r="D885" s="102"/>
      <c r="E885" s="103"/>
      <c r="F885" s="102"/>
      <c r="G885" s="103"/>
      <c r="H885" s="102"/>
      <c r="I885" s="103"/>
      <c r="J885" s="102"/>
      <c r="K885" s="103"/>
      <c r="L885" s="102"/>
      <c r="M885" s="103"/>
      <c r="N885" s="102"/>
      <c r="O885" s="103"/>
      <c r="P885" s="102"/>
      <c r="Q885" s="103"/>
      <c r="R885" s="102"/>
      <c r="S885" s="103"/>
    </row>
    <row r="886">
      <c r="A886" s="107"/>
      <c r="B886" s="102"/>
      <c r="C886" s="103"/>
      <c r="D886" s="102"/>
      <c r="E886" s="103"/>
      <c r="F886" s="102"/>
      <c r="G886" s="103"/>
      <c r="H886" s="102"/>
      <c r="I886" s="103"/>
      <c r="J886" s="102"/>
      <c r="K886" s="103"/>
      <c r="L886" s="102"/>
      <c r="M886" s="103"/>
      <c r="N886" s="102"/>
      <c r="O886" s="103"/>
      <c r="P886" s="102"/>
      <c r="Q886" s="103"/>
      <c r="R886" s="102"/>
      <c r="S886" s="103"/>
    </row>
    <row r="887">
      <c r="A887" s="107"/>
      <c r="B887" s="102"/>
      <c r="C887" s="103"/>
      <c r="D887" s="102"/>
      <c r="E887" s="103"/>
      <c r="F887" s="102"/>
      <c r="G887" s="103"/>
      <c r="H887" s="102"/>
      <c r="I887" s="103"/>
      <c r="J887" s="102"/>
      <c r="K887" s="103"/>
      <c r="L887" s="102"/>
      <c r="M887" s="103"/>
      <c r="N887" s="102"/>
      <c r="O887" s="103"/>
      <c r="P887" s="102"/>
      <c r="Q887" s="103"/>
      <c r="R887" s="102"/>
      <c r="S887" s="103"/>
    </row>
    <row r="888">
      <c r="A888" s="107"/>
      <c r="B888" s="102"/>
      <c r="C888" s="103"/>
      <c r="D888" s="102"/>
      <c r="E888" s="103"/>
      <c r="F888" s="102"/>
      <c r="G888" s="103"/>
      <c r="H888" s="102"/>
      <c r="I888" s="103"/>
      <c r="J888" s="102"/>
      <c r="K888" s="103"/>
      <c r="L888" s="102"/>
      <c r="M888" s="103"/>
      <c r="N888" s="102"/>
      <c r="O888" s="103"/>
      <c r="P888" s="102"/>
      <c r="Q888" s="103"/>
      <c r="R888" s="102"/>
      <c r="S888" s="103"/>
    </row>
    <row r="889">
      <c r="A889" s="107"/>
      <c r="B889" s="102"/>
      <c r="C889" s="103"/>
      <c r="D889" s="102"/>
      <c r="E889" s="103"/>
      <c r="F889" s="102"/>
      <c r="G889" s="103"/>
      <c r="H889" s="102"/>
      <c r="I889" s="103"/>
      <c r="J889" s="102"/>
      <c r="K889" s="103"/>
      <c r="L889" s="102"/>
      <c r="M889" s="103"/>
      <c r="N889" s="102"/>
      <c r="O889" s="103"/>
      <c r="P889" s="102"/>
      <c r="Q889" s="103"/>
      <c r="R889" s="102"/>
      <c r="S889" s="103"/>
    </row>
    <row r="890">
      <c r="A890" s="107"/>
      <c r="B890" s="102"/>
      <c r="C890" s="103"/>
      <c r="D890" s="102"/>
      <c r="E890" s="103"/>
      <c r="F890" s="102"/>
      <c r="G890" s="103"/>
      <c r="H890" s="102"/>
      <c r="I890" s="103"/>
      <c r="J890" s="102"/>
      <c r="K890" s="103"/>
      <c r="L890" s="102"/>
      <c r="M890" s="103"/>
      <c r="N890" s="102"/>
      <c r="O890" s="103"/>
      <c r="P890" s="102"/>
      <c r="Q890" s="103"/>
      <c r="R890" s="102"/>
      <c r="S890" s="103"/>
    </row>
    <row r="891">
      <c r="A891" s="107"/>
      <c r="B891" s="102"/>
      <c r="C891" s="103"/>
      <c r="D891" s="102"/>
      <c r="E891" s="103"/>
      <c r="F891" s="102"/>
      <c r="G891" s="103"/>
      <c r="H891" s="102"/>
      <c r="I891" s="103"/>
      <c r="J891" s="102"/>
      <c r="K891" s="103"/>
      <c r="L891" s="102"/>
      <c r="M891" s="103"/>
      <c r="N891" s="102"/>
      <c r="O891" s="103"/>
      <c r="P891" s="102"/>
      <c r="Q891" s="103"/>
      <c r="R891" s="102"/>
      <c r="S891" s="103"/>
    </row>
    <row r="892">
      <c r="A892" s="107"/>
      <c r="B892" s="102"/>
      <c r="C892" s="103"/>
      <c r="D892" s="102"/>
      <c r="E892" s="103"/>
      <c r="F892" s="102"/>
      <c r="G892" s="103"/>
      <c r="H892" s="102"/>
      <c r="I892" s="103"/>
      <c r="J892" s="102"/>
      <c r="K892" s="103"/>
      <c r="L892" s="102"/>
      <c r="M892" s="103"/>
      <c r="N892" s="102"/>
      <c r="O892" s="103"/>
      <c r="P892" s="102"/>
      <c r="Q892" s="103"/>
      <c r="R892" s="102"/>
      <c r="S892" s="103"/>
    </row>
    <row r="893">
      <c r="A893" s="107"/>
      <c r="B893" s="102"/>
      <c r="C893" s="103"/>
      <c r="D893" s="102"/>
      <c r="E893" s="103"/>
      <c r="F893" s="102"/>
      <c r="G893" s="103"/>
      <c r="H893" s="102"/>
      <c r="I893" s="103"/>
      <c r="J893" s="102"/>
      <c r="K893" s="103"/>
      <c r="L893" s="102"/>
      <c r="M893" s="103"/>
      <c r="N893" s="102"/>
      <c r="O893" s="103"/>
      <c r="P893" s="102"/>
      <c r="Q893" s="103"/>
      <c r="R893" s="102"/>
      <c r="S893" s="103"/>
    </row>
    <row r="894">
      <c r="A894" s="107"/>
      <c r="B894" s="102"/>
      <c r="C894" s="103"/>
      <c r="D894" s="102"/>
      <c r="E894" s="103"/>
      <c r="F894" s="102"/>
      <c r="G894" s="103"/>
      <c r="H894" s="102"/>
      <c r="I894" s="103"/>
      <c r="J894" s="102"/>
      <c r="K894" s="103"/>
      <c r="L894" s="102"/>
      <c r="M894" s="103"/>
      <c r="N894" s="102"/>
      <c r="O894" s="103"/>
      <c r="P894" s="102"/>
      <c r="Q894" s="103"/>
      <c r="R894" s="102"/>
      <c r="S894" s="103"/>
    </row>
    <row r="895">
      <c r="A895" s="107"/>
      <c r="B895" s="102"/>
      <c r="C895" s="103"/>
      <c r="D895" s="102"/>
      <c r="E895" s="103"/>
      <c r="F895" s="102"/>
      <c r="G895" s="103"/>
      <c r="H895" s="102"/>
      <c r="I895" s="103"/>
      <c r="J895" s="102"/>
      <c r="K895" s="103"/>
      <c r="L895" s="102"/>
      <c r="M895" s="103"/>
      <c r="N895" s="102"/>
      <c r="O895" s="103"/>
      <c r="P895" s="102"/>
      <c r="Q895" s="103"/>
      <c r="R895" s="102"/>
      <c r="S895" s="103"/>
    </row>
    <row r="896">
      <c r="A896" s="107"/>
      <c r="B896" s="102"/>
      <c r="C896" s="103"/>
      <c r="D896" s="102"/>
      <c r="E896" s="103"/>
      <c r="F896" s="102"/>
      <c r="G896" s="103"/>
      <c r="H896" s="102"/>
      <c r="I896" s="103"/>
      <c r="J896" s="102"/>
      <c r="K896" s="103"/>
      <c r="L896" s="102"/>
      <c r="M896" s="103"/>
      <c r="N896" s="102"/>
      <c r="O896" s="103"/>
      <c r="P896" s="102"/>
      <c r="Q896" s="103"/>
      <c r="R896" s="102"/>
      <c r="S896" s="103"/>
    </row>
    <row r="897">
      <c r="A897" s="107"/>
      <c r="B897" s="102"/>
      <c r="C897" s="103"/>
      <c r="D897" s="102"/>
      <c r="E897" s="103"/>
      <c r="F897" s="102"/>
      <c r="G897" s="103"/>
      <c r="H897" s="102"/>
      <c r="I897" s="103"/>
      <c r="J897" s="102"/>
      <c r="K897" s="103"/>
      <c r="L897" s="102"/>
      <c r="M897" s="103"/>
      <c r="N897" s="102"/>
      <c r="O897" s="103"/>
      <c r="P897" s="102"/>
      <c r="Q897" s="103"/>
      <c r="R897" s="102"/>
      <c r="S897" s="103"/>
    </row>
    <row r="898">
      <c r="A898" s="107"/>
      <c r="B898" s="102"/>
      <c r="C898" s="103"/>
      <c r="D898" s="102"/>
      <c r="E898" s="103"/>
      <c r="F898" s="102"/>
      <c r="G898" s="103"/>
      <c r="H898" s="102"/>
      <c r="I898" s="103"/>
      <c r="J898" s="102"/>
      <c r="K898" s="103"/>
      <c r="L898" s="102"/>
      <c r="M898" s="103"/>
      <c r="N898" s="102"/>
      <c r="O898" s="103"/>
      <c r="P898" s="102"/>
      <c r="Q898" s="103"/>
      <c r="R898" s="102"/>
      <c r="S898" s="103"/>
    </row>
    <row r="899">
      <c r="A899" s="107"/>
      <c r="B899" s="102"/>
      <c r="C899" s="103"/>
      <c r="D899" s="102"/>
      <c r="E899" s="103"/>
      <c r="F899" s="102"/>
      <c r="G899" s="103"/>
      <c r="H899" s="102"/>
      <c r="I899" s="103"/>
      <c r="J899" s="102"/>
      <c r="K899" s="103"/>
      <c r="L899" s="102"/>
      <c r="M899" s="103"/>
      <c r="N899" s="102"/>
      <c r="O899" s="103"/>
      <c r="P899" s="102"/>
      <c r="Q899" s="103"/>
      <c r="R899" s="102"/>
      <c r="S899" s="103"/>
    </row>
    <row r="900">
      <c r="A900" s="107"/>
      <c r="B900" s="102"/>
      <c r="C900" s="103"/>
      <c r="D900" s="102"/>
      <c r="E900" s="103"/>
      <c r="F900" s="102"/>
      <c r="G900" s="103"/>
      <c r="H900" s="102"/>
      <c r="I900" s="103"/>
      <c r="J900" s="102"/>
      <c r="K900" s="103"/>
      <c r="L900" s="102"/>
      <c r="M900" s="103"/>
      <c r="N900" s="102"/>
      <c r="O900" s="103"/>
      <c r="P900" s="102"/>
      <c r="Q900" s="103"/>
      <c r="R900" s="102"/>
      <c r="S900" s="103"/>
    </row>
    <row r="901">
      <c r="A901" s="107"/>
      <c r="B901" s="102"/>
      <c r="C901" s="103"/>
      <c r="D901" s="102"/>
      <c r="E901" s="103"/>
      <c r="F901" s="102"/>
      <c r="G901" s="103"/>
      <c r="H901" s="102"/>
      <c r="I901" s="103"/>
      <c r="J901" s="102"/>
      <c r="K901" s="103"/>
      <c r="L901" s="102"/>
      <c r="M901" s="103"/>
      <c r="N901" s="102"/>
      <c r="O901" s="103"/>
      <c r="P901" s="102"/>
      <c r="Q901" s="103"/>
      <c r="R901" s="102"/>
      <c r="S901" s="103"/>
    </row>
    <row r="902">
      <c r="A902" s="107"/>
      <c r="B902" s="102"/>
      <c r="C902" s="103"/>
      <c r="D902" s="102"/>
      <c r="E902" s="103"/>
      <c r="F902" s="102"/>
      <c r="G902" s="103"/>
      <c r="H902" s="102"/>
      <c r="I902" s="103"/>
      <c r="J902" s="102"/>
      <c r="K902" s="103"/>
      <c r="L902" s="102"/>
      <c r="M902" s="103"/>
      <c r="N902" s="102"/>
      <c r="O902" s="103"/>
      <c r="P902" s="102"/>
      <c r="Q902" s="103"/>
      <c r="R902" s="102"/>
      <c r="S902" s="103"/>
    </row>
    <row r="903">
      <c r="A903" s="107"/>
      <c r="B903" s="102"/>
      <c r="C903" s="103"/>
      <c r="D903" s="102"/>
      <c r="E903" s="103"/>
      <c r="F903" s="102"/>
      <c r="G903" s="103"/>
      <c r="H903" s="102"/>
      <c r="I903" s="103"/>
      <c r="J903" s="102"/>
      <c r="K903" s="103"/>
      <c r="L903" s="102"/>
      <c r="M903" s="103"/>
      <c r="N903" s="102"/>
      <c r="O903" s="103"/>
      <c r="P903" s="102"/>
      <c r="Q903" s="103"/>
      <c r="R903" s="102"/>
      <c r="S903" s="103"/>
    </row>
    <row r="904">
      <c r="A904" s="107"/>
      <c r="B904" s="102"/>
      <c r="C904" s="103"/>
      <c r="D904" s="102"/>
      <c r="E904" s="103"/>
      <c r="F904" s="102"/>
      <c r="G904" s="103"/>
      <c r="H904" s="102"/>
      <c r="I904" s="103"/>
      <c r="J904" s="102"/>
      <c r="K904" s="103"/>
      <c r="L904" s="102"/>
      <c r="M904" s="103"/>
      <c r="N904" s="102"/>
      <c r="O904" s="103"/>
      <c r="P904" s="102"/>
      <c r="Q904" s="103"/>
      <c r="R904" s="102"/>
      <c r="S904" s="103"/>
    </row>
    <row r="905">
      <c r="A905" s="107"/>
      <c r="B905" s="102"/>
      <c r="C905" s="103"/>
      <c r="D905" s="102"/>
      <c r="E905" s="103"/>
      <c r="F905" s="102"/>
      <c r="G905" s="103"/>
      <c r="H905" s="102"/>
      <c r="I905" s="103"/>
      <c r="J905" s="102"/>
      <c r="K905" s="103"/>
      <c r="L905" s="102"/>
      <c r="M905" s="103"/>
      <c r="N905" s="102"/>
      <c r="O905" s="103"/>
      <c r="P905" s="102"/>
      <c r="Q905" s="103"/>
      <c r="R905" s="102"/>
      <c r="S905" s="103"/>
    </row>
    <row r="906">
      <c r="A906" s="107"/>
      <c r="B906" s="102"/>
      <c r="C906" s="103"/>
      <c r="D906" s="102"/>
      <c r="E906" s="103"/>
      <c r="F906" s="102"/>
      <c r="G906" s="103"/>
      <c r="H906" s="102"/>
      <c r="I906" s="103"/>
      <c r="J906" s="102"/>
      <c r="K906" s="103"/>
      <c r="L906" s="102"/>
      <c r="M906" s="103"/>
      <c r="N906" s="102"/>
      <c r="O906" s="103"/>
      <c r="P906" s="102"/>
      <c r="Q906" s="103"/>
      <c r="R906" s="102"/>
      <c r="S906" s="103"/>
    </row>
    <row r="907">
      <c r="A907" s="107"/>
      <c r="B907" s="102"/>
      <c r="C907" s="103"/>
      <c r="D907" s="102"/>
      <c r="E907" s="103"/>
      <c r="F907" s="102"/>
      <c r="G907" s="103"/>
      <c r="H907" s="102"/>
      <c r="I907" s="103"/>
      <c r="J907" s="102"/>
      <c r="K907" s="103"/>
      <c r="L907" s="102"/>
      <c r="M907" s="103"/>
      <c r="N907" s="102"/>
      <c r="O907" s="103"/>
      <c r="P907" s="102"/>
      <c r="Q907" s="103"/>
      <c r="R907" s="102"/>
      <c r="S907" s="103"/>
    </row>
    <row r="908">
      <c r="A908" s="107"/>
      <c r="B908" s="102"/>
      <c r="C908" s="103"/>
      <c r="D908" s="102"/>
      <c r="E908" s="103"/>
      <c r="F908" s="102"/>
      <c r="G908" s="103"/>
      <c r="H908" s="102"/>
      <c r="I908" s="103"/>
      <c r="J908" s="102"/>
      <c r="K908" s="103"/>
      <c r="L908" s="102"/>
      <c r="M908" s="103"/>
      <c r="N908" s="102"/>
      <c r="O908" s="103"/>
      <c r="P908" s="102"/>
      <c r="Q908" s="103"/>
      <c r="R908" s="102"/>
      <c r="S908" s="103"/>
    </row>
    <row r="909">
      <c r="A909" s="107"/>
      <c r="B909" s="102"/>
      <c r="C909" s="103"/>
      <c r="D909" s="102"/>
      <c r="E909" s="103"/>
      <c r="F909" s="102"/>
      <c r="G909" s="103"/>
      <c r="H909" s="102"/>
      <c r="I909" s="103"/>
      <c r="J909" s="102"/>
      <c r="K909" s="103"/>
      <c r="L909" s="102"/>
      <c r="M909" s="103"/>
      <c r="N909" s="102"/>
      <c r="O909" s="103"/>
      <c r="P909" s="102"/>
      <c r="Q909" s="103"/>
      <c r="R909" s="102"/>
      <c r="S909" s="103"/>
    </row>
    <row r="910">
      <c r="A910" s="107"/>
      <c r="B910" s="102"/>
      <c r="C910" s="103"/>
      <c r="D910" s="102"/>
      <c r="E910" s="103"/>
      <c r="F910" s="102"/>
      <c r="G910" s="103"/>
      <c r="H910" s="102"/>
      <c r="I910" s="103"/>
      <c r="J910" s="102"/>
      <c r="K910" s="103"/>
      <c r="L910" s="102"/>
      <c r="M910" s="103"/>
      <c r="N910" s="102"/>
      <c r="O910" s="103"/>
      <c r="P910" s="102"/>
      <c r="Q910" s="103"/>
      <c r="R910" s="102"/>
      <c r="S910" s="103"/>
    </row>
    <row r="911">
      <c r="A911" s="107"/>
      <c r="B911" s="102"/>
      <c r="C911" s="103"/>
      <c r="D911" s="102"/>
      <c r="E911" s="103"/>
      <c r="F911" s="102"/>
      <c r="G911" s="103"/>
      <c r="H911" s="102"/>
      <c r="I911" s="103"/>
      <c r="J911" s="102"/>
      <c r="K911" s="103"/>
      <c r="L911" s="102"/>
      <c r="M911" s="103"/>
      <c r="N911" s="102"/>
      <c r="O911" s="103"/>
      <c r="P911" s="102"/>
      <c r="Q911" s="103"/>
      <c r="R911" s="102"/>
      <c r="S911" s="103"/>
    </row>
    <row r="912">
      <c r="A912" s="107"/>
      <c r="B912" s="102"/>
      <c r="C912" s="103"/>
      <c r="D912" s="102"/>
      <c r="E912" s="103"/>
      <c r="F912" s="102"/>
      <c r="G912" s="103"/>
      <c r="H912" s="102"/>
      <c r="I912" s="103"/>
      <c r="J912" s="102"/>
      <c r="K912" s="103"/>
      <c r="L912" s="102"/>
      <c r="M912" s="103"/>
      <c r="N912" s="102"/>
      <c r="O912" s="103"/>
      <c r="P912" s="102"/>
      <c r="Q912" s="103"/>
      <c r="R912" s="102"/>
      <c r="S912" s="103"/>
    </row>
    <row r="913">
      <c r="A913" s="107"/>
      <c r="B913" s="102"/>
      <c r="C913" s="103"/>
      <c r="D913" s="102"/>
      <c r="E913" s="103"/>
      <c r="F913" s="102"/>
      <c r="G913" s="103"/>
      <c r="H913" s="102"/>
      <c r="I913" s="103"/>
      <c r="J913" s="102"/>
      <c r="K913" s="103"/>
      <c r="L913" s="102"/>
      <c r="M913" s="103"/>
      <c r="N913" s="102"/>
      <c r="O913" s="103"/>
      <c r="P913" s="102"/>
      <c r="Q913" s="103"/>
      <c r="R913" s="102"/>
      <c r="S913" s="103"/>
    </row>
    <row r="914">
      <c r="A914" s="107"/>
      <c r="B914" s="102"/>
      <c r="C914" s="103"/>
      <c r="D914" s="102"/>
      <c r="E914" s="103"/>
      <c r="F914" s="102"/>
      <c r="G914" s="103"/>
      <c r="H914" s="102"/>
      <c r="I914" s="103"/>
      <c r="J914" s="102"/>
      <c r="K914" s="103"/>
      <c r="L914" s="102"/>
      <c r="M914" s="103"/>
      <c r="N914" s="102"/>
      <c r="O914" s="103"/>
      <c r="P914" s="102"/>
      <c r="Q914" s="103"/>
      <c r="R914" s="102"/>
      <c r="S914" s="103"/>
    </row>
    <row r="915">
      <c r="A915" s="107"/>
      <c r="B915" s="102"/>
      <c r="C915" s="103"/>
      <c r="D915" s="102"/>
      <c r="E915" s="103"/>
      <c r="F915" s="102"/>
      <c r="G915" s="103"/>
      <c r="H915" s="102"/>
      <c r="I915" s="103"/>
      <c r="J915" s="102"/>
      <c r="K915" s="103"/>
      <c r="L915" s="102"/>
      <c r="M915" s="103"/>
      <c r="N915" s="102"/>
      <c r="O915" s="103"/>
      <c r="P915" s="102"/>
      <c r="Q915" s="103"/>
      <c r="R915" s="102"/>
      <c r="S915" s="103"/>
    </row>
    <row r="916">
      <c r="A916" s="107"/>
      <c r="B916" s="102"/>
      <c r="C916" s="103"/>
      <c r="D916" s="102"/>
      <c r="E916" s="103"/>
      <c r="F916" s="102"/>
      <c r="G916" s="103"/>
      <c r="H916" s="102"/>
      <c r="I916" s="103"/>
      <c r="J916" s="102"/>
      <c r="K916" s="103"/>
      <c r="L916" s="102"/>
      <c r="M916" s="103"/>
      <c r="N916" s="102"/>
      <c r="O916" s="103"/>
      <c r="P916" s="102"/>
      <c r="Q916" s="103"/>
      <c r="R916" s="102"/>
      <c r="S916" s="103"/>
    </row>
    <row r="917">
      <c r="A917" s="107"/>
      <c r="B917" s="102"/>
      <c r="C917" s="103"/>
      <c r="D917" s="102"/>
      <c r="E917" s="103"/>
      <c r="F917" s="102"/>
      <c r="G917" s="103"/>
      <c r="H917" s="102"/>
      <c r="I917" s="103"/>
      <c r="J917" s="102"/>
      <c r="K917" s="103"/>
      <c r="L917" s="102"/>
      <c r="M917" s="103"/>
      <c r="N917" s="102"/>
      <c r="O917" s="103"/>
      <c r="P917" s="102"/>
      <c r="Q917" s="103"/>
      <c r="R917" s="102"/>
      <c r="S917" s="103"/>
    </row>
    <row r="918">
      <c r="A918" s="107"/>
      <c r="B918" s="102"/>
      <c r="C918" s="103"/>
      <c r="D918" s="102"/>
      <c r="E918" s="103"/>
      <c r="F918" s="102"/>
      <c r="G918" s="103"/>
      <c r="H918" s="102"/>
      <c r="I918" s="103"/>
      <c r="J918" s="102"/>
      <c r="K918" s="103"/>
      <c r="L918" s="102"/>
      <c r="M918" s="103"/>
      <c r="N918" s="102"/>
      <c r="O918" s="103"/>
      <c r="P918" s="102"/>
      <c r="Q918" s="103"/>
      <c r="R918" s="102"/>
      <c r="S918" s="103"/>
    </row>
    <row r="919">
      <c r="A919" s="107"/>
      <c r="B919" s="102"/>
      <c r="C919" s="103"/>
      <c r="D919" s="102"/>
      <c r="E919" s="103"/>
      <c r="F919" s="102"/>
      <c r="G919" s="103"/>
      <c r="H919" s="102"/>
      <c r="I919" s="103"/>
      <c r="J919" s="102"/>
      <c r="K919" s="103"/>
      <c r="L919" s="102"/>
      <c r="M919" s="103"/>
      <c r="N919" s="102"/>
      <c r="O919" s="103"/>
      <c r="P919" s="102"/>
      <c r="Q919" s="103"/>
      <c r="R919" s="102"/>
      <c r="S919" s="103"/>
    </row>
    <row r="920">
      <c r="A920" s="107"/>
      <c r="B920" s="102"/>
      <c r="C920" s="103"/>
      <c r="D920" s="102"/>
      <c r="E920" s="103"/>
      <c r="F920" s="102"/>
      <c r="G920" s="103"/>
      <c r="H920" s="102"/>
      <c r="I920" s="103"/>
      <c r="J920" s="102"/>
      <c r="K920" s="103"/>
      <c r="L920" s="102"/>
      <c r="M920" s="103"/>
      <c r="N920" s="102"/>
      <c r="O920" s="103"/>
      <c r="P920" s="102"/>
      <c r="Q920" s="103"/>
      <c r="R920" s="102"/>
      <c r="S920" s="103"/>
    </row>
    <row r="921">
      <c r="A921" s="107"/>
      <c r="B921" s="102"/>
      <c r="C921" s="103"/>
      <c r="D921" s="102"/>
      <c r="E921" s="103"/>
      <c r="F921" s="102"/>
      <c r="G921" s="103"/>
      <c r="H921" s="102"/>
      <c r="I921" s="103"/>
      <c r="J921" s="102"/>
      <c r="K921" s="103"/>
      <c r="L921" s="102"/>
      <c r="M921" s="103"/>
      <c r="N921" s="102"/>
      <c r="O921" s="103"/>
      <c r="P921" s="102"/>
      <c r="Q921" s="103"/>
      <c r="R921" s="102"/>
      <c r="S921" s="103"/>
    </row>
    <row r="922">
      <c r="A922" s="107"/>
      <c r="B922" s="102"/>
      <c r="C922" s="103"/>
      <c r="D922" s="102"/>
      <c r="E922" s="103"/>
      <c r="F922" s="102"/>
      <c r="G922" s="103"/>
      <c r="H922" s="102"/>
      <c r="I922" s="103"/>
      <c r="J922" s="102"/>
      <c r="K922" s="103"/>
      <c r="L922" s="102"/>
      <c r="M922" s="103"/>
      <c r="N922" s="102"/>
      <c r="O922" s="103"/>
      <c r="P922" s="102"/>
      <c r="Q922" s="103"/>
      <c r="R922" s="102"/>
      <c r="S922" s="103"/>
    </row>
    <row r="923">
      <c r="A923" s="107"/>
      <c r="B923" s="102"/>
      <c r="C923" s="103"/>
      <c r="D923" s="102"/>
      <c r="E923" s="103"/>
      <c r="F923" s="102"/>
      <c r="G923" s="103"/>
      <c r="H923" s="102"/>
      <c r="I923" s="103"/>
      <c r="J923" s="102"/>
      <c r="K923" s="103"/>
      <c r="L923" s="102"/>
      <c r="M923" s="103"/>
      <c r="N923" s="102"/>
      <c r="O923" s="103"/>
      <c r="P923" s="102"/>
      <c r="Q923" s="103"/>
      <c r="R923" s="102"/>
      <c r="S923" s="103"/>
    </row>
    <row r="924">
      <c r="A924" s="107"/>
      <c r="B924" s="102"/>
      <c r="C924" s="103"/>
      <c r="D924" s="102"/>
      <c r="E924" s="103"/>
      <c r="F924" s="102"/>
      <c r="G924" s="103"/>
      <c r="H924" s="102"/>
      <c r="I924" s="103"/>
      <c r="J924" s="102"/>
      <c r="K924" s="103"/>
      <c r="L924" s="102"/>
      <c r="M924" s="103"/>
      <c r="N924" s="102"/>
      <c r="O924" s="103"/>
      <c r="P924" s="102"/>
      <c r="Q924" s="103"/>
      <c r="R924" s="102"/>
      <c r="S924" s="103"/>
    </row>
    <row r="925">
      <c r="A925" s="107"/>
      <c r="B925" s="102"/>
      <c r="C925" s="103"/>
      <c r="D925" s="102"/>
      <c r="E925" s="103"/>
      <c r="F925" s="102"/>
      <c r="G925" s="103"/>
      <c r="H925" s="102"/>
      <c r="I925" s="103"/>
      <c r="J925" s="102"/>
      <c r="K925" s="103"/>
      <c r="L925" s="102"/>
      <c r="M925" s="103"/>
      <c r="N925" s="102"/>
      <c r="O925" s="103"/>
      <c r="P925" s="102"/>
      <c r="Q925" s="103"/>
      <c r="R925" s="102"/>
      <c r="S925" s="103"/>
    </row>
    <row r="926">
      <c r="A926" s="107"/>
      <c r="B926" s="102"/>
      <c r="C926" s="103"/>
      <c r="D926" s="102"/>
      <c r="E926" s="103"/>
      <c r="F926" s="102"/>
      <c r="G926" s="103"/>
      <c r="H926" s="102"/>
      <c r="I926" s="103"/>
      <c r="J926" s="102"/>
      <c r="K926" s="103"/>
      <c r="L926" s="102"/>
      <c r="M926" s="103"/>
      <c r="N926" s="102"/>
      <c r="O926" s="103"/>
      <c r="P926" s="102"/>
      <c r="Q926" s="103"/>
      <c r="R926" s="102"/>
      <c r="S926" s="103"/>
    </row>
    <row r="927">
      <c r="A927" s="107"/>
      <c r="B927" s="102"/>
      <c r="C927" s="103"/>
      <c r="D927" s="102"/>
      <c r="E927" s="103"/>
      <c r="F927" s="102"/>
      <c r="G927" s="103"/>
      <c r="H927" s="102"/>
      <c r="I927" s="103"/>
      <c r="J927" s="102"/>
      <c r="K927" s="103"/>
      <c r="L927" s="102"/>
      <c r="M927" s="103"/>
      <c r="N927" s="102"/>
      <c r="O927" s="103"/>
      <c r="P927" s="102"/>
      <c r="Q927" s="103"/>
      <c r="R927" s="102"/>
      <c r="S927" s="103"/>
    </row>
    <row r="928">
      <c r="A928" s="107"/>
      <c r="B928" s="102"/>
      <c r="C928" s="103"/>
      <c r="D928" s="102"/>
      <c r="E928" s="103"/>
      <c r="F928" s="102"/>
      <c r="G928" s="103"/>
      <c r="H928" s="102"/>
      <c r="I928" s="103"/>
      <c r="J928" s="102"/>
      <c r="K928" s="103"/>
      <c r="L928" s="102"/>
      <c r="M928" s="103"/>
      <c r="N928" s="102"/>
      <c r="O928" s="103"/>
      <c r="P928" s="102"/>
      <c r="Q928" s="103"/>
      <c r="R928" s="102"/>
      <c r="S928" s="103"/>
    </row>
    <row r="929">
      <c r="A929" s="107"/>
      <c r="B929" s="102"/>
      <c r="C929" s="103"/>
      <c r="D929" s="102"/>
      <c r="E929" s="103"/>
      <c r="F929" s="102"/>
      <c r="G929" s="103"/>
      <c r="H929" s="102"/>
      <c r="I929" s="103"/>
      <c r="J929" s="102"/>
      <c r="K929" s="103"/>
      <c r="L929" s="102"/>
      <c r="M929" s="103"/>
      <c r="N929" s="102"/>
      <c r="O929" s="103"/>
      <c r="P929" s="102"/>
      <c r="Q929" s="103"/>
      <c r="R929" s="102"/>
      <c r="S929" s="103"/>
    </row>
    <row r="930">
      <c r="A930" s="107"/>
      <c r="B930" s="102"/>
      <c r="C930" s="103"/>
      <c r="D930" s="102"/>
      <c r="E930" s="103"/>
      <c r="F930" s="102"/>
      <c r="G930" s="103"/>
      <c r="H930" s="102"/>
      <c r="I930" s="103"/>
      <c r="J930" s="102"/>
      <c r="K930" s="103"/>
      <c r="L930" s="102"/>
      <c r="M930" s="103"/>
      <c r="N930" s="102"/>
      <c r="O930" s="103"/>
      <c r="P930" s="102"/>
      <c r="Q930" s="103"/>
      <c r="R930" s="102"/>
      <c r="S930" s="103"/>
    </row>
    <row r="931">
      <c r="A931" s="107"/>
      <c r="B931" s="102"/>
      <c r="C931" s="103"/>
      <c r="D931" s="102"/>
      <c r="E931" s="103"/>
      <c r="F931" s="102"/>
      <c r="G931" s="103"/>
      <c r="H931" s="102"/>
      <c r="I931" s="103"/>
      <c r="J931" s="102"/>
      <c r="K931" s="103"/>
      <c r="L931" s="102"/>
      <c r="M931" s="103"/>
      <c r="N931" s="102"/>
      <c r="O931" s="103"/>
      <c r="P931" s="102"/>
      <c r="Q931" s="103"/>
      <c r="R931" s="102"/>
      <c r="S931" s="103"/>
    </row>
    <row r="932">
      <c r="A932" s="107"/>
      <c r="B932" s="102"/>
      <c r="C932" s="103"/>
      <c r="D932" s="102"/>
      <c r="E932" s="103"/>
      <c r="F932" s="102"/>
      <c r="G932" s="103"/>
      <c r="H932" s="102"/>
      <c r="I932" s="103"/>
      <c r="J932" s="102"/>
      <c r="K932" s="103"/>
      <c r="L932" s="102"/>
      <c r="M932" s="103"/>
      <c r="N932" s="102"/>
      <c r="O932" s="103"/>
      <c r="P932" s="102"/>
      <c r="Q932" s="103"/>
      <c r="R932" s="102"/>
      <c r="S932" s="103"/>
    </row>
    <row r="933">
      <c r="A933" s="107"/>
      <c r="B933" s="102"/>
      <c r="C933" s="103"/>
      <c r="D933" s="102"/>
      <c r="E933" s="103"/>
      <c r="F933" s="102"/>
      <c r="G933" s="103"/>
      <c r="H933" s="102"/>
      <c r="I933" s="103"/>
      <c r="J933" s="102"/>
      <c r="K933" s="103"/>
      <c r="L933" s="102"/>
      <c r="M933" s="103"/>
      <c r="N933" s="102"/>
      <c r="O933" s="103"/>
      <c r="P933" s="102"/>
      <c r="Q933" s="103"/>
      <c r="R933" s="102"/>
      <c r="S933" s="103"/>
    </row>
    <row r="934">
      <c r="A934" s="107"/>
      <c r="B934" s="102"/>
      <c r="C934" s="103"/>
      <c r="D934" s="102"/>
      <c r="E934" s="103"/>
      <c r="F934" s="102"/>
      <c r="G934" s="103"/>
      <c r="H934" s="102"/>
      <c r="I934" s="103"/>
      <c r="J934" s="102"/>
      <c r="K934" s="103"/>
      <c r="L934" s="102"/>
      <c r="M934" s="103"/>
      <c r="N934" s="102"/>
      <c r="O934" s="103"/>
      <c r="P934" s="102"/>
      <c r="Q934" s="103"/>
      <c r="R934" s="102"/>
      <c r="S934" s="103"/>
    </row>
    <row r="935">
      <c r="A935" s="107"/>
      <c r="B935" s="102"/>
      <c r="C935" s="103"/>
      <c r="D935" s="102"/>
      <c r="E935" s="103"/>
      <c r="F935" s="102"/>
      <c r="G935" s="103"/>
      <c r="H935" s="102"/>
      <c r="I935" s="103"/>
      <c r="J935" s="102"/>
      <c r="K935" s="103"/>
      <c r="L935" s="102"/>
      <c r="M935" s="103"/>
      <c r="N935" s="102"/>
      <c r="O935" s="103"/>
      <c r="P935" s="102"/>
      <c r="Q935" s="103"/>
      <c r="R935" s="102"/>
      <c r="S935" s="103"/>
    </row>
    <row r="936">
      <c r="A936" s="107"/>
      <c r="B936" s="102"/>
      <c r="C936" s="103"/>
      <c r="D936" s="102"/>
      <c r="E936" s="103"/>
      <c r="F936" s="102"/>
      <c r="G936" s="103"/>
      <c r="H936" s="102"/>
      <c r="I936" s="103"/>
      <c r="J936" s="102"/>
      <c r="K936" s="103"/>
      <c r="L936" s="102"/>
      <c r="M936" s="103"/>
      <c r="N936" s="102"/>
      <c r="O936" s="103"/>
      <c r="P936" s="102"/>
      <c r="Q936" s="103"/>
      <c r="R936" s="102"/>
      <c r="S936" s="103"/>
    </row>
    <row r="937">
      <c r="A937" s="107"/>
      <c r="B937" s="102"/>
      <c r="C937" s="103"/>
      <c r="D937" s="102"/>
      <c r="E937" s="103"/>
      <c r="F937" s="102"/>
      <c r="G937" s="103"/>
      <c r="H937" s="102"/>
      <c r="I937" s="103"/>
      <c r="J937" s="102"/>
      <c r="K937" s="103"/>
      <c r="L937" s="102"/>
      <c r="M937" s="103"/>
      <c r="N937" s="102"/>
      <c r="O937" s="103"/>
      <c r="P937" s="102"/>
      <c r="Q937" s="103"/>
      <c r="R937" s="102"/>
      <c r="S937" s="103"/>
    </row>
    <row r="938">
      <c r="A938" s="107"/>
      <c r="B938" s="102"/>
      <c r="C938" s="103"/>
      <c r="D938" s="102"/>
      <c r="E938" s="103"/>
      <c r="F938" s="102"/>
      <c r="G938" s="103"/>
      <c r="H938" s="102"/>
      <c r="I938" s="103"/>
      <c r="J938" s="102"/>
      <c r="K938" s="103"/>
      <c r="L938" s="102"/>
      <c r="M938" s="103"/>
      <c r="N938" s="102"/>
      <c r="O938" s="103"/>
      <c r="P938" s="102"/>
      <c r="Q938" s="103"/>
      <c r="R938" s="102"/>
      <c r="S938" s="103"/>
    </row>
    <row r="939">
      <c r="A939" s="107"/>
      <c r="B939" s="102"/>
      <c r="C939" s="103"/>
      <c r="D939" s="102"/>
      <c r="E939" s="103"/>
      <c r="F939" s="102"/>
      <c r="G939" s="103"/>
      <c r="H939" s="102"/>
      <c r="I939" s="103"/>
      <c r="J939" s="102"/>
      <c r="K939" s="103"/>
      <c r="L939" s="102"/>
      <c r="M939" s="103"/>
      <c r="N939" s="102"/>
      <c r="O939" s="103"/>
      <c r="P939" s="102"/>
      <c r="Q939" s="103"/>
      <c r="R939" s="102"/>
      <c r="S939" s="103"/>
    </row>
    <row r="940">
      <c r="A940" s="107"/>
      <c r="B940" s="102"/>
      <c r="C940" s="103"/>
      <c r="D940" s="102"/>
      <c r="E940" s="103"/>
      <c r="F940" s="102"/>
      <c r="G940" s="103"/>
      <c r="H940" s="102"/>
      <c r="I940" s="103"/>
      <c r="J940" s="102"/>
      <c r="K940" s="103"/>
      <c r="L940" s="102"/>
      <c r="M940" s="103"/>
      <c r="N940" s="102"/>
      <c r="O940" s="103"/>
      <c r="P940" s="102"/>
      <c r="Q940" s="103"/>
      <c r="R940" s="102"/>
      <c r="S940" s="103"/>
    </row>
    <row r="941">
      <c r="A941" s="107"/>
      <c r="B941" s="102"/>
      <c r="C941" s="103"/>
      <c r="D941" s="102"/>
      <c r="E941" s="103"/>
      <c r="F941" s="102"/>
      <c r="G941" s="103"/>
      <c r="H941" s="102"/>
      <c r="I941" s="103"/>
      <c r="J941" s="102"/>
      <c r="K941" s="103"/>
      <c r="L941" s="102"/>
      <c r="M941" s="103"/>
      <c r="N941" s="102"/>
      <c r="O941" s="103"/>
      <c r="P941" s="102"/>
      <c r="Q941" s="103"/>
      <c r="R941" s="102"/>
      <c r="S941" s="103"/>
    </row>
    <row r="942">
      <c r="A942" s="107"/>
      <c r="B942" s="102"/>
      <c r="C942" s="103"/>
      <c r="D942" s="102"/>
      <c r="E942" s="103"/>
      <c r="F942" s="102"/>
      <c r="G942" s="103"/>
      <c r="H942" s="102"/>
      <c r="I942" s="103"/>
      <c r="J942" s="102"/>
      <c r="K942" s="103"/>
      <c r="L942" s="102"/>
      <c r="M942" s="103"/>
      <c r="N942" s="102"/>
      <c r="O942" s="103"/>
      <c r="P942" s="102"/>
      <c r="Q942" s="103"/>
      <c r="R942" s="102"/>
      <c r="S942" s="103"/>
    </row>
    <row r="943">
      <c r="A943" s="107"/>
      <c r="B943" s="102"/>
      <c r="C943" s="103"/>
      <c r="D943" s="102"/>
      <c r="E943" s="103"/>
      <c r="F943" s="102"/>
      <c r="G943" s="103"/>
      <c r="H943" s="102"/>
      <c r="I943" s="103"/>
      <c r="J943" s="102"/>
      <c r="K943" s="103"/>
      <c r="L943" s="102"/>
      <c r="M943" s="103"/>
      <c r="N943" s="102"/>
      <c r="O943" s="103"/>
      <c r="P943" s="102"/>
      <c r="Q943" s="103"/>
      <c r="R943" s="102"/>
      <c r="S943" s="103"/>
    </row>
    <row r="944">
      <c r="A944" s="107"/>
      <c r="B944" s="102"/>
      <c r="C944" s="103"/>
      <c r="D944" s="102"/>
      <c r="E944" s="103"/>
      <c r="F944" s="102"/>
      <c r="G944" s="103"/>
      <c r="H944" s="102"/>
      <c r="I944" s="103"/>
      <c r="J944" s="102"/>
      <c r="K944" s="103"/>
      <c r="L944" s="102"/>
      <c r="M944" s="103"/>
      <c r="N944" s="102"/>
      <c r="O944" s="103"/>
      <c r="P944" s="102"/>
      <c r="Q944" s="103"/>
      <c r="R944" s="102"/>
      <c r="S944" s="103"/>
    </row>
    <row r="945">
      <c r="A945" s="107"/>
      <c r="B945" s="102"/>
      <c r="C945" s="103"/>
      <c r="D945" s="102"/>
      <c r="E945" s="103"/>
      <c r="F945" s="102"/>
      <c r="G945" s="103"/>
      <c r="H945" s="102"/>
      <c r="I945" s="103"/>
      <c r="J945" s="102"/>
      <c r="K945" s="103"/>
      <c r="L945" s="102"/>
      <c r="M945" s="103"/>
      <c r="N945" s="102"/>
      <c r="O945" s="103"/>
      <c r="P945" s="102"/>
      <c r="Q945" s="103"/>
      <c r="R945" s="102"/>
      <c r="S945" s="103"/>
    </row>
    <row r="946">
      <c r="A946" s="107"/>
      <c r="B946" s="102"/>
      <c r="C946" s="103"/>
      <c r="D946" s="102"/>
      <c r="E946" s="103"/>
      <c r="F946" s="102"/>
      <c r="G946" s="103"/>
      <c r="H946" s="102"/>
      <c r="I946" s="103"/>
      <c r="J946" s="102"/>
      <c r="K946" s="103"/>
      <c r="L946" s="102"/>
      <c r="M946" s="103"/>
      <c r="N946" s="102"/>
      <c r="O946" s="103"/>
      <c r="P946" s="102"/>
      <c r="Q946" s="103"/>
      <c r="R946" s="102"/>
      <c r="S946" s="103"/>
    </row>
    <row r="947">
      <c r="A947" s="107"/>
      <c r="B947" s="102"/>
      <c r="C947" s="103"/>
      <c r="D947" s="102"/>
      <c r="E947" s="103"/>
      <c r="F947" s="102"/>
      <c r="G947" s="103"/>
      <c r="H947" s="102"/>
      <c r="I947" s="103"/>
      <c r="J947" s="102"/>
      <c r="K947" s="103"/>
      <c r="L947" s="102"/>
      <c r="M947" s="103"/>
      <c r="N947" s="102"/>
      <c r="O947" s="103"/>
      <c r="P947" s="102"/>
      <c r="Q947" s="103"/>
      <c r="R947" s="102"/>
      <c r="S947" s="103"/>
    </row>
    <row r="948">
      <c r="A948" s="107"/>
      <c r="B948" s="102"/>
      <c r="C948" s="103"/>
      <c r="D948" s="102"/>
      <c r="E948" s="103"/>
      <c r="F948" s="102"/>
      <c r="G948" s="103"/>
      <c r="H948" s="102"/>
      <c r="I948" s="103"/>
      <c r="J948" s="102"/>
      <c r="K948" s="103"/>
      <c r="L948" s="102"/>
      <c r="M948" s="103"/>
      <c r="N948" s="102"/>
      <c r="O948" s="103"/>
      <c r="P948" s="102"/>
      <c r="Q948" s="103"/>
      <c r="R948" s="102"/>
      <c r="S948" s="103"/>
    </row>
    <row r="949">
      <c r="A949" s="107"/>
      <c r="B949" s="102"/>
      <c r="C949" s="103"/>
      <c r="D949" s="102"/>
      <c r="E949" s="103"/>
      <c r="F949" s="102"/>
      <c r="G949" s="103"/>
      <c r="H949" s="102"/>
      <c r="I949" s="103"/>
      <c r="J949" s="102"/>
      <c r="K949" s="103"/>
      <c r="L949" s="102"/>
      <c r="M949" s="103"/>
      <c r="N949" s="102"/>
      <c r="O949" s="103"/>
      <c r="P949" s="102"/>
      <c r="Q949" s="103"/>
      <c r="R949" s="102"/>
      <c r="S949" s="103"/>
    </row>
    <row r="950">
      <c r="A950" s="107"/>
      <c r="B950" s="102"/>
      <c r="C950" s="103"/>
      <c r="D950" s="102"/>
      <c r="E950" s="103"/>
      <c r="F950" s="102"/>
      <c r="G950" s="103"/>
      <c r="H950" s="102"/>
      <c r="I950" s="103"/>
      <c r="J950" s="102"/>
      <c r="K950" s="103"/>
      <c r="L950" s="102"/>
      <c r="M950" s="103"/>
      <c r="N950" s="102"/>
      <c r="O950" s="103"/>
      <c r="P950" s="102"/>
      <c r="Q950" s="103"/>
      <c r="R950" s="102"/>
      <c r="S950" s="103"/>
    </row>
    <row r="951">
      <c r="A951" s="107"/>
      <c r="B951" s="102"/>
      <c r="C951" s="103"/>
      <c r="D951" s="102"/>
      <c r="E951" s="103"/>
      <c r="F951" s="102"/>
      <c r="G951" s="103"/>
      <c r="H951" s="102"/>
      <c r="I951" s="103"/>
      <c r="J951" s="102"/>
      <c r="K951" s="103"/>
      <c r="L951" s="102"/>
      <c r="M951" s="103"/>
      <c r="N951" s="102"/>
      <c r="O951" s="103"/>
      <c r="P951" s="102"/>
      <c r="Q951" s="103"/>
      <c r="R951" s="102"/>
      <c r="S951" s="103"/>
    </row>
    <row r="952">
      <c r="A952" s="107"/>
      <c r="B952" s="102"/>
      <c r="C952" s="103"/>
      <c r="D952" s="102"/>
      <c r="E952" s="103"/>
      <c r="F952" s="102"/>
      <c r="G952" s="103"/>
      <c r="H952" s="102"/>
      <c r="I952" s="103"/>
      <c r="J952" s="102"/>
      <c r="K952" s="103"/>
      <c r="L952" s="102"/>
      <c r="M952" s="103"/>
      <c r="N952" s="102"/>
      <c r="O952" s="103"/>
      <c r="P952" s="102"/>
      <c r="Q952" s="103"/>
      <c r="R952" s="102"/>
      <c r="S952" s="103"/>
    </row>
    <row r="953">
      <c r="A953" s="107"/>
      <c r="B953" s="102"/>
      <c r="C953" s="103"/>
      <c r="D953" s="102"/>
      <c r="E953" s="103"/>
      <c r="F953" s="102"/>
      <c r="G953" s="103"/>
      <c r="H953" s="102"/>
      <c r="I953" s="103"/>
      <c r="J953" s="102"/>
      <c r="K953" s="103"/>
      <c r="L953" s="102"/>
      <c r="M953" s="103"/>
      <c r="N953" s="102"/>
      <c r="O953" s="103"/>
      <c r="P953" s="102"/>
      <c r="Q953" s="103"/>
      <c r="R953" s="102"/>
      <c r="S953" s="103"/>
    </row>
    <row r="954">
      <c r="A954" s="107"/>
      <c r="B954" s="102"/>
      <c r="C954" s="103"/>
      <c r="D954" s="102"/>
      <c r="E954" s="103"/>
      <c r="F954" s="102"/>
      <c r="G954" s="103"/>
      <c r="H954" s="102"/>
      <c r="I954" s="103"/>
      <c r="J954" s="102"/>
      <c r="K954" s="103"/>
      <c r="L954" s="102"/>
      <c r="M954" s="103"/>
      <c r="N954" s="102"/>
      <c r="O954" s="103"/>
      <c r="P954" s="102"/>
      <c r="Q954" s="103"/>
      <c r="R954" s="102"/>
      <c r="S954" s="103"/>
    </row>
    <row r="955">
      <c r="A955" s="107"/>
      <c r="B955" s="102"/>
      <c r="C955" s="103"/>
      <c r="D955" s="102"/>
      <c r="E955" s="103"/>
      <c r="F955" s="102"/>
      <c r="G955" s="103"/>
      <c r="H955" s="102"/>
      <c r="I955" s="103"/>
      <c r="J955" s="102"/>
      <c r="K955" s="103"/>
      <c r="L955" s="102"/>
      <c r="M955" s="103"/>
      <c r="N955" s="102"/>
      <c r="O955" s="103"/>
      <c r="P955" s="102"/>
      <c r="Q955" s="103"/>
      <c r="R955" s="102"/>
      <c r="S955" s="103"/>
    </row>
    <row r="956">
      <c r="A956" s="107"/>
      <c r="B956" s="102"/>
      <c r="C956" s="103"/>
      <c r="D956" s="102"/>
      <c r="E956" s="103"/>
      <c r="F956" s="102"/>
      <c r="G956" s="103"/>
      <c r="H956" s="102"/>
      <c r="I956" s="103"/>
      <c r="J956" s="102"/>
      <c r="K956" s="103"/>
      <c r="L956" s="102"/>
      <c r="M956" s="103"/>
      <c r="N956" s="102"/>
      <c r="O956" s="103"/>
      <c r="P956" s="102"/>
      <c r="Q956" s="103"/>
      <c r="R956" s="102"/>
      <c r="S956" s="103"/>
    </row>
    <row r="957">
      <c r="A957" s="107"/>
      <c r="B957" s="102"/>
      <c r="C957" s="103"/>
      <c r="D957" s="102"/>
      <c r="E957" s="103"/>
      <c r="F957" s="102"/>
      <c r="G957" s="103"/>
      <c r="H957" s="102"/>
      <c r="I957" s="103"/>
      <c r="J957" s="102"/>
      <c r="K957" s="103"/>
      <c r="L957" s="102"/>
      <c r="M957" s="103"/>
      <c r="N957" s="102"/>
      <c r="O957" s="103"/>
      <c r="P957" s="102"/>
      <c r="Q957" s="103"/>
      <c r="R957" s="102"/>
      <c r="S957" s="103"/>
    </row>
    <row r="958">
      <c r="A958" s="107"/>
      <c r="B958" s="102"/>
      <c r="C958" s="103"/>
      <c r="D958" s="102"/>
      <c r="E958" s="103"/>
      <c r="F958" s="102"/>
      <c r="G958" s="103"/>
      <c r="H958" s="102"/>
      <c r="I958" s="103"/>
      <c r="J958" s="102"/>
      <c r="K958" s="103"/>
      <c r="L958" s="102"/>
      <c r="M958" s="103"/>
      <c r="N958" s="102"/>
      <c r="O958" s="103"/>
      <c r="P958" s="102"/>
      <c r="Q958" s="103"/>
      <c r="R958" s="102"/>
      <c r="S958" s="103"/>
    </row>
    <row r="959">
      <c r="A959" s="107"/>
      <c r="B959" s="102"/>
      <c r="C959" s="103"/>
      <c r="D959" s="102"/>
      <c r="E959" s="103"/>
      <c r="F959" s="102"/>
      <c r="G959" s="103"/>
      <c r="H959" s="102"/>
      <c r="I959" s="103"/>
      <c r="J959" s="102"/>
      <c r="K959" s="103"/>
      <c r="L959" s="102"/>
      <c r="M959" s="103"/>
      <c r="N959" s="102"/>
      <c r="O959" s="103"/>
      <c r="P959" s="102"/>
      <c r="Q959" s="103"/>
      <c r="R959" s="102"/>
      <c r="S959" s="103"/>
    </row>
    <row r="960">
      <c r="A960" s="107"/>
      <c r="B960" s="102"/>
      <c r="C960" s="103"/>
      <c r="D960" s="102"/>
      <c r="E960" s="103"/>
      <c r="F960" s="102"/>
      <c r="G960" s="103"/>
      <c r="H960" s="102"/>
      <c r="I960" s="103"/>
      <c r="J960" s="102"/>
      <c r="K960" s="103"/>
      <c r="L960" s="102"/>
      <c r="M960" s="103"/>
      <c r="N960" s="102"/>
      <c r="O960" s="103"/>
      <c r="P960" s="102"/>
      <c r="Q960" s="103"/>
      <c r="R960" s="102"/>
      <c r="S960" s="103"/>
    </row>
    <row r="961">
      <c r="A961" s="107"/>
      <c r="B961" s="102"/>
      <c r="C961" s="103"/>
      <c r="D961" s="102"/>
      <c r="E961" s="103"/>
      <c r="F961" s="102"/>
      <c r="G961" s="103"/>
      <c r="H961" s="102"/>
      <c r="I961" s="103"/>
      <c r="J961" s="102"/>
      <c r="K961" s="103"/>
      <c r="L961" s="102"/>
      <c r="M961" s="103"/>
      <c r="N961" s="102"/>
      <c r="O961" s="103"/>
      <c r="P961" s="102"/>
      <c r="Q961" s="103"/>
      <c r="R961" s="102"/>
      <c r="S961" s="103"/>
    </row>
    <row r="962">
      <c r="A962" s="107"/>
      <c r="B962" s="102"/>
      <c r="C962" s="103"/>
      <c r="D962" s="102"/>
      <c r="E962" s="103"/>
      <c r="F962" s="102"/>
      <c r="G962" s="103"/>
      <c r="H962" s="102"/>
      <c r="I962" s="103"/>
      <c r="J962" s="102"/>
      <c r="K962" s="103"/>
      <c r="L962" s="102"/>
      <c r="M962" s="103"/>
      <c r="N962" s="102"/>
      <c r="O962" s="103"/>
      <c r="P962" s="102"/>
      <c r="Q962" s="103"/>
      <c r="R962" s="102"/>
      <c r="S962" s="103"/>
    </row>
    <row r="963">
      <c r="A963" s="107"/>
      <c r="B963" s="102"/>
      <c r="C963" s="103"/>
      <c r="D963" s="102"/>
      <c r="E963" s="103"/>
      <c r="F963" s="102"/>
      <c r="G963" s="103"/>
      <c r="H963" s="102"/>
      <c r="I963" s="103"/>
      <c r="J963" s="102"/>
      <c r="K963" s="103"/>
      <c r="L963" s="102"/>
      <c r="M963" s="103"/>
      <c r="N963" s="102"/>
      <c r="O963" s="103"/>
      <c r="P963" s="102"/>
      <c r="Q963" s="103"/>
      <c r="R963" s="102"/>
      <c r="S963" s="103"/>
    </row>
    <row r="964">
      <c r="A964" s="107"/>
      <c r="B964" s="102"/>
      <c r="C964" s="103"/>
      <c r="D964" s="102"/>
      <c r="E964" s="103"/>
      <c r="F964" s="102"/>
      <c r="G964" s="103"/>
      <c r="H964" s="102"/>
      <c r="I964" s="103"/>
      <c r="J964" s="102"/>
      <c r="K964" s="103"/>
      <c r="L964" s="102"/>
      <c r="M964" s="103"/>
      <c r="N964" s="102"/>
      <c r="O964" s="103"/>
      <c r="P964" s="102"/>
      <c r="Q964" s="103"/>
      <c r="R964" s="102"/>
      <c r="S964" s="103"/>
    </row>
    <row r="965">
      <c r="A965" s="107"/>
      <c r="B965" s="102"/>
      <c r="C965" s="103"/>
      <c r="D965" s="102"/>
      <c r="E965" s="103"/>
      <c r="F965" s="102"/>
      <c r="G965" s="103"/>
      <c r="H965" s="102"/>
      <c r="I965" s="103"/>
      <c r="J965" s="102"/>
      <c r="K965" s="103"/>
      <c r="L965" s="102"/>
      <c r="M965" s="103"/>
      <c r="N965" s="102"/>
      <c r="O965" s="103"/>
      <c r="P965" s="102"/>
      <c r="Q965" s="103"/>
      <c r="R965" s="102"/>
      <c r="S965" s="103"/>
    </row>
    <row r="966">
      <c r="A966" s="107"/>
      <c r="B966" s="102"/>
      <c r="C966" s="103"/>
      <c r="D966" s="102"/>
      <c r="E966" s="103"/>
      <c r="F966" s="102"/>
      <c r="G966" s="103"/>
      <c r="H966" s="102"/>
      <c r="I966" s="103"/>
      <c r="J966" s="102"/>
      <c r="K966" s="103"/>
      <c r="L966" s="102"/>
      <c r="M966" s="103"/>
      <c r="N966" s="102"/>
      <c r="O966" s="103"/>
      <c r="P966" s="102"/>
      <c r="Q966" s="103"/>
      <c r="R966" s="102"/>
      <c r="S966" s="103"/>
    </row>
    <row r="967">
      <c r="A967" s="107"/>
      <c r="B967" s="102"/>
      <c r="C967" s="103"/>
      <c r="D967" s="102"/>
      <c r="E967" s="103"/>
      <c r="F967" s="102"/>
      <c r="G967" s="103"/>
      <c r="H967" s="102"/>
      <c r="I967" s="103"/>
      <c r="J967" s="102"/>
      <c r="K967" s="103"/>
      <c r="L967" s="102"/>
      <c r="M967" s="103"/>
      <c r="N967" s="102"/>
      <c r="O967" s="103"/>
      <c r="P967" s="102"/>
      <c r="Q967" s="103"/>
      <c r="R967" s="102"/>
      <c r="S967" s="103"/>
    </row>
    <row r="968">
      <c r="A968" s="107"/>
      <c r="B968" s="102"/>
      <c r="C968" s="103"/>
      <c r="D968" s="102"/>
      <c r="E968" s="103"/>
      <c r="F968" s="102"/>
      <c r="G968" s="103"/>
      <c r="H968" s="102"/>
      <c r="I968" s="103"/>
      <c r="J968" s="102"/>
      <c r="K968" s="103"/>
      <c r="L968" s="102"/>
      <c r="M968" s="103"/>
      <c r="N968" s="102"/>
      <c r="O968" s="103"/>
      <c r="P968" s="102"/>
      <c r="Q968" s="103"/>
      <c r="R968" s="102"/>
      <c r="S968" s="103"/>
    </row>
    <row r="969">
      <c r="A969" s="107"/>
      <c r="B969" s="102"/>
      <c r="C969" s="103"/>
      <c r="D969" s="102"/>
      <c r="E969" s="103"/>
      <c r="F969" s="102"/>
      <c r="G969" s="103"/>
      <c r="H969" s="102"/>
      <c r="I969" s="103"/>
      <c r="J969" s="102"/>
      <c r="K969" s="103"/>
      <c r="L969" s="102"/>
      <c r="M969" s="103"/>
      <c r="N969" s="102"/>
      <c r="O969" s="103"/>
      <c r="P969" s="102"/>
      <c r="Q969" s="103"/>
      <c r="R969" s="102"/>
      <c r="S969" s="103"/>
    </row>
    <row r="970">
      <c r="A970" s="107"/>
      <c r="B970" s="102"/>
      <c r="C970" s="103"/>
      <c r="D970" s="102"/>
      <c r="E970" s="103"/>
      <c r="F970" s="102"/>
      <c r="G970" s="103"/>
      <c r="H970" s="102"/>
      <c r="I970" s="103"/>
      <c r="J970" s="102"/>
      <c r="K970" s="103"/>
      <c r="L970" s="102"/>
      <c r="M970" s="103"/>
      <c r="N970" s="102"/>
      <c r="O970" s="103"/>
      <c r="P970" s="102"/>
      <c r="Q970" s="103"/>
      <c r="R970" s="102"/>
      <c r="S970" s="103"/>
    </row>
    <row r="971">
      <c r="A971" s="107"/>
      <c r="B971" s="102"/>
      <c r="C971" s="103"/>
      <c r="D971" s="102"/>
      <c r="E971" s="103"/>
      <c r="F971" s="102"/>
      <c r="G971" s="103"/>
      <c r="H971" s="102"/>
      <c r="I971" s="103"/>
      <c r="J971" s="102"/>
      <c r="K971" s="103"/>
      <c r="L971" s="102"/>
      <c r="M971" s="103"/>
      <c r="N971" s="102"/>
      <c r="O971" s="103"/>
      <c r="P971" s="102"/>
      <c r="Q971" s="103"/>
      <c r="R971" s="102"/>
      <c r="S971" s="103"/>
    </row>
    <row r="972">
      <c r="A972" s="107"/>
      <c r="B972" s="102"/>
      <c r="C972" s="103"/>
      <c r="D972" s="102"/>
      <c r="E972" s="103"/>
      <c r="F972" s="102"/>
      <c r="G972" s="103"/>
      <c r="H972" s="102"/>
      <c r="I972" s="103"/>
      <c r="J972" s="102"/>
      <c r="K972" s="103"/>
      <c r="L972" s="102"/>
      <c r="M972" s="103"/>
      <c r="N972" s="102"/>
      <c r="O972" s="103"/>
      <c r="P972" s="102"/>
      <c r="Q972" s="103"/>
      <c r="R972" s="102"/>
      <c r="S972" s="103"/>
    </row>
    <row r="973">
      <c r="A973" s="107"/>
      <c r="B973" s="102"/>
      <c r="C973" s="103"/>
      <c r="D973" s="102"/>
      <c r="E973" s="103"/>
      <c r="F973" s="102"/>
      <c r="G973" s="103"/>
      <c r="H973" s="102"/>
      <c r="I973" s="103"/>
      <c r="J973" s="102"/>
      <c r="K973" s="103"/>
      <c r="L973" s="102"/>
      <c r="M973" s="103"/>
      <c r="N973" s="102"/>
      <c r="O973" s="103"/>
      <c r="P973" s="102"/>
      <c r="Q973" s="103"/>
      <c r="R973" s="102"/>
      <c r="S973" s="103"/>
    </row>
    <row r="974">
      <c r="A974" s="107"/>
      <c r="B974" s="102"/>
      <c r="C974" s="103"/>
      <c r="D974" s="102"/>
      <c r="E974" s="103"/>
      <c r="F974" s="102"/>
      <c r="G974" s="103"/>
      <c r="H974" s="102"/>
      <c r="I974" s="103"/>
      <c r="J974" s="102"/>
      <c r="K974" s="103"/>
      <c r="L974" s="102"/>
      <c r="M974" s="103"/>
      <c r="N974" s="102"/>
      <c r="O974" s="103"/>
      <c r="P974" s="102"/>
      <c r="Q974" s="103"/>
      <c r="R974" s="102"/>
      <c r="S974" s="103"/>
    </row>
    <row r="975">
      <c r="A975" s="107"/>
      <c r="B975" s="102"/>
      <c r="C975" s="103"/>
      <c r="D975" s="102"/>
      <c r="E975" s="103"/>
      <c r="F975" s="102"/>
      <c r="G975" s="103"/>
      <c r="H975" s="102"/>
      <c r="I975" s="103"/>
      <c r="J975" s="102"/>
      <c r="K975" s="103"/>
      <c r="L975" s="102"/>
      <c r="M975" s="103"/>
      <c r="N975" s="102"/>
      <c r="O975" s="103"/>
      <c r="P975" s="102"/>
      <c r="Q975" s="103"/>
      <c r="R975" s="102"/>
      <c r="S975" s="103"/>
    </row>
    <row r="976">
      <c r="A976" s="107"/>
      <c r="B976" s="102"/>
      <c r="C976" s="103"/>
      <c r="D976" s="102"/>
      <c r="E976" s="103"/>
      <c r="F976" s="102"/>
      <c r="G976" s="103"/>
      <c r="H976" s="102"/>
      <c r="I976" s="103"/>
      <c r="J976" s="102"/>
      <c r="K976" s="103"/>
      <c r="L976" s="102"/>
      <c r="M976" s="103"/>
      <c r="N976" s="102"/>
      <c r="O976" s="103"/>
      <c r="P976" s="102"/>
      <c r="Q976" s="103"/>
      <c r="R976" s="102"/>
      <c r="S976" s="103"/>
    </row>
    <row r="977">
      <c r="A977" s="107"/>
      <c r="B977" s="102"/>
      <c r="C977" s="103"/>
      <c r="D977" s="102"/>
      <c r="E977" s="103"/>
      <c r="F977" s="102"/>
      <c r="G977" s="103"/>
      <c r="H977" s="102"/>
      <c r="I977" s="103"/>
      <c r="J977" s="102"/>
      <c r="K977" s="103"/>
      <c r="L977" s="102"/>
      <c r="M977" s="103"/>
      <c r="N977" s="102"/>
      <c r="O977" s="103"/>
      <c r="P977" s="102"/>
      <c r="Q977" s="103"/>
      <c r="R977" s="102"/>
      <c r="S977" s="103"/>
    </row>
    <row r="978">
      <c r="A978" s="107"/>
      <c r="B978" s="102"/>
      <c r="C978" s="103"/>
      <c r="D978" s="102"/>
      <c r="E978" s="103"/>
      <c r="F978" s="102"/>
      <c r="G978" s="103"/>
      <c r="H978" s="102"/>
      <c r="I978" s="103"/>
      <c r="J978" s="102"/>
      <c r="K978" s="103"/>
      <c r="L978" s="102"/>
      <c r="M978" s="103"/>
      <c r="N978" s="102"/>
      <c r="O978" s="103"/>
      <c r="P978" s="102"/>
      <c r="Q978" s="103"/>
      <c r="R978" s="102"/>
      <c r="S978" s="103"/>
    </row>
    <row r="979">
      <c r="A979" s="107"/>
      <c r="B979" s="102"/>
      <c r="C979" s="103"/>
      <c r="D979" s="102"/>
      <c r="E979" s="103"/>
      <c r="F979" s="102"/>
      <c r="G979" s="103"/>
      <c r="H979" s="102"/>
      <c r="I979" s="103"/>
      <c r="J979" s="102"/>
      <c r="K979" s="103"/>
      <c r="L979" s="102"/>
      <c r="M979" s="103"/>
      <c r="N979" s="102"/>
      <c r="O979" s="103"/>
      <c r="P979" s="102"/>
      <c r="Q979" s="103"/>
      <c r="R979" s="102"/>
      <c r="S979" s="103"/>
    </row>
    <row r="980">
      <c r="A980" s="107"/>
      <c r="B980" s="102"/>
      <c r="C980" s="103"/>
      <c r="D980" s="102"/>
      <c r="E980" s="103"/>
      <c r="F980" s="102"/>
      <c r="G980" s="103"/>
      <c r="H980" s="102"/>
      <c r="I980" s="103"/>
      <c r="J980" s="102"/>
      <c r="K980" s="103"/>
      <c r="L980" s="102"/>
      <c r="M980" s="103"/>
      <c r="N980" s="102"/>
      <c r="O980" s="103"/>
      <c r="P980" s="102"/>
      <c r="Q980" s="103"/>
      <c r="R980" s="102"/>
      <c r="S980" s="103"/>
    </row>
    <row r="981">
      <c r="A981" s="107"/>
      <c r="B981" s="102"/>
      <c r="C981" s="103"/>
      <c r="D981" s="102"/>
      <c r="E981" s="103"/>
      <c r="F981" s="102"/>
      <c r="G981" s="103"/>
      <c r="H981" s="102"/>
      <c r="I981" s="103"/>
      <c r="J981" s="102"/>
      <c r="K981" s="103"/>
      <c r="L981" s="102"/>
      <c r="M981" s="103"/>
      <c r="N981" s="102"/>
      <c r="O981" s="103"/>
      <c r="P981" s="102"/>
      <c r="Q981" s="103"/>
      <c r="R981" s="102"/>
      <c r="S981" s="103"/>
    </row>
    <row r="982">
      <c r="A982" s="107"/>
      <c r="B982" s="102"/>
      <c r="C982" s="103"/>
      <c r="D982" s="102"/>
      <c r="E982" s="103"/>
      <c r="F982" s="102"/>
      <c r="G982" s="103"/>
      <c r="H982" s="102"/>
      <c r="I982" s="103"/>
      <c r="J982" s="102"/>
      <c r="K982" s="103"/>
      <c r="L982" s="102"/>
      <c r="M982" s="103"/>
      <c r="N982" s="102"/>
      <c r="O982" s="103"/>
      <c r="P982" s="102"/>
      <c r="Q982" s="103"/>
      <c r="R982" s="102"/>
      <c r="S982" s="103"/>
    </row>
    <row r="983">
      <c r="A983" s="107"/>
      <c r="B983" s="102"/>
      <c r="C983" s="103"/>
      <c r="D983" s="102"/>
      <c r="E983" s="103"/>
      <c r="F983" s="102"/>
      <c r="G983" s="103"/>
      <c r="H983" s="102"/>
      <c r="I983" s="103"/>
      <c r="J983" s="102"/>
      <c r="K983" s="103"/>
      <c r="L983" s="102"/>
      <c r="M983" s="103"/>
      <c r="N983" s="102"/>
      <c r="O983" s="103"/>
      <c r="P983" s="102"/>
      <c r="Q983" s="103"/>
      <c r="R983" s="102"/>
      <c r="S983" s="103"/>
    </row>
    <row r="984">
      <c r="A984" s="107"/>
      <c r="B984" s="102"/>
      <c r="C984" s="103"/>
      <c r="D984" s="102"/>
      <c r="E984" s="103"/>
      <c r="F984" s="102"/>
      <c r="G984" s="103"/>
      <c r="H984" s="102"/>
      <c r="I984" s="103"/>
      <c r="J984" s="102"/>
      <c r="K984" s="103"/>
      <c r="L984" s="102"/>
      <c r="M984" s="103"/>
      <c r="N984" s="102"/>
      <c r="O984" s="103"/>
      <c r="P984" s="102"/>
      <c r="Q984" s="103"/>
      <c r="R984" s="102"/>
      <c r="S984" s="103"/>
    </row>
    <row r="985">
      <c r="A985" s="107"/>
      <c r="B985" s="102"/>
      <c r="C985" s="103"/>
      <c r="D985" s="102"/>
      <c r="E985" s="103"/>
      <c r="F985" s="102"/>
      <c r="G985" s="103"/>
      <c r="H985" s="102"/>
      <c r="I985" s="103"/>
      <c r="J985" s="102"/>
      <c r="K985" s="103"/>
      <c r="L985" s="102"/>
      <c r="M985" s="103"/>
      <c r="N985" s="102"/>
      <c r="O985" s="103"/>
      <c r="P985" s="102"/>
      <c r="Q985" s="103"/>
      <c r="R985" s="102"/>
      <c r="S985" s="103"/>
    </row>
    <row r="986">
      <c r="A986" s="107"/>
      <c r="B986" s="102"/>
      <c r="C986" s="103"/>
      <c r="D986" s="102"/>
      <c r="E986" s="103"/>
      <c r="F986" s="102"/>
      <c r="G986" s="103"/>
      <c r="H986" s="102"/>
      <c r="I986" s="103"/>
      <c r="J986" s="102"/>
      <c r="K986" s="103"/>
      <c r="L986" s="102"/>
      <c r="M986" s="103"/>
      <c r="N986" s="102"/>
      <c r="O986" s="103"/>
      <c r="P986" s="102"/>
      <c r="Q986" s="103"/>
      <c r="R986" s="102"/>
      <c r="S986" s="103"/>
    </row>
    <row r="987">
      <c r="A987" s="107"/>
      <c r="B987" s="102"/>
      <c r="C987" s="103"/>
      <c r="D987" s="102"/>
      <c r="E987" s="103"/>
      <c r="F987" s="102"/>
      <c r="G987" s="103"/>
      <c r="H987" s="102"/>
      <c r="I987" s="103"/>
      <c r="J987" s="102"/>
      <c r="K987" s="103"/>
      <c r="L987" s="102"/>
      <c r="M987" s="103"/>
      <c r="N987" s="102"/>
      <c r="O987" s="103"/>
      <c r="P987" s="102"/>
      <c r="Q987" s="103"/>
      <c r="R987" s="102"/>
      <c r="S987" s="103"/>
    </row>
    <row r="988">
      <c r="A988" s="107"/>
      <c r="B988" s="102"/>
      <c r="C988" s="103"/>
      <c r="D988" s="102"/>
      <c r="E988" s="103"/>
      <c r="F988" s="102"/>
      <c r="G988" s="103"/>
      <c r="H988" s="102"/>
      <c r="I988" s="103"/>
      <c r="J988" s="102"/>
      <c r="K988" s="103"/>
      <c r="L988" s="102"/>
      <c r="M988" s="103"/>
      <c r="N988" s="102"/>
      <c r="O988" s="103"/>
      <c r="P988" s="102"/>
      <c r="Q988" s="103"/>
      <c r="R988" s="102"/>
      <c r="S988" s="103"/>
    </row>
    <row r="989">
      <c r="A989" s="107"/>
      <c r="B989" s="102"/>
      <c r="C989" s="103"/>
      <c r="D989" s="102"/>
      <c r="E989" s="103"/>
      <c r="F989" s="102"/>
      <c r="G989" s="103"/>
      <c r="H989" s="102"/>
      <c r="I989" s="103"/>
      <c r="J989" s="102"/>
      <c r="K989" s="103"/>
      <c r="L989" s="102"/>
      <c r="M989" s="103"/>
      <c r="N989" s="102"/>
      <c r="O989" s="103"/>
      <c r="P989" s="102"/>
      <c r="Q989" s="103"/>
      <c r="R989" s="102"/>
      <c r="S989" s="103"/>
    </row>
    <row r="990">
      <c r="A990" s="107"/>
      <c r="B990" s="102"/>
      <c r="C990" s="103"/>
      <c r="D990" s="102"/>
      <c r="E990" s="103"/>
      <c r="F990" s="102"/>
      <c r="G990" s="103"/>
      <c r="H990" s="102"/>
      <c r="I990" s="103"/>
      <c r="J990" s="102"/>
      <c r="K990" s="103"/>
      <c r="L990" s="102"/>
      <c r="M990" s="103"/>
      <c r="N990" s="102"/>
      <c r="O990" s="103"/>
      <c r="P990" s="102"/>
      <c r="Q990" s="103"/>
      <c r="R990" s="102"/>
      <c r="S990" s="103"/>
    </row>
    <row r="991">
      <c r="A991" s="107"/>
      <c r="B991" s="102"/>
      <c r="C991" s="103"/>
      <c r="D991" s="102"/>
      <c r="E991" s="103"/>
      <c r="F991" s="102"/>
      <c r="G991" s="103"/>
      <c r="H991" s="102"/>
      <c r="I991" s="103"/>
      <c r="J991" s="102"/>
      <c r="K991" s="103"/>
      <c r="L991" s="102"/>
      <c r="M991" s="103"/>
      <c r="N991" s="102"/>
      <c r="O991" s="103"/>
      <c r="P991" s="102"/>
      <c r="Q991" s="103"/>
      <c r="R991" s="102"/>
      <c r="S991" s="103"/>
    </row>
    <row r="992">
      <c r="A992" s="107"/>
      <c r="B992" s="102"/>
      <c r="C992" s="103"/>
      <c r="D992" s="102"/>
      <c r="E992" s="103"/>
      <c r="F992" s="102"/>
      <c r="G992" s="103"/>
      <c r="H992" s="102"/>
      <c r="I992" s="103"/>
      <c r="J992" s="102"/>
      <c r="K992" s="103"/>
      <c r="L992" s="102"/>
      <c r="M992" s="103"/>
      <c r="N992" s="102"/>
      <c r="O992" s="103"/>
      <c r="P992" s="102"/>
      <c r="Q992" s="103"/>
      <c r="R992" s="102"/>
      <c r="S992" s="103"/>
    </row>
    <row r="993">
      <c r="A993" s="107"/>
      <c r="B993" s="102"/>
      <c r="C993" s="103"/>
      <c r="D993" s="102"/>
      <c r="E993" s="103"/>
      <c r="F993" s="102"/>
      <c r="G993" s="103"/>
      <c r="H993" s="102"/>
      <c r="I993" s="103"/>
      <c r="J993" s="102"/>
      <c r="K993" s="103"/>
      <c r="L993" s="102"/>
      <c r="M993" s="103"/>
      <c r="N993" s="102"/>
      <c r="O993" s="103"/>
      <c r="P993" s="102"/>
      <c r="Q993" s="103"/>
      <c r="R993" s="102"/>
      <c r="S993" s="103"/>
    </row>
    <row r="994">
      <c r="A994" s="107"/>
      <c r="B994" s="102"/>
      <c r="C994" s="103"/>
      <c r="D994" s="102"/>
      <c r="E994" s="103"/>
      <c r="F994" s="102"/>
      <c r="G994" s="103"/>
      <c r="H994" s="102"/>
      <c r="I994" s="103"/>
      <c r="J994" s="102"/>
      <c r="K994" s="103"/>
      <c r="L994" s="102"/>
      <c r="M994" s="103"/>
      <c r="N994" s="102"/>
      <c r="O994" s="103"/>
      <c r="P994" s="102"/>
      <c r="Q994" s="103"/>
      <c r="R994" s="102"/>
      <c r="S994" s="103"/>
    </row>
    <row r="995">
      <c r="A995" s="107"/>
      <c r="B995" s="102"/>
      <c r="C995" s="103"/>
      <c r="D995" s="102"/>
      <c r="E995" s="103"/>
      <c r="F995" s="102"/>
      <c r="G995" s="103"/>
      <c r="H995" s="102"/>
      <c r="I995" s="103"/>
      <c r="J995" s="102"/>
      <c r="K995" s="103"/>
      <c r="L995" s="102"/>
      <c r="M995" s="103"/>
      <c r="N995" s="102"/>
      <c r="O995" s="103"/>
      <c r="P995" s="102"/>
      <c r="Q995" s="103"/>
      <c r="R995" s="102"/>
      <c r="S995" s="103"/>
    </row>
    <row r="996">
      <c r="A996" s="107"/>
      <c r="B996" s="102"/>
      <c r="C996" s="103"/>
      <c r="D996" s="102"/>
      <c r="E996" s="103"/>
      <c r="F996" s="102"/>
      <c r="G996" s="103"/>
      <c r="H996" s="102"/>
      <c r="I996" s="103"/>
      <c r="J996" s="102"/>
      <c r="K996" s="103"/>
      <c r="L996" s="102"/>
      <c r="M996" s="103"/>
      <c r="N996" s="102"/>
      <c r="O996" s="103"/>
      <c r="P996" s="102"/>
      <c r="Q996" s="103"/>
      <c r="R996" s="102"/>
      <c r="S996" s="103"/>
    </row>
    <row r="997">
      <c r="A997" s="107"/>
      <c r="B997" s="102"/>
      <c r="C997" s="103"/>
      <c r="D997" s="102"/>
      <c r="E997" s="103"/>
      <c r="F997" s="102"/>
      <c r="G997" s="103"/>
      <c r="H997" s="102"/>
      <c r="I997" s="103"/>
      <c r="J997" s="102"/>
      <c r="K997" s="103"/>
      <c r="L997" s="102"/>
      <c r="M997" s="103"/>
      <c r="N997" s="102"/>
      <c r="O997" s="103"/>
      <c r="P997" s="102"/>
      <c r="Q997" s="103"/>
      <c r="R997" s="102"/>
      <c r="S997" s="103"/>
    </row>
    <row r="998">
      <c r="A998" s="107"/>
      <c r="B998" s="102"/>
      <c r="C998" s="103"/>
      <c r="D998" s="102"/>
      <c r="E998" s="103"/>
      <c r="F998" s="102"/>
      <c r="G998" s="103"/>
      <c r="H998" s="102"/>
      <c r="I998" s="103"/>
      <c r="J998" s="102"/>
      <c r="K998" s="103"/>
      <c r="L998" s="102"/>
      <c r="M998" s="103"/>
      <c r="N998" s="102"/>
      <c r="O998" s="103"/>
      <c r="P998" s="102"/>
      <c r="Q998" s="103"/>
      <c r="R998" s="102"/>
      <c r="S998" s="103"/>
    </row>
    <row r="999">
      <c r="A999" s="107"/>
      <c r="B999" s="102"/>
      <c r="C999" s="103"/>
      <c r="D999" s="102"/>
      <c r="E999" s="103"/>
      <c r="F999" s="102"/>
      <c r="G999" s="103"/>
      <c r="H999" s="102"/>
      <c r="I999" s="103"/>
      <c r="J999" s="102"/>
      <c r="K999" s="103"/>
      <c r="L999" s="102"/>
      <c r="M999" s="103"/>
      <c r="N999" s="102"/>
      <c r="O999" s="103"/>
      <c r="P999" s="102"/>
      <c r="Q999" s="103"/>
      <c r="R999" s="102"/>
      <c r="S999" s="103"/>
    </row>
    <row r="1000">
      <c r="A1000" s="107"/>
      <c r="B1000" s="102"/>
      <c r="C1000" s="103"/>
      <c r="D1000" s="102"/>
      <c r="E1000" s="103"/>
      <c r="F1000" s="102"/>
      <c r="G1000" s="103"/>
      <c r="H1000" s="102"/>
      <c r="I1000" s="103"/>
      <c r="J1000" s="102"/>
      <c r="K1000" s="103"/>
      <c r="L1000" s="102"/>
      <c r="M1000" s="103"/>
      <c r="N1000" s="102"/>
      <c r="O1000" s="103"/>
      <c r="P1000" s="102"/>
      <c r="Q1000" s="103"/>
      <c r="R1000" s="102"/>
      <c r="S1000" s="103"/>
    </row>
    <row r="1001">
      <c r="A1001" s="107"/>
      <c r="B1001" s="102"/>
      <c r="C1001" s="103"/>
      <c r="D1001" s="102"/>
      <c r="E1001" s="103"/>
      <c r="F1001" s="102"/>
      <c r="G1001" s="103"/>
      <c r="H1001" s="102"/>
      <c r="I1001" s="103"/>
      <c r="J1001" s="102"/>
      <c r="K1001" s="103"/>
      <c r="L1001" s="102"/>
      <c r="M1001" s="103"/>
      <c r="N1001" s="102"/>
      <c r="O1001" s="103"/>
      <c r="P1001" s="102"/>
      <c r="Q1001" s="103"/>
      <c r="R1001" s="102"/>
      <c r="S1001" s="103"/>
    </row>
    <row r="1002">
      <c r="A1002" s="107"/>
      <c r="B1002" s="102"/>
      <c r="C1002" s="103"/>
      <c r="D1002" s="102"/>
      <c r="E1002" s="103"/>
      <c r="F1002" s="102"/>
      <c r="G1002" s="103"/>
      <c r="H1002" s="102"/>
      <c r="I1002" s="103"/>
      <c r="J1002" s="102"/>
      <c r="K1002" s="103"/>
      <c r="L1002" s="102"/>
      <c r="M1002" s="103"/>
      <c r="N1002" s="102"/>
      <c r="O1002" s="103"/>
      <c r="P1002" s="102"/>
      <c r="Q1002" s="103"/>
      <c r="R1002" s="102"/>
      <c r="S1002" s="103"/>
    </row>
    <row r="1003">
      <c r="A1003" s="107"/>
      <c r="B1003" s="102"/>
      <c r="C1003" s="103"/>
      <c r="D1003" s="102"/>
      <c r="E1003" s="103"/>
      <c r="F1003" s="102"/>
      <c r="G1003" s="103"/>
      <c r="H1003" s="102"/>
      <c r="I1003" s="103"/>
      <c r="J1003" s="102"/>
      <c r="K1003" s="103"/>
      <c r="L1003" s="102"/>
      <c r="M1003" s="103"/>
      <c r="N1003" s="102"/>
      <c r="O1003" s="103"/>
      <c r="P1003" s="102"/>
      <c r="Q1003" s="103"/>
      <c r="R1003" s="102"/>
      <c r="S1003" s="103"/>
    </row>
    <row r="1004">
      <c r="A1004" s="107"/>
      <c r="B1004" s="102"/>
      <c r="C1004" s="103"/>
      <c r="D1004" s="102"/>
      <c r="E1004" s="103"/>
      <c r="F1004" s="102"/>
      <c r="G1004" s="103"/>
      <c r="H1004" s="102"/>
      <c r="I1004" s="103"/>
      <c r="J1004" s="102"/>
      <c r="K1004" s="103"/>
      <c r="L1004" s="102"/>
      <c r="M1004" s="103"/>
      <c r="N1004" s="102"/>
      <c r="O1004" s="103"/>
      <c r="P1004" s="102"/>
      <c r="Q1004" s="103"/>
      <c r="R1004" s="102"/>
      <c r="S1004" s="103"/>
    </row>
    <row r="1005">
      <c r="A1005" s="107"/>
      <c r="B1005" s="102"/>
      <c r="C1005" s="103"/>
      <c r="D1005" s="102"/>
      <c r="E1005" s="103"/>
      <c r="F1005" s="102"/>
      <c r="G1005" s="103"/>
      <c r="H1005" s="102"/>
      <c r="I1005" s="103"/>
      <c r="J1005" s="102"/>
      <c r="K1005" s="103"/>
      <c r="L1005" s="102"/>
      <c r="M1005" s="103"/>
      <c r="N1005" s="102"/>
      <c r="O1005" s="103"/>
      <c r="P1005" s="102"/>
      <c r="Q1005" s="103"/>
      <c r="R1005" s="102"/>
      <c r="S1005" s="103"/>
    </row>
    <row r="1006">
      <c r="A1006" s="107"/>
      <c r="B1006" s="102"/>
      <c r="C1006" s="103"/>
      <c r="D1006" s="102"/>
      <c r="E1006" s="103"/>
      <c r="F1006" s="102"/>
      <c r="G1006" s="103"/>
      <c r="H1006" s="102"/>
      <c r="I1006" s="103"/>
      <c r="J1006" s="102"/>
      <c r="K1006" s="103"/>
      <c r="L1006" s="102"/>
      <c r="M1006" s="103"/>
      <c r="N1006" s="102"/>
      <c r="O1006" s="103"/>
      <c r="P1006" s="102"/>
      <c r="Q1006" s="103"/>
      <c r="R1006" s="102"/>
      <c r="S1006" s="103"/>
    </row>
    <row r="1007">
      <c r="A1007" s="107"/>
      <c r="B1007" s="102"/>
      <c r="C1007" s="103"/>
      <c r="D1007" s="102"/>
      <c r="E1007" s="103"/>
      <c r="F1007" s="102"/>
      <c r="G1007" s="103"/>
      <c r="H1007" s="102"/>
      <c r="I1007" s="103"/>
      <c r="J1007" s="102"/>
      <c r="K1007" s="103"/>
      <c r="L1007" s="102"/>
      <c r="M1007" s="103"/>
      <c r="N1007" s="102"/>
      <c r="O1007" s="103"/>
      <c r="P1007" s="102"/>
      <c r="Q1007" s="103"/>
      <c r="R1007" s="102"/>
      <c r="S1007" s="103"/>
    </row>
    <row r="1008">
      <c r="A1008" s="107"/>
      <c r="B1008" s="102"/>
      <c r="C1008" s="103"/>
      <c r="D1008" s="102"/>
      <c r="E1008" s="103"/>
      <c r="F1008" s="102"/>
      <c r="G1008" s="103"/>
      <c r="H1008" s="102"/>
      <c r="I1008" s="103"/>
      <c r="J1008" s="102"/>
      <c r="K1008" s="103"/>
      <c r="L1008" s="102"/>
      <c r="M1008" s="103"/>
      <c r="N1008" s="102"/>
      <c r="O1008" s="103"/>
      <c r="P1008" s="102"/>
      <c r="Q1008" s="103"/>
      <c r="R1008" s="102"/>
      <c r="S1008" s="103"/>
    </row>
    <row r="1009">
      <c r="A1009" s="107"/>
      <c r="B1009" s="102"/>
      <c r="C1009" s="103"/>
      <c r="D1009" s="102"/>
      <c r="E1009" s="103"/>
      <c r="F1009" s="102"/>
      <c r="G1009" s="103"/>
      <c r="H1009" s="102"/>
      <c r="I1009" s="103"/>
      <c r="J1009" s="102"/>
      <c r="K1009" s="103"/>
      <c r="L1009" s="102"/>
      <c r="M1009" s="103"/>
      <c r="N1009" s="102"/>
      <c r="O1009" s="103"/>
      <c r="P1009" s="102"/>
      <c r="Q1009" s="103"/>
      <c r="R1009" s="102"/>
      <c r="S1009" s="103"/>
    </row>
    <row r="1010">
      <c r="A1010" s="107"/>
      <c r="B1010" s="102"/>
      <c r="C1010" s="103"/>
      <c r="D1010" s="102"/>
      <c r="E1010" s="103"/>
      <c r="F1010" s="102"/>
      <c r="G1010" s="103"/>
      <c r="H1010" s="102"/>
      <c r="I1010" s="103"/>
      <c r="J1010" s="102"/>
      <c r="K1010" s="103"/>
      <c r="L1010" s="102"/>
      <c r="M1010" s="103"/>
      <c r="N1010" s="102"/>
      <c r="O1010" s="103"/>
      <c r="P1010" s="102"/>
      <c r="Q1010" s="103"/>
      <c r="R1010" s="102"/>
      <c r="S1010" s="103"/>
    </row>
    <row r="1011">
      <c r="A1011" s="107"/>
      <c r="B1011" s="102"/>
      <c r="C1011" s="103"/>
      <c r="D1011" s="102"/>
      <c r="E1011" s="103"/>
      <c r="F1011" s="102"/>
      <c r="G1011" s="103"/>
      <c r="H1011" s="102"/>
      <c r="I1011" s="103"/>
      <c r="J1011" s="102"/>
      <c r="K1011" s="103"/>
      <c r="L1011" s="102"/>
      <c r="M1011" s="103"/>
      <c r="N1011" s="102"/>
      <c r="O1011" s="103"/>
      <c r="P1011" s="102"/>
      <c r="Q1011" s="103"/>
      <c r="R1011" s="102"/>
      <c r="S1011" s="103"/>
    </row>
    <row r="1012">
      <c r="A1012" s="107"/>
      <c r="B1012" s="102"/>
      <c r="C1012" s="103"/>
      <c r="D1012" s="102"/>
      <c r="E1012" s="103"/>
      <c r="F1012" s="102"/>
      <c r="G1012" s="103"/>
      <c r="H1012" s="102"/>
      <c r="I1012" s="103"/>
      <c r="J1012" s="102"/>
      <c r="K1012" s="103"/>
      <c r="L1012" s="102"/>
      <c r="M1012" s="103"/>
      <c r="N1012" s="102"/>
      <c r="O1012" s="103"/>
      <c r="P1012" s="102"/>
      <c r="Q1012" s="103"/>
      <c r="R1012" s="102"/>
      <c r="S1012" s="103"/>
    </row>
    <row r="1013">
      <c r="A1013" s="107"/>
      <c r="B1013" s="102"/>
      <c r="C1013" s="103"/>
      <c r="D1013" s="102"/>
      <c r="E1013" s="103"/>
      <c r="F1013" s="102"/>
      <c r="G1013" s="103"/>
      <c r="H1013" s="102"/>
      <c r="I1013" s="103"/>
      <c r="J1013" s="102"/>
      <c r="K1013" s="103"/>
      <c r="L1013" s="102"/>
      <c r="M1013" s="103"/>
      <c r="N1013" s="102"/>
      <c r="O1013" s="103"/>
      <c r="P1013" s="102"/>
      <c r="Q1013" s="103"/>
      <c r="R1013" s="102"/>
      <c r="S1013" s="103"/>
    </row>
    <row r="1014">
      <c r="A1014" s="107"/>
      <c r="B1014" s="102"/>
      <c r="C1014" s="103"/>
      <c r="D1014" s="102"/>
      <c r="E1014" s="103"/>
      <c r="F1014" s="102"/>
      <c r="G1014" s="103"/>
      <c r="H1014" s="102"/>
      <c r="I1014" s="103"/>
      <c r="J1014" s="102"/>
      <c r="K1014" s="103"/>
      <c r="L1014" s="102"/>
      <c r="M1014" s="103"/>
      <c r="N1014" s="102"/>
      <c r="O1014" s="103"/>
      <c r="P1014" s="102"/>
      <c r="Q1014" s="103"/>
      <c r="R1014" s="102"/>
      <c r="S1014" s="103"/>
    </row>
    <row r="1015">
      <c r="A1015" s="107"/>
      <c r="B1015" s="102"/>
      <c r="C1015" s="103"/>
      <c r="D1015" s="102"/>
      <c r="E1015" s="103"/>
      <c r="F1015" s="102"/>
      <c r="G1015" s="103"/>
      <c r="H1015" s="102"/>
      <c r="I1015" s="103"/>
      <c r="J1015" s="102"/>
      <c r="K1015" s="103"/>
      <c r="L1015" s="102"/>
      <c r="M1015" s="103"/>
      <c r="N1015" s="102"/>
      <c r="O1015" s="103"/>
      <c r="P1015" s="102"/>
      <c r="Q1015" s="103"/>
      <c r="R1015" s="102"/>
      <c r="S1015" s="103"/>
    </row>
    <row r="1016">
      <c r="A1016" s="107"/>
      <c r="B1016" s="102"/>
      <c r="C1016" s="103"/>
      <c r="D1016" s="102"/>
      <c r="E1016" s="103"/>
      <c r="F1016" s="102"/>
      <c r="G1016" s="103"/>
      <c r="H1016" s="102"/>
      <c r="I1016" s="103"/>
      <c r="J1016" s="102"/>
      <c r="K1016" s="103"/>
      <c r="L1016" s="102"/>
      <c r="M1016" s="103"/>
      <c r="N1016" s="102"/>
      <c r="O1016" s="103"/>
      <c r="P1016" s="102"/>
      <c r="Q1016" s="103"/>
      <c r="R1016" s="102"/>
      <c r="S1016" s="103"/>
    </row>
    <row r="1017">
      <c r="A1017" s="107"/>
      <c r="B1017" s="102"/>
      <c r="C1017" s="103"/>
      <c r="D1017" s="102"/>
      <c r="E1017" s="103"/>
      <c r="F1017" s="102"/>
      <c r="G1017" s="103"/>
      <c r="H1017" s="102"/>
      <c r="I1017" s="103"/>
      <c r="J1017" s="102"/>
      <c r="K1017" s="103"/>
      <c r="L1017" s="102"/>
      <c r="M1017" s="103"/>
      <c r="N1017" s="102"/>
      <c r="O1017" s="103"/>
      <c r="P1017" s="102"/>
      <c r="Q1017" s="103"/>
      <c r="R1017" s="102"/>
      <c r="S1017" s="103"/>
    </row>
    <row r="1018">
      <c r="A1018" s="107"/>
      <c r="B1018" s="102"/>
      <c r="C1018" s="103"/>
      <c r="D1018" s="102"/>
      <c r="E1018" s="103"/>
      <c r="F1018" s="102"/>
      <c r="G1018" s="103"/>
      <c r="H1018" s="102"/>
      <c r="I1018" s="103"/>
      <c r="J1018" s="102"/>
      <c r="K1018" s="103"/>
      <c r="L1018" s="102"/>
      <c r="M1018" s="103"/>
      <c r="N1018" s="102"/>
      <c r="O1018" s="103"/>
      <c r="P1018" s="102"/>
      <c r="Q1018" s="103"/>
      <c r="R1018" s="102"/>
      <c r="S1018" s="103"/>
    </row>
    <row r="1019">
      <c r="A1019" s="107"/>
      <c r="B1019" s="102"/>
      <c r="C1019" s="103"/>
      <c r="D1019" s="102"/>
      <c r="E1019" s="103"/>
      <c r="F1019" s="102"/>
      <c r="G1019" s="103"/>
      <c r="H1019" s="102"/>
      <c r="I1019" s="103"/>
      <c r="J1019" s="102"/>
      <c r="K1019" s="103"/>
      <c r="L1019" s="102"/>
      <c r="M1019" s="103"/>
      <c r="N1019" s="102"/>
      <c r="O1019" s="103"/>
      <c r="P1019" s="102"/>
      <c r="Q1019" s="103"/>
      <c r="R1019" s="102"/>
      <c r="S1019" s="103"/>
    </row>
    <row r="1020">
      <c r="A1020" s="107"/>
      <c r="B1020" s="102"/>
      <c r="C1020" s="103"/>
      <c r="D1020" s="102"/>
      <c r="E1020" s="103"/>
      <c r="F1020" s="102"/>
      <c r="G1020" s="103"/>
      <c r="H1020" s="102"/>
      <c r="I1020" s="103"/>
      <c r="J1020" s="102"/>
      <c r="K1020" s="103"/>
      <c r="L1020" s="102"/>
      <c r="M1020" s="103"/>
      <c r="N1020" s="102"/>
      <c r="O1020" s="103"/>
      <c r="P1020" s="102"/>
      <c r="Q1020" s="103"/>
      <c r="R1020" s="102"/>
      <c r="S1020" s="103"/>
    </row>
    <row r="1021">
      <c r="A1021" s="107"/>
      <c r="B1021" s="102"/>
      <c r="C1021" s="103"/>
      <c r="D1021" s="102"/>
      <c r="E1021" s="103"/>
      <c r="F1021" s="102"/>
      <c r="G1021" s="103"/>
      <c r="H1021" s="102"/>
      <c r="I1021" s="103"/>
      <c r="J1021" s="102"/>
      <c r="K1021" s="103"/>
      <c r="L1021" s="102"/>
      <c r="M1021" s="103"/>
      <c r="N1021" s="102"/>
      <c r="O1021" s="103"/>
      <c r="P1021" s="102"/>
      <c r="Q1021" s="103"/>
      <c r="R1021" s="102"/>
      <c r="S1021" s="103"/>
    </row>
    <row r="1022">
      <c r="A1022" s="107"/>
      <c r="B1022" s="102"/>
      <c r="C1022" s="103"/>
      <c r="D1022" s="102"/>
      <c r="E1022" s="103"/>
      <c r="F1022" s="102"/>
      <c r="G1022" s="103"/>
      <c r="H1022" s="102"/>
      <c r="I1022" s="103"/>
      <c r="J1022" s="102"/>
      <c r="K1022" s="103"/>
      <c r="L1022" s="102"/>
      <c r="M1022" s="103"/>
      <c r="N1022" s="102"/>
      <c r="O1022" s="103"/>
      <c r="P1022" s="102"/>
      <c r="Q1022" s="103"/>
      <c r="R1022" s="102"/>
      <c r="S1022" s="103"/>
    </row>
    <row r="1023">
      <c r="A1023" s="107"/>
      <c r="B1023" s="102"/>
      <c r="C1023" s="103"/>
      <c r="D1023" s="102"/>
      <c r="E1023" s="103"/>
      <c r="F1023" s="102"/>
      <c r="G1023" s="103"/>
      <c r="H1023" s="102"/>
      <c r="I1023" s="103"/>
      <c r="J1023" s="102"/>
      <c r="K1023" s="103"/>
      <c r="L1023" s="102"/>
      <c r="M1023" s="103"/>
      <c r="N1023" s="102"/>
      <c r="O1023" s="103"/>
      <c r="P1023" s="102"/>
      <c r="Q1023" s="103"/>
      <c r="R1023" s="102"/>
      <c r="S1023" s="103"/>
    </row>
    <row r="1024">
      <c r="A1024" s="107"/>
      <c r="B1024" s="102"/>
      <c r="C1024" s="103"/>
      <c r="D1024" s="102"/>
      <c r="E1024" s="103"/>
      <c r="F1024" s="102"/>
      <c r="G1024" s="103"/>
      <c r="H1024" s="102"/>
      <c r="I1024" s="103"/>
      <c r="J1024" s="102"/>
      <c r="K1024" s="103"/>
      <c r="L1024" s="102"/>
      <c r="M1024" s="103"/>
      <c r="N1024" s="102"/>
      <c r="O1024" s="103"/>
      <c r="P1024" s="102"/>
      <c r="Q1024" s="103"/>
      <c r="R1024" s="102"/>
      <c r="S1024" s="103"/>
    </row>
    <row r="1025">
      <c r="A1025" s="107"/>
      <c r="B1025" s="102"/>
      <c r="C1025" s="103"/>
      <c r="D1025" s="102"/>
      <c r="E1025" s="103"/>
      <c r="F1025" s="102"/>
      <c r="G1025" s="103"/>
      <c r="H1025" s="102"/>
      <c r="I1025" s="103"/>
      <c r="J1025" s="102"/>
      <c r="K1025" s="103"/>
      <c r="L1025" s="102"/>
      <c r="M1025" s="103"/>
      <c r="N1025" s="102"/>
      <c r="O1025" s="103"/>
      <c r="P1025" s="102"/>
      <c r="Q1025" s="103"/>
      <c r="R1025" s="102"/>
      <c r="S1025" s="103"/>
    </row>
    <row r="1026">
      <c r="A1026" s="107"/>
      <c r="B1026" s="102"/>
      <c r="C1026" s="103"/>
      <c r="D1026" s="102"/>
      <c r="E1026" s="103"/>
      <c r="F1026" s="102"/>
      <c r="G1026" s="103"/>
      <c r="H1026" s="102"/>
      <c r="I1026" s="103"/>
      <c r="J1026" s="102"/>
      <c r="K1026" s="103"/>
      <c r="L1026" s="102"/>
      <c r="M1026" s="103"/>
      <c r="N1026" s="102"/>
      <c r="O1026" s="103"/>
      <c r="P1026" s="102"/>
      <c r="Q1026" s="103"/>
      <c r="R1026" s="102"/>
      <c r="S1026" s="103"/>
    </row>
    <row r="1027">
      <c r="A1027" s="107"/>
      <c r="B1027" s="102"/>
      <c r="C1027" s="103"/>
      <c r="D1027" s="102"/>
      <c r="E1027" s="103"/>
      <c r="F1027" s="102"/>
      <c r="G1027" s="103"/>
      <c r="H1027" s="102"/>
      <c r="I1027" s="103"/>
      <c r="J1027" s="102"/>
      <c r="K1027" s="103"/>
      <c r="L1027" s="102"/>
      <c r="M1027" s="103"/>
      <c r="N1027" s="102"/>
      <c r="O1027" s="103"/>
      <c r="P1027" s="102"/>
      <c r="Q1027" s="103"/>
      <c r="R1027" s="102"/>
      <c r="S1027" s="103"/>
    </row>
    <row r="1028">
      <c r="A1028" s="107"/>
      <c r="B1028" s="102"/>
      <c r="C1028" s="103"/>
      <c r="D1028" s="102"/>
      <c r="E1028" s="103"/>
      <c r="F1028" s="102"/>
      <c r="G1028" s="103"/>
      <c r="H1028" s="102"/>
      <c r="I1028" s="103"/>
      <c r="J1028" s="102"/>
      <c r="K1028" s="103"/>
      <c r="L1028" s="102"/>
      <c r="M1028" s="103"/>
      <c r="N1028" s="102"/>
      <c r="O1028" s="103"/>
      <c r="P1028" s="102"/>
      <c r="Q1028" s="103"/>
      <c r="R1028" s="102"/>
      <c r="S1028" s="103"/>
    </row>
    <row r="1029">
      <c r="A1029" s="107"/>
      <c r="B1029" s="102"/>
      <c r="C1029" s="103"/>
      <c r="D1029" s="102"/>
      <c r="E1029" s="103"/>
      <c r="F1029" s="102"/>
      <c r="G1029" s="103"/>
      <c r="H1029" s="102"/>
      <c r="I1029" s="103"/>
      <c r="J1029" s="102"/>
      <c r="K1029" s="103"/>
      <c r="L1029" s="102"/>
      <c r="M1029" s="103"/>
      <c r="N1029" s="102"/>
      <c r="O1029" s="103"/>
      <c r="P1029" s="102"/>
      <c r="Q1029" s="103"/>
      <c r="R1029" s="102"/>
      <c r="S1029" s="103"/>
    </row>
    <row r="1030">
      <c r="A1030" s="107"/>
      <c r="B1030" s="102"/>
      <c r="C1030" s="103"/>
      <c r="D1030" s="102"/>
      <c r="E1030" s="103"/>
      <c r="F1030" s="102"/>
      <c r="G1030" s="103"/>
      <c r="H1030" s="102"/>
      <c r="I1030" s="103"/>
      <c r="J1030" s="102"/>
      <c r="K1030" s="103"/>
      <c r="L1030" s="102"/>
      <c r="M1030" s="103"/>
      <c r="N1030" s="102"/>
      <c r="O1030" s="103"/>
      <c r="P1030" s="102"/>
      <c r="Q1030" s="103"/>
      <c r="R1030" s="102"/>
      <c r="S1030" s="103"/>
    </row>
    <row r="1031">
      <c r="A1031" s="107"/>
      <c r="B1031" s="102"/>
      <c r="C1031" s="103"/>
      <c r="D1031" s="102"/>
      <c r="E1031" s="103"/>
      <c r="F1031" s="102"/>
      <c r="G1031" s="103"/>
      <c r="H1031" s="102"/>
      <c r="I1031" s="103"/>
      <c r="J1031" s="102"/>
      <c r="K1031" s="103"/>
      <c r="L1031" s="102"/>
      <c r="M1031" s="103"/>
      <c r="N1031" s="102"/>
      <c r="O1031" s="103"/>
      <c r="P1031" s="102"/>
      <c r="Q1031" s="103"/>
      <c r="R1031" s="102"/>
      <c r="S1031" s="103"/>
    </row>
    <row r="1032">
      <c r="A1032" s="107"/>
      <c r="B1032" s="102"/>
      <c r="C1032" s="103"/>
      <c r="D1032" s="102"/>
      <c r="E1032" s="103"/>
      <c r="F1032" s="102"/>
      <c r="G1032" s="103"/>
      <c r="H1032" s="102"/>
      <c r="I1032" s="103"/>
      <c r="J1032" s="102"/>
      <c r="K1032" s="103"/>
      <c r="L1032" s="102"/>
      <c r="M1032" s="103"/>
      <c r="N1032" s="102"/>
      <c r="O1032" s="103"/>
      <c r="P1032" s="102"/>
      <c r="Q1032" s="103"/>
      <c r="R1032" s="102"/>
      <c r="S1032" s="103"/>
    </row>
    <row r="1033">
      <c r="A1033" s="107"/>
      <c r="B1033" s="102"/>
      <c r="C1033" s="103"/>
      <c r="D1033" s="102"/>
      <c r="E1033" s="103"/>
      <c r="F1033" s="102"/>
      <c r="G1033" s="103"/>
      <c r="H1033" s="102"/>
      <c r="I1033" s="103"/>
      <c r="J1033" s="102"/>
      <c r="K1033" s="103"/>
      <c r="L1033" s="102"/>
      <c r="M1033" s="103"/>
      <c r="N1033" s="102"/>
      <c r="O1033" s="103"/>
      <c r="P1033" s="102"/>
      <c r="Q1033" s="103"/>
      <c r="R1033" s="102"/>
      <c r="S1033" s="103"/>
    </row>
    <row r="1034">
      <c r="A1034" s="107"/>
      <c r="B1034" s="102"/>
      <c r="C1034" s="103"/>
      <c r="D1034" s="102"/>
      <c r="E1034" s="103"/>
      <c r="F1034" s="102"/>
      <c r="G1034" s="103"/>
      <c r="H1034" s="102"/>
      <c r="I1034" s="103"/>
      <c r="J1034" s="102"/>
      <c r="K1034" s="103"/>
      <c r="L1034" s="102"/>
      <c r="M1034" s="103"/>
      <c r="N1034" s="102"/>
      <c r="O1034" s="103"/>
      <c r="P1034" s="102"/>
      <c r="Q1034" s="103"/>
      <c r="R1034" s="102"/>
      <c r="S1034" s="103"/>
    </row>
    <row r="1035">
      <c r="A1035" s="107"/>
      <c r="B1035" s="102"/>
      <c r="C1035" s="103"/>
      <c r="D1035" s="102"/>
      <c r="E1035" s="103"/>
      <c r="F1035" s="102"/>
      <c r="G1035" s="103"/>
      <c r="H1035" s="102"/>
      <c r="I1035" s="103"/>
      <c r="J1035" s="102"/>
      <c r="K1035" s="103"/>
      <c r="L1035" s="102"/>
      <c r="M1035" s="103"/>
      <c r="N1035" s="102"/>
      <c r="O1035" s="103"/>
      <c r="P1035" s="102"/>
      <c r="Q1035" s="103"/>
      <c r="R1035" s="102"/>
      <c r="S1035" s="103"/>
    </row>
    <row r="1036">
      <c r="A1036" s="107"/>
      <c r="B1036" s="102"/>
      <c r="C1036" s="103"/>
      <c r="D1036" s="102"/>
      <c r="E1036" s="103"/>
      <c r="F1036" s="102"/>
      <c r="G1036" s="103"/>
      <c r="H1036" s="102"/>
      <c r="I1036" s="103"/>
      <c r="J1036" s="102"/>
      <c r="K1036" s="103"/>
      <c r="L1036" s="102"/>
      <c r="M1036" s="103"/>
      <c r="N1036" s="102"/>
      <c r="O1036" s="103"/>
      <c r="P1036" s="102"/>
      <c r="Q1036" s="103"/>
      <c r="R1036" s="102"/>
      <c r="S1036" s="103"/>
    </row>
    <row r="1037">
      <c r="A1037" s="107"/>
      <c r="B1037" s="102"/>
      <c r="C1037" s="103"/>
      <c r="D1037" s="102"/>
      <c r="E1037" s="103"/>
      <c r="F1037" s="102"/>
      <c r="G1037" s="103"/>
      <c r="H1037" s="102"/>
      <c r="I1037" s="103"/>
      <c r="J1037" s="102"/>
      <c r="K1037" s="103"/>
      <c r="L1037" s="102"/>
      <c r="M1037" s="103"/>
      <c r="N1037" s="102"/>
      <c r="O1037" s="103"/>
      <c r="P1037" s="102"/>
      <c r="Q1037" s="103"/>
      <c r="R1037" s="102"/>
      <c r="S1037" s="103"/>
    </row>
    <row r="1038">
      <c r="A1038" s="107"/>
      <c r="B1038" s="102"/>
      <c r="C1038" s="103"/>
      <c r="D1038" s="102"/>
      <c r="E1038" s="103"/>
      <c r="F1038" s="102"/>
      <c r="G1038" s="103"/>
      <c r="H1038" s="102"/>
      <c r="I1038" s="103"/>
      <c r="J1038" s="102"/>
      <c r="K1038" s="103"/>
      <c r="L1038" s="102"/>
      <c r="M1038" s="103"/>
      <c r="N1038" s="102"/>
      <c r="O1038" s="103"/>
      <c r="P1038" s="102"/>
      <c r="Q1038" s="103"/>
      <c r="R1038" s="102"/>
      <c r="S1038" s="103"/>
    </row>
    <row r="1039">
      <c r="A1039" s="107"/>
      <c r="B1039" s="102"/>
      <c r="C1039" s="103"/>
      <c r="D1039" s="102"/>
      <c r="E1039" s="103"/>
      <c r="F1039" s="102"/>
      <c r="G1039" s="103"/>
      <c r="H1039" s="102"/>
      <c r="I1039" s="103"/>
      <c r="J1039" s="102"/>
      <c r="K1039" s="103"/>
      <c r="L1039" s="102"/>
      <c r="M1039" s="103"/>
      <c r="N1039" s="102"/>
      <c r="O1039" s="103"/>
      <c r="P1039" s="102"/>
      <c r="Q1039" s="103"/>
      <c r="R1039" s="102"/>
      <c r="S1039" s="103"/>
    </row>
    <row r="1040">
      <c r="A1040" s="107"/>
      <c r="B1040" s="102"/>
      <c r="C1040" s="103"/>
      <c r="D1040" s="102"/>
      <c r="E1040" s="103"/>
      <c r="F1040" s="102"/>
      <c r="G1040" s="103"/>
      <c r="H1040" s="102"/>
      <c r="I1040" s="103"/>
      <c r="J1040" s="102"/>
      <c r="K1040" s="103"/>
      <c r="L1040" s="102"/>
      <c r="M1040" s="103"/>
      <c r="N1040" s="102"/>
      <c r="O1040" s="103"/>
      <c r="P1040" s="102"/>
      <c r="Q1040" s="103"/>
      <c r="R1040" s="102"/>
      <c r="S1040" s="103"/>
    </row>
    <row r="1041">
      <c r="A1041" s="107"/>
      <c r="B1041" s="102"/>
      <c r="C1041" s="103"/>
      <c r="D1041" s="102"/>
      <c r="E1041" s="103"/>
      <c r="F1041" s="102"/>
      <c r="G1041" s="103"/>
      <c r="H1041" s="102"/>
      <c r="I1041" s="103"/>
      <c r="J1041" s="102"/>
      <c r="K1041" s="103"/>
      <c r="L1041" s="102"/>
      <c r="M1041" s="103"/>
      <c r="N1041" s="102"/>
      <c r="O1041" s="103"/>
      <c r="P1041" s="102"/>
      <c r="Q1041" s="103"/>
      <c r="R1041" s="102"/>
      <c r="S1041" s="103"/>
    </row>
    <row r="1042">
      <c r="A1042" s="107"/>
      <c r="B1042" s="102"/>
      <c r="C1042" s="103"/>
      <c r="D1042" s="102"/>
      <c r="E1042" s="103"/>
      <c r="F1042" s="102"/>
      <c r="G1042" s="103"/>
      <c r="H1042" s="102"/>
      <c r="I1042" s="103"/>
      <c r="J1042" s="102"/>
      <c r="K1042" s="103"/>
      <c r="L1042" s="102"/>
      <c r="M1042" s="103"/>
      <c r="N1042" s="102"/>
      <c r="O1042" s="103"/>
      <c r="P1042" s="102"/>
      <c r="Q1042" s="103"/>
      <c r="R1042" s="102"/>
      <c r="S1042" s="103"/>
    </row>
    <row r="1043">
      <c r="A1043" s="107"/>
      <c r="B1043" s="102"/>
      <c r="C1043" s="103"/>
      <c r="D1043" s="102"/>
      <c r="E1043" s="103"/>
      <c r="F1043" s="102"/>
      <c r="G1043" s="103"/>
      <c r="H1043" s="102"/>
      <c r="I1043" s="103"/>
      <c r="J1043" s="102"/>
      <c r="K1043" s="103"/>
      <c r="L1043" s="102"/>
      <c r="M1043" s="103"/>
      <c r="N1043" s="102"/>
      <c r="O1043" s="103"/>
      <c r="P1043" s="102"/>
      <c r="Q1043" s="103"/>
      <c r="R1043" s="102"/>
      <c r="S1043" s="103"/>
    </row>
    <row r="1044">
      <c r="A1044" s="107"/>
      <c r="B1044" s="102"/>
      <c r="C1044" s="103"/>
      <c r="D1044" s="102"/>
      <c r="E1044" s="103"/>
      <c r="F1044" s="102"/>
      <c r="G1044" s="103"/>
      <c r="H1044" s="102"/>
      <c r="I1044" s="103"/>
      <c r="J1044" s="102"/>
      <c r="K1044" s="103"/>
      <c r="L1044" s="102"/>
      <c r="M1044" s="103"/>
      <c r="N1044" s="102"/>
      <c r="O1044" s="103"/>
      <c r="P1044" s="102"/>
      <c r="Q1044" s="103"/>
      <c r="R1044" s="102"/>
      <c r="S1044" s="103"/>
    </row>
    <row r="1045">
      <c r="A1045" s="107"/>
      <c r="B1045" s="102"/>
      <c r="C1045" s="103"/>
      <c r="D1045" s="102"/>
      <c r="E1045" s="103"/>
      <c r="F1045" s="102"/>
      <c r="G1045" s="103"/>
      <c r="H1045" s="102"/>
      <c r="I1045" s="103"/>
      <c r="J1045" s="102"/>
      <c r="K1045" s="103"/>
      <c r="L1045" s="102"/>
      <c r="M1045" s="103"/>
      <c r="N1045" s="102"/>
      <c r="O1045" s="103"/>
      <c r="P1045" s="102"/>
      <c r="Q1045" s="103"/>
      <c r="R1045" s="102"/>
      <c r="S1045" s="103"/>
    </row>
    <row r="1046">
      <c r="A1046" s="107"/>
      <c r="B1046" s="102"/>
      <c r="C1046" s="103"/>
      <c r="D1046" s="102"/>
      <c r="E1046" s="103"/>
      <c r="F1046" s="102"/>
      <c r="G1046" s="103"/>
      <c r="H1046" s="102"/>
      <c r="I1046" s="103"/>
      <c r="J1046" s="102"/>
      <c r="K1046" s="103"/>
      <c r="L1046" s="102"/>
      <c r="M1046" s="103"/>
      <c r="N1046" s="102"/>
      <c r="O1046" s="103"/>
      <c r="P1046" s="102"/>
      <c r="Q1046" s="103"/>
      <c r="R1046" s="102"/>
      <c r="S1046" s="103"/>
    </row>
    <row r="1047">
      <c r="A1047" s="107"/>
      <c r="B1047" s="102"/>
      <c r="C1047" s="103"/>
      <c r="D1047" s="102"/>
      <c r="E1047" s="103"/>
      <c r="F1047" s="102"/>
      <c r="G1047" s="103"/>
      <c r="H1047" s="102"/>
      <c r="I1047" s="103"/>
      <c r="J1047" s="102"/>
      <c r="K1047" s="103"/>
      <c r="L1047" s="102"/>
      <c r="M1047" s="103"/>
      <c r="N1047" s="102"/>
      <c r="O1047" s="103"/>
      <c r="P1047" s="102"/>
      <c r="Q1047" s="103"/>
      <c r="R1047" s="102"/>
      <c r="S1047" s="103"/>
    </row>
    <row r="1048">
      <c r="A1048" s="107"/>
      <c r="B1048" s="102"/>
      <c r="C1048" s="103"/>
      <c r="D1048" s="102"/>
      <c r="E1048" s="103"/>
      <c r="F1048" s="102"/>
      <c r="G1048" s="103"/>
      <c r="H1048" s="102"/>
      <c r="I1048" s="103"/>
      <c r="J1048" s="102"/>
      <c r="K1048" s="103"/>
      <c r="L1048" s="102"/>
      <c r="M1048" s="103"/>
      <c r="N1048" s="102"/>
      <c r="O1048" s="103"/>
      <c r="P1048" s="102"/>
      <c r="Q1048" s="103"/>
      <c r="R1048" s="102"/>
      <c r="S1048" s="103"/>
    </row>
    <row r="1049">
      <c r="A1049" s="107"/>
      <c r="B1049" s="102"/>
      <c r="C1049" s="103"/>
      <c r="D1049" s="102"/>
      <c r="E1049" s="103"/>
      <c r="F1049" s="102"/>
      <c r="G1049" s="103"/>
      <c r="H1049" s="102"/>
      <c r="I1049" s="103"/>
      <c r="J1049" s="102"/>
      <c r="K1049" s="103"/>
      <c r="L1049" s="102"/>
      <c r="M1049" s="103"/>
      <c r="N1049" s="102"/>
      <c r="O1049" s="103"/>
      <c r="P1049" s="102"/>
      <c r="Q1049" s="103"/>
      <c r="R1049" s="102"/>
      <c r="S1049" s="103"/>
    </row>
    <row r="1050">
      <c r="A1050" s="107"/>
      <c r="B1050" s="102"/>
      <c r="C1050" s="103"/>
      <c r="D1050" s="102"/>
      <c r="E1050" s="103"/>
      <c r="F1050" s="102"/>
      <c r="G1050" s="103"/>
      <c r="H1050" s="102"/>
      <c r="I1050" s="103"/>
      <c r="J1050" s="102"/>
      <c r="K1050" s="103"/>
      <c r="L1050" s="102"/>
      <c r="M1050" s="103"/>
      <c r="N1050" s="102"/>
      <c r="O1050" s="103"/>
      <c r="P1050" s="102"/>
      <c r="Q1050" s="103"/>
      <c r="R1050" s="102"/>
      <c r="S1050" s="103"/>
    </row>
  </sheetData>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8" width="35.86"/>
  </cols>
  <sheetData>
    <row r="1">
      <c r="A1" s="43" t="s">
        <v>2352</v>
      </c>
      <c r="B1" s="44" t="s">
        <v>4337</v>
      </c>
      <c r="C1" s="43" t="s">
        <v>2353</v>
      </c>
      <c r="D1" s="44" t="s">
        <v>4337</v>
      </c>
      <c r="E1" s="43" t="s">
        <v>2354</v>
      </c>
      <c r="F1" s="44" t="s">
        <v>4337</v>
      </c>
      <c r="G1" s="43" t="s">
        <v>4338</v>
      </c>
      <c r="H1" s="44" t="s">
        <v>4337</v>
      </c>
      <c r="I1" s="43" t="s">
        <v>2356</v>
      </c>
      <c r="J1" s="44" t="s">
        <v>4337</v>
      </c>
      <c r="K1" s="43" t="s">
        <v>2357</v>
      </c>
      <c r="L1" s="44" t="s">
        <v>4337</v>
      </c>
      <c r="M1" s="43" t="s">
        <v>2358</v>
      </c>
      <c r="N1" s="44" t="s">
        <v>4337</v>
      </c>
      <c r="O1" s="43" t="s">
        <v>2359</v>
      </c>
      <c r="P1" s="44" t="s">
        <v>4337</v>
      </c>
      <c r="Q1" s="43" t="s">
        <v>2360</v>
      </c>
      <c r="R1" s="44" t="s">
        <v>4337</v>
      </c>
    </row>
    <row r="2">
      <c r="A2" s="49" t="s">
        <v>3919</v>
      </c>
      <c r="B2" s="50" t="s">
        <v>4339</v>
      </c>
      <c r="C2" s="108" t="s">
        <v>3931</v>
      </c>
      <c r="D2" s="109" t="s">
        <v>4340</v>
      </c>
      <c r="E2" s="49" t="s">
        <v>3947</v>
      </c>
      <c r="F2" s="50" t="s">
        <v>4341</v>
      </c>
      <c r="G2" s="49" t="s">
        <v>3921</v>
      </c>
      <c r="H2" s="50" t="s">
        <v>4342</v>
      </c>
      <c r="I2" s="49" t="s">
        <v>3922</v>
      </c>
      <c r="J2" s="50" t="s">
        <v>4343</v>
      </c>
      <c r="K2" s="49" t="s">
        <v>3923</v>
      </c>
      <c r="L2" s="50" t="s">
        <v>4344</v>
      </c>
      <c r="M2" s="49" t="s">
        <v>3928</v>
      </c>
      <c r="N2" s="50" t="s">
        <v>4345</v>
      </c>
      <c r="O2" s="49" t="s">
        <v>2929</v>
      </c>
      <c r="P2" s="50" t="s">
        <v>4346</v>
      </c>
      <c r="Q2" s="49" t="s">
        <v>2407</v>
      </c>
      <c r="R2" s="110" t="s">
        <v>4347</v>
      </c>
    </row>
    <row r="3">
      <c r="A3" s="49" t="s">
        <v>3966</v>
      </c>
      <c r="B3" s="50" t="s">
        <v>4348</v>
      </c>
      <c r="C3" s="111" t="s">
        <v>4024</v>
      </c>
      <c r="D3" s="50" t="s">
        <v>4349</v>
      </c>
      <c r="E3" s="49" t="s">
        <v>3932</v>
      </c>
      <c r="F3" s="50" t="s">
        <v>4350</v>
      </c>
      <c r="G3" s="49" t="s">
        <v>3977</v>
      </c>
      <c r="H3" s="50" t="s">
        <v>4351</v>
      </c>
      <c r="I3" s="49" t="s">
        <v>3926</v>
      </c>
      <c r="J3" s="50" t="s">
        <v>4352</v>
      </c>
      <c r="K3" s="111" t="s">
        <v>4169</v>
      </c>
      <c r="L3" s="50" t="s">
        <v>4353</v>
      </c>
      <c r="M3" s="49" t="s">
        <v>3924</v>
      </c>
      <c r="N3" s="50" t="s">
        <v>4354</v>
      </c>
      <c r="O3" s="49" t="s">
        <v>2590</v>
      </c>
      <c r="P3" s="50" t="s">
        <v>4355</v>
      </c>
      <c r="Q3" s="49" t="s">
        <v>3971</v>
      </c>
      <c r="R3" s="50" t="s">
        <v>4356</v>
      </c>
    </row>
    <row r="4">
      <c r="A4" s="49" t="s">
        <v>3930</v>
      </c>
      <c r="B4" s="50" t="s">
        <v>4357</v>
      </c>
      <c r="C4" s="49" t="s">
        <v>3920</v>
      </c>
      <c r="D4" s="109" t="s">
        <v>4358</v>
      </c>
      <c r="E4" s="49" t="s">
        <v>3925</v>
      </c>
      <c r="F4" s="50" t="s">
        <v>4359</v>
      </c>
      <c r="G4" s="49" t="s">
        <v>3973</v>
      </c>
      <c r="H4" s="50" t="s">
        <v>4360</v>
      </c>
      <c r="I4" s="49" t="s">
        <v>3982</v>
      </c>
      <c r="J4" s="50" t="s">
        <v>4361</v>
      </c>
      <c r="K4" s="111" t="s">
        <v>2503</v>
      </c>
      <c r="L4" s="50" t="s">
        <v>4362</v>
      </c>
      <c r="M4" s="49" t="s">
        <v>3949</v>
      </c>
      <c r="N4" s="50" t="s">
        <v>4363</v>
      </c>
      <c r="O4" s="49" t="s">
        <v>2503</v>
      </c>
      <c r="P4" s="50" t="s">
        <v>4364</v>
      </c>
      <c r="Q4" s="49" t="s">
        <v>3943</v>
      </c>
      <c r="R4" s="50" t="s">
        <v>4365</v>
      </c>
    </row>
    <row r="5">
      <c r="A5" s="112" t="s">
        <v>3939</v>
      </c>
      <c r="B5" s="50" t="s">
        <v>4366</v>
      </c>
      <c r="C5" s="111" t="s">
        <v>4367</v>
      </c>
      <c r="D5" s="113" t="s">
        <v>4368</v>
      </c>
      <c r="E5" s="49" t="s">
        <v>4050</v>
      </c>
      <c r="F5" s="50" t="s">
        <v>4369</v>
      </c>
      <c r="G5" s="49" t="s">
        <v>3954</v>
      </c>
      <c r="H5" s="50"/>
      <c r="I5" s="49" t="s">
        <v>3965</v>
      </c>
      <c r="J5" s="50" t="s">
        <v>4370</v>
      </c>
      <c r="K5" s="49" t="s">
        <v>1070</v>
      </c>
      <c r="L5" s="50" t="s">
        <v>4371</v>
      </c>
      <c r="M5" s="49" t="s">
        <v>3954</v>
      </c>
      <c r="N5" s="50"/>
      <c r="O5" s="49" t="s">
        <v>4372</v>
      </c>
      <c r="P5" s="50" t="s">
        <v>4373</v>
      </c>
      <c r="Q5" s="49" t="s">
        <v>4004</v>
      </c>
      <c r="R5" s="50" t="s">
        <v>4374</v>
      </c>
    </row>
    <row r="6">
      <c r="A6" s="112" t="s">
        <v>4132</v>
      </c>
      <c r="B6" s="50" t="s">
        <v>4375</v>
      </c>
      <c r="C6" s="111" t="s">
        <v>4376</v>
      </c>
      <c r="D6" s="113" t="s">
        <v>4377</v>
      </c>
      <c r="E6" s="49" t="s">
        <v>4239</v>
      </c>
      <c r="F6" s="114" t="s">
        <v>4378</v>
      </c>
      <c r="G6" s="58"/>
      <c r="H6" s="50"/>
      <c r="I6" s="49" t="s">
        <v>3978</v>
      </c>
      <c r="J6" s="50" t="s">
        <v>4379</v>
      </c>
      <c r="K6" s="49" t="s">
        <v>3960</v>
      </c>
      <c r="L6" s="115" t="s">
        <v>4380</v>
      </c>
      <c r="M6" s="49"/>
      <c r="N6" s="50"/>
      <c r="O6" s="49" t="s">
        <v>2581</v>
      </c>
      <c r="P6" s="50" t="s">
        <v>4381</v>
      </c>
      <c r="Q6" s="49" t="s">
        <v>3951</v>
      </c>
      <c r="R6" s="50" t="s">
        <v>4382</v>
      </c>
    </row>
    <row r="7">
      <c r="A7" s="111"/>
      <c r="B7" s="103"/>
      <c r="C7" s="111" t="s">
        <v>4147</v>
      </c>
      <c r="D7" s="113" t="s">
        <v>4383</v>
      </c>
      <c r="E7" s="49" t="s">
        <v>4005</v>
      </c>
      <c r="F7" s="116" t="s">
        <v>4384</v>
      </c>
      <c r="G7" s="58"/>
      <c r="H7" s="50"/>
      <c r="I7" s="49" t="s">
        <v>4013</v>
      </c>
      <c r="J7" s="50" t="s">
        <v>4385</v>
      </c>
      <c r="K7" s="49" t="s">
        <v>4014</v>
      </c>
      <c r="L7" s="50" t="s">
        <v>4386</v>
      </c>
      <c r="M7" s="58"/>
      <c r="N7" s="50"/>
      <c r="O7" s="49" t="s">
        <v>4387</v>
      </c>
      <c r="P7" s="50" t="s">
        <v>4388</v>
      </c>
      <c r="Q7" s="49" t="s">
        <v>4389</v>
      </c>
      <c r="R7" s="50" t="s">
        <v>4390</v>
      </c>
    </row>
    <row r="8">
      <c r="B8" s="103"/>
      <c r="C8" s="49" t="s">
        <v>3967</v>
      </c>
      <c r="D8" s="50" t="s">
        <v>4391</v>
      </c>
      <c r="E8" s="111" t="s">
        <v>4392</v>
      </c>
      <c r="F8" s="50"/>
      <c r="G8" s="58"/>
      <c r="H8" s="50"/>
      <c r="I8" s="36" t="s">
        <v>3954</v>
      </c>
      <c r="J8" s="50"/>
      <c r="K8" s="49" t="s">
        <v>4151</v>
      </c>
      <c r="L8" s="50" t="s">
        <v>4393</v>
      </c>
      <c r="M8" s="58"/>
      <c r="N8" s="50"/>
      <c r="O8" s="49" t="s">
        <v>1070</v>
      </c>
      <c r="P8" s="117" t="s">
        <v>4394</v>
      </c>
      <c r="Q8" s="49" t="s">
        <v>4395</v>
      </c>
      <c r="R8" s="50" t="s">
        <v>4396</v>
      </c>
    </row>
    <row r="9">
      <c r="B9" s="84"/>
      <c r="C9" s="111" t="s">
        <v>4061</v>
      </c>
      <c r="D9" s="50" t="s">
        <v>4397</v>
      </c>
      <c r="E9" s="111" t="s">
        <v>3991</v>
      </c>
      <c r="F9" s="9" t="s">
        <v>4398</v>
      </c>
      <c r="G9" s="58"/>
      <c r="H9" s="50"/>
      <c r="J9" s="50"/>
      <c r="K9" s="49" t="s">
        <v>3979</v>
      </c>
      <c r="L9" s="50" t="s">
        <v>4399</v>
      </c>
      <c r="M9" s="58"/>
      <c r="N9" s="50"/>
      <c r="O9" s="49" t="s">
        <v>4027</v>
      </c>
      <c r="P9" s="118" t="s">
        <v>4400</v>
      </c>
      <c r="Q9" s="49" t="s">
        <v>4008</v>
      </c>
      <c r="R9" s="50" t="s">
        <v>4401</v>
      </c>
    </row>
    <row r="10">
      <c r="B10" s="61"/>
      <c r="C10" s="111" t="s">
        <v>4168</v>
      </c>
      <c r="D10" s="50" t="s">
        <v>4402</v>
      </c>
      <c r="E10" s="111" t="s">
        <v>3954</v>
      </c>
      <c r="F10" s="9"/>
      <c r="G10" s="58"/>
      <c r="H10" s="50"/>
      <c r="I10" s="49"/>
      <c r="J10" s="50"/>
      <c r="K10" s="49" t="s">
        <v>3999</v>
      </c>
      <c r="L10" s="50" t="s">
        <v>4403</v>
      </c>
      <c r="M10" s="58"/>
      <c r="N10" s="50"/>
      <c r="O10" s="49" t="s">
        <v>3954</v>
      </c>
      <c r="P10" s="50"/>
      <c r="Q10" s="49" t="s">
        <v>3965</v>
      </c>
      <c r="R10" s="50" t="s">
        <v>4404</v>
      </c>
    </row>
    <row r="11">
      <c r="B11" s="61"/>
      <c r="C11" s="49" t="s">
        <v>4054</v>
      </c>
      <c r="D11" s="50" t="s">
        <v>4405</v>
      </c>
      <c r="E11" s="111"/>
      <c r="F11" s="103"/>
      <c r="G11" s="58"/>
      <c r="H11" s="50"/>
      <c r="I11" s="49"/>
      <c r="J11" s="50"/>
      <c r="K11" s="119" t="s">
        <v>2647</v>
      </c>
      <c r="L11" s="109" t="s">
        <v>4406</v>
      </c>
      <c r="M11" s="58"/>
      <c r="N11" s="50"/>
      <c r="P11" s="103"/>
      <c r="Q11" s="36" t="s">
        <v>3954</v>
      </c>
      <c r="R11" s="50" t="s">
        <v>4407</v>
      </c>
    </row>
    <row r="12">
      <c r="A12" s="120"/>
      <c r="B12" s="84"/>
      <c r="C12" s="111" t="s">
        <v>3954</v>
      </c>
      <c r="D12" s="84"/>
      <c r="E12" s="121"/>
      <c r="F12" s="84"/>
      <c r="G12" s="58"/>
      <c r="H12" s="84"/>
      <c r="I12" s="58"/>
      <c r="J12" s="50"/>
      <c r="K12" s="49" t="s">
        <v>4133</v>
      </c>
      <c r="L12" s="50" t="s">
        <v>4408</v>
      </c>
      <c r="M12" s="58"/>
      <c r="N12" s="84"/>
      <c r="P12" s="103"/>
      <c r="R12" s="50"/>
    </row>
    <row r="13">
      <c r="A13" s="58"/>
      <c r="B13" s="84"/>
      <c r="C13" s="121"/>
      <c r="D13" s="84"/>
      <c r="E13" s="121"/>
      <c r="F13" s="84"/>
      <c r="G13" s="58"/>
      <c r="H13" s="84"/>
      <c r="I13" s="58"/>
      <c r="J13" s="50"/>
      <c r="K13" s="49" t="s">
        <v>3954</v>
      </c>
      <c r="L13" s="84"/>
      <c r="M13" s="58"/>
      <c r="N13" s="84"/>
      <c r="P13" s="103"/>
      <c r="R13" s="50"/>
    </row>
    <row r="14">
      <c r="A14" s="58"/>
      <c r="B14" s="50"/>
      <c r="C14" s="122"/>
      <c r="D14" s="123"/>
      <c r="E14" s="124"/>
      <c r="F14" s="84"/>
      <c r="G14" s="58"/>
      <c r="H14" s="84"/>
      <c r="I14" s="58"/>
      <c r="J14" s="84"/>
      <c r="K14" s="58"/>
      <c r="L14" s="84"/>
      <c r="M14" s="58"/>
      <c r="N14" s="84"/>
      <c r="P14" s="103"/>
      <c r="Q14" s="49"/>
      <c r="R14" s="50"/>
    </row>
    <row r="15">
      <c r="A15" s="58"/>
      <c r="B15" s="84"/>
      <c r="C15" s="121"/>
      <c r="D15" s="84"/>
      <c r="E15" s="58"/>
      <c r="F15" s="84"/>
      <c r="G15" s="58"/>
      <c r="H15" s="84"/>
      <c r="I15" s="58"/>
      <c r="J15" s="84"/>
      <c r="K15" s="58"/>
      <c r="L15" s="84"/>
      <c r="M15" s="58"/>
      <c r="N15" s="84"/>
      <c r="O15" s="49"/>
      <c r="P15" s="84"/>
      <c r="R15" s="103"/>
    </row>
    <row r="16">
      <c r="A16" s="58"/>
      <c r="B16" s="84"/>
      <c r="C16" s="121"/>
      <c r="D16" s="103"/>
      <c r="E16" s="58"/>
      <c r="F16" s="84"/>
      <c r="G16" s="58"/>
      <c r="H16" s="84"/>
      <c r="I16" s="58"/>
      <c r="J16" s="84"/>
      <c r="K16" s="58"/>
      <c r="L16" s="84"/>
      <c r="M16" s="58"/>
      <c r="N16" s="84"/>
      <c r="O16" s="58"/>
      <c r="P16" s="84"/>
      <c r="R16" s="84"/>
    </row>
    <row r="17">
      <c r="A17" s="58"/>
      <c r="B17" s="84"/>
      <c r="C17" s="121"/>
      <c r="D17" s="103"/>
      <c r="E17" s="58"/>
      <c r="F17" s="84"/>
      <c r="G17" s="58"/>
      <c r="H17" s="84"/>
      <c r="I17" s="58"/>
      <c r="J17" s="84"/>
      <c r="K17" s="58"/>
      <c r="L17" s="84"/>
      <c r="M17" s="58"/>
      <c r="N17" s="84"/>
      <c r="O17" s="58"/>
      <c r="P17" s="84"/>
      <c r="Q17" s="58"/>
      <c r="R17" s="84"/>
    </row>
    <row r="18">
      <c r="A18" s="58"/>
      <c r="B18" s="84"/>
      <c r="C18" s="58"/>
      <c r="D18" s="84"/>
      <c r="E18" s="58"/>
      <c r="F18" s="84"/>
      <c r="G18" s="58"/>
      <c r="H18" s="84"/>
      <c r="I18" s="58"/>
      <c r="J18" s="84"/>
      <c r="K18" s="58"/>
      <c r="L18" s="84"/>
      <c r="M18" s="58"/>
      <c r="N18" s="84"/>
      <c r="O18" s="58"/>
      <c r="P18" s="84"/>
      <c r="Q18" s="58"/>
      <c r="R18" s="84"/>
    </row>
    <row r="19">
      <c r="A19" s="58"/>
      <c r="B19" s="84"/>
      <c r="C19" s="58"/>
      <c r="D19" s="84"/>
      <c r="E19" s="58"/>
      <c r="F19" s="84"/>
      <c r="G19" s="58"/>
      <c r="H19" s="84"/>
      <c r="I19" s="58"/>
      <c r="J19" s="84"/>
      <c r="K19" s="58"/>
      <c r="L19" s="84"/>
      <c r="M19" s="58"/>
      <c r="N19" s="84"/>
      <c r="O19" s="58"/>
      <c r="P19" s="84"/>
      <c r="Q19" s="58"/>
      <c r="R19" s="84"/>
    </row>
    <row r="20">
      <c r="A20" s="58"/>
      <c r="B20" s="84"/>
      <c r="C20" s="58"/>
      <c r="D20" s="84"/>
      <c r="E20" s="58"/>
      <c r="F20" s="84"/>
      <c r="G20" s="58"/>
      <c r="H20" s="84"/>
      <c r="I20" s="58"/>
      <c r="J20" s="84"/>
      <c r="K20" s="58"/>
      <c r="L20" s="84"/>
      <c r="M20" s="58"/>
      <c r="N20" s="84"/>
      <c r="O20" s="58"/>
      <c r="P20" s="84"/>
      <c r="Q20" s="58"/>
      <c r="R20" s="84"/>
    </row>
    <row r="21">
      <c r="A21" s="58"/>
      <c r="B21" s="84"/>
      <c r="C21" s="58"/>
      <c r="D21" s="84"/>
      <c r="E21" s="58"/>
      <c r="F21" s="84"/>
      <c r="G21" s="58"/>
      <c r="H21" s="84"/>
      <c r="I21" s="58"/>
      <c r="J21" s="84"/>
      <c r="K21" s="58"/>
      <c r="L21" s="84"/>
      <c r="M21" s="58"/>
      <c r="N21" s="84"/>
      <c r="O21" s="58"/>
      <c r="P21" s="84"/>
      <c r="Q21" s="58"/>
      <c r="R21" s="84"/>
    </row>
    <row r="22">
      <c r="A22" s="58"/>
      <c r="B22" s="84"/>
      <c r="C22" s="58"/>
      <c r="D22" s="84"/>
      <c r="E22" s="58"/>
      <c r="F22" s="84"/>
      <c r="G22" s="58"/>
      <c r="H22" s="84"/>
      <c r="I22" s="58"/>
      <c r="J22" s="84"/>
      <c r="K22" s="58"/>
      <c r="L22" s="84"/>
      <c r="M22" s="58"/>
      <c r="N22" s="84"/>
      <c r="O22" s="58"/>
      <c r="P22" s="84"/>
      <c r="Q22" s="58"/>
      <c r="R22" s="84"/>
    </row>
    <row r="23">
      <c r="A23" s="58"/>
      <c r="B23" s="84"/>
      <c r="C23" s="58"/>
      <c r="D23" s="84"/>
      <c r="E23" s="58"/>
      <c r="F23" s="84"/>
      <c r="G23" s="58"/>
      <c r="H23" s="84"/>
      <c r="I23" s="58"/>
      <c r="J23" s="84"/>
      <c r="K23" s="58"/>
      <c r="L23" s="84"/>
      <c r="M23" s="58"/>
      <c r="N23" s="84"/>
      <c r="O23" s="58"/>
      <c r="P23" s="84"/>
      <c r="Q23" s="58"/>
      <c r="R23" s="84"/>
    </row>
    <row r="24">
      <c r="A24" s="58"/>
      <c r="B24" s="84"/>
      <c r="C24" s="58"/>
      <c r="D24" s="84"/>
      <c r="E24" s="58"/>
      <c r="F24" s="84"/>
      <c r="G24" s="58"/>
      <c r="H24" s="84"/>
      <c r="I24" s="58"/>
      <c r="J24" s="84"/>
      <c r="K24" s="58"/>
      <c r="L24" s="84"/>
      <c r="M24" s="58"/>
      <c r="N24" s="84"/>
      <c r="O24" s="58"/>
      <c r="P24" s="84"/>
      <c r="Q24" s="58"/>
      <c r="R24" s="84"/>
    </row>
    <row r="25">
      <c r="A25" s="58"/>
      <c r="B25" s="84"/>
      <c r="C25" s="58"/>
      <c r="D25" s="84"/>
      <c r="E25" s="58"/>
      <c r="F25" s="84"/>
      <c r="G25" s="58"/>
      <c r="H25" s="84"/>
      <c r="I25" s="58"/>
      <c r="J25" s="84"/>
      <c r="K25" s="58"/>
      <c r="L25" s="84"/>
      <c r="M25" s="58"/>
      <c r="N25" s="84"/>
      <c r="O25" s="58"/>
      <c r="P25" s="84"/>
      <c r="Q25" s="58"/>
      <c r="R25" s="84"/>
    </row>
    <row r="26">
      <c r="A26" s="58"/>
      <c r="B26" s="84"/>
      <c r="C26" s="58"/>
      <c r="D26" s="84"/>
      <c r="E26" s="58"/>
      <c r="F26" s="84"/>
      <c r="G26" s="58"/>
      <c r="H26" s="84"/>
      <c r="I26" s="58"/>
      <c r="J26" s="84"/>
      <c r="K26" s="58"/>
      <c r="L26" s="84"/>
      <c r="M26" s="58"/>
      <c r="N26" s="84"/>
      <c r="O26" s="58"/>
      <c r="P26" s="84"/>
      <c r="Q26" s="58"/>
      <c r="R26" s="84"/>
    </row>
    <row r="27">
      <c r="A27" s="58"/>
      <c r="B27" s="84"/>
      <c r="C27" s="58"/>
      <c r="D27" s="84"/>
      <c r="E27" s="58"/>
      <c r="F27" s="84"/>
      <c r="G27" s="58"/>
      <c r="H27" s="84"/>
      <c r="I27" s="58"/>
      <c r="J27" s="84"/>
      <c r="K27" s="58"/>
      <c r="L27" s="84"/>
      <c r="M27" s="58"/>
      <c r="N27" s="84"/>
      <c r="O27" s="58"/>
      <c r="P27" s="84"/>
      <c r="Q27" s="58"/>
      <c r="R27" s="84"/>
    </row>
    <row r="28">
      <c r="A28" s="58"/>
      <c r="B28" s="84"/>
      <c r="C28" s="58"/>
      <c r="D28" s="84"/>
      <c r="E28" s="58"/>
      <c r="F28" s="84"/>
      <c r="G28" s="58"/>
      <c r="H28" s="84"/>
      <c r="I28" s="58"/>
      <c r="J28" s="84"/>
      <c r="K28" s="58"/>
      <c r="L28" s="84"/>
      <c r="M28" s="58"/>
      <c r="N28" s="84"/>
      <c r="O28" s="58"/>
      <c r="P28" s="84"/>
      <c r="Q28" s="58"/>
      <c r="R28" s="84"/>
    </row>
    <row r="29">
      <c r="A29" s="58"/>
      <c r="B29" s="84"/>
      <c r="C29" s="58"/>
      <c r="D29" s="84"/>
      <c r="E29" s="58"/>
      <c r="F29" s="84"/>
      <c r="G29" s="58"/>
      <c r="H29" s="84"/>
      <c r="I29" s="58"/>
      <c r="J29" s="84"/>
      <c r="K29" s="58"/>
      <c r="L29" s="84"/>
      <c r="M29" s="58"/>
      <c r="N29" s="84"/>
      <c r="O29" s="58"/>
      <c r="P29" s="84"/>
      <c r="Q29" s="58"/>
      <c r="R29" s="84"/>
    </row>
    <row r="30">
      <c r="A30" s="124"/>
      <c r="B30" s="84"/>
      <c r="C30" s="58"/>
      <c r="D30" s="84"/>
      <c r="E30" s="58"/>
      <c r="F30" s="84"/>
      <c r="G30" s="58"/>
      <c r="H30" s="84"/>
      <c r="I30" s="58"/>
      <c r="J30" s="84"/>
      <c r="K30" s="58"/>
      <c r="L30" s="84"/>
      <c r="M30" s="58"/>
      <c r="N30" s="84"/>
      <c r="O30" s="58"/>
      <c r="P30" s="84"/>
      <c r="Q30" s="58"/>
      <c r="R30" s="84"/>
    </row>
    <row r="31">
      <c r="A31" s="49"/>
      <c r="B31" s="84"/>
      <c r="C31" s="58"/>
      <c r="D31" s="84"/>
      <c r="E31" s="58"/>
      <c r="F31" s="84"/>
      <c r="G31" s="58"/>
      <c r="H31" s="84"/>
      <c r="I31" s="58"/>
      <c r="J31" s="84"/>
      <c r="K31" s="58"/>
      <c r="L31" s="84"/>
      <c r="M31" s="58"/>
      <c r="N31" s="84"/>
      <c r="O31" s="58"/>
      <c r="P31" s="84"/>
      <c r="Q31" s="58"/>
      <c r="R31" s="84"/>
    </row>
    <row r="32">
      <c r="A32" s="49"/>
      <c r="B32" s="84"/>
      <c r="C32" s="58"/>
      <c r="D32" s="84"/>
      <c r="E32" s="58"/>
      <c r="F32" s="84"/>
      <c r="G32" s="58"/>
      <c r="H32" s="84"/>
      <c r="I32" s="58"/>
      <c r="J32" s="84"/>
      <c r="K32" s="58"/>
      <c r="L32" s="84"/>
      <c r="M32" s="58"/>
      <c r="N32" s="84"/>
      <c r="O32" s="58"/>
      <c r="P32" s="84"/>
      <c r="Q32" s="58"/>
      <c r="R32" s="84"/>
    </row>
    <row r="33">
      <c r="A33" s="58"/>
      <c r="B33" s="84"/>
      <c r="C33" s="58"/>
      <c r="D33" s="84"/>
      <c r="E33" s="58"/>
      <c r="F33" s="84"/>
      <c r="G33" s="58"/>
      <c r="H33" s="84"/>
      <c r="I33" s="58"/>
      <c r="J33" s="84"/>
      <c r="K33" s="58"/>
      <c r="L33" s="84"/>
      <c r="M33" s="58"/>
      <c r="N33" s="84"/>
      <c r="O33" s="58"/>
      <c r="P33" s="84"/>
      <c r="Q33" s="58"/>
      <c r="R33" s="84"/>
    </row>
    <row r="34">
      <c r="A34" s="58"/>
      <c r="B34" s="84"/>
      <c r="C34" s="58"/>
      <c r="D34" s="84"/>
      <c r="E34" s="58"/>
      <c r="F34" s="84"/>
      <c r="G34" s="58"/>
      <c r="H34" s="84"/>
      <c r="I34" s="58"/>
      <c r="J34" s="84"/>
      <c r="K34" s="58"/>
      <c r="L34" s="84"/>
      <c r="M34" s="58"/>
      <c r="N34" s="84"/>
      <c r="O34" s="58"/>
      <c r="P34" s="84"/>
      <c r="Q34" s="58"/>
      <c r="R34" s="84"/>
    </row>
    <row r="35">
      <c r="A35" s="58"/>
      <c r="B35" s="84"/>
      <c r="C35" s="58"/>
      <c r="D35" s="84"/>
      <c r="E35" s="58"/>
      <c r="F35" s="84"/>
      <c r="G35" s="58"/>
      <c r="H35" s="84"/>
      <c r="I35" s="58"/>
      <c r="J35" s="84"/>
      <c r="K35" s="58"/>
      <c r="L35" s="84"/>
      <c r="M35" s="58"/>
      <c r="N35" s="84"/>
      <c r="O35" s="58"/>
      <c r="P35" s="84"/>
      <c r="Q35" s="58"/>
      <c r="R35" s="84"/>
    </row>
    <row r="36">
      <c r="A36" s="58"/>
      <c r="B36" s="84"/>
      <c r="C36" s="58"/>
      <c r="D36" s="84"/>
      <c r="E36" s="58"/>
      <c r="F36" s="84"/>
      <c r="G36" s="58"/>
      <c r="H36" s="84"/>
      <c r="I36" s="58"/>
      <c r="J36" s="84"/>
      <c r="K36" s="58"/>
      <c r="L36" s="84"/>
      <c r="M36" s="58"/>
      <c r="N36" s="84"/>
      <c r="O36" s="58"/>
      <c r="P36" s="84"/>
      <c r="Q36" s="58"/>
      <c r="R36" s="84"/>
    </row>
    <row r="37">
      <c r="A37" s="58"/>
      <c r="B37" s="84"/>
      <c r="C37" s="58"/>
      <c r="D37" s="84"/>
      <c r="E37" s="58"/>
      <c r="F37" s="84"/>
      <c r="G37" s="58"/>
      <c r="H37" s="84"/>
      <c r="I37" s="58"/>
      <c r="J37" s="84"/>
      <c r="K37" s="58"/>
      <c r="L37" s="84"/>
      <c r="M37" s="58"/>
      <c r="N37" s="84"/>
      <c r="O37" s="58"/>
      <c r="P37" s="84"/>
      <c r="Q37" s="58"/>
      <c r="R37" s="84"/>
    </row>
    <row r="38">
      <c r="A38" s="58"/>
      <c r="B38" s="84"/>
      <c r="C38" s="58"/>
      <c r="D38" s="84"/>
      <c r="E38" s="58"/>
      <c r="F38" s="84"/>
      <c r="G38" s="58"/>
      <c r="H38" s="84"/>
      <c r="I38" s="58"/>
      <c r="J38" s="84"/>
      <c r="K38" s="58"/>
      <c r="L38" s="84"/>
      <c r="M38" s="58"/>
      <c r="N38" s="84"/>
      <c r="O38" s="58"/>
      <c r="P38" s="84"/>
      <c r="Q38" s="58"/>
      <c r="R38" s="84"/>
    </row>
    <row r="39">
      <c r="A39" s="58"/>
      <c r="B39" s="84"/>
      <c r="C39" s="58"/>
      <c r="D39" s="84"/>
      <c r="E39" s="58"/>
      <c r="F39" s="84"/>
      <c r="G39" s="58"/>
      <c r="H39" s="84"/>
      <c r="I39" s="58"/>
      <c r="J39" s="84"/>
      <c r="K39" s="58"/>
      <c r="L39" s="84"/>
      <c r="M39" s="58"/>
      <c r="N39" s="84"/>
      <c r="O39" s="58"/>
      <c r="P39" s="84"/>
      <c r="Q39" s="58"/>
      <c r="R39" s="84"/>
    </row>
    <row r="40">
      <c r="A40" s="58"/>
      <c r="B40" s="84"/>
      <c r="C40" s="58"/>
      <c r="D40" s="84"/>
      <c r="E40" s="58"/>
      <c r="F40" s="84"/>
      <c r="G40" s="58"/>
      <c r="H40" s="84"/>
      <c r="I40" s="58"/>
      <c r="J40" s="84"/>
      <c r="K40" s="58"/>
      <c r="L40" s="84"/>
      <c r="M40" s="58"/>
      <c r="N40" s="84"/>
      <c r="O40" s="58"/>
      <c r="P40" s="84"/>
      <c r="Q40" s="58"/>
      <c r="R40" s="84"/>
    </row>
    <row r="41">
      <c r="A41" s="58"/>
      <c r="B41" s="84"/>
      <c r="C41" s="58"/>
      <c r="D41" s="84"/>
      <c r="E41" s="58"/>
      <c r="F41" s="84"/>
      <c r="G41" s="58"/>
      <c r="H41" s="84"/>
      <c r="I41" s="58"/>
      <c r="J41" s="84"/>
      <c r="K41" s="58"/>
      <c r="L41" s="84"/>
      <c r="M41" s="58"/>
      <c r="N41" s="84"/>
      <c r="O41" s="58"/>
      <c r="P41" s="84"/>
      <c r="Q41" s="58"/>
      <c r="R41" s="84"/>
    </row>
    <row r="42">
      <c r="A42" s="58"/>
      <c r="B42" s="84"/>
      <c r="C42" s="58"/>
      <c r="D42" s="84"/>
      <c r="E42" s="58"/>
      <c r="F42" s="84"/>
      <c r="G42" s="58"/>
      <c r="H42" s="84"/>
      <c r="I42" s="58"/>
      <c r="J42" s="84"/>
      <c r="K42" s="58"/>
      <c r="L42" s="84"/>
      <c r="M42" s="58"/>
      <c r="N42" s="84"/>
      <c r="O42" s="58"/>
      <c r="P42" s="84"/>
      <c r="Q42" s="58"/>
      <c r="R42" s="84"/>
    </row>
    <row r="43">
      <c r="A43" s="58"/>
      <c r="B43" s="84"/>
      <c r="C43" s="58"/>
      <c r="D43" s="84"/>
      <c r="E43" s="58"/>
      <c r="F43" s="84"/>
      <c r="G43" s="58"/>
      <c r="H43" s="84"/>
      <c r="I43" s="58"/>
      <c r="J43" s="84"/>
      <c r="K43" s="58"/>
      <c r="L43" s="84"/>
      <c r="M43" s="58"/>
      <c r="N43" s="84"/>
      <c r="O43" s="58"/>
      <c r="P43" s="84"/>
      <c r="Q43" s="58"/>
      <c r="R43" s="84"/>
    </row>
    <row r="44">
      <c r="A44" s="58"/>
      <c r="B44" s="84"/>
      <c r="C44" s="58"/>
      <c r="D44" s="84"/>
      <c r="E44" s="58"/>
      <c r="F44" s="84"/>
      <c r="G44" s="58"/>
      <c r="H44" s="84"/>
      <c r="I44" s="58"/>
      <c r="J44" s="84"/>
      <c r="K44" s="58"/>
      <c r="L44" s="84"/>
      <c r="M44" s="58"/>
      <c r="N44" s="84"/>
      <c r="O44" s="58"/>
      <c r="P44" s="84"/>
      <c r="Q44" s="58"/>
      <c r="R44" s="84"/>
    </row>
    <row r="45">
      <c r="A45" s="58"/>
      <c r="B45" s="84"/>
      <c r="C45" s="58"/>
      <c r="D45" s="84"/>
      <c r="E45" s="58"/>
      <c r="F45" s="84"/>
      <c r="G45" s="58"/>
      <c r="H45" s="84"/>
      <c r="I45" s="58"/>
      <c r="J45" s="84"/>
      <c r="K45" s="58"/>
      <c r="L45" s="84"/>
      <c r="M45" s="58"/>
      <c r="N45" s="84"/>
      <c r="O45" s="58"/>
      <c r="P45" s="84"/>
      <c r="Q45" s="58"/>
      <c r="R45" s="84"/>
    </row>
    <row r="46">
      <c r="A46" s="58"/>
      <c r="B46" s="84"/>
      <c r="C46" s="58"/>
      <c r="D46" s="84"/>
      <c r="E46" s="58"/>
      <c r="F46" s="84"/>
      <c r="G46" s="58"/>
      <c r="H46" s="84"/>
      <c r="I46" s="58"/>
      <c r="J46" s="84"/>
      <c r="K46" s="58"/>
      <c r="L46" s="84"/>
      <c r="M46" s="58"/>
      <c r="N46" s="84"/>
      <c r="O46" s="58"/>
      <c r="P46" s="84"/>
      <c r="Q46" s="58"/>
      <c r="R46" s="84"/>
    </row>
    <row r="47">
      <c r="A47" s="58"/>
      <c r="B47" s="84"/>
      <c r="C47" s="58"/>
      <c r="D47" s="84"/>
      <c r="E47" s="58"/>
      <c r="F47" s="84"/>
      <c r="G47" s="58"/>
      <c r="H47" s="84"/>
      <c r="I47" s="58"/>
      <c r="J47" s="84"/>
      <c r="K47" s="58"/>
      <c r="L47" s="84"/>
      <c r="M47" s="58"/>
      <c r="N47" s="84"/>
      <c r="O47" s="58"/>
      <c r="P47" s="84"/>
      <c r="Q47" s="58"/>
      <c r="R47" s="84"/>
    </row>
    <row r="48">
      <c r="A48" s="58"/>
      <c r="B48" s="84"/>
      <c r="C48" s="58"/>
      <c r="D48" s="84"/>
      <c r="E48" s="58"/>
      <c r="F48" s="84"/>
      <c r="G48" s="58"/>
      <c r="H48" s="84"/>
      <c r="I48" s="58"/>
      <c r="J48" s="84"/>
      <c r="K48" s="58"/>
      <c r="L48" s="84"/>
      <c r="M48" s="58"/>
      <c r="N48" s="84"/>
      <c r="O48" s="58"/>
      <c r="P48" s="84"/>
      <c r="Q48" s="58"/>
      <c r="R48" s="84"/>
    </row>
    <row r="49">
      <c r="A49" s="58"/>
      <c r="B49" s="84"/>
      <c r="C49" s="58"/>
      <c r="D49" s="84"/>
      <c r="E49" s="58"/>
      <c r="F49" s="84"/>
      <c r="G49" s="58"/>
      <c r="H49" s="84"/>
      <c r="I49" s="58"/>
      <c r="J49" s="84"/>
      <c r="K49" s="58"/>
      <c r="L49" s="84"/>
      <c r="M49" s="58"/>
      <c r="N49" s="84"/>
      <c r="O49" s="58"/>
      <c r="P49" s="84"/>
      <c r="Q49" s="58"/>
      <c r="R49" s="84"/>
    </row>
    <row r="50">
      <c r="A50" s="58"/>
      <c r="B50" s="84"/>
      <c r="C50" s="58"/>
      <c r="D50" s="84"/>
      <c r="E50" s="58"/>
      <c r="F50" s="84"/>
      <c r="G50" s="58"/>
      <c r="H50" s="84"/>
      <c r="I50" s="58"/>
      <c r="J50" s="84"/>
      <c r="K50" s="58"/>
      <c r="L50" s="84"/>
      <c r="M50" s="58"/>
      <c r="N50" s="84"/>
      <c r="O50" s="58"/>
      <c r="P50" s="84"/>
      <c r="Q50" s="58"/>
      <c r="R50" s="84"/>
    </row>
    <row r="51">
      <c r="A51" s="58"/>
      <c r="B51" s="84"/>
      <c r="C51" s="58"/>
      <c r="D51" s="84"/>
      <c r="E51" s="58"/>
      <c r="F51" s="84"/>
      <c r="G51" s="58"/>
      <c r="H51" s="84"/>
      <c r="I51" s="58"/>
      <c r="J51" s="84"/>
      <c r="K51" s="58"/>
      <c r="L51" s="84"/>
      <c r="M51" s="58"/>
      <c r="N51" s="84"/>
      <c r="O51" s="58"/>
      <c r="P51" s="84"/>
      <c r="Q51" s="58"/>
      <c r="R51" s="84"/>
    </row>
    <row r="52">
      <c r="A52" s="58"/>
      <c r="B52" s="84"/>
      <c r="C52" s="58"/>
      <c r="D52" s="84"/>
      <c r="E52" s="58"/>
      <c r="F52" s="84"/>
      <c r="G52" s="58"/>
      <c r="H52" s="84"/>
      <c r="I52" s="58"/>
      <c r="J52" s="84"/>
      <c r="K52" s="58"/>
      <c r="L52" s="84"/>
      <c r="M52" s="58"/>
      <c r="N52" s="84"/>
      <c r="O52" s="58"/>
      <c r="P52" s="84"/>
      <c r="Q52" s="58"/>
      <c r="R52" s="84"/>
    </row>
    <row r="53">
      <c r="A53" s="58"/>
      <c r="B53" s="84"/>
      <c r="C53" s="58"/>
      <c r="D53" s="84"/>
      <c r="E53" s="58"/>
      <c r="F53" s="84"/>
      <c r="G53" s="58"/>
      <c r="H53" s="84"/>
      <c r="I53" s="58"/>
      <c r="J53" s="84"/>
      <c r="K53" s="58"/>
      <c r="L53" s="84"/>
      <c r="M53" s="58"/>
      <c r="N53" s="84"/>
      <c r="O53" s="58"/>
      <c r="P53" s="84"/>
      <c r="Q53" s="58"/>
      <c r="R53" s="84"/>
    </row>
    <row r="54">
      <c r="A54" s="58"/>
      <c r="B54" s="84"/>
      <c r="C54" s="58"/>
      <c r="D54" s="84"/>
      <c r="E54" s="58"/>
      <c r="F54" s="84"/>
      <c r="G54" s="58"/>
      <c r="H54" s="84"/>
      <c r="I54" s="58"/>
      <c r="J54" s="84"/>
      <c r="K54" s="58"/>
      <c r="L54" s="84"/>
      <c r="M54" s="58"/>
      <c r="N54" s="84"/>
      <c r="O54" s="58"/>
      <c r="P54" s="84"/>
      <c r="Q54" s="58"/>
      <c r="R54" s="84"/>
    </row>
    <row r="55">
      <c r="A55" s="58"/>
      <c r="B55" s="84"/>
      <c r="C55" s="58"/>
      <c r="D55" s="84"/>
      <c r="E55" s="58"/>
      <c r="F55" s="84"/>
      <c r="G55" s="58"/>
      <c r="H55" s="84"/>
      <c r="I55" s="58"/>
      <c r="J55" s="84"/>
      <c r="K55" s="58"/>
      <c r="L55" s="84"/>
      <c r="M55" s="58"/>
      <c r="N55" s="84"/>
      <c r="O55" s="58"/>
      <c r="P55" s="84"/>
      <c r="Q55" s="58"/>
      <c r="R55" s="84"/>
    </row>
    <row r="56">
      <c r="A56" s="58"/>
      <c r="B56" s="84"/>
      <c r="C56" s="58"/>
      <c r="D56" s="84"/>
      <c r="E56" s="58"/>
      <c r="F56" s="84"/>
      <c r="G56" s="58"/>
      <c r="H56" s="84"/>
      <c r="I56" s="58"/>
      <c r="J56" s="84"/>
      <c r="K56" s="58"/>
      <c r="L56" s="84"/>
      <c r="M56" s="58"/>
      <c r="N56" s="84"/>
      <c r="O56" s="58"/>
      <c r="P56" s="84"/>
      <c r="Q56" s="58"/>
      <c r="R56" s="84"/>
    </row>
    <row r="57">
      <c r="A57" s="58"/>
      <c r="B57" s="84"/>
      <c r="C57" s="58"/>
      <c r="D57" s="84"/>
      <c r="E57" s="58"/>
      <c r="F57" s="84"/>
      <c r="G57" s="58"/>
      <c r="H57" s="84"/>
      <c r="I57" s="58"/>
      <c r="J57" s="84"/>
      <c r="K57" s="58"/>
      <c r="L57" s="84"/>
      <c r="M57" s="58"/>
      <c r="N57" s="84"/>
      <c r="O57" s="58"/>
      <c r="P57" s="84"/>
      <c r="Q57" s="58"/>
      <c r="R57" s="84"/>
    </row>
    <row r="58">
      <c r="A58" s="58"/>
      <c r="B58" s="84"/>
      <c r="C58" s="58"/>
      <c r="D58" s="84"/>
      <c r="E58" s="58"/>
      <c r="F58" s="84"/>
      <c r="G58" s="58"/>
      <c r="H58" s="84"/>
      <c r="I58" s="58"/>
      <c r="J58" s="84"/>
      <c r="K58" s="58"/>
      <c r="L58" s="84"/>
      <c r="M58" s="58"/>
      <c r="N58" s="84"/>
      <c r="O58" s="58"/>
      <c r="P58" s="84"/>
      <c r="Q58" s="58"/>
      <c r="R58" s="84"/>
    </row>
    <row r="59">
      <c r="A59" s="58"/>
      <c r="B59" s="84"/>
      <c r="C59" s="58"/>
      <c r="D59" s="84"/>
      <c r="E59" s="58"/>
      <c r="F59" s="84"/>
      <c r="G59" s="58"/>
      <c r="H59" s="84"/>
      <c r="I59" s="58"/>
      <c r="J59" s="84"/>
      <c r="K59" s="58"/>
      <c r="L59" s="84"/>
      <c r="M59" s="58"/>
      <c r="N59" s="84"/>
      <c r="O59" s="58"/>
      <c r="P59" s="84"/>
      <c r="Q59" s="58"/>
      <c r="R59" s="84"/>
    </row>
    <row r="60">
      <c r="A60" s="58"/>
      <c r="B60" s="84"/>
      <c r="C60" s="58"/>
      <c r="D60" s="84"/>
      <c r="E60" s="58"/>
      <c r="F60" s="84"/>
      <c r="G60" s="58"/>
      <c r="H60" s="84"/>
      <c r="I60" s="58"/>
      <c r="J60" s="84"/>
      <c r="K60" s="58"/>
      <c r="L60" s="84"/>
      <c r="M60" s="58"/>
      <c r="N60" s="84"/>
      <c r="O60" s="58"/>
      <c r="P60" s="84"/>
      <c r="Q60" s="58"/>
      <c r="R60" s="84"/>
    </row>
    <row r="61">
      <c r="A61" s="58"/>
      <c r="B61" s="84"/>
      <c r="C61" s="58"/>
      <c r="D61" s="84"/>
      <c r="E61" s="58"/>
      <c r="F61" s="84"/>
      <c r="G61" s="58"/>
      <c r="H61" s="84"/>
      <c r="I61" s="58"/>
      <c r="J61" s="84"/>
      <c r="K61" s="58"/>
      <c r="L61" s="84"/>
      <c r="M61" s="58"/>
      <c r="N61" s="84"/>
      <c r="O61" s="58"/>
      <c r="P61" s="84"/>
      <c r="Q61" s="58"/>
      <c r="R61" s="84"/>
    </row>
    <row r="62">
      <c r="A62" s="58"/>
      <c r="B62" s="84"/>
      <c r="C62" s="58"/>
      <c r="D62" s="84"/>
      <c r="E62" s="58"/>
      <c r="F62" s="84"/>
      <c r="G62" s="58"/>
      <c r="H62" s="84"/>
      <c r="I62" s="58"/>
      <c r="J62" s="84"/>
      <c r="K62" s="58"/>
      <c r="L62" s="84"/>
      <c r="M62" s="58"/>
      <c r="N62" s="84"/>
      <c r="O62" s="58"/>
      <c r="P62" s="84"/>
      <c r="Q62" s="58"/>
      <c r="R62" s="84"/>
    </row>
    <row r="63">
      <c r="A63" s="58"/>
      <c r="B63" s="84"/>
      <c r="C63" s="121"/>
      <c r="D63" s="125"/>
      <c r="E63" s="58"/>
      <c r="F63" s="84"/>
      <c r="G63" s="58"/>
      <c r="H63" s="84"/>
      <c r="I63" s="58"/>
      <c r="J63" s="84"/>
      <c r="K63" s="58"/>
      <c r="L63" s="84"/>
      <c r="M63" s="58"/>
      <c r="N63" s="84"/>
      <c r="O63" s="58"/>
      <c r="P63" s="84"/>
      <c r="Q63" s="58"/>
      <c r="R63" s="84"/>
    </row>
    <row r="64">
      <c r="A64" s="58"/>
      <c r="B64" s="84"/>
      <c r="C64" s="49"/>
      <c r="D64" s="50"/>
      <c r="E64" s="58"/>
      <c r="F64" s="84"/>
      <c r="G64" s="58"/>
      <c r="H64" s="84"/>
      <c r="I64" s="58"/>
      <c r="J64" s="84"/>
      <c r="K64" s="58"/>
      <c r="L64" s="84"/>
      <c r="M64" s="58"/>
      <c r="N64" s="84"/>
      <c r="O64" s="58"/>
      <c r="P64" s="84"/>
      <c r="Q64" s="58"/>
      <c r="R64" s="84"/>
    </row>
    <row r="65">
      <c r="A65" s="58"/>
      <c r="B65" s="84"/>
      <c r="C65" s="58"/>
      <c r="D65" s="84"/>
      <c r="E65" s="58"/>
      <c r="F65" s="84"/>
      <c r="G65" s="58"/>
      <c r="H65" s="84"/>
      <c r="I65" s="58"/>
      <c r="J65" s="84"/>
      <c r="K65" s="58"/>
      <c r="L65" s="84"/>
      <c r="M65" s="58"/>
      <c r="N65" s="84"/>
      <c r="O65" s="58"/>
      <c r="P65" s="84"/>
      <c r="Q65" s="58"/>
      <c r="R65" s="84"/>
    </row>
    <row r="66">
      <c r="A66" s="58"/>
      <c r="B66" s="84"/>
      <c r="C66" s="58"/>
      <c r="D66" s="84"/>
      <c r="E66" s="58"/>
      <c r="F66" s="84"/>
      <c r="G66" s="58"/>
      <c r="H66" s="84"/>
      <c r="I66" s="58"/>
      <c r="J66" s="84"/>
      <c r="K66" s="58"/>
      <c r="L66" s="84"/>
      <c r="M66" s="58"/>
      <c r="N66" s="84"/>
      <c r="O66" s="58"/>
      <c r="P66" s="84"/>
      <c r="Q66" s="58"/>
      <c r="R66" s="84"/>
    </row>
    <row r="67">
      <c r="A67" s="58"/>
      <c r="B67" s="84"/>
      <c r="C67" s="58"/>
      <c r="D67" s="84"/>
      <c r="E67" s="58"/>
      <c r="F67" s="84"/>
      <c r="G67" s="58"/>
      <c r="H67" s="84"/>
      <c r="I67" s="58"/>
      <c r="J67" s="84"/>
      <c r="K67" s="58"/>
      <c r="L67" s="84"/>
      <c r="M67" s="58"/>
      <c r="N67" s="84"/>
      <c r="O67" s="58"/>
      <c r="P67" s="84"/>
      <c r="Q67" s="58"/>
      <c r="R67" s="84"/>
    </row>
    <row r="68">
      <c r="A68" s="58"/>
      <c r="B68" s="84"/>
      <c r="C68" s="58"/>
      <c r="D68" s="84"/>
      <c r="E68" s="58"/>
      <c r="F68" s="84"/>
      <c r="G68" s="58"/>
      <c r="H68" s="84"/>
      <c r="I68" s="58"/>
      <c r="J68" s="84"/>
      <c r="K68" s="58"/>
      <c r="L68" s="84"/>
      <c r="M68" s="58"/>
      <c r="N68" s="84"/>
      <c r="O68" s="58"/>
      <c r="P68" s="84"/>
      <c r="Q68" s="58"/>
      <c r="R68" s="84"/>
    </row>
    <row r="69">
      <c r="A69" s="58"/>
      <c r="B69" s="84"/>
      <c r="C69" s="58"/>
      <c r="D69" s="84"/>
      <c r="E69" s="58"/>
      <c r="F69" s="84"/>
      <c r="G69" s="58"/>
      <c r="H69" s="84"/>
      <c r="I69" s="58"/>
      <c r="J69" s="84"/>
      <c r="K69" s="58"/>
      <c r="L69" s="84"/>
      <c r="M69" s="58"/>
      <c r="N69" s="84"/>
      <c r="O69" s="58"/>
      <c r="P69" s="84"/>
      <c r="Q69" s="58"/>
      <c r="R69" s="84"/>
    </row>
    <row r="70">
      <c r="A70" s="58"/>
      <c r="B70" s="84"/>
      <c r="C70" s="58"/>
      <c r="D70" s="84"/>
      <c r="E70" s="58"/>
      <c r="F70" s="84"/>
      <c r="G70" s="58"/>
      <c r="H70" s="84"/>
      <c r="I70" s="58"/>
      <c r="J70" s="84"/>
      <c r="K70" s="58"/>
      <c r="L70" s="84"/>
      <c r="M70" s="58"/>
      <c r="N70" s="84"/>
      <c r="O70" s="58"/>
      <c r="P70" s="84"/>
      <c r="Q70" s="58"/>
      <c r="R70" s="84"/>
    </row>
    <row r="71">
      <c r="A71" s="58"/>
      <c r="B71" s="84"/>
      <c r="C71" s="58"/>
      <c r="D71" s="84"/>
      <c r="E71" s="58"/>
      <c r="F71" s="84"/>
      <c r="G71" s="58"/>
      <c r="H71" s="84"/>
      <c r="I71" s="58"/>
      <c r="J71" s="84"/>
      <c r="K71" s="58"/>
      <c r="L71" s="84"/>
      <c r="M71" s="58"/>
      <c r="N71" s="84"/>
      <c r="O71" s="58"/>
      <c r="P71" s="84"/>
      <c r="Q71" s="58"/>
      <c r="R71" s="84"/>
    </row>
    <row r="72">
      <c r="A72" s="58"/>
      <c r="B72" s="84"/>
      <c r="C72" s="58"/>
      <c r="D72" s="84"/>
      <c r="E72" s="58"/>
      <c r="F72" s="84"/>
      <c r="G72" s="58"/>
      <c r="H72" s="84"/>
      <c r="I72" s="58"/>
      <c r="J72" s="84"/>
      <c r="K72" s="58"/>
      <c r="L72" s="84"/>
      <c r="M72" s="58"/>
      <c r="N72" s="84"/>
      <c r="O72" s="58"/>
      <c r="P72" s="84"/>
      <c r="Q72" s="58"/>
      <c r="R72" s="84"/>
    </row>
    <row r="73">
      <c r="A73" s="58"/>
      <c r="B73" s="84"/>
      <c r="C73" s="58"/>
      <c r="D73" s="84"/>
      <c r="E73" s="58"/>
      <c r="F73" s="84"/>
      <c r="G73" s="58"/>
      <c r="H73" s="84"/>
      <c r="I73" s="58"/>
      <c r="J73" s="84"/>
      <c r="K73" s="58"/>
      <c r="L73" s="84"/>
      <c r="M73" s="58"/>
      <c r="N73" s="84"/>
      <c r="O73" s="58"/>
      <c r="P73" s="84"/>
      <c r="Q73" s="58"/>
      <c r="R73" s="84"/>
    </row>
    <row r="74">
      <c r="A74" s="58"/>
      <c r="B74" s="84"/>
      <c r="C74" s="58"/>
      <c r="D74" s="84"/>
      <c r="E74" s="58"/>
      <c r="F74" s="84"/>
      <c r="G74" s="58"/>
      <c r="H74" s="84"/>
      <c r="I74" s="58"/>
      <c r="J74" s="84"/>
      <c r="K74" s="58"/>
      <c r="L74" s="84"/>
      <c r="M74" s="58"/>
      <c r="N74" s="84"/>
      <c r="O74" s="58"/>
      <c r="P74" s="84"/>
      <c r="Q74" s="58"/>
      <c r="R74" s="84"/>
    </row>
    <row r="75">
      <c r="A75" s="58"/>
      <c r="B75" s="84"/>
      <c r="C75" s="58"/>
      <c r="D75" s="84"/>
      <c r="E75" s="58"/>
      <c r="F75" s="84"/>
      <c r="G75" s="58"/>
      <c r="H75" s="84"/>
      <c r="I75" s="58"/>
      <c r="J75" s="84"/>
      <c r="K75" s="58"/>
      <c r="L75" s="84"/>
      <c r="M75" s="58"/>
      <c r="N75" s="84"/>
      <c r="O75" s="58"/>
      <c r="P75" s="84"/>
      <c r="Q75" s="58"/>
      <c r="R75" s="84"/>
    </row>
    <row r="76">
      <c r="A76" s="58"/>
      <c r="B76" s="84"/>
      <c r="C76" s="58"/>
      <c r="D76" s="84"/>
      <c r="E76" s="58"/>
      <c r="F76" s="84"/>
      <c r="G76" s="58"/>
      <c r="H76" s="84"/>
      <c r="I76" s="58"/>
      <c r="J76" s="84"/>
      <c r="K76" s="58"/>
      <c r="L76" s="84"/>
      <c r="M76" s="58"/>
      <c r="N76" s="84"/>
      <c r="O76" s="58"/>
      <c r="P76" s="84"/>
      <c r="Q76" s="58"/>
      <c r="R76" s="84"/>
    </row>
    <row r="77">
      <c r="A77" s="58"/>
      <c r="B77" s="84"/>
      <c r="C77" s="58"/>
      <c r="D77" s="84"/>
      <c r="E77" s="58"/>
      <c r="F77" s="84"/>
      <c r="G77" s="58"/>
      <c r="H77" s="84"/>
      <c r="I77" s="58"/>
      <c r="J77" s="84"/>
      <c r="K77" s="58"/>
      <c r="L77" s="84"/>
      <c r="M77" s="58"/>
      <c r="N77" s="84"/>
      <c r="O77" s="58"/>
      <c r="P77" s="84"/>
      <c r="Q77" s="58"/>
      <c r="R77" s="84"/>
    </row>
    <row r="78">
      <c r="A78" s="58"/>
      <c r="B78" s="84"/>
      <c r="C78" s="58"/>
      <c r="D78" s="84"/>
      <c r="E78" s="58"/>
      <c r="F78" s="84"/>
      <c r="G78" s="58"/>
      <c r="H78" s="84"/>
      <c r="I78" s="58"/>
      <c r="J78" s="84"/>
      <c r="K78" s="58"/>
      <c r="L78" s="84"/>
      <c r="M78" s="58"/>
      <c r="N78" s="84"/>
      <c r="O78" s="58"/>
      <c r="P78" s="84"/>
      <c r="Q78" s="58"/>
      <c r="R78" s="84"/>
    </row>
    <row r="79">
      <c r="A79" s="58"/>
      <c r="B79" s="84"/>
      <c r="C79" s="58"/>
      <c r="D79" s="84"/>
      <c r="E79" s="58"/>
      <c r="F79" s="84"/>
      <c r="G79" s="58"/>
      <c r="H79" s="84"/>
      <c r="I79" s="58"/>
      <c r="J79" s="84"/>
      <c r="K79" s="58"/>
      <c r="L79" s="84"/>
      <c r="M79" s="58"/>
      <c r="N79" s="84"/>
      <c r="O79" s="58"/>
      <c r="P79" s="84"/>
      <c r="Q79" s="58"/>
      <c r="R79" s="84"/>
    </row>
    <row r="80">
      <c r="A80" s="58"/>
      <c r="B80" s="84"/>
      <c r="C80" s="58"/>
      <c r="D80" s="84"/>
      <c r="E80" s="58"/>
      <c r="F80" s="84"/>
      <c r="G80" s="58"/>
      <c r="H80" s="84"/>
      <c r="I80" s="58"/>
      <c r="J80" s="84"/>
      <c r="K80" s="58"/>
      <c r="L80" s="84"/>
      <c r="M80" s="58"/>
      <c r="N80" s="84"/>
      <c r="O80" s="58"/>
      <c r="P80" s="84"/>
      <c r="Q80" s="58"/>
      <c r="R80" s="84"/>
    </row>
    <row r="81">
      <c r="A81" s="58"/>
      <c r="B81" s="84"/>
      <c r="C81" s="58"/>
      <c r="D81" s="84"/>
      <c r="E81" s="58"/>
      <c r="F81" s="84"/>
      <c r="G81" s="58"/>
      <c r="H81" s="84"/>
      <c r="I81" s="58"/>
      <c r="J81" s="84"/>
      <c r="K81" s="58"/>
      <c r="L81" s="84"/>
      <c r="M81" s="58"/>
      <c r="N81" s="84"/>
      <c r="O81" s="58"/>
      <c r="P81" s="84"/>
      <c r="Q81" s="58"/>
      <c r="R81" s="84"/>
    </row>
    <row r="82">
      <c r="A82" s="58"/>
      <c r="B82" s="84"/>
      <c r="C82" s="58"/>
      <c r="D82" s="84"/>
      <c r="E82" s="58"/>
      <c r="F82" s="84"/>
      <c r="G82" s="58"/>
      <c r="H82" s="84"/>
      <c r="I82" s="58"/>
      <c r="J82" s="84"/>
      <c r="K82" s="58"/>
      <c r="L82" s="84"/>
      <c r="M82" s="58"/>
      <c r="N82" s="84"/>
      <c r="O82" s="58"/>
      <c r="P82" s="84"/>
      <c r="Q82" s="58"/>
      <c r="R82" s="84"/>
    </row>
    <row r="83">
      <c r="A83" s="58"/>
      <c r="B83" s="84"/>
      <c r="C83" s="58"/>
      <c r="D83" s="84"/>
      <c r="E83" s="58"/>
      <c r="F83" s="84"/>
      <c r="G83" s="58"/>
      <c r="H83" s="84"/>
      <c r="I83" s="58"/>
      <c r="J83" s="84"/>
      <c r="K83" s="58"/>
      <c r="L83" s="84"/>
      <c r="M83" s="58"/>
      <c r="N83" s="84"/>
      <c r="O83" s="58"/>
      <c r="P83" s="84"/>
      <c r="Q83" s="58"/>
      <c r="R83" s="84"/>
    </row>
    <row r="84">
      <c r="A84" s="58"/>
      <c r="B84" s="84"/>
      <c r="C84" s="58"/>
      <c r="D84" s="84"/>
      <c r="E84" s="58"/>
      <c r="F84" s="84"/>
      <c r="G84" s="58"/>
      <c r="H84" s="84"/>
      <c r="I84" s="58"/>
      <c r="J84" s="84"/>
      <c r="K84" s="58"/>
      <c r="L84" s="84"/>
      <c r="M84" s="58"/>
      <c r="N84" s="84"/>
      <c r="O84" s="58"/>
      <c r="P84" s="84"/>
      <c r="Q84" s="58"/>
      <c r="R84" s="84"/>
    </row>
    <row r="85">
      <c r="A85" s="58"/>
      <c r="B85" s="84"/>
      <c r="C85" s="58"/>
      <c r="D85" s="84"/>
      <c r="E85" s="58"/>
      <c r="F85" s="84"/>
      <c r="G85" s="58"/>
      <c r="H85" s="84"/>
      <c r="I85" s="58"/>
      <c r="J85" s="84"/>
      <c r="K85" s="58"/>
      <c r="L85" s="84"/>
      <c r="M85" s="58"/>
      <c r="N85" s="84"/>
      <c r="O85" s="58"/>
      <c r="P85" s="84"/>
      <c r="Q85" s="58"/>
      <c r="R85" s="84"/>
    </row>
    <row r="86">
      <c r="A86" s="58"/>
      <c r="B86" s="84"/>
      <c r="C86" s="58"/>
      <c r="D86" s="84"/>
      <c r="E86" s="58"/>
      <c r="F86" s="84"/>
      <c r="G86" s="58"/>
      <c r="H86" s="84"/>
      <c r="I86" s="58"/>
      <c r="J86" s="84"/>
      <c r="K86" s="58"/>
      <c r="L86" s="84"/>
      <c r="M86" s="58"/>
      <c r="N86" s="84"/>
      <c r="O86" s="58"/>
      <c r="P86" s="84"/>
      <c r="Q86" s="58"/>
      <c r="R86" s="84"/>
    </row>
    <row r="87">
      <c r="A87" s="58"/>
      <c r="B87" s="84"/>
      <c r="C87" s="58"/>
      <c r="D87" s="84"/>
      <c r="E87" s="58"/>
      <c r="F87" s="84"/>
      <c r="G87" s="58"/>
      <c r="H87" s="84"/>
      <c r="I87" s="58"/>
      <c r="J87" s="84"/>
      <c r="K87" s="58"/>
      <c r="L87" s="84"/>
      <c r="M87" s="58"/>
      <c r="N87" s="84"/>
      <c r="O87" s="58"/>
      <c r="P87" s="84"/>
      <c r="Q87" s="58"/>
      <c r="R87" s="84"/>
    </row>
    <row r="88">
      <c r="A88" s="58"/>
      <c r="B88" s="84"/>
      <c r="C88" s="58"/>
      <c r="D88" s="84"/>
      <c r="E88" s="58"/>
      <c r="F88" s="84"/>
      <c r="G88" s="58"/>
      <c r="H88" s="84"/>
      <c r="I88" s="58"/>
      <c r="J88" s="84"/>
      <c r="K88" s="58"/>
      <c r="L88" s="84"/>
      <c r="M88" s="58"/>
      <c r="N88" s="84"/>
      <c r="O88" s="58"/>
      <c r="P88" s="84"/>
      <c r="Q88" s="58"/>
      <c r="R88" s="84"/>
    </row>
    <row r="89">
      <c r="A89" s="58"/>
      <c r="B89" s="84"/>
      <c r="C89" s="58"/>
      <c r="D89" s="84"/>
      <c r="E89" s="58"/>
      <c r="F89" s="84"/>
      <c r="G89" s="58"/>
      <c r="H89" s="84"/>
      <c r="I89" s="58"/>
      <c r="J89" s="84"/>
      <c r="K89" s="58"/>
      <c r="L89" s="84"/>
      <c r="M89" s="58"/>
      <c r="N89" s="84"/>
      <c r="O89" s="58"/>
      <c r="P89" s="84"/>
      <c r="Q89" s="58"/>
      <c r="R89" s="84"/>
    </row>
    <row r="90">
      <c r="A90" s="58"/>
      <c r="B90" s="84"/>
      <c r="C90" s="58"/>
      <c r="D90" s="84"/>
      <c r="E90" s="58"/>
      <c r="F90" s="84"/>
      <c r="G90" s="58"/>
      <c r="H90" s="84"/>
      <c r="I90" s="58"/>
      <c r="J90" s="84"/>
      <c r="K90" s="58"/>
      <c r="L90" s="84"/>
      <c r="M90" s="58"/>
      <c r="N90" s="84"/>
      <c r="O90" s="58"/>
      <c r="P90" s="84"/>
      <c r="Q90" s="58"/>
      <c r="R90" s="84"/>
    </row>
    <row r="91">
      <c r="A91" s="58"/>
      <c r="B91" s="84"/>
      <c r="C91" s="58"/>
      <c r="D91" s="84"/>
      <c r="E91" s="58"/>
      <c r="F91" s="84"/>
      <c r="G91" s="58"/>
      <c r="H91" s="84"/>
      <c r="I91" s="58"/>
      <c r="J91" s="84"/>
      <c r="K91" s="58"/>
      <c r="L91" s="84"/>
      <c r="M91" s="58"/>
      <c r="N91" s="84"/>
      <c r="O91" s="58"/>
      <c r="P91" s="84"/>
      <c r="Q91" s="58"/>
      <c r="R91" s="84"/>
    </row>
    <row r="92">
      <c r="A92" s="58"/>
      <c r="B92" s="84"/>
      <c r="C92" s="58"/>
      <c r="D92" s="84"/>
      <c r="E92" s="58"/>
      <c r="F92" s="84"/>
      <c r="G92" s="58"/>
      <c r="H92" s="84"/>
      <c r="I92" s="58"/>
      <c r="J92" s="84"/>
      <c r="K92" s="58"/>
      <c r="L92" s="84"/>
      <c r="M92" s="58"/>
      <c r="N92" s="84"/>
      <c r="O92" s="58"/>
      <c r="P92" s="84"/>
      <c r="Q92" s="58"/>
      <c r="R92" s="84"/>
    </row>
    <row r="93">
      <c r="A93" s="58"/>
      <c r="B93" s="84"/>
      <c r="C93" s="58"/>
      <c r="D93" s="84"/>
      <c r="E93" s="58"/>
      <c r="F93" s="84"/>
      <c r="G93" s="58"/>
      <c r="H93" s="84"/>
      <c r="I93" s="58"/>
      <c r="J93" s="84"/>
      <c r="K93" s="58"/>
      <c r="L93" s="84"/>
      <c r="M93" s="58"/>
      <c r="N93" s="84"/>
      <c r="O93" s="58"/>
      <c r="P93" s="84"/>
      <c r="Q93" s="58"/>
      <c r="R93" s="84"/>
    </row>
    <row r="94">
      <c r="A94" s="58"/>
      <c r="B94" s="84"/>
      <c r="C94" s="58"/>
      <c r="D94" s="84"/>
      <c r="E94" s="58"/>
      <c r="F94" s="84"/>
      <c r="G94" s="58"/>
      <c r="H94" s="84"/>
      <c r="I94" s="58"/>
      <c r="J94" s="84"/>
      <c r="K94" s="58"/>
      <c r="L94" s="84"/>
      <c r="M94" s="58"/>
      <c r="N94" s="84"/>
      <c r="O94" s="58"/>
      <c r="P94" s="84"/>
      <c r="Q94" s="58"/>
      <c r="R94" s="84"/>
    </row>
    <row r="95">
      <c r="A95" s="58"/>
      <c r="B95" s="84"/>
      <c r="C95" s="58"/>
      <c r="D95" s="84"/>
      <c r="E95" s="58"/>
      <c r="F95" s="84"/>
      <c r="G95" s="58"/>
      <c r="H95" s="84"/>
      <c r="I95" s="58"/>
      <c r="J95" s="84"/>
      <c r="K95" s="58"/>
      <c r="L95" s="84"/>
      <c r="M95" s="58"/>
      <c r="N95" s="84"/>
      <c r="O95" s="58"/>
      <c r="P95" s="84"/>
      <c r="Q95" s="58"/>
      <c r="R95" s="84"/>
    </row>
    <row r="96">
      <c r="A96" s="58"/>
      <c r="B96" s="84"/>
      <c r="C96" s="58"/>
      <c r="D96" s="84"/>
      <c r="E96" s="58"/>
      <c r="F96" s="84"/>
      <c r="G96" s="58"/>
      <c r="H96" s="84"/>
      <c r="I96" s="58"/>
      <c r="J96" s="84"/>
      <c r="K96" s="58"/>
      <c r="L96" s="84"/>
      <c r="M96" s="58"/>
      <c r="N96" s="84"/>
      <c r="O96" s="58"/>
      <c r="P96" s="84"/>
      <c r="Q96" s="58"/>
      <c r="R96" s="84"/>
    </row>
    <row r="97">
      <c r="A97" s="58"/>
      <c r="B97" s="84"/>
      <c r="C97" s="58"/>
      <c r="D97" s="84"/>
      <c r="E97" s="58"/>
      <c r="F97" s="84"/>
      <c r="G97" s="58"/>
      <c r="H97" s="84"/>
      <c r="I97" s="58"/>
      <c r="J97" s="84"/>
      <c r="K97" s="58"/>
      <c r="L97" s="84"/>
      <c r="M97" s="58"/>
      <c r="N97" s="84"/>
      <c r="O97" s="58"/>
      <c r="P97" s="84"/>
      <c r="Q97" s="58"/>
      <c r="R97" s="84"/>
    </row>
    <row r="98">
      <c r="A98" s="58"/>
      <c r="B98" s="84"/>
      <c r="C98" s="58"/>
      <c r="D98" s="84"/>
      <c r="E98" s="58"/>
      <c r="F98" s="84"/>
      <c r="G98" s="58"/>
      <c r="H98" s="84"/>
      <c r="I98" s="58"/>
      <c r="J98" s="84"/>
      <c r="K98" s="58"/>
      <c r="L98" s="84"/>
      <c r="M98" s="58"/>
      <c r="N98" s="84"/>
      <c r="O98" s="58"/>
      <c r="P98" s="84"/>
      <c r="Q98" s="58"/>
      <c r="R98" s="84"/>
    </row>
    <row r="99">
      <c r="A99" s="58"/>
      <c r="B99" s="84"/>
      <c r="C99" s="58"/>
      <c r="D99" s="84"/>
      <c r="E99" s="58"/>
      <c r="F99" s="84"/>
      <c r="G99" s="58"/>
      <c r="H99" s="84"/>
      <c r="I99" s="58"/>
      <c r="J99" s="84"/>
      <c r="K99" s="58"/>
      <c r="L99" s="84"/>
      <c r="M99" s="58"/>
      <c r="N99" s="84"/>
      <c r="O99" s="58"/>
      <c r="P99" s="84"/>
      <c r="Q99" s="58"/>
      <c r="R99" s="84"/>
    </row>
    <row r="100">
      <c r="A100" s="58"/>
      <c r="B100" s="84"/>
      <c r="C100" s="58"/>
      <c r="D100" s="84"/>
      <c r="E100" s="58"/>
      <c r="F100" s="84"/>
      <c r="G100" s="58"/>
      <c r="H100" s="84"/>
      <c r="I100" s="58"/>
      <c r="J100" s="84"/>
      <c r="K100" s="58"/>
      <c r="L100" s="84"/>
      <c r="M100" s="58"/>
      <c r="N100" s="84"/>
      <c r="O100" s="58"/>
      <c r="P100" s="84"/>
      <c r="Q100" s="58"/>
      <c r="R100" s="84"/>
    </row>
    <row r="101">
      <c r="A101" s="58"/>
      <c r="B101" s="84"/>
      <c r="C101" s="58"/>
      <c r="D101" s="84"/>
      <c r="E101" s="58"/>
      <c r="F101" s="84"/>
      <c r="G101" s="58"/>
      <c r="H101" s="84"/>
      <c r="I101" s="58"/>
      <c r="J101" s="84"/>
      <c r="K101" s="58"/>
      <c r="L101" s="84"/>
      <c r="M101" s="58"/>
      <c r="N101" s="84"/>
      <c r="O101" s="58"/>
      <c r="P101" s="84"/>
      <c r="Q101" s="58"/>
      <c r="R101" s="84"/>
    </row>
    <row r="102">
      <c r="A102" s="58"/>
      <c r="B102" s="84"/>
      <c r="C102" s="58"/>
      <c r="D102" s="84"/>
      <c r="E102" s="58"/>
      <c r="F102" s="84"/>
      <c r="G102" s="58"/>
      <c r="H102" s="84"/>
      <c r="I102" s="58"/>
      <c r="J102" s="84"/>
      <c r="K102" s="58"/>
      <c r="L102" s="84"/>
      <c r="M102" s="58"/>
      <c r="N102" s="84"/>
      <c r="O102" s="58"/>
      <c r="P102" s="84"/>
      <c r="Q102" s="58"/>
      <c r="R102" s="84"/>
    </row>
    <row r="103">
      <c r="A103" s="58"/>
      <c r="B103" s="84"/>
      <c r="C103" s="58"/>
      <c r="D103" s="84"/>
      <c r="E103" s="58"/>
      <c r="F103" s="84"/>
      <c r="G103" s="58"/>
      <c r="H103" s="84"/>
      <c r="I103" s="58"/>
      <c r="J103" s="84"/>
      <c r="K103" s="58"/>
      <c r="L103" s="84"/>
      <c r="M103" s="58"/>
      <c r="N103" s="84"/>
      <c r="O103" s="58"/>
      <c r="P103" s="84"/>
      <c r="Q103" s="58"/>
      <c r="R103" s="84"/>
    </row>
    <row r="104">
      <c r="A104" s="58"/>
      <c r="B104" s="84"/>
      <c r="C104" s="58"/>
      <c r="D104" s="84"/>
      <c r="E104" s="58"/>
      <c r="F104" s="84"/>
      <c r="G104" s="58"/>
      <c r="H104" s="84"/>
      <c r="I104" s="58"/>
      <c r="J104" s="84"/>
      <c r="K104" s="58"/>
      <c r="L104" s="84"/>
      <c r="M104" s="58"/>
      <c r="N104" s="84"/>
      <c r="O104" s="58"/>
      <c r="P104" s="84"/>
      <c r="Q104" s="58"/>
      <c r="R104" s="84"/>
    </row>
    <row r="105">
      <c r="A105" s="58"/>
      <c r="B105" s="84"/>
      <c r="C105" s="58"/>
      <c r="D105" s="84"/>
      <c r="E105" s="58"/>
      <c r="F105" s="84"/>
      <c r="G105" s="58"/>
      <c r="H105" s="84"/>
      <c r="I105" s="58"/>
      <c r="J105" s="84"/>
      <c r="K105" s="58"/>
      <c r="L105" s="84"/>
      <c r="M105" s="58"/>
      <c r="N105" s="84"/>
      <c r="O105" s="58"/>
      <c r="P105" s="84"/>
      <c r="Q105" s="58"/>
      <c r="R105" s="84"/>
    </row>
    <row r="106">
      <c r="A106" s="58"/>
      <c r="B106" s="84"/>
      <c r="C106" s="58"/>
      <c r="D106" s="84"/>
      <c r="E106" s="58"/>
      <c r="F106" s="84"/>
      <c r="G106" s="58"/>
      <c r="H106" s="84"/>
      <c r="I106" s="58"/>
      <c r="J106" s="84"/>
      <c r="K106" s="58"/>
      <c r="L106" s="84"/>
      <c r="M106" s="58"/>
      <c r="N106" s="84"/>
      <c r="O106" s="58"/>
      <c r="P106" s="84"/>
      <c r="Q106" s="58"/>
      <c r="R106" s="84"/>
    </row>
    <row r="107">
      <c r="A107" s="58"/>
      <c r="B107" s="84"/>
      <c r="C107" s="58"/>
      <c r="D107" s="84"/>
      <c r="E107" s="58"/>
      <c r="F107" s="84"/>
      <c r="G107" s="58"/>
      <c r="H107" s="84"/>
      <c r="I107" s="58"/>
      <c r="J107" s="84"/>
      <c r="K107" s="58"/>
      <c r="L107" s="84"/>
      <c r="M107" s="58"/>
      <c r="N107" s="84"/>
      <c r="O107" s="58"/>
      <c r="P107" s="84"/>
      <c r="Q107" s="58"/>
      <c r="R107" s="84"/>
    </row>
    <row r="108">
      <c r="A108" s="58"/>
      <c r="B108" s="84"/>
      <c r="C108" s="58"/>
      <c r="D108" s="84"/>
      <c r="E108" s="58"/>
      <c r="F108" s="84"/>
      <c r="G108" s="58"/>
      <c r="H108" s="84"/>
      <c r="I108" s="58"/>
      <c r="J108" s="84"/>
      <c r="K108" s="58"/>
      <c r="L108" s="84"/>
      <c r="M108" s="58"/>
      <c r="N108" s="84"/>
      <c r="O108" s="58"/>
      <c r="P108" s="84"/>
      <c r="Q108" s="58"/>
      <c r="R108" s="84"/>
    </row>
    <row r="109">
      <c r="A109" s="58"/>
      <c r="B109" s="84"/>
      <c r="C109" s="58"/>
      <c r="D109" s="84"/>
      <c r="E109" s="58"/>
      <c r="F109" s="84"/>
      <c r="G109" s="58"/>
      <c r="H109" s="84"/>
      <c r="I109" s="58"/>
      <c r="J109" s="84"/>
      <c r="K109" s="58"/>
      <c r="L109" s="84"/>
      <c r="M109" s="58"/>
      <c r="N109" s="84"/>
      <c r="O109" s="58"/>
      <c r="P109" s="84"/>
      <c r="Q109" s="58"/>
      <c r="R109" s="84"/>
    </row>
    <row r="110">
      <c r="A110" s="58"/>
      <c r="B110" s="84"/>
      <c r="C110" s="58"/>
      <c r="D110" s="84"/>
      <c r="E110" s="58"/>
      <c r="F110" s="84"/>
      <c r="G110" s="58"/>
      <c r="H110" s="84"/>
      <c r="I110" s="58"/>
      <c r="J110" s="84"/>
      <c r="K110" s="58"/>
      <c r="L110" s="84"/>
      <c r="M110" s="58"/>
      <c r="N110" s="84"/>
      <c r="O110" s="58"/>
      <c r="P110" s="84"/>
      <c r="Q110" s="58"/>
      <c r="R110" s="84"/>
    </row>
    <row r="111">
      <c r="A111" s="58"/>
      <c r="B111" s="84"/>
      <c r="C111" s="58"/>
      <c r="D111" s="84"/>
      <c r="E111" s="58"/>
      <c r="F111" s="84"/>
      <c r="G111" s="58"/>
      <c r="H111" s="84"/>
      <c r="I111" s="58"/>
      <c r="J111" s="84"/>
      <c r="K111" s="58"/>
      <c r="L111" s="84"/>
      <c r="M111" s="58"/>
      <c r="N111" s="84"/>
      <c r="O111" s="58"/>
      <c r="P111" s="84"/>
      <c r="Q111" s="58"/>
      <c r="R111" s="84"/>
    </row>
    <row r="112">
      <c r="A112" s="58"/>
      <c r="B112" s="84"/>
      <c r="C112" s="58"/>
      <c r="D112" s="84"/>
      <c r="E112" s="58"/>
      <c r="F112" s="84"/>
      <c r="G112" s="58"/>
      <c r="H112" s="84"/>
      <c r="I112" s="58"/>
      <c r="J112" s="84"/>
      <c r="K112" s="58"/>
      <c r="L112" s="84"/>
      <c r="M112" s="58"/>
      <c r="N112" s="84"/>
      <c r="O112" s="58"/>
      <c r="P112" s="84"/>
      <c r="Q112" s="58"/>
      <c r="R112" s="84"/>
    </row>
    <row r="113">
      <c r="A113" s="58"/>
      <c r="B113" s="84"/>
      <c r="C113" s="58"/>
      <c r="D113" s="84"/>
      <c r="E113" s="58"/>
      <c r="F113" s="84"/>
      <c r="G113" s="58"/>
      <c r="H113" s="84"/>
      <c r="I113" s="58"/>
      <c r="J113" s="84"/>
      <c r="K113" s="58"/>
      <c r="L113" s="84"/>
      <c r="M113" s="58"/>
      <c r="N113" s="84"/>
      <c r="O113" s="58"/>
      <c r="P113" s="84"/>
      <c r="Q113" s="58"/>
      <c r="R113" s="84"/>
    </row>
    <row r="114">
      <c r="A114" s="58"/>
      <c r="B114" s="84"/>
      <c r="C114" s="58"/>
      <c r="D114" s="84"/>
      <c r="E114" s="58"/>
      <c r="F114" s="84"/>
      <c r="G114" s="58"/>
      <c r="H114" s="84"/>
      <c r="I114" s="58"/>
      <c r="J114" s="84"/>
      <c r="K114" s="58"/>
      <c r="L114" s="84"/>
      <c r="M114" s="58"/>
      <c r="N114" s="84"/>
      <c r="O114" s="58"/>
      <c r="P114" s="84"/>
      <c r="Q114" s="58"/>
      <c r="R114" s="84"/>
    </row>
    <row r="115">
      <c r="A115" s="58"/>
      <c r="B115" s="84"/>
      <c r="C115" s="58"/>
      <c r="D115" s="84"/>
      <c r="E115" s="58"/>
      <c r="F115" s="84"/>
      <c r="G115" s="58"/>
      <c r="H115" s="84"/>
      <c r="I115" s="58"/>
      <c r="J115" s="84"/>
      <c r="K115" s="58"/>
      <c r="L115" s="84"/>
      <c r="M115" s="58"/>
      <c r="N115" s="84"/>
      <c r="O115" s="58"/>
      <c r="P115" s="84"/>
      <c r="Q115" s="58"/>
      <c r="R115" s="84"/>
    </row>
    <row r="116">
      <c r="A116" s="58"/>
      <c r="B116" s="84"/>
      <c r="C116" s="58"/>
      <c r="D116" s="84"/>
      <c r="E116" s="58"/>
      <c r="F116" s="84"/>
      <c r="G116" s="58"/>
      <c r="H116" s="84"/>
      <c r="I116" s="58"/>
      <c r="J116" s="84"/>
      <c r="K116" s="58"/>
      <c r="L116" s="84"/>
      <c r="M116" s="58"/>
      <c r="N116" s="84"/>
      <c r="O116" s="58"/>
      <c r="P116" s="84"/>
      <c r="Q116" s="58"/>
      <c r="R116" s="84"/>
    </row>
    <row r="117">
      <c r="A117" s="58"/>
      <c r="B117" s="84"/>
      <c r="C117" s="58"/>
      <c r="D117" s="84"/>
      <c r="E117" s="58"/>
      <c r="F117" s="84"/>
      <c r="G117" s="58"/>
      <c r="H117" s="84"/>
      <c r="I117" s="58"/>
      <c r="J117" s="84"/>
      <c r="K117" s="58"/>
      <c r="L117" s="84"/>
      <c r="M117" s="58"/>
      <c r="N117" s="84"/>
      <c r="O117" s="58"/>
      <c r="P117" s="84"/>
      <c r="Q117" s="58"/>
      <c r="R117" s="84"/>
    </row>
    <row r="118">
      <c r="A118" s="58"/>
      <c r="B118" s="84"/>
      <c r="C118" s="58"/>
      <c r="D118" s="84"/>
      <c r="E118" s="58"/>
      <c r="F118" s="84"/>
      <c r="G118" s="58"/>
      <c r="H118" s="84"/>
      <c r="I118" s="58"/>
      <c r="J118" s="84"/>
      <c r="K118" s="58"/>
      <c r="L118" s="84"/>
      <c r="M118" s="58"/>
      <c r="N118" s="84"/>
      <c r="O118" s="58"/>
      <c r="P118" s="84"/>
      <c r="Q118" s="58"/>
      <c r="R118" s="84"/>
    </row>
    <row r="119">
      <c r="A119" s="58"/>
      <c r="B119" s="84"/>
      <c r="C119" s="58"/>
      <c r="D119" s="84"/>
      <c r="E119" s="58"/>
      <c r="F119" s="84"/>
      <c r="G119" s="58"/>
      <c r="H119" s="84"/>
      <c r="I119" s="58"/>
      <c r="J119" s="84"/>
      <c r="K119" s="58"/>
      <c r="L119" s="84"/>
      <c r="M119" s="58"/>
      <c r="N119" s="84"/>
      <c r="O119" s="58"/>
      <c r="P119" s="84"/>
      <c r="Q119" s="58"/>
      <c r="R119" s="84"/>
    </row>
    <row r="120">
      <c r="A120" s="58"/>
      <c r="B120" s="84"/>
      <c r="C120" s="58"/>
      <c r="D120" s="84"/>
      <c r="E120" s="58"/>
      <c r="F120" s="84"/>
      <c r="G120" s="58"/>
      <c r="H120" s="84"/>
      <c r="I120" s="58"/>
      <c r="J120" s="84"/>
      <c r="K120" s="58"/>
      <c r="L120" s="84"/>
      <c r="M120" s="58"/>
      <c r="N120" s="84"/>
      <c r="O120" s="58"/>
      <c r="P120" s="84"/>
      <c r="Q120" s="58"/>
      <c r="R120" s="84"/>
    </row>
    <row r="121">
      <c r="A121" s="58"/>
      <c r="B121" s="84"/>
      <c r="C121" s="58"/>
      <c r="D121" s="84"/>
      <c r="E121" s="58"/>
      <c r="F121" s="84"/>
      <c r="G121" s="58"/>
      <c r="H121" s="84"/>
      <c r="I121" s="58"/>
      <c r="J121" s="84"/>
      <c r="K121" s="58"/>
      <c r="L121" s="84"/>
      <c r="M121" s="58"/>
      <c r="N121" s="84"/>
      <c r="O121" s="58"/>
      <c r="P121" s="84"/>
      <c r="Q121" s="58"/>
      <c r="R121" s="84"/>
    </row>
    <row r="122">
      <c r="A122" s="58"/>
      <c r="B122" s="84"/>
      <c r="C122" s="58"/>
      <c r="D122" s="84"/>
      <c r="E122" s="58"/>
      <c r="F122" s="84"/>
      <c r="G122" s="58"/>
      <c r="H122" s="84"/>
      <c r="I122" s="58"/>
      <c r="J122" s="84"/>
      <c r="K122" s="58"/>
      <c r="L122" s="84"/>
      <c r="M122" s="58"/>
      <c r="N122" s="84"/>
      <c r="O122" s="58"/>
      <c r="P122" s="84"/>
      <c r="Q122" s="58"/>
      <c r="R122" s="84"/>
    </row>
    <row r="123">
      <c r="A123" s="58"/>
      <c r="B123" s="84"/>
      <c r="C123" s="58"/>
      <c r="D123" s="84"/>
      <c r="E123" s="58"/>
      <c r="F123" s="84"/>
      <c r="G123" s="58"/>
      <c r="H123" s="84"/>
      <c r="I123" s="58"/>
      <c r="J123" s="84"/>
      <c r="K123" s="58"/>
      <c r="L123" s="84"/>
      <c r="M123" s="58"/>
      <c r="N123" s="84"/>
      <c r="O123" s="58"/>
      <c r="P123" s="84"/>
      <c r="Q123" s="58"/>
      <c r="R123" s="84"/>
    </row>
    <row r="124">
      <c r="A124" s="58"/>
      <c r="B124" s="84"/>
      <c r="C124" s="58"/>
      <c r="D124" s="84"/>
      <c r="E124" s="58"/>
      <c r="F124" s="84"/>
      <c r="G124" s="58"/>
      <c r="H124" s="84"/>
      <c r="I124" s="58"/>
      <c r="J124" s="84"/>
      <c r="K124" s="58"/>
      <c r="L124" s="84"/>
      <c r="M124" s="58"/>
      <c r="N124" s="84"/>
      <c r="O124" s="58"/>
      <c r="P124" s="84"/>
      <c r="Q124" s="58"/>
      <c r="R124" s="84"/>
    </row>
    <row r="125">
      <c r="A125" s="58"/>
      <c r="B125" s="84"/>
      <c r="C125" s="58"/>
      <c r="D125" s="84"/>
      <c r="E125" s="58"/>
      <c r="F125" s="84"/>
      <c r="G125" s="58"/>
      <c r="H125" s="84"/>
      <c r="I125" s="58"/>
      <c r="J125" s="84"/>
      <c r="K125" s="58"/>
      <c r="L125" s="84"/>
      <c r="M125" s="58"/>
      <c r="N125" s="84"/>
      <c r="O125" s="58"/>
      <c r="P125" s="84"/>
      <c r="Q125" s="58"/>
      <c r="R125" s="84"/>
    </row>
    <row r="126">
      <c r="A126" s="58"/>
      <c r="B126" s="84"/>
      <c r="C126" s="58"/>
      <c r="D126" s="84"/>
      <c r="E126" s="58"/>
      <c r="F126" s="84"/>
      <c r="G126" s="58"/>
      <c r="H126" s="84"/>
      <c r="I126" s="58"/>
      <c r="J126" s="84"/>
      <c r="K126" s="58"/>
      <c r="L126" s="84"/>
      <c r="M126" s="58"/>
      <c r="N126" s="84"/>
      <c r="O126" s="58"/>
      <c r="P126" s="84"/>
      <c r="Q126" s="58"/>
      <c r="R126" s="84"/>
    </row>
    <row r="127">
      <c r="A127" s="58"/>
      <c r="B127" s="84"/>
      <c r="C127" s="58"/>
      <c r="D127" s="84"/>
      <c r="E127" s="58"/>
      <c r="F127" s="84"/>
      <c r="G127" s="58"/>
      <c r="H127" s="84"/>
      <c r="I127" s="58"/>
      <c r="J127" s="84"/>
      <c r="K127" s="58"/>
      <c r="L127" s="84"/>
      <c r="M127" s="58"/>
      <c r="N127" s="84"/>
      <c r="O127" s="58"/>
      <c r="P127" s="84"/>
      <c r="Q127" s="58"/>
      <c r="R127" s="84"/>
    </row>
    <row r="128">
      <c r="A128" s="58"/>
      <c r="B128" s="84"/>
      <c r="C128" s="58"/>
      <c r="D128" s="84"/>
      <c r="E128" s="58"/>
      <c r="F128" s="84"/>
      <c r="G128" s="58"/>
      <c r="H128" s="84"/>
      <c r="I128" s="58"/>
      <c r="J128" s="84"/>
      <c r="K128" s="58"/>
      <c r="L128" s="84"/>
      <c r="M128" s="58"/>
      <c r="N128" s="84"/>
      <c r="O128" s="58"/>
      <c r="P128" s="84"/>
      <c r="Q128" s="58"/>
      <c r="R128" s="84"/>
    </row>
    <row r="129">
      <c r="A129" s="58"/>
      <c r="B129" s="84"/>
      <c r="C129" s="58"/>
      <c r="D129" s="84"/>
      <c r="E129" s="58"/>
      <c r="F129" s="84"/>
      <c r="G129" s="58"/>
      <c r="H129" s="84"/>
      <c r="I129" s="58"/>
      <c r="J129" s="84"/>
      <c r="K129" s="58"/>
      <c r="L129" s="84"/>
      <c r="M129" s="58"/>
      <c r="N129" s="84"/>
      <c r="O129" s="58"/>
      <c r="P129" s="84"/>
      <c r="Q129" s="58"/>
      <c r="R129" s="84"/>
    </row>
    <row r="130">
      <c r="A130" s="58"/>
      <c r="B130" s="84"/>
      <c r="C130" s="58"/>
      <c r="D130" s="84"/>
      <c r="E130" s="58"/>
      <c r="F130" s="84"/>
      <c r="G130" s="58"/>
      <c r="H130" s="84"/>
      <c r="I130" s="58"/>
      <c r="J130" s="84"/>
      <c r="K130" s="58"/>
      <c r="L130" s="84"/>
      <c r="M130" s="58"/>
      <c r="N130" s="84"/>
      <c r="O130" s="58"/>
      <c r="P130" s="84"/>
      <c r="Q130" s="58"/>
      <c r="R130" s="84"/>
    </row>
    <row r="131">
      <c r="A131" s="58"/>
      <c r="B131" s="84"/>
      <c r="C131" s="58"/>
      <c r="D131" s="84"/>
      <c r="E131" s="58"/>
      <c r="F131" s="84"/>
      <c r="G131" s="58"/>
      <c r="H131" s="84"/>
      <c r="I131" s="58"/>
      <c r="J131" s="84"/>
      <c r="K131" s="58"/>
      <c r="L131" s="84"/>
      <c r="M131" s="58"/>
      <c r="N131" s="84"/>
      <c r="O131" s="58"/>
      <c r="P131" s="84"/>
      <c r="Q131" s="58"/>
      <c r="R131" s="84"/>
    </row>
    <row r="132">
      <c r="A132" s="58"/>
      <c r="B132" s="84"/>
      <c r="C132" s="58"/>
      <c r="D132" s="84"/>
      <c r="E132" s="58"/>
      <c r="F132" s="84"/>
      <c r="G132" s="58"/>
      <c r="H132" s="84"/>
      <c r="I132" s="58"/>
      <c r="J132" s="84"/>
      <c r="K132" s="58"/>
      <c r="L132" s="84"/>
      <c r="M132" s="58"/>
      <c r="N132" s="84"/>
      <c r="O132" s="58"/>
      <c r="P132" s="84"/>
      <c r="Q132" s="58"/>
      <c r="R132" s="84"/>
    </row>
    <row r="133">
      <c r="A133" s="58"/>
      <c r="B133" s="84"/>
      <c r="C133" s="58"/>
      <c r="D133" s="84"/>
      <c r="E133" s="58"/>
      <c r="F133" s="84"/>
      <c r="G133" s="58"/>
      <c r="H133" s="84"/>
      <c r="I133" s="58"/>
      <c r="J133" s="84"/>
      <c r="K133" s="58"/>
      <c r="L133" s="84"/>
      <c r="M133" s="58"/>
      <c r="N133" s="84"/>
      <c r="O133" s="58"/>
      <c r="P133" s="84"/>
      <c r="Q133" s="58"/>
      <c r="R133" s="84"/>
    </row>
    <row r="134">
      <c r="A134" s="58"/>
      <c r="B134" s="84"/>
      <c r="C134" s="58"/>
      <c r="D134" s="84"/>
      <c r="E134" s="58"/>
      <c r="F134" s="84"/>
      <c r="G134" s="58"/>
      <c r="H134" s="84"/>
      <c r="I134" s="58"/>
      <c r="J134" s="84"/>
      <c r="K134" s="58"/>
      <c r="L134" s="84"/>
      <c r="M134" s="58"/>
      <c r="N134" s="84"/>
      <c r="O134" s="58"/>
      <c r="P134" s="84"/>
      <c r="Q134" s="58"/>
      <c r="R134" s="84"/>
    </row>
    <row r="135">
      <c r="A135" s="58"/>
      <c r="B135" s="84"/>
      <c r="C135" s="58"/>
      <c r="D135" s="84"/>
      <c r="E135" s="58"/>
      <c r="F135" s="84"/>
      <c r="G135" s="58"/>
      <c r="H135" s="84"/>
      <c r="I135" s="58"/>
      <c r="J135" s="84"/>
      <c r="K135" s="58"/>
      <c r="L135" s="84"/>
      <c r="M135" s="58"/>
      <c r="N135" s="84"/>
      <c r="O135" s="58"/>
      <c r="P135" s="84"/>
      <c r="Q135" s="58"/>
      <c r="R135" s="84"/>
    </row>
    <row r="136">
      <c r="A136" s="58"/>
      <c r="B136" s="84"/>
      <c r="C136" s="58"/>
      <c r="D136" s="84"/>
      <c r="E136" s="58"/>
      <c r="F136" s="84"/>
      <c r="G136" s="58"/>
      <c r="H136" s="84"/>
      <c r="I136" s="58"/>
      <c r="J136" s="84"/>
      <c r="K136" s="58"/>
      <c r="L136" s="84"/>
      <c r="M136" s="58"/>
      <c r="N136" s="84"/>
      <c r="O136" s="58"/>
      <c r="P136" s="84"/>
      <c r="Q136" s="58"/>
      <c r="R136" s="84"/>
    </row>
    <row r="137">
      <c r="A137" s="58"/>
      <c r="B137" s="84"/>
      <c r="C137" s="58"/>
      <c r="D137" s="84"/>
      <c r="E137" s="58"/>
      <c r="F137" s="84"/>
      <c r="G137" s="58"/>
      <c r="H137" s="84"/>
      <c r="I137" s="58"/>
      <c r="J137" s="84"/>
      <c r="K137" s="58"/>
      <c r="L137" s="84"/>
      <c r="M137" s="58"/>
      <c r="N137" s="84"/>
      <c r="O137" s="58"/>
      <c r="P137" s="84"/>
      <c r="Q137" s="58"/>
      <c r="R137" s="84"/>
    </row>
    <row r="138">
      <c r="A138" s="58"/>
      <c r="B138" s="84"/>
      <c r="C138" s="58"/>
      <c r="D138" s="84"/>
      <c r="E138" s="58"/>
      <c r="F138" s="84"/>
      <c r="G138" s="58"/>
      <c r="H138" s="84"/>
      <c r="I138" s="58"/>
      <c r="J138" s="84"/>
      <c r="K138" s="58"/>
      <c r="L138" s="84"/>
      <c r="M138" s="58"/>
      <c r="N138" s="84"/>
      <c r="O138" s="58"/>
      <c r="P138" s="84"/>
      <c r="Q138" s="58"/>
      <c r="R138" s="84"/>
    </row>
    <row r="139">
      <c r="A139" s="58"/>
      <c r="B139" s="84"/>
      <c r="C139" s="58"/>
      <c r="D139" s="84"/>
      <c r="E139" s="58"/>
      <c r="F139" s="84"/>
      <c r="G139" s="58"/>
      <c r="H139" s="84"/>
      <c r="I139" s="58"/>
      <c r="J139" s="84"/>
      <c r="K139" s="58"/>
      <c r="L139" s="84"/>
      <c r="M139" s="58"/>
      <c r="N139" s="84"/>
      <c r="O139" s="58"/>
      <c r="P139" s="84"/>
      <c r="Q139" s="58"/>
      <c r="R139" s="84"/>
    </row>
    <row r="140">
      <c r="A140" s="58"/>
      <c r="B140" s="84"/>
      <c r="C140" s="58"/>
      <c r="D140" s="84"/>
      <c r="E140" s="58"/>
      <c r="F140" s="84"/>
      <c r="G140" s="58"/>
      <c r="H140" s="84"/>
      <c r="I140" s="58"/>
      <c r="J140" s="84"/>
      <c r="K140" s="58"/>
      <c r="L140" s="84"/>
      <c r="M140" s="58"/>
      <c r="N140" s="84"/>
      <c r="O140" s="58"/>
      <c r="P140" s="84"/>
      <c r="Q140" s="58"/>
      <c r="R140" s="84"/>
    </row>
    <row r="141">
      <c r="A141" s="58"/>
      <c r="B141" s="84"/>
      <c r="C141" s="58"/>
      <c r="D141" s="84"/>
      <c r="E141" s="58"/>
      <c r="F141" s="84"/>
      <c r="G141" s="58"/>
      <c r="H141" s="84"/>
      <c r="I141" s="58"/>
      <c r="J141" s="84"/>
      <c r="K141" s="58"/>
      <c r="L141" s="84"/>
      <c r="M141" s="58"/>
      <c r="N141" s="84"/>
      <c r="O141" s="58"/>
      <c r="P141" s="84"/>
      <c r="Q141" s="58"/>
      <c r="R141" s="84"/>
    </row>
    <row r="142">
      <c r="A142" s="58"/>
      <c r="B142" s="84"/>
      <c r="C142" s="58"/>
      <c r="D142" s="84"/>
      <c r="E142" s="58"/>
      <c r="F142" s="84"/>
      <c r="G142" s="58"/>
      <c r="H142" s="84"/>
      <c r="I142" s="58"/>
      <c r="J142" s="84"/>
      <c r="K142" s="58"/>
      <c r="L142" s="84"/>
      <c r="M142" s="58"/>
      <c r="N142" s="84"/>
      <c r="O142" s="58"/>
      <c r="P142" s="84"/>
      <c r="Q142" s="58"/>
      <c r="R142" s="84"/>
    </row>
    <row r="143">
      <c r="A143" s="58"/>
      <c r="B143" s="84"/>
      <c r="C143" s="58"/>
      <c r="D143" s="84"/>
      <c r="E143" s="58"/>
      <c r="F143" s="84"/>
      <c r="G143" s="58"/>
      <c r="H143" s="84"/>
      <c r="I143" s="58"/>
      <c r="J143" s="84"/>
      <c r="K143" s="58"/>
      <c r="L143" s="84"/>
      <c r="M143" s="58"/>
      <c r="N143" s="84"/>
      <c r="O143" s="58"/>
      <c r="P143" s="84"/>
      <c r="Q143" s="58"/>
      <c r="R143" s="84"/>
    </row>
    <row r="144">
      <c r="A144" s="58"/>
      <c r="B144" s="84"/>
      <c r="C144" s="58"/>
      <c r="D144" s="84"/>
      <c r="E144" s="58"/>
      <c r="F144" s="84"/>
      <c r="G144" s="58"/>
      <c r="H144" s="84"/>
      <c r="I144" s="58"/>
      <c r="J144" s="84"/>
      <c r="K144" s="58"/>
      <c r="L144" s="84"/>
      <c r="M144" s="58"/>
      <c r="N144" s="84"/>
      <c r="O144" s="58"/>
      <c r="P144" s="84"/>
      <c r="Q144" s="58"/>
      <c r="R144" s="84"/>
    </row>
    <row r="145">
      <c r="A145" s="58"/>
      <c r="B145" s="84"/>
      <c r="C145" s="58"/>
      <c r="D145" s="84"/>
      <c r="E145" s="58"/>
      <c r="F145" s="84"/>
      <c r="G145" s="58"/>
      <c r="H145" s="84"/>
      <c r="I145" s="58"/>
      <c r="J145" s="84"/>
      <c r="K145" s="58"/>
      <c r="L145" s="84"/>
      <c r="M145" s="58"/>
      <c r="N145" s="84"/>
      <c r="O145" s="58"/>
      <c r="P145" s="84"/>
      <c r="Q145" s="58"/>
      <c r="R145" s="84"/>
    </row>
    <row r="146">
      <c r="A146" s="58"/>
      <c r="B146" s="84"/>
      <c r="C146" s="58"/>
      <c r="D146" s="84"/>
      <c r="E146" s="58"/>
      <c r="F146" s="84"/>
      <c r="G146" s="58"/>
      <c r="H146" s="84"/>
      <c r="I146" s="58"/>
      <c r="J146" s="84"/>
      <c r="K146" s="58"/>
      <c r="L146" s="84"/>
      <c r="M146" s="58"/>
      <c r="N146" s="84"/>
      <c r="O146" s="58"/>
      <c r="P146" s="84"/>
      <c r="Q146" s="58"/>
      <c r="R146" s="84"/>
    </row>
    <row r="147">
      <c r="A147" s="58"/>
      <c r="B147" s="84"/>
      <c r="C147" s="58"/>
      <c r="D147" s="84"/>
      <c r="E147" s="58"/>
      <c r="F147" s="84"/>
      <c r="G147" s="58"/>
      <c r="H147" s="84"/>
      <c r="I147" s="58"/>
      <c r="J147" s="84"/>
      <c r="K147" s="58"/>
      <c r="L147" s="84"/>
      <c r="M147" s="58"/>
      <c r="N147" s="84"/>
      <c r="O147" s="58"/>
      <c r="P147" s="84"/>
      <c r="Q147" s="58"/>
      <c r="R147" s="84"/>
    </row>
    <row r="148">
      <c r="A148" s="58"/>
      <c r="B148" s="84"/>
      <c r="C148" s="58"/>
      <c r="D148" s="84"/>
      <c r="E148" s="58"/>
      <c r="F148" s="84"/>
      <c r="G148" s="58"/>
      <c r="H148" s="84"/>
      <c r="I148" s="58"/>
      <c r="J148" s="84"/>
      <c r="K148" s="58"/>
      <c r="L148" s="84"/>
      <c r="M148" s="58"/>
      <c r="N148" s="84"/>
      <c r="O148" s="58"/>
      <c r="P148" s="84"/>
      <c r="Q148" s="58"/>
      <c r="R148" s="84"/>
    </row>
    <row r="149">
      <c r="A149" s="58"/>
      <c r="B149" s="84"/>
      <c r="C149" s="58"/>
      <c r="D149" s="84"/>
      <c r="E149" s="58"/>
      <c r="F149" s="84"/>
      <c r="G149" s="58"/>
      <c r="H149" s="84"/>
      <c r="I149" s="58"/>
      <c r="J149" s="84"/>
      <c r="K149" s="58"/>
      <c r="L149" s="84"/>
      <c r="M149" s="58"/>
      <c r="N149" s="84"/>
      <c r="O149" s="58"/>
      <c r="P149" s="84"/>
      <c r="Q149" s="58"/>
      <c r="R149" s="84"/>
    </row>
    <row r="150">
      <c r="A150" s="58"/>
      <c r="B150" s="84"/>
      <c r="C150" s="58"/>
      <c r="D150" s="84"/>
      <c r="E150" s="58"/>
      <c r="F150" s="84"/>
      <c r="G150" s="58"/>
      <c r="H150" s="84"/>
      <c r="I150" s="58"/>
      <c r="J150" s="84"/>
      <c r="K150" s="58"/>
      <c r="L150" s="84"/>
      <c r="M150" s="58"/>
      <c r="N150" s="84"/>
      <c r="O150" s="58"/>
      <c r="P150" s="84"/>
      <c r="Q150" s="58"/>
      <c r="R150" s="84"/>
    </row>
    <row r="151">
      <c r="A151" s="58"/>
      <c r="B151" s="84"/>
      <c r="C151" s="58"/>
      <c r="D151" s="84"/>
      <c r="E151" s="58"/>
      <c r="F151" s="84"/>
      <c r="G151" s="58"/>
      <c r="H151" s="84"/>
      <c r="I151" s="58"/>
      <c r="J151" s="84"/>
      <c r="K151" s="58"/>
      <c r="L151" s="84"/>
      <c r="M151" s="58"/>
      <c r="N151" s="84"/>
      <c r="O151" s="58"/>
      <c r="P151" s="84"/>
      <c r="Q151" s="58"/>
      <c r="R151" s="84"/>
    </row>
    <row r="152">
      <c r="A152" s="58"/>
      <c r="B152" s="84"/>
      <c r="C152" s="58"/>
      <c r="D152" s="84"/>
      <c r="E152" s="58"/>
      <c r="F152" s="84"/>
      <c r="G152" s="58"/>
      <c r="H152" s="84"/>
      <c r="I152" s="58"/>
      <c r="J152" s="84"/>
      <c r="K152" s="58"/>
      <c r="L152" s="84"/>
      <c r="M152" s="58"/>
      <c r="N152" s="84"/>
      <c r="O152" s="58"/>
      <c r="P152" s="84"/>
      <c r="Q152" s="58"/>
      <c r="R152" s="84"/>
    </row>
    <row r="153">
      <c r="A153" s="58"/>
      <c r="B153" s="84"/>
      <c r="C153" s="58"/>
      <c r="D153" s="84"/>
      <c r="E153" s="58"/>
      <c r="F153" s="84"/>
      <c r="G153" s="58"/>
      <c r="H153" s="84"/>
      <c r="I153" s="58"/>
      <c r="J153" s="84"/>
      <c r="K153" s="58"/>
      <c r="L153" s="84"/>
      <c r="M153" s="58"/>
      <c r="N153" s="84"/>
      <c r="O153" s="58"/>
      <c r="P153" s="84"/>
      <c r="Q153" s="58"/>
      <c r="R153" s="84"/>
    </row>
    <row r="154">
      <c r="A154" s="58"/>
      <c r="B154" s="84"/>
      <c r="C154" s="58"/>
      <c r="D154" s="84"/>
      <c r="E154" s="58"/>
      <c r="F154" s="84"/>
      <c r="G154" s="58"/>
      <c r="H154" s="84"/>
      <c r="I154" s="58"/>
      <c r="J154" s="84"/>
      <c r="K154" s="58"/>
      <c r="L154" s="84"/>
      <c r="M154" s="58"/>
      <c r="N154" s="84"/>
      <c r="O154" s="58"/>
      <c r="P154" s="84"/>
      <c r="Q154" s="58"/>
      <c r="R154" s="84"/>
    </row>
    <row r="155">
      <c r="A155" s="58"/>
      <c r="B155" s="84"/>
      <c r="C155" s="58"/>
      <c r="D155" s="84"/>
      <c r="E155" s="58"/>
      <c r="F155" s="84"/>
      <c r="G155" s="58"/>
      <c r="H155" s="84"/>
      <c r="I155" s="58"/>
      <c r="J155" s="84"/>
      <c r="K155" s="58"/>
      <c r="L155" s="84"/>
      <c r="M155" s="58"/>
      <c r="N155" s="84"/>
      <c r="O155" s="58"/>
      <c r="P155" s="84"/>
      <c r="Q155" s="58"/>
      <c r="R155" s="84"/>
    </row>
    <row r="156">
      <c r="A156" s="58"/>
      <c r="B156" s="84"/>
      <c r="C156" s="58"/>
      <c r="D156" s="84"/>
      <c r="E156" s="58"/>
      <c r="F156" s="84"/>
      <c r="G156" s="58"/>
      <c r="H156" s="84"/>
      <c r="I156" s="58"/>
      <c r="J156" s="84"/>
      <c r="K156" s="58"/>
      <c r="L156" s="84"/>
      <c r="M156" s="58"/>
      <c r="N156" s="84"/>
      <c r="O156" s="58"/>
      <c r="P156" s="84"/>
      <c r="Q156" s="58"/>
      <c r="R156" s="84"/>
    </row>
    <row r="157">
      <c r="A157" s="58"/>
      <c r="B157" s="84"/>
      <c r="C157" s="58"/>
      <c r="D157" s="84"/>
      <c r="E157" s="58"/>
      <c r="F157" s="84"/>
      <c r="G157" s="58"/>
      <c r="H157" s="84"/>
      <c r="I157" s="58"/>
      <c r="J157" s="84"/>
      <c r="K157" s="58"/>
      <c r="L157" s="84"/>
      <c r="M157" s="58"/>
      <c r="N157" s="84"/>
      <c r="O157" s="58"/>
      <c r="P157" s="84"/>
      <c r="Q157" s="58"/>
      <c r="R157" s="84"/>
    </row>
    <row r="158">
      <c r="A158" s="58"/>
      <c r="B158" s="84"/>
      <c r="C158" s="58"/>
      <c r="D158" s="84"/>
      <c r="E158" s="58"/>
      <c r="F158" s="84"/>
      <c r="G158" s="58"/>
      <c r="H158" s="84"/>
      <c r="I158" s="58"/>
      <c r="J158" s="84"/>
      <c r="K158" s="58"/>
      <c r="L158" s="84"/>
      <c r="M158" s="58"/>
      <c r="N158" s="84"/>
      <c r="O158" s="58"/>
      <c r="P158" s="84"/>
      <c r="Q158" s="58"/>
      <c r="R158" s="84"/>
    </row>
    <row r="159">
      <c r="A159" s="58"/>
      <c r="B159" s="84"/>
      <c r="C159" s="58"/>
      <c r="D159" s="84"/>
      <c r="E159" s="58"/>
      <c r="F159" s="84"/>
      <c r="G159" s="58"/>
      <c r="H159" s="84"/>
      <c r="I159" s="58"/>
      <c r="J159" s="84"/>
      <c r="K159" s="58"/>
      <c r="L159" s="84"/>
      <c r="M159" s="58"/>
      <c r="N159" s="84"/>
      <c r="O159" s="58"/>
      <c r="P159" s="84"/>
      <c r="Q159" s="58"/>
      <c r="R159" s="84"/>
    </row>
    <row r="160">
      <c r="A160" s="58"/>
      <c r="B160" s="84"/>
      <c r="C160" s="58"/>
      <c r="D160" s="84"/>
      <c r="E160" s="58"/>
      <c r="F160" s="84"/>
      <c r="G160" s="58"/>
      <c r="H160" s="84"/>
      <c r="I160" s="58"/>
      <c r="J160" s="84"/>
      <c r="K160" s="58"/>
      <c r="L160" s="84"/>
      <c r="M160" s="58"/>
      <c r="N160" s="84"/>
      <c r="O160" s="58"/>
      <c r="P160" s="84"/>
      <c r="Q160" s="58"/>
      <c r="R160" s="84"/>
    </row>
    <row r="161">
      <c r="A161" s="58"/>
      <c r="B161" s="84"/>
      <c r="C161" s="58"/>
      <c r="D161" s="84"/>
      <c r="E161" s="58"/>
      <c r="F161" s="84"/>
      <c r="G161" s="58"/>
      <c r="H161" s="84"/>
      <c r="I161" s="58"/>
      <c r="J161" s="84"/>
      <c r="K161" s="58"/>
      <c r="L161" s="84"/>
      <c r="M161" s="58"/>
      <c r="N161" s="84"/>
      <c r="O161" s="58"/>
      <c r="P161" s="84"/>
      <c r="Q161" s="58"/>
      <c r="R161" s="84"/>
    </row>
    <row r="162">
      <c r="A162" s="58"/>
      <c r="B162" s="84"/>
      <c r="C162" s="58"/>
      <c r="D162" s="84"/>
      <c r="E162" s="58"/>
      <c r="F162" s="84"/>
      <c r="G162" s="58"/>
      <c r="H162" s="84"/>
      <c r="I162" s="58"/>
      <c r="J162" s="84"/>
      <c r="K162" s="58"/>
      <c r="L162" s="84"/>
      <c r="M162" s="58"/>
      <c r="N162" s="84"/>
      <c r="O162" s="58"/>
      <c r="P162" s="84"/>
      <c r="Q162" s="58"/>
      <c r="R162" s="84"/>
    </row>
    <row r="163">
      <c r="A163" s="58"/>
      <c r="B163" s="84"/>
      <c r="C163" s="58"/>
      <c r="D163" s="84"/>
      <c r="E163" s="58"/>
      <c r="F163" s="84"/>
      <c r="G163" s="58"/>
      <c r="H163" s="84"/>
      <c r="I163" s="58"/>
      <c r="J163" s="84"/>
      <c r="K163" s="58"/>
      <c r="L163" s="84"/>
      <c r="M163" s="58"/>
      <c r="N163" s="84"/>
      <c r="O163" s="58"/>
      <c r="P163" s="84"/>
      <c r="Q163" s="58"/>
      <c r="R163" s="84"/>
    </row>
    <row r="164">
      <c r="A164" s="58"/>
      <c r="B164" s="84"/>
      <c r="C164" s="58"/>
      <c r="D164" s="84"/>
      <c r="E164" s="58"/>
      <c r="F164" s="84"/>
      <c r="G164" s="58"/>
      <c r="H164" s="84"/>
      <c r="I164" s="58"/>
      <c r="J164" s="84"/>
      <c r="K164" s="58"/>
      <c r="L164" s="84"/>
      <c r="M164" s="58"/>
      <c r="N164" s="84"/>
      <c r="O164" s="58"/>
      <c r="P164" s="84"/>
      <c r="Q164" s="58"/>
      <c r="R164" s="84"/>
    </row>
    <row r="165">
      <c r="A165" s="58"/>
      <c r="B165" s="84"/>
      <c r="C165" s="58"/>
      <c r="D165" s="84"/>
      <c r="E165" s="58"/>
      <c r="F165" s="84"/>
      <c r="G165" s="58"/>
      <c r="H165" s="84"/>
      <c r="I165" s="58"/>
      <c r="J165" s="84"/>
      <c r="K165" s="58"/>
      <c r="L165" s="84"/>
      <c r="M165" s="58"/>
      <c r="N165" s="84"/>
      <c r="O165" s="58"/>
      <c r="P165" s="84"/>
      <c r="Q165" s="58"/>
      <c r="R165" s="84"/>
    </row>
    <row r="166">
      <c r="A166" s="58"/>
      <c r="B166" s="84"/>
      <c r="C166" s="58"/>
      <c r="D166" s="84"/>
      <c r="E166" s="58"/>
      <c r="F166" s="84"/>
      <c r="G166" s="58"/>
      <c r="H166" s="84"/>
      <c r="I166" s="58"/>
      <c r="J166" s="84"/>
      <c r="K166" s="58"/>
      <c r="L166" s="84"/>
      <c r="M166" s="58"/>
      <c r="N166" s="84"/>
      <c r="O166" s="58"/>
      <c r="P166" s="84"/>
      <c r="Q166" s="58"/>
      <c r="R166" s="84"/>
    </row>
    <row r="167">
      <c r="A167" s="58"/>
      <c r="B167" s="84"/>
      <c r="C167" s="58"/>
      <c r="D167" s="84"/>
      <c r="E167" s="58"/>
      <c r="F167" s="84"/>
      <c r="G167" s="58"/>
      <c r="H167" s="84"/>
      <c r="I167" s="58"/>
      <c r="J167" s="84"/>
      <c r="K167" s="58"/>
      <c r="L167" s="84"/>
      <c r="M167" s="58"/>
      <c r="N167" s="84"/>
      <c r="O167" s="58"/>
      <c r="P167" s="84"/>
      <c r="Q167" s="58"/>
      <c r="R167" s="84"/>
    </row>
    <row r="168">
      <c r="A168" s="58"/>
      <c r="B168" s="84"/>
      <c r="C168" s="58"/>
      <c r="D168" s="84"/>
      <c r="E168" s="58"/>
      <c r="F168" s="84"/>
      <c r="G168" s="58"/>
      <c r="H168" s="84"/>
      <c r="I168" s="58"/>
      <c r="J168" s="84"/>
      <c r="K168" s="58"/>
      <c r="L168" s="84"/>
      <c r="M168" s="58"/>
      <c r="N168" s="84"/>
      <c r="O168" s="58"/>
      <c r="P168" s="84"/>
      <c r="Q168" s="58"/>
      <c r="R168" s="84"/>
    </row>
    <row r="169">
      <c r="A169" s="58"/>
      <c r="B169" s="84"/>
      <c r="C169" s="58"/>
      <c r="D169" s="84"/>
      <c r="E169" s="58"/>
      <c r="F169" s="84"/>
      <c r="G169" s="58"/>
      <c r="H169" s="84"/>
      <c r="I169" s="58"/>
      <c r="J169" s="84"/>
      <c r="K169" s="58"/>
      <c r="L169" s="84"/>
      <c r="M169" s="58"/>
      <c r="N169" s="84"/>
      <c r="O169" s="58"/>
      <c r="P169" s="84"/>
      <c r="Q169" s="58"/>
      <c r="R169" s="84"/>
    </row>
    <row r="170">
      <c r="A170" s="58"/>
      <c r="B170" s="84"/>
      <c r="C170" s="58"/>
      <c r="D170" s="84"/>
      <c r="E170" s="58"/>
      <c r="F170" s="84"/>
      <c r="G170" s="58"/>
      <c r="H170" s="84"/>
      <c r="I170" s="58"/>
      <c r="J170" s="84"/>
      <c r="K170" s="58"/>
      <c r="L170" s="84"/>
      <c r="M170" s="58"/>
      <c r="N170" s="84"/>
      <c r="O170" s="58"/>
      <c r="P170" s="84"/>
      <c r="Q170" s="58"/>
      <c r="R170" s="84"/>
    </row>
    <row r="171">
      <c r="A171" s="58"/>
      <c r="B171" s="84"/>
      <c r="C171" s="58"/>
      <c r="D171" s="84"/>
      <c r="E171" s="58"/>
      <c r="F171" s="84"/>
      <c r="G171" s="58"/>
      <c r="H171" s="84"/>
      <c r="I171" s="58"/>
      <c r="J171" s="84"/>
      <c r="K171" s="58"/>
      <c r="L171" s="84"/>
      <c r="M171" s="58"/>
      <c r="N171" s="84"/>
      <c r="O171" s="58"/>
      <c r="P171" s="84"/>
      <c r="Q171" s="58"/>
      <c r="R171" s="84"/>
    </row>
    <row r="172">
      <c r="A172" s="58"/>
      <c r="B172" s="84"/>
      <c r="C172" s="58"/>
      <c r="D172" s="84"/>
      <c r="E172" s="58"/>
      <c r="F172" s="84"/>
      <c r="G172" s="58"/>
      <c r="H172" s="84"/>
      <c r="I172" s="58"/>
      <c r="J172" s="84"/>
      <c r="K172" s="58"/>
      <c r="L172" s="84"/>
      <c r="M172" s="58"/>
      <c r="N172" s="84"/>
      <c r="O172" s="58"/>
      <c r="P172" s="84"/>
      <c r="Q172" s="58"/>
      <c r="R172" s="84"/>
    </row>
    <row r="173">
      <c r="A173" s="58"/>
      <c r="B173" s="84"/>
      <c r="C173" s="58"/>
      <c r="D173" s="84"/>
      <c r="E173" s="58"/>
      <c r="F173" s="84"/>
      <c r="G173" s="58"/>
      <c r="H173" s="84"/>
      <c r="I173" s="58"/>
      <c r="J173" s="84"/>
      <c r="K173" s="58"/>
      <c r="L173" s="84"/>
      <c r="M173" s="58"/>
      <c r="N173" s="84"/>
      <c r="O173" s="58"/>
      <c r="P173" s="84"/>
      <c r="Q173" s="58"/>
      <c r="R173" s="84"/>
    </row>
    <row r="174">
      <c r="A174" s="58"/>
      <c r="B174" s="84"/>
      <c r="C174" s="58"/>
      <c r="D174" s="84"/>
      <c r="E174" s="58"/>
      <c r="F174" s="84"/>
      <c r="G174" s="58"/>
      <c r="H174" s="84"/>
      <c r="I174" s="58"/>
      <c r="J174" s="84"/>
      <c r="K174" s="58"/>
      <c r="L174" s="84"/>
      <c r="M174" s="58"/>
      <c r="N174" s="84"/>
      <c r="O174" s="58"/>
      <c r="P174" s="84"/>
      <c r="Q174" s="58"/>
      <c r="R174" s="84"/>
    </row>
    <row r="175">
      <c r="A175" s="58"/>
      <c r="B175" s="84"/>
      <c r="C175" s="58"/>
      <c r="D175" s="84"/>
      <c r="E175" s="58"/>
      <c r="F175" s="84"/>
      <c r="G175" s="58"/>
      <c r="H175" s="84"/>
      <c r="I175" s="58"/>
      <c r="J175" s="84"/>
      <c r="K175" s="58"/>
      <c r="L175" s="84"/>
      <c r="M175" s="58"/>
      <c r="N175" s="84"/>
      <c r="O175" s="58"/>
      <c r="P175" s="84"/>
      <c r="Q175" s="58"/>
      <c r="R175" s="84"/>
    </row>
    <row r="176">
      <c r="A176" s="58"/>
      <c r="B176" s="84"/>
      <c r="C176" s="58"/>
      <c r="D176" s="84"/>
      <c r="E176" s="58"/>
      <c r="F176" s="84"/>
      <c r="G176" s="58"/>
      <c r="H176" s="84"/>
      <c r="I176" s="58"/>
      <c r="J176" s="84"/>
      <c r="K176" s="58"/>
      <c r="L176" s="84"/>
      <c r="M176" s="58"/>
      <c r="N176" s="84"/>
      <c r="O176" s="58"/>
      <c r="P176" s="84"/>
      <c r="Q176" s="58"/>
      <c r="R176" s="84"/>
    </row>
    <row r="177">
      <c r="A177" s="58"/>
      <c r="B177" s="84"/>
      <c r="C177" s="58"/>
      <c r="D177" s="84"/>
      <c r="E177" s="58"/>
      <c r="F177" s="84"/>
      <c r="G177" s="58"/>
      <c r="H177" s="84"/>
      <c r="I177" s="58"/>
      <c r="J177" s="84"/>
      <c r="K177" s="58"/>
      <c r="L177" s="84"/>
      <c r="M177" s="58"/>
      <c r="N177" s="84"/>
      <c r="O177" s="58"/>
      <c r="P177" s="84"/>
      <c r="Q177" s="58"/>
      <c r="R177" s="84"/>
    </row>
    <row r="178">
      <c r="A178" s="58"/>
      <c r="B178" s="84"/>
      <c r="C178" s="58"/>
      <c r="D178" s="84"/>
      <c r="E178" s="58"/>
      <c r="F178" s="84"/>
      <c r="G178" s="58"/>
      <c r="H178" s="84"/>
      <c r="I178" s="58"/>
      <c r="J178" s="84"/>
      <c r="K178" s="58"/>
      <c r="L178" s="84"/>
      <c r="M178" s="58"/>
      <c r="N178" s="84"/>
      <c r="O178" s="58"/>
      <c r="P178" s="84"/>
      <c r="Q178" s="58"/>
      <c r="R178" s="84"/>
    </row>
    <row r="179">
      <c r="A179" s="58"/>
      <c r="B179" s="84"/>
      <c r="C179" s="58"/>
      <c r="D179" s="84"/>
      <c r="E179" s="58"/>
      <c r="F179" s="84"/>
      <c r="G179" s="58"/>
      <c r="H179" s="84"/>
      <c r="I179" s="58"/>
      <c r="J179" s="84"/>
      <c r="K179" s="58"/>
      <c r="L179" s="84"/>
      <c r="M179" s="58"/>
      <c r="N179" s="84"/>
      <c r="O179" s="58"/>
      <c r="P179" s="84"/>
      <c r="Q179" s="58"/>
      <c r="R179" s="84"/>
    </row>
    <row r="180">
      <c r="A180" s="58"/>
      <c r="B180" s="84"/>
      <c r="C180" s="58"/>
      <c r="D180" s="84"/>
      <c r="E180" s="58"/>
      <c r="F180" s="84"/>
      <c r="G180" s="58"/>
      <c r="H180" s="84"/>
      <c r="I180" s="58"/>
      <c r="J180" s="84"/>
      <c r="K180" s="58"/>
      <c r="L180" s="84"/>
      <c r="M180" s="58"/>
      <c r="N180" s="84"/>
      <c r="O180" s="58"/>
      <c r="P180" s="84"/>
      <c r="Q180" s="58"/>
      <c r="R180" s="84"/>
    </row>
    <row r="181">
      <c r="A181" s="58"/>
      <c r="B181" s="84"/>
      <c r="C181" s="58"/>
      <c r="D181" s="84"/>
      <c r="E181" s="58"/>
      <c r="F181" s="84"/>
      <c r="G181" s="58"/>
      <c r="H181" s="84"/>
      <c r="I181" s="58"/>
      <c r="J181" s="84"/>
      <c r="K181" s="58"/>
      <c r="L181" s="84"/>
      <c r="M181" s="58"/>
      <c r="N181" s="84"/>
      <c r="O181" s="58"/>
      <c r="P181" s="84"/>
      <c r="Q181" s="58"/>
      <c r="R181" s="84"/>
    </row>
    <row r="182">
      <c r="A182" s="58"/>
      <c r="B182" s="84"/>
      <c r="C182" s="58"/>
      <c r="D182" s="84"/>
      <c r="E182" s="58"/>
      <c r="F182" s="84"/>
      <c r="G182" s="58"/>
      <c r="H182" s="84"/>
      <c r="I182" s="58"/>
      <c r="J182" s="84"/>
      <c r="K182" s="58"/>
      <c r="L182" s="84"/>
      <c r="M182" s="58"/>
      <c r="N182" s="84"/>
      <c r="O182" s="58"/>
      <c r="P182" s="84"/>
      <c r="Q182" s="58"/>
      <c r="R182" s="84"/>
    </row>
    <row r="183">
      <c r="A183" s="58"/>
      <c r="B183" s="84"/>
      <c r="C183" s="58"/>
      <c r="D183" s="84"/>
      <c r="E183" s="58"/>
      <c r="F183" s="84"/>
      <c r="G183" s="58"/>
      <c r="H183" s="84"/>
      <c r="I183" s="58"/>
      <c r="J183" s="84"/>
      <c r="K183" s="58"/>
      <c r="L183" s="84"/>
      <c r="M183" s="58"/>
      <c r="N183" s="84"/>
      <c r="O183" s="58"/>
      <c r="P183" s="84"/>
      <c r="Q183" s="58"/>
      <c r="R183" s="84"/>
    </row>
    <row r="184">
      <c r="A184" s="58"/>
      <c r="B184" s="84"/>
      <c r="C184" s="58"/>
      <c r="D184" s="84"/>
      <c r="E184" s="58"/>
      <c r="F184" s="84"/>
      <c r="G184" s="58"/>
      <c r="H184" s="84"/>
      <c r="I184" s="58"/>
      <c r="J184" s="84"/>
      <c r="K184" s="58"/>
      <c r="L184" s="84"/>
      <c r="M184" s="58"/>
      <c r="N184" s="84"/>
      <c r="O184" s="58"/>
      <c r="P184" s="84"/>
      <c r="Q184" s="58"/>
      <c r="R184" s="84"/>
    </row>
    <row r="185">
      <c r="A185" s="58"/>
      <c r="B185" s="84"/>
      <c r="C185" s="58"/>
      <c r="D185" s="84"/>
      <c r="E185" s="58"/>
      <c r="F185" s="84"/>
      <c r="G185" s="58"/>
      <c r="H185" s="84"/>
      <c r="I185" s="58"/>
      <c r="J185" s="84"/>
      <c r="K185" s="58"/>
      <c r="L185" s="84"/>
      <c r="M185" s="58"/>
      <c r="N185" s="84"/>
      <c r="O185" s="58"/>
      <c r="P185" s="84"/>
      <c r="Q185" s="58"/>
      <c r="R185" s="84"/>
    </row>
    <row r="186">
      <c r="A186" s="58"/>
      <c r="B186" s="84"/>
      <c r="C186" s="58"/>
      <c r="D186" s="84"/>
      <c r="E186" s="58"/>
      <c r="F186" s="84"/>
      <c r="G186" s="58"/>
      <c r="H186" s="84"/>
      <c r="I186" s="58"/>
      <c r="J186" s="84"/>
      <c r="K186" s="58"/>
      <c r="L186" s="84"/>
      <c r="M186" s="58"/>
      <c r="N186" s="84"/>
      <c r="O186" s="58"/>
      <c r="P186" s="84"/>
      <c r="Q186" s="58"/>
      <c r="R186" s="84"/>
    </row>
    <row r="187">
      <c r="A187" s="58"/>
      <c r="B187" s="84"/>
      <c r="C187" s="58"/>
      <c r="D187" s="84"/>
      <c r="E187" s="58"/>
      <c r="F187" s="84"/>
      <c r="G187" s="58"/>
      <c r="H187" s="84"/>
      <c r="I187" s="58"/>
      <c r="J187" s="84"/>
      <c r="K187" s="58"/>
      <c r="L187" s="84"/>
      <c r="M187" s="58"/>
      <c r="N187" s="84"/>
      <c r="O187" s="58"/>
      <c r="P187" s="84"/>
      <c r="Q187" s="58"/>
      <c r="R187" s="84"/>
    </row>
    <row r="188">
      <c r="A188" s="58"/>
      <c r="B188" s="84"/>
      <c r="C188" s="58"/>
      <c r="D188" s="84"/>
      <c r="E188" s="58"/>
      <c r="F188" s="84"/>
      <c r="G188" s="58"/>
      <c r="H188" s="84"/>
      <c r="I188" s="58"/>
      <c r="J188" s="84"/>
      <c r="K188" s="58"/>
      <c r="L188" s="84"/>
      <c r="M188" s="58"/>
      <c r="N188" s="84"/>
      <c r="O188" s="58"/>
      <c r="P188" s="84"/>
      <c r="Q188" s="58"/>
      <c r="R188" s="84"/>
    </row>
    <row r="189">
      <c r="A189" s="58"/>
      <c r="B189" s="84"/>
      <c r="C189" s="58"/>
      <c r="D189" s="84"/>
      <c r="E189" s="58"/>
      <c r="F189" s="84"/>
      <c r="G189" s="58"/>
      <c r="H189" s="84"/>
      <c r="I189" s="58"/>
      <c r="J189" s="84"/>
      <c r="K189" s="58"/>
      <c r="L189" s="84"/>
      <c r="M189" s="58"/>
      <c r="N189" s="84"/>
      <c r="O189" s="58"/>
      <c r="P189" s="84"/>
      <c r="Q189" s="58"/>
      <c r="R189" s="84"/>
    </row>
    <row r="190">
      <c r="A190" s="58"/>
      <c r="B190" s="84"/>
      <c r="C190" s="58"/>
      <c r="D190" s="84"/>
      <c r="E190" s="58"/>
      <c r="F190" s="84"/>
      <c r="G190" s="58"/>
      <c r="H190" s="84"/>
      <c r="I190" s="58"/>
      <c r="J190" s="84"/>
      <c r="K190" s="58"/>
      <c r="L190" s="84"/>
      <c r="M190" s="58"/>
      <c r="N190" s="84"/>
      <c r="O190" s="58"/>
      <c r="P190" s="84"/>
      <c r="Q190" s="58"/>
      <c r="R190" s="84"/>
    </row>
    <row r="191">
      <c r="A191" s="58"/>
      <c r="B191" s="84"/>
      <c r="C191" s="58"/>
      <c r="D191" s="84"/>
      <c r="E191" s="58"/>
      <c r="F191" s="84"/>
      <c r="G191" s="58"/>
      <c r="H191" s="84"/>
      <c r="I191" s="58"/>
      <c r="J191" s="84"/>
      <c r="K191" s="58"/>
      <c r="L191" s="84"/>
      <c r="M191" s="58"/>
      <c r="N191" s="84"/>
      <c r="O191" s="58"/>
      <c r="P191" s="84"/>
      <c r="Q191" s="58"/>
      <c r="R191" s="84"/>
    </row>
    <row r="192">
      <c r="A192" s="58"/>
      <c r="B192" s="84"/>
      <c r="C192" s="58"/>
      <c r="D192" s="84"/>
      <c r="E192" s="58"/>
      <c r="F192" s="84"/>
      <c r="G192" s="58"/>
      <c r="H192" s="84"/>
      <c r="I192" s="58"/>
      <c r="J192" s="84"/>
      <c r="K192" s="58"/>
      <c r="L192" s="84"/>
      <c r="M192" s="58"/>
      <c r="N192" s="84"/>
      <c r="O192" s="58"/>
      <c r="P192" s="84"/>
      <c r="Q192" s="58"/>
      <c r="R192" s="84"/>
    </row>
    <row r="193">
      <c r="A193" s="58"/>
      <c r="B193" s="84"/>
      <c r="C193" s="58"/>
      <c r="D193" s="84"/>
      <c r="E193" s="58"/>
      <c r="F193" s="84"/>
      <c r="G193" s="58"/>
      <c r="H193" s="84"/>
      <c r="I193" s="58"/>
      <c r="J193" s="84"/>
      <c r="K193" s="58"/>
      <c r="L193" s="84"/>
      <c r="M193" s="58"/>
      <c r="N193" s="84"/>
      <c r="O193" s="58"/>
      <c r="P193" s="84"/>
      <c r="Q193" s="58"/>
      <c r="R193" s="84"/>
    </row>
    <row r="194">
      <c r="A194" s="58"/>
      <c r="B194" s="84"/>
      <c r="C194" s="58"/>
      <c r="D194" s="84"/>
      <c r="E194" s="58"/>
      <c r="F194" s="84"/>
      <c r="G194" s="58"/>
      <c r="H194" s="84"/>
      <c r="I194" s="58"/>
      <c r="J194" s="84"/>
      <c r="K194" s="58"/>
      <c r="L194" s="84"/>
      <c r="M194" s="58"/>
      <c r="N194" s="84"/>
      <c r="O194" s="58"/>
      <c r="P194" s="84"/>
      <c r="Q194" s="58"/>
      <c r="R194" s="84"/>
    </row>
    <row r="195">
      <c r="A195" s="58"/>
      <c r="B195" s="84"/>
      <c r="C195" s="58"/>
      <c r="D195" s="84"/>
      <c r="E195" s="58"/>
      <c r="F195" s="84"/>
      <c r="G195" s="58"/>
      <c r="H195" s="84"/>
      <c r="I195" s="58"/>
      <c r="J195" s="84"/>
      <c r="K195" s="58"/>
      <c r="L195" s="84"/>
      <c r="M195" s="58"/>
      <c r="N195" s="84"/>
      <c r="O195" s="58"/>
      <c r="P195" s="84"/>
      <c r="Q195" s="58"/>
      <c r="R195" s="84"/>
    </row>
    <row r="196">
      <c r="A196" s="58"/>
      <c r="B196" s="84"/>
      <c r="C196" s="58"/>
      <c r="D196" s="84"/>
      <c r="E196" s="58"/>
      <c r="F196" s="84"/>
      <c r="G196" s="58"/>
      <c r="H196" s="84"/>
      <c r="I196" s="58"/>
      <c r="J196" s="84"/>
      <c r="K196" s="58"/>
      <c r="L196" s="84"/>
      <c r="M196" s="58"/>
      <c r="N196" s="84"/>
      <c r="O196" s="58"/>
      <c r="P196" s="84"/>
      <c r="Q196" s="58"/>
      <c r="R196" s="84"/>
    </row>
    <row r="197">
      <c r="A197" s="58"/>
      <c r="B197" s="84"/>
      <c r="C197" s="58"/>
      <c r="D197" s="84"/>
      <c r="E197" s="58"/>
      <c r="F197" s="84"/>
      <c r="G197" s="58"/>
      <c r="H197" s="84"/>
      <c r="I197" s="58"/>
      <c r="J197" s="84"/>
      <c r="K197" s="58"/>
      <c r="L197" s="84"/>
      <c r="M197" s="58"/>
      <c r="N197" s="84"/>
      <c r="O197" s="58"/>
      <c r="P197" s="84"/>
      <c r="Q197" s="58"/>
      <c r="R197" s="84"/>
    </row>
    <row r="198">
      <c r="A198" s="58"/>
      <c r="B198" s="84"/>
      <c r="C198" s="58"/>
      <c r="D198" s="84"/>
      <c r="E198" s="58"/>
      <c r="F198" s="84"/>
      <c r="G198" s="58"/>
      <c r="H198" s="84"/>
      <c r="I198" s="58"/>
      <c r="J198" s="84"/>
      <c r="K198" s="58"/>
      <c r="L198" s="84"/>
      <c r="M198" s="58"/>
      <c r="N198" s="84"/>
      <c r="O198" s="58"/>
      <c r="P198" s="84"/>
      <c r="Q198" s="58"/>
      <c r="R198" s="84"/>
    </row>
    <row r="199">
      <c r="A199" s="58"/>
      <c r="B199" s="84"/>
      <c r="C199" s="58"/>
      <c r="D199" s="84"/>
      <c r="E199" s="58"/>
      <c r="F199" s="84"/>
      <c r="G199" s="58"/>
      <c r="H199" s="84"/>
      <c r="I199" s="58"/>
      <c r="J199" s="84"/>
      <c r="K199" s="58"/>
      <c r="L199" s="84"/>
      <c r="M199" s="58"/>
      <c r="N199" s="84"/>
      <c r="O199" s="58"/>
      <c r="P199" s="84"/>
      <c r="Q199" s="58"/>
      <c r="R199" s="84"/>
    </row>
    <row r="200">
      <c r="A200" s="58"/>
      <c r="B200" s="84"/>
      <c r="C200" s="58"/>
      <c r="D200" s="84"/>
      <c r="E200" s="58"/>
      <c r="F200" s="84"/>
      <c r="G200" s="58"/>
      <c r="H200" s="84"/>
      <c r="I200" s="58"/>
      <c r="J200" s="84"/>
      <c r="K200" s="58"/>
      <c r="L200" s="84"/>
      <c r="M200" s="58"/>
      <c r="N200" s="84"/>
      <c r="O200" s="58"/>
      <c r="P200" s="84"/>
      <c r="Q200" s="58"/>
      <c r="R200" s="84"/>
    </row>
    <row r="201">
      <c r="A201" s="58"/>
      <c r="B201" s="84"/>
      <c r="C201" s="58"/>
      <c r="D201" s="84"/>
      <c r="E201" s="58"/>
      <c r="F201" s="84"/>
      <c r="G201" s="58"/>
      <c r="H201" s="84"/>
      <c r="I201" s="58"/>
      <c r="J201" s="84"/>
      <c r="K201" s="58"/>
      <c r="L201" s="84"/>
      <c r="M201" s="58"/>
      <c r="N201" s="84"/>
      <c r="O201" s="58"/>
      <c r="P201" s="84"/>
      <c r="Q201" s="58"/>
      <c r="R201" s="84"/>
    </row>
    <row r="202">
      <c r="A202" s="58"/>
      <c r="B202" s="84"/>
      <c r="C202" s="58"/>
      <c r="D202" s="84"/>
      <c r="E202" s="58"/>
      <c r="F202" s="84"/>
      <c r="G202" s="58"/>
      <c r="H202" s="84"/>
      <c r="I202" s="58"/>
      <c r="J202" s="84"/>
      <c r="K202" s="58"/>
      <c r="L202" s="84"/>
      <c r="M202" s="58"/>
      <c r="N202" s="84"/>
      <c r="O202" s="58"/>
      <c r="P202" s="84"/>
      <c r="Q202" s="58"/>
      <c r="R202" s="84"/>
    </row>
    <row r="203">
      <c r="A203" s="58"/>
      <c r="B203" s="84"/>
      <c r="C203" s="58"/>
      <c r="D203" s="84"/>
      <c r="E203" s="58"/>
      <c r="F203" s="84"/>
      <c r="G203" s="58"/>
      <c r="H203" s="84"/>
      <c r="I203" s="58"/>
      <c r="J203" s="84"/>
      <c r="K203" s="58"/>
      <c r="L203" s="84"/>
      <c r="M203" s="58"/>
      <c r="N203" s="84"/>
      <c r="O203" s="58"/>
      <c r="P203" s="84"/>
      <c r="Q203" s="58"/>
      <c r="R203" s="84"/>
    </row>
    <row r="204">
      <c r="A204" s="58"/>
      <c r="B204" s="84"/>
      <c r="C204" s="58"/>
      <c r="D204" s="84"/>
      <c r="E204" s="58"/>
      <c r="F204" s="84"/>
      <c r="G204" s="58"/>
      <c r="H204" s="84"/>
      <c r="I204" s="58"/>
      <c r="J204" s="84"/>
      <c r="K204" s="58"/>
      <c r="L204" s="84"/>
      <c r="M204" s="58"/>
      <c r="N204" s="84"/>
      <c r="O204" s="58"/>
      <c r="P204" s="84"/>
      <c r="Q204" s="58"/>
      <c r="R204" s="84"/>
    </row>
    <row r="205">
      <c r="A205" s="58"/>
      <c r="B205" s="84"/>
      <c r="C205" s="58"/>
      <c r="D205" s="84"/>
      <c r="E205" s="58"/>
      <c r="F205" s="84"/>
      <c r="G205" s="58"/>
      <c r="H205" s="84"/>
      <c r="I205" s="58"/>
      <c r="J205" s="84"/>
      <c r="K205" s="58"/>
      <c r="L205" s="84"/>
      <c r="M205" s="58"/>
      <c r="N205" s="84"/>
      <c r="O205" s="58"/>
      <c r="P205" s="84"/>
      <c r="Q205" s="58"/>
      <c r="R205" s="84"/>
    </row>
    <row r="206">
      <c r="A206" s="58"/>
      <c r="B206" s="84"/>
      <c r="C206" s="58"/>
      <c r="D206" s="84"/>
      <c r="E206" s="58"/>
      <c r="F206" s="84"/>
      <c r="G206" s="58"/>
      <c r="H206" s="84"/>
      <c r="I206" s="58"/>
      <c r="J206" s="84"/>
      <c r="K206" s="58"/>
      <c r="L206" s="84"/>
      <c r="M206" s="58"/>
      <c r="N206" s="84"/>
      <c r="O206" s="58"/>
      <c r="P206" s="84"/>
      <c r="Q206" s="58"/>
      <c r="R206" s="84"/>
    </row>
    <row r="207">
      <c r="A207" s="58"/>
      <c r="B207" s="84"/>
      <c r="C207" s="58"/>
      <c r="D207" s="84"/>
      <c r="E207" s="58"/>
      <c r="F207" s="84"/>
      <c r="G207" s="58"/>
      <c r="H207" s="84"/>
      <c r="I207" s="58"/>
      <c r="J207" s="84"/>
      <c r="K207" s="58"/>
      <c r="L207" s="84"/>
      <c r="M207" s="58"/>
      <c r="N207" s="84"/>
      <c r="O207" s="58"/>
      <c r="P207" s="84"/>
      <c r="Q207" s="58"/>
      <c r="R207" s="84"/>
    </row>
    <row r="208">
      <c r="A208" s="58"/>
      <c r="B208" s="84"/>
      <c r="C208" s="58"/>
      <c r="D208" s="84"/>
      <c r="E208" s="58"/>
      <c r="F208" s="84"/>
      <c r="G208" s="58"/>
      <c r="H208" s="84"/>
      <c r="I208" s="58"/>
      <c r="J208" s="84"/>
      <c r="K208" s="58"/>
      <c r="L208" s="84"/>
      <c r="M208" s="58"/>
      <c r="N208" s="84"/>
      <c r="O208" s="58"/>
      <c r="P208" s="84"/>
      <c r="Q208" s="58"/>
      <c r="R208" s="84"/>
    </row>
    <row r="209">
      <c r="A209" s="58"/>
      <c r="B209" s="84"/>
      <c r="C209" s="58"/>
      <c r="D209" s="84"/>
      <c r="E209" s="58"/>
      <c r="F209" s="84"/>
      <c r="G209" s="58"/>
      <c r="H209" s="84"/>
      <c r="I209" s="58"/>
      <c r="J209" s="84"/>
      <c r="K209" s="58"/>
      <c r="L209" s="84"/>
      <c r="M209" s="58"/>
      <c r="N209" s="84"/>
      <c r="O209" s="58"/>
      <c r="P209" s="84"/>
      <c r="Q209" s="58"/>
      <c r="R209" s="84"/>
    </row>
    <row r="210">
      <c r="A210" s="58"/>
      <c r="B210" s="84"/>
      <c r="C210" s="58"/>
      <c r="D210" s="84"/>
      <c r="E210" s="58"/>
      <c r="F210" s="84"/>
      <c r="G210" s="58"/>
      <c r="H210" s="84"/>
      <c r="I210" s="58"/>
      <c r="J210" s="84"/>
      <c r="K210" s="58"/>
      <c r="L210" s="84"/>
      <c r="M210" s="58"/>
      <c r="N210" s="84"/>
      <c r="O210" s="58"/>
      <c r="P210" s="84"/>
      <c r="Q210" s="58"/>
      <c r="R210" s="84"/>
    </row>
    <row r="211">
      <c r="A211" s="58"/>
      <c r="B211" s="84"/>
      <c r="C211" s="58"/>
      <c r="D211" s="84"/>
      <c r="E211" s="58"/>
      <c r="F211" s="84"/>
      <c r="G211" s="58"/>
      <c r="H211" s="84"/>
      <c r="I211" s="58"/>
      <c r="J211" s="84"/>
      <c r="K211" s="58"/>
      <c r="L211" s="84"/>
      <c r="M211" s="58"/>
      <c r="N211" s="84"/>
      <c r="O211" s="58"/>
      <c r="P211" s="84"/>
      <c r="Q211" s="58"/>
      <c r="R211" s="84"/>
    </row>
    <row r="212">
      <c r="A212" s="58"/>
      <c r="B212" s="84"/>
      <c r="C212" s="58"/>
      <c r="D212" s="84"/>
      <c r="E212" s="58"/>
      <c r="F212" s="84"/>
      <c r="G212" s="58"/>
      <c r="H212" s="84"/>
      <c r="I212" s="58"/>
      <c r="J212" s="84"/>
      <c r="K212" s="58"/>
      <c r="L212" s="84"/>
      <c r="M212" s="58"/>
      <c r="N212" s="84"/>
      <c r="O212" s="58"/>
      <c r="P212" s="84"/>
      <c r="Q212" s="58"/>
      <c r="R212" s="84"/>
    </row>
    <row r="213">
      <c r="A213" s="58"/>
      <c r="B213" s="84"/>
      <c r="C213" s="58"/>
      <c r="D213" s="84"/>
      <c r="E213" s="58"/>
      <c r="F213" s="84"/>
      <c r="G213" s="58"/>
      <c r="H213" s="84"/>
      <c r="I213" s="58"/>
      <c r="J213" s="84"/>
      <c r="K213" s="58"/>
      <c r="L213" s="84"/>
      <c r="M213" s="58"/>
      <c r="N213" s="84"/>
      <c r="O213" s="58"/>
      <c r="P213" s="84"/>
      <c r="Q213" s="58"/>
      <c r="R213" s="84"/>
    </row>
    <row r="214">
      <c r="A214" s="58"/>
      <c r="B214" s="84"/>
      <c r="C214" s="58"/>
      <c r="D214" s="84"/>
      <c r="E214" s="58"/>
      <c r="F214" s="84"/>
      <c r="G214" s="58"/>
      <c r="H214" s="84"/>
      <c r="I214" s="58"/>
      <c r="J214" s="84"/>
      <c r="K214" s="58"/>
      <c r="L214" s="84"/>
      <c r="M214" s="58"/>
      <c r="N214" s="84"/>
      <c r="O214" s="58"/>
      <c r="P214" s="84"/>
      <c r="Q214" s="58"/>
      <c r="R214" s="84"/>
    </row>
    <row r="215">
      <c r="A215" s="58"/>
      <c r="B215" s="84"/>
      <c r="C215" s="58"/>
      <c r="D215" s="84"/>
      <c r="E215" s="58"/>
      <c r="F215" s="84"/>
      <c r="G215" s="58"/>
      <c r="H215" s="84"/>
      <c r="I215" s="58"/>
      <c r="J215" s="84"/>
      <c r="K215" s="58"/>
      <c r="L215" s="84"/>
      <c r="M215" s="58"/>
      <c r="N215" s="84"/>
      <c r="O215" s="58"/>
      <c r="P215" s="84"/>
      <c r="Q215" s="58"/>
      <c r="R215" s="84"/>
    </row>
    <row r="216">
      <c r="A216" s="58"/>
      <c r="B216" s="84"/>
      <c r="C216" s="58"/>
      <c r="D216" s="84"/>
      <c r="E216" s="58"/>
      <c r="F216" s="84"/>
      <c r="G216" s="58"/>
      <c r="H216" s="84"/>
      <c r="I216" s="58"/>
      <c r="J216" s="84"/>
      <c r="K216" s="58"/>
      <c r="L216" s="84"/>
      <c r="M216" s="58"/>
      <c r="N216" s="84"/>
      <c r="O216" s="58"/>
      <c r="P216" s="84"/>
      <c r="Q216" s="58"/>
      <c r="R216" s="84"/>
    </row>
    <row r="217">
      <c r="A217" s="58"/>
      <c r="B217" s="84"/>
      <c r="C217" s="58"/>
      <c r="D217" s="84"/>
      <c r="E217" s="58"/>
      <c r="F217" s="84"/>
      <c r="G217" s="58"/>
      <c r="H217" s="84"/>
      <c r="I217" s="58"/>
      <c r="J217" s="84"/>
      <c r="K217" s="58"/>
      <c r="L217" s="84"/>
      <c r="M217" s="58"/>
      <c r="N217" s="84"/>
      <c r="O217" s="58"/>
      <c r="P217" s="84"/>
      <c r="Q217" s="58"/>
      <c r="R217" s="84"/>
    </row>
    <row r="218">
      <c r="A218" s="58"/>
      <c r="B218" s="84"/>
      <c r="C218" s="58"/>
      <c r="D218" s="84"/>
      <c r="E218" s="58"/>
      <c r="F218" s="84"/>
      <c r="G218" s="58"/>
      <c r="H218" s="84"/>
      <c r="I218" s="58"/>
      <c r="J218" s="84"/>
      <c r="K218" s="58"/>
      <c r="L218" s="84"/>
      <c r="M218" s="58"/>
      <c r="N218" s="84"/>
      <c r="O218" s="58"/>
      <c r="P218" s="84"/>
      <c r="Q218" s="58"/>
      <c r="R218" s="84"/>
    </row>
    <row r="219">
      <c r="A219" s="58"/>
      <c r="B219" s="84"/>
      <c r="C219" s="58"/>
      <c r="D219" s="84"/>
      <c r="E219" s="58"/>
      <c r="F219" s="84"/>
      <c r="G219" s="58"/>
      <c r="H219" s="84"/>
      <c r="I219" s="58"/>
      <c r="J219" s="84"/>
      <c r="K219" s="58"/>
      <c r="L219" s="84"/>
      <c r="M219" s="58"/>
      <c r="N219" s="84"/>
      <c r="O219" s="58"/>
      <c r="P219" s="84"/>
      <c r="Q219" s="58"/>
      <c r="R219" s="84"/>
    </row>
    <row r="220">
      <c r="A220" s="58"/>
      <c r="B220" s="84"/>
      <c r="C220" s="58"/>
      <c r="D220" s="84"/>
      <c r="E220" s="58"/>
      <c r="F220" s="84"/>
      <c r="G220" s="58"/>
      <c r="H220" s="84"/>
      <c r="I220" s="58"/>
      <c r="J220" s="84"/>
      <c r="K220" s="58"/>
      <c r="L220" s="84"/>
      <c r="M220" s="58"/>
      <c r="N220" s="84"/>
      <c r="O220" s="58"/>
      <c r="P220" s="84"/>
      <c r="Q220" s="58"/>
      <c r="R220" s="84"/>
    </row>
    <row r="221">
      <c r="A221" s="58"/>
      <c r="B221" s="84"/>
      <c r="C221" s="58"/>
      <c r="D221" s="84"/>
      <c r="E221" s="58"/>
      <c r="F221" s="84"/>
      <c r="G221" s="58"/>
      <c r="H221" s="84"/>
      <c r="I221" s="58"/>
      <c r="J221" s="84"/>
      <c r="K221" s="58"/>
      <c r="L221" s="84"/>
      <c r="M221" s="58"/>
      <c r="N221" s="84"/>
      <c r="O221" s="58"/>
      <c r="P221" s="84"/>
      <c r="Q221" s="58"/>
      <c r="R221" s="84"/>
    </row>
    <row r="222">
      <c r="A222" s="58"/>
      <c r="B222" s="84"/>
      <c r="C222" s="58"/>
      <c r="D222" s="84"/>
      <c r="E222" s="58"/>
      <c r="F222" s="84"/>
      <c r="G222" s="58"/>
      <c r="H222" s="84"/>
      <c r="I222" s="58"/>
      <c r="J222" s="84"/>
      <c r="K222" s="58"/>
      <c r="L222" s="84"/>
      <c r="M222" s="58"/>
      <c r="N222" s="84"/>
      <c r="O222" s="58"/>
      <c r="P222" s="84"/>
      <c r="Q222" s="58"/>
      <c r="R222" s="84"/>
    </row>
    <row r="223">
      <c r="A223" s="58"/>
      <c r="B223" s="84"/>
      <c r="C223" s="58"/>
      <c r="D223" s="84"/>
      <c r="E223" s="58"/>
      <c r="F223" s="84"/>
      <c r="G223" s="58"/>
      <c r="H223" s="84"/>
      <c r="I223" s="58"/>
      <c r="J223" s="84"/>
      <c r="K223" s="58"/>
      <c r="L223" s="84"/>
      <c r="M223" s="58"/>
      <c r="N223" s="84"/>
      <c r="O223" s="58"/>
      <c r="P223" s="84"/>
      <c r="Q223" s="58"/>
      <c r="R223" s="84"/>
    </row>
    <row r="224">
      <c r="A224" s="58"/>
      <c r="B224" s="84"/>
      <c r="C224" s="58"/>
      <c r="D224" s="84"/>
      <c r="E224" s="58"/>
      <c r="F224" s="84"/>
      <c r="G224" s="58"/>
      <c r="H224" s="84"/>
      <c r="I224" s="58"/>
      <c r="J224" s="84"/>
      <c r="K224" s="58"/>
      <c r="L224" s="84"/>
      <c r="M224" s="58"/>
      <c r="N224" s="84"/>
      <c r="O224" s="58"/>
      <c r="P224" s="84"/>
      <c r="Q224" s="58"/>
      <c r="R224" s="84"/>
    </row>
    <row r="225">
      <c r="A225" s="58"/>
      <c r="B225" s="84"/>
      <c r="C225" s="58"/>
      <c r="D225" s="84"/>
      <c r="E225" s="58"/>
      <c r="F225" s="84"/>
      <c r="G225" s="58"/>
      <c r="H225" s="84"/>
      <c r="I225" s="58"/>
      <c r="J225" s="84"/>
      <c r="K225" s="58"/>
      <c r="L225" s="84"/>
      <c r="M225" s="58"/>
      <c r="N225" s="84"/>
      <c r="O225" s="58"/>
      <c r="P225" s="84"/>
      <c r="Q225" s="58"/>
      <c r="R225" s="84"/>
    </row>
    <row r="226">
      <c r="A226" s="58"/>
      <c r="B226" s="84"/>
      <c r="C226" s="58"/>
      <c r="D226" s="84"/>
      <c r="E226" s="58"/>
      <c r="F226" s="84"/>
      <c r="G226" s="58"/>
      <c r="H226" s="84"/>
      <c r="I226" s="58"/>
      <c r="J226" s="84"/>
      <c r="K226" s="58"/>
      <c r="L226" s="84"/>
      <c r="M226" s="58"/>
      <c r="N226" s="84"/>
      <c r="O226" s="58"/>
      <c r="P226" s="84"/>
      <c r="Q226" s="58"/>
      <c r="R226" s="84"/>
    </row>
    <row r="227">
      <c r="A227" s="58"/>
      <c r="B227" s="84"/>
      <c r="C227" s="58"/>
      <c r="D227" s="84"/>
      <c r="E227" s="58"/>
      <c r="F227" s="84"/>
      <c r="G227" s="58"/>
      <c r="H227" s="84"/>
      <c r="I227" s="58"/>
      <c r="J227" s="84"/>
      <c r="K227" s="58"/>
      <c r="L227" s="84"/>
      <c r="M227" s="58"/>
      <c r="N227" s="84"/>
      <c r="O227" s="58"/>
      <c r="P227" s="84"/>
      <c r="Q227" s="58"/>
      <c r="R227" s="84"/>
    </row>
    <row r="228">
      <c r="A228" s="58"/>
      <c r="B228" s="84"/>
      <c r="C228" s="58"/>
      <c r="D228" s="84"/>
      <c r="E228" s="58"/>
      <c r="F228" s="84"/>
      <c r="G228" s="58"/>
      <c r="H228" s="84"/>
      <c r="I228" s="58"/>
      <c r="J228" s="84"/>
      <c r="K228" s="58"/>
      <c r="L228" s="84"/>
      <c r="M228" s="58"/>
      <c r="N228" s="84"/>
      <c r="O228" s="58"/>
      <c r="P228" s="84"/>
      <c r="Q228" s="58"/>
      <c r="R228" s="84"/>
    </row>
    <row r="229">
      <c r="A229" s="58"/>
      <c r="B229" s="84"/>
      <c r="C229" s="58"/>
      <c r="D229" s="84"/>
      <c r="E229" s="58"/>
      <c r="F229" s="84"/>
      <c r="G229" s="58"/>
      <c r="H229" s="84"/>
      <c r="I229" s="58"/>
      <c r="J229" s="84"/>
      <c r="K229" s="58"/>
      <c r="L229" s="84"/>
      <c r="M229" s="58"/>
      <c r="N229" s="84"/>
      <c r="O229" s="58"/>
      <c r="P229" s="84"/>
      <c r="Q229" s="58"/>
      <c r="R229" s="84"/>
    </row>
    <row r="230">
      <c r="A230" s="58"/>
      <c r="B230" s="84"/>
      <c r="C230" s="58"/>
      <c r="D230" s="84"/>
      <c r="E230" s="58"/>
      <c r="F230" s="84"/>
      <c r="G230" s="58"/>
      <c r="H230" s="84"/>
      <c r="I230" s="58"/>
      <c r="J230" s="84"/>
      <c r="K230" s="58"/>
      <c r="L230" s="84"/>
      <c r="M230" s="58"/>
      <c r="N230" s="84"/>
      <c r="O230" s="58"/>
      <c r="P230" s="84"/>
      <c r="Q230" s="58"/>
      <c r="R230" s="84"/>
    </row>
    <row r="231">
      <c r="A231" s="58"/>
      <c r="B231" s="84"/>
      <c r="C231" s="58"/>
      <c r="D231" s="84"/>
      <c r="E231" s="58"/>
      <c r="F231" s="84"/>
      <c r="G231" s="58"/>
      <c r="H231" s="84"/>
      <c r="I231" s="58"/>
      <c r="J231" s="84"/>
      <c r="K231" s="58"/>
      <c r="L231" s="84"/>
      <c r="M231" s="58"/>
      <c r="N231" s="84"/>
      <c r="O231" s="58"/>
      <c r="P231" s="84"/>
      <c r="Q231" s="58"/>
      <c r="R231" s="84"/>
    </row>
    <row r="232">
      <c r="A232" s="58"/>
      <c r="B232" s="84"/>
      <c r="C232" s="58"/>
      <c r="D232" s="84"/>
      <c r="E232" s="58"/>
      <c r="F232" s="84"/>
      <c r="G232" s="58"/>
      <c r="H232" s="84"/>
      <c r="I232" s="58"/>
      <c r="J232" s="84"/>
      <c r="K232" s="58"/>
      <c r="L232" s="84"/>
      <c r="M232" s="58"/>
      <c r="N232" s="84"/>
      <c r="O232" s="58"/>
      <c r="P232" s="84"/>
      <c r="Q232" s="58"/>
      <c r="R232" s="84"/>
    </row>
    <row r="233">
      <c r="A233" s="58"/>
      <c r="B233" s="84"/>
      <c r="C233" s="58"/>
      <c r="D233" s="84"/>
      <c r="E233" s="58"/>
      <c r="F233" s="84"/>
      <c r="G233" s="58"/>
      <c r="H233" s="84"/>
      <c r="I233" s="58"/>
      <c r="J233" s="84"/>
      <c r="K233" s="58"/>
      <c r="L233" s="84"/>
      <c r="M233" s="58"/>
      <c r="N233" s="84"/>
      <c r="O233" s="58"/>
      <c r="P233" s="84"/>
      <c r="Q233" s="58"/>
      <c r="R233" s="84"/>
    </row>
    <row r="234">
      <c r="A234" s="58"/>
      <c r="B234" s="84"/>
      <c r="C234" s="58"/>
      <c r="D234" s="84"/>
      <c r="E234" s="58"/>
      <c r="F234" s="84"/>
      <c r="G234" s="58"/>
      <c r="H234" s="84"/>
      <c r="I234" s="58"/>
      <c r="J234" s="84"/>
      <c r="K234" s="58"/>
      <c r="L234" s="84"/>
      <c r="M234" s="58"/>
      <c r="N234" s="84"/>
      <c r="O234" s="58"/>
      <c r="P234" s="84"/>
      <c r="Q234" s="58"/>
      <c r="R234" s="84"/>
    </row>
    <row r="235">
      <c r="A235" s="58"/>
      <c r="B235" s="84"/>
      <c r="C235" s="58"/>
      <c r="D235" s="84"/>
      <c r="E235" s="58"/>
      <c r="F235" s="84"/>
      <c r="G235" s="58"/>
      <c r="H235" s="84"/>
      <c r="I235" s="58"/>
      <c r="J235" s="84"/>
      <c r="K235" s="58"/>
      <c r="L235" s="84"/>
      <c r="M235" s="58"/>
      <c r="N235" s="84"/>
      <c r="O235" s="58"/>
      <c r="P235" s="84"/>
      <c r="Q235" s="58"/>
      <c r="R235" s="84"/>
    </row>
    <row r="236">
      <c r="A236" s="58"/>
      <c r="B236" s="84"/>
      <c r="C236" s="58"/>
      <c r="D236" s="84"/>
      <c r="E236" s="58"/>
      <c r="F236" s="84"/>
      <c r="G236" s="58"/>
      <c r="H236" s="84"/>
      <c r="I236" s="58"/>
      <c r="J236" s="84"/>
      <c r="K236" s="58"/>
      <c r="L236" s="84"/>
      <c r="M236" s="58"/>
      <c r="N236" s="84"/>
      <c r="O236" s="58"/>
      <c r="P236" s="84"/>
      <c r="Q236" s="58"/>
      <c r="R236" s="84"/>
    </row>
    <row r="237">
      <c r="A237" s="58"/>
      <c r="B237" s="84"/>
      <c r="C237" s="58"/>
      <c r="D237" s="84"/>
      <c r="E237" s="58"/>
      <c r="F237" s="84"/>
      <c r="G237" s="58"/>
      <c r="H237" s="84"/>
      <c r="I237" s="58"/>
      <c r="J237" s="84"/>
      <c r="K237" s="58"/>
      <c r="L237" s="84"/>
      <c r="M237" s="58"/>
      <c r="N237" s="84"/>
      <c r="O237" s="58"/>
      <c r="P237" s="84"/>
      <c r="Q237" s="58"/>
      <c r="R237" s="84"/>
    </row>
    <row r="238">
      <c r="A238" s="58"/>
      <c r="B238" s="84"/>
      <c r="C238" s="58"/>
      <c r="D238" s="84"/>
      <c r="E238" s="58"/>
      <c r="F238" s="84"/>
      <c r="G238" s="58"/>
      <c r="H238" s="84"/>
      <c r="I238" s="58"/>
      <c r="J238" s="84"/>
      <c r="K238" s="58"/>
      <c r="L238" s="84"/>
      <c r="M238" s="58"/>
      <c r="N238" s="84"/>
      <c r="O238" s="58"/>
      <c r="P238" s="84"/>
      <c r="Q238" s="58"/>
      <c r="R238" s="84"/>
    </row>
    <row r="239">
      <c r="A239" s="58"/>
      <c r="B239" s="84"/>
      <c r="C239" s="58"/>
      <c r="D239" s="84"/>
      <c r="E239" s="58"/>
      <c r="F239" s="84"/>
      <c r="G239" s="58"/>
      <c r="H239" s="84"/>
      <c r="I239" s="58"/>
      <c r="J239" s="84"/>
      <c r="K239" s="58"/>
      <c r="L239" s="84"/>
      <c r="M239" s="58"/>
      <c r="N239" s="84"/>
      <c r="O239" s="58"/>
      <c r="P239" s="84"/>
      <c r="Q239" s="58"/>
      <c r="R239" s="84"/>
    </row>
    <row r="240">
      <c r="A240" s="58"/>
      <c r="B240" s="84"/>
      <c r="C240" s="58"/>
      <c r="D240" s="84"/>
      <c r="E240" s="58"/>
      <c r="F240" s="84"/>
      <c r="G240" s="58"/>
      <c r="H240" s="84"/>
      <c r="I240" s="58"/>
      <c r="J240" s="84"/>
      <c r="K240" s="58"/>
      <c r="L240" s="84"/>
      <c r="M240" s="58"/>
      <c r="N240" s="84"/>
      <c r="O240" s="58"/>
      <c r="P240" s="84"/>
      <c r="Q240" s="58"/>
      <c r="R240" s="84"/>
    </row>
    <row r="241">
      <c r="A241" s="58"/>
      <c r="B241" s="84"/>
      <c r="C241" s="58"/>
      <c r="D241" s="84"/>
      <c r="E241" s="58"/>
      <c r="F241" s="84"/>
      <c r="G241" s="58"/>
      <c r="H241" s="84"/>
      <c r="I241" s="58"/>
      <c r="J241" s="84"/>
      <c r="K241" s="58"/>
      <c r="L241" s="84"/>
      <c r="M241" s="58"/>
      <c r="N241" s="84"/>
      <c r="O241" s="58"/>
      <c r="P241" s="84"/>
      <c r="Q241" s="58"/>
      <c r="R241" s="84"/>
    </row>
    <row r="242">
      <c r="A242" s="58"/>
      <c r="B242" s="84"/>
      <c r="C242" s="58"/>
      <c r="D242" s="84"/>
      <c r="E242" s="58"/>
      <c r="F242" s="84"/>
      <c r="G242" s="58"/>
      <c r="H242" s="84"/>
      <c r="I242" s="58"/>
      <c r="J242" s="84"/>
      <c r="K242" s="58"/>
      <c r="L242" s="84"/>
      <c r="M242" s="58"/>
      <c r="N242" s="84"/>
      <c r="O242" s="58"/>
      <c r="P242" s="84"/>
      <c r="Q242" s="58"/>
      <c r="R242" s="84"/>
    </row>
    <row r="243">
      <c r="A243" s="58"/>
      <c r="B243" s="84"/>
      <c r="C243" s="58"/>
      <c r="D243" s="84"/>
      <c r="E243" s="58"/>
      <c r="F243" s="84"/>
      <c r="G243" s="58"/>
      <c r="H243" s="84"/>
      <c r="I243" s="58"/>
      <c r="J243" s="84"/>
      <c r="K243" s="58"/>
      <c r="L243" s="84"/>
      <c r="M243" s="58"/>
      <c r="N243" s="84"/>
      <c r="O243" s="58"/>
      <c r="P243" s="84"/>
      <c r="Q243" s="58"/>
      <c r="R243" s="84"/>
    </row>
    <row r="244">
      <c r="A244" s="58"/>
      <c r="B244" s="84"/>
      <c r="C244" s="58"/>
      <c r="D244" s="84"/>
      <c r="E244" s="58"/>
      <c r="F244" s="84"/>
      <c r="G244" s="58"/>
      <c r="H244" s="84"/>
      <c r="I244" s="58"/>
      <c r="J244" s="84"/>
      <c r="K244" s="58"/>
      <c r="L244" s="84"/>
      <c r="M244" s="58"/>
      <c r="N244" s="84"/>
      <c r="O244" s="58"/>
      <c r="P244" s="84"/>
      <c r="Q244" s="58"/>
      <c r="R244" s="84"/>
    </row>
    <row r="245">
      <c r="A245" s="58"/>
      <c r="B245" s="84"/>
      <c r="C245" s="58"/>
      <c r="D245" s="84"/>
      <c r="E245" s="58"/>
      <c r="F245" s="84"/>
      <c r="G245" s="58"/>
      <c r="H245" s="84"/>
      <c r="I245" s="58"/>
      <c r="J245" s="84"/>
      <c r="K245" s="58"/>
      <c r="L245" s="84"/>
      <c r="M245" s="58"/>
      <c r="N245" s="84"/>
      <c r="O245" s="58"/>
      <c r="P245" s="84"/>
      <c r="Q245" s="58"/>
      <c r="R245" s="84"/>
    </row>
    <row r="246">
      <c r="A246" s="58"/>
      <c r="B246" s="84"/>
      <c r="C246" s="58"/>
      <c r="D246" s="84"/>
      <c r="E246" s="58"/>
      <c r="F246" s="84"/>
      <c r="G246" s="58"/>
      <c r="H246" s="84"/>
      <c r="I246" s="58"/>
      <c r="J246" s="84"/>
      <c r="K246" s="58"/>
      <c r="L246" s="84"/>
      <c r="M246" s="58"/>
      <c r="N246" s="84"/>
      <c r="O246" s="58"/>
      <c r="P246" s="84"/>
      <c r="Q246" s="58"/>
      <c r="R246" s="84"/>
    </row>
    <row r="247">
      <c r="A247" s="58"/>
      <c r="B247" s="84"/>
      <c r="C247" s="58"/>
      <c r="D247" s="84"/>
      <c r="E247" s="58"/>
      <c r="F247" s="84"/>
      <c r="G247" s="58"/>
      <c r="H247" s="84"/>
      <c r="I247" s="58"/>
      <c r="J247" s="84"/>
      <c r="K247" s="58"/>
      <c r="L247" s="84"/>
      <c r="M247" s="58"/>
      <c r="N247" s="84"/>
      <c r="O247" s="58"/>
      <c r="P247" s="84"/>
      <c r="Q247" s="58"/>
      <c r="R247" s="84"/>
    </row>
    <row r="248">
      <c r="A248" s="58"/>
      <c r="B248" s="84"/>
      <c r="C248" s="58"/>
      <c r="D248" s="84"/>
      <c r="E248" s="58"/>
      <c r="F248" s="84"/>
      <c r="G248" s="58"/>
      <c r="H248" s="84"/>
      <c r="I248" s="58"/>
      <c r="J248" s="84"/>
      <c r="K248" s="58"/>
      <c r="L248" s="84"/>
      <c r="M248" s="58"/>
      <c r="N248" s="84"/>
      <c r="O248" s="58"/>
      <c r="P248" s="84"/>
      <c r="Q248" s="58"/>
      <c r="R248" s="84"/>
    </row>
    <row r="249">
      <c r="A249" s="58"/>
      <c r="B249" s="84"/>
      <c r="C249" s="58"/>
      <c r="D249" s="84"/>
      <c r="E249" s="58"/>
      <c r="F249" s="84"/>
      <c r="G249" s="58"/>
      <c r="H249" s="84"/>
      <c r="I249" s="58"/>
      <c r="J249" s="84"/>
      <c r="K249" s="58"/>
      <c r="L249" s="84"/>
      <c r="M249" s="58"/>
      <c r="N249" s="84"/>
      <c r="O249" s="58"/>
      <c r="P249" s="84"/>
      <c r="Q249" s="58"/>
      <c r="R249" s="84"/>
    </row>
    <row r="250">
      <c r="A250" s="58"/>
      <c r="B250" s="84"/>
      <c r="C250" s="58"/>
      <c r="D250" s="84"/>
      <c r="E250" s="58"/>
      <c r="F250" s="84"/>
      <c r="G250" s="58"/>
      <c r="H250" s="84"/>
      <c r="I250" s="58"/>
      <c r="J250" s="84"/>
      <c r="K250" s="58"/>
      <c r="L250" s="84"/>
      <c r="M250" s="58"/>
      <c r="N250" s="84"/>
      <c r="O250" s="58"/>
      <c r="P250" s="84"/>
      <c r="Q250" s="58"/>
      <c r="R250" s="84"/>
    </row>
    <row r="251">
      <c r="A251" s="58"/>
      <c r="B251" s="84"/>
      <c r="C251" s="58"/>
      <c r="D251" s="84"/>
      <c r="E251" s="58"/>
      <c r="F251" s="84"/>
      <c r="G251" s="58"/>
      <c r="H251" s="84"/>
      <c r="I251" s="58"/>
      <c r="J251" s="84"/>
      <c r="K251" s="58"/>
      <c r="L251" s="84"/>
      <c r="M251" s="58"/>
      <c r="N251" s="84"/>
      <c r="O251" s="58"/>
      <c r="P251" s="84"/>
      <c r="Q251" s="58"/>
      <c r="R251" s="84"/>
    </row>
    <row r="252">
      <c r="A252" s="58"/>
      <c r="B252" s="84"/>
      <c r="C252" s="58"/>
      <c r="D252" s="84"/>
      <c r="E252" s="58"/>
      <c r="F252" s="84"/>
      <c r="G252" s="58"/>
      <c r="H252" s="84"/>
      <c r="I252" s="58"/>
      <c r="J252" s="84"/>
      <c r="K252" s="58"/>
      <c r="L252" s="84"/>
      <c r="M252" s="58"/>
      <c r="N252" s="84"/>
      <c r="O252" s="58"/>
      <c r="P252" s="84"/>
      <c r="Q252" s="58"/>
      <c r="R252" s="84"/>
    </row>
    <row r="253">
      <c r="A253" s="58"/>
      <c r="B253" s="84"/>
      <c r="C253" s="58"/>
      <c r="D253" s="84"/>
      <c r="E253" s="58"/>
      <c r="F253" s="84"/>
      <c r="G253" s="58"/>
      <c r="H253" s="84"/>
      <c r="I253" s="58"/>
      <c r="J253" s="84"/>
      <c r="K253" s="58"/>
      <c r="L253" s="84"/>
      <c r="M253" s="58"/>
      <c r="N253" s="84"/>
      <c r="O253" s="58"/>
      <c r="P253" s="84"/>
      <c r="Q253" s="58"/>
      <c r="R253" s="84"/>
    </row>
    <row r="254">
      <c r="A254" s="58"/>
      <c r="B254" s="84"/>
      <c r="C254" s="58"/>
      <c r="D254" s="84"/>
      <c r="E254" s="58"/>
      <c r="F254" s="84"/>
      <c r="G254" s="58"/>
      <c r="H254" s="84"/>
      <c r="I254" s="58"/>
      <c r="J254" s="84"/>
      <c r="K254" s="58"/>
      <c r="L254" s="84"/>
      <c r="M254" s="58"/>
      <c r="N254" s="84"/>
      <c r="O254" s="58"/>
      <c r="P254" s="84"/>
      <c r="Q254" s="58"/>
      <c r="R254" s="84"/>
    </row>
    <row r="255">
      <c r="A255" s="58"/>
      <c r="B255" s="84"/>
      <c r="C255" s="58"/>
      <c r="D255" s="84"/>
      <c r="E255" s="58"/>
      <c r="F255" s="84"/>
      <c r="G255" s="58"/>
      <c r="H255" s="84"/>
      <c r="I255" s="58"/>
      <c r="J255" s="84"/>
      <c r="K255" s="58"/>
      <c r="L255" s="84"/>
      <c r="M255" s="58"/>
      <c r="N255" s="84"/>
      <c r="O255" s="58"/>
      <c r="P255" s="84"/>
      <c r="Q255" s="58"/>
      <c r="R255" s="84"/>
    </row>
    <row r="256">
      <c r="A256" s="58"/>
      <c r="B256" s="84"/>
      <c r="C256" s="58"/>
      <c r="D256" s="84"/>
      <c r="E256" s="58"/>
      <c r="F256" s="84"/>
      <c r="G256" s="58"/>
      <c r="H256" s="84"/>
      <c r="I256" s="58"/>
      <c r="J256" s="84"/>
      <c r="K256" s="58"/>
      <c r="L256" s="84"/>
      <c r="M256" s="58"/>
      <c r="N256" s="84"/>
      <c r="O256" s="58"/>
      <c r="P256" s="84"/>
      <c r="Q256" s="58"/>
      <c r="R256" s="84"/>
    </row>
    <row r="257">
      <c r="A257" s="58"/>
      <c r="B257" s="84"/>
      <c r="C257" s="58"/>
      <c r="D257" s="84"/>
      <c r="E257" s="58"/>
      <c r="F257" s="84"/>
      <c r="G257" s="58"/>
      <c r="H257" s="84"/>
      <c r="I257" s="58"/>
      <c r="J257" s="84"/>
      <c r="K257" s="58"/>
      <c r="L257" s="84"/>
      <c r="M257" s="58"/>
      <c r="N257" s="84"/>
      <c r="O257" s="58"/>
      <c r="P257" s="84"/>
      <c r="Q257" s="58"/>
      <c r="R257" s="84"/>
    </row>
    <row r="258">
      <c r="A258" s="58"/>
      <c r="B258" s="84"/>
      <c r="C258" s="58"/>
      <c r="D258" s="84"/>
      <c r="E258" s="58"/>
      <c r="F258" s="84"/>
      <c r="G258" s="58"/>
      <c r="H258" s="84"/>
      <c r="I258" s="58"/>
      <c r="J258" s="84"/>
      <c r="K258" s="58"/>
      <c r="L258" s="84"/>
      <c r="M258" s="58"/>
      <c r="N258" s="84"/>
      <c r="O258" s="58"/>
      <c r="P258" s="84"/>
      <c r="Q258" s="58"/>
      <c r="R258" s="84"/>
    </row>
    <row r="259">
      <c r="A259" s="58"/>
      <c r="B259" s="84"/>
      <c r="C259" s="58"/>
      <c r="D259" s="84"/>
      <c r="E259" s="58"/>
      <c r="F259" s="84"/>
      <c r="G259" s="58"/>
      <c r="H259" s="84"/>
      <c r="I259" s="58"/>
      <c r="J259" s="84"/>
      <c r="K259" s="58"/>
      <c r="L259" s="84"/>
      <c r="M259" s="58"/>
      <c r="N259" s="84"/>
      <c r="O259" s="58"/>
      <c r="P259" s="84"/>
      <c r="Q259" s="58"/>
      <c r="R259" s="84"/>
    </row>
    <row r="260">
      <c r="A260" s="58"/>
      <c r="B260" s="84"/>
      <c r="C260" s="58"/>
      <c r="D260" s="84"/>
      <c r="E260" s="58"/>
      <c r="F260" s="84"/>
      <c r="G260" s="58"/>
      <c r="H260" s="84"/>
      <c r="I260" s="58"/>
      <c r="J260" s="84"/>
      <c r="K260" s="58"/>
      <c r="L260" s="84"/>
      <c r="M260" s="58"/>
      <c r="N260" s="84"/>
      <c r="O260" s="58"/>
      <c r="P260" s="84"/>
      <c r="Q260" s="58"/>
      <c r="R260" s="84"/>
    </row>
    <row r="261">
      <c r="A261" s="58"/>
      <c r="B261" s="84"/>
      <c r="C261" s="58"/>
      <c r="D261" s="84"/>
      <c r="E261" s="58"/>
      <c r="F261" s="84"/>
      <c r="G261" s="58"/>
      <c r="H261" s="84"/>
      <c r="I261" s="58"/>
      <c r="J261" s="84"/>
      <c r="K261" s="58"/>
      <c r="L261" s="84"/>
      <c r="M261" s="58"/>
      <c r="N261" s="84"/>
      <c r="O261" s="58"/>
      <c r="P261" s="84"/>
      <c r="Q261" s="58"/>
      <c r="R261" s="84"/>
    </row>
    <row r="262">
      <c r="A262" s="58"/>
      <c r="B262" s="84"/>
      <c r="C262" s="58"/>
      <c r="D262" s="84"/>
      <c r="E262" s="58"/>
      <c r="F262" s="84"/>
      <c r="G262" s="58"/>
      <c r="H262" s="84"/>
      <c r="I262" s="58"/>
      <c r="J262" s="84"/>
      <c r="K262" s="58"/>
      <c r="L262" s="84"/>
      <c r="M262" s="58"/>
      <c r="N262" s="84"/>
      <c r="O262" s="58"/>
      <c r="P262" s="84"/>
      <c r="Q262" s="58"/>
      <c r="R262" s="84"/>
    </row>
    <row r="263">
      <c r="A263" s="58"/>
      <c r="B263" s="84"/>
      <c r="C263" s="58"/>
      <c r="D263" s="84"/>
      <c r="E263" s="58"/>
      <c r="F263" s="84"/>
      <c r="G263" s="58"/>
      <c r="H263" s="84"/>
      <c r="I263" s="58"/>
      <c r="J263" s="84"/>
      <c r="K263" s="58"/>
      <c r="L263" s="84"/>
      <c r="M263" s="58"/>
      <c r="N263" s="84"/>
      <c r="O263" s="58"/>
      <c r="P263" s="84"/>
      <c r="Q263" s="58"/>
      <c r="R263" s="84"/>
    </row>
    <row r="264">
      <c r="A264" s="58"/>
      <c r="B264" s="84"/>
      <c r="C264" s="58"/>
      <c r="D264" s="84"/>
      <c r="E264" s="58"/>
      <c r="F264" s="84"/>
      <c r="G264" s="58"/>
      <c r="H264" s="84"/>
      <c r="I264" s="58"/>
      <c r="J264" s="84"/>
      <c r="K264" s="58"/>
      <c r="L264" s="84"/>
      <c r="M264" s="58"/>
      <c r="N264" s="84"/>
      <c r="O264" s="58"/>
      <c r="P264" s="84"/>
      <c r="Q264" s="58"/>
      <c r="R264" s="84"/>
    </row>
    <row r="265">
      <c r="A265" s="58"/>
      <c r="B265" s="84"/>
      <c r="C265" s="58"/>
      <c r="D265" s="84"/>
      <c r="E265" s="58"/>
      <c r="F265" s="84"/>
      <c r="G265" s="58"/>
      <c r="H265" s="84"/>
      <c r="I265" s="58"/>
      <c r="J265" s="84"/>
      <c r="K265" s="58"/>
      <c r="L265" s="84"/>
      <c r="M265" s="58"/>
      <c r="N265" s="84"/>
      <c r="O265" s="58"/>
      <c r="P265" s="84"/>
      <c r="Q265" s="58"/>
      <c r="R265" s="84"/>
    </row>
    <row r="266">
      <c r="A266" s="58"/>
      <c r="B266" s="84"/>
      <c r="C266" s="58"/>
      <c r="D266" s="84"/>
      <c r="E266" s="58"/>
      <c r="F266" s="84"/>
      <c r="G266" s="58"/>
      <c r="H266" s="84"/>
      <c r="I266" s="58"/>
      <c r="J266" s="84"/>
      <c r="K266" s="58"/>
      <c r="L266" s="84"/>
      <c r="M266" s="58"/>
      <c r="N266" s="84"/>
      <c r="O266" s="58"/>
      <c r="P266" s="84"/>
      <c r="Q266" s="58"/>
      <c r="R266" s="84"/>
    </row>
    <row r="267">
      <c r="A267" s="58"/>
      <c r="B267" s="84"/>
      <c r="C267" s="58"/>
      <c r="D267" s="84"/>
      <c r="E267" s="58"/>
      <c r="F267" s="84"/>
      <c r="G267" s="58"/>
      <c r="H267" s="84"/>
      <c r="I267" s="58"/>
      <c r="J267" s="84"/>
      <c r="K267" s="58"/>
      <c r="L267" s="84"/>
      <c r="M267" s="58"/>
      <c r="N267" s="84"/>
      <c r="O267" s="58"/>
      <c r="P267" s="84"/>
      <c r="Q267" s="58"/>
      <c r="R267" s="84"/>
    </row>
    <row r="268">
      <c r="A268" s="58"/>
      <c r="B268" s="84"/>
      <c r="C268" s="58"/>
      <c r="D268" s="84"/>
      <c r="E268" s="58"/>
      <c r="F268" s="84"/>
      <c r="G268" s="58"/>
      <c r="H268" s="84"/>
      <c r="I268" s="58"/>
      <c r="J268" s="84"/>
      <c r="K268" s="58"/>
      <c r="L268" s="84"/>
      <c r="M268" s="58"/>
      <c r="N268" s="84"/>
      <c r="O268" s="58"/>
      <c r="P268" s="84"/>
      <c r="Q268" s="58"/>
      <c r="R268" s="84"/>
    </row>
    <row r="269">
      <c r="A269" s="58"/>
      <c r="B269" s="84"/>
      <c r="C269" s="58"/>
      <c r="D269" s="84"/>
      <c r="E269" s="58"/>
      <c r="F269" s="84"/>
      <c r="G269" s="58"/>
      <c r="H269" s="84"/>
      <c r="I269" s="58"/>
      <c r="J269" s="84"/>
      <c r="K269" s="58"/>
      <c r="L269" s="84"/>
      <c r="M269" s="58"/>
      <c r="N269" s="84"/>
      <c r="O269" s="58"/>
      <c r="P269" s="84"/>
      <c r="Q269" s="58"/>
      <c r="R269" s="84"/>
    </row>
    <row r="270">
      <c r="A270" s="58"/>
      <c r="B270" s="84"/>
      <c r="C270" s="58"/>
      <c r="D270" s="84"/>
      <c r="E270" s="58"/>
      <c r="F270" s="84"/>
      <c r="G270" s="58"/>
      <c r="H270" s="84"/>
      <c r="I270" s="58"/>
      <c r="J270" s="84"/>
      <c r="K270" s="58"/>
      <c r="L270" s="84"/>
      <c r="M270" s="58"/>
      <c r="N270" s="84"/>
      <c r="O270" s="58"/>
      <c r="P270" s="84"/>
      <c r="Q270" s="58"/>
      <c r="R270" s="84"/>
    </row>
    <row r="271">
      <c r="A271" s="58"/>
      <c r="B271" s="84"/>
      <c r="C271" s="58"/>
      <c r="D271" s="84"/>
      <c r="E271" s="58"/>
      <c r="F271" s="84"/>
      <c r="G271" s="58"/>
      <c r="H271" s="84"/>
      <c r="I271" s="58"/>
      <c r="J271" s="84"/>
      <c r="K271" s="58"/>
      <c r="L271" s="84"/>
      <c r="M271" s="58"/>
      <c r="N271" s="84"/>
      <c r="O271" s="58"/>
      <c r="P271" s="84"/>
      <c r="Q271" s="58"/>
      <c r="R271" s="84"/>
    </row>
    <row r="272">
      <c r="A272" s="58"/>
      <c r="B272" s="84"/>
      <c r="C272" s="58"/>
      <c r="D272" s="84"/>
      <c r="E272" s="58"/>
      <c r="F272" s="84"/>
      <c r="G272" s="58"/>
      <c r="H272" s="84"/>
      <c r="I272" s="58"/>
      <c r="J272" s="84"/>
      <c r="K272" s="58"/>
      <c r="L272" s="84"/>
      <c r="M272" s="58"/>
      <c r="N272" s="84"/>
      <c r="O272" s="58"/>
      <c r="P272" s="84"/>
      <c r="Q272" s="58"/>
      <c r="R272" s="84"/>
    </row>
    <row r="273">
      <c r="A273" s="58"/>
      <c r="B273" s="84"/>
      <c r="C273" s="58"/>
      <c r="D273" s="84"/>
      <c r="E273" s="58"/>
      <c r="F273" s="84"/>
      <c r="G273" s="58"/>
      <c r="H273" s="84"/>
      <c r="I273" s="58"/>
      <c r="J273" s="84"/>
      <c r="K273" s="58"/>
      <c r="L273" s="84"/>
      <c r="M273" s="58"/>
      <c r="N273" s="84"/>
      <c r="O273" s="58"/>
      <c r="P273" s="84"/>
      <c r="Q273" s="58"/>
      <c r="R273" s="84"/>
    </row>
    <row r="274">
      <c r="A274" s="58"/>
      <c r="B274" s="84"/>
      <c r="C274" s="58"/>
      <c r="D274" s="84"/>
      <c r="E274" s="58"/>
      <c r="F274" s="84"/>
      <c r="G274" s="58"/>
      <c r="H274" s="84"/>
      <c r="I274" s="58"/>
      <c r="J274" s="84"/>
      <c r="K274" s="58"/>
      <c r="L274" s="84"/>
      <c r="M274" s="58"/>
      <c r="N274" s="84"/>
      <c r="O274" s="58"/>
      <c r="P274" s="84"/>
      <c r="Q274" s="58"/>
      <c r="R274" s="84"/>
    </row>
    <row r="275">
      <c r="A275" s="58"/>
      <c r="B275" s="84"/>
      <c r="C275" s="58"/>
      <c r="D275" s="84"/>
      <c r="E275" s="58"/>
      <c r="F275" s="84"/>
      <c r="G275" s="58"/>
      <c r="H275" s="84"/>
      <c r="I275" s="58"/>
      <c r="J275" s="84"/>
      <c r="K275" s="58"/>
      <c r="L275" s="84"/>
      <c r="M275" s="58"/>
      <c r="N275" s="84"/>
      <c r="O275" s="58"/>
      <c r="P275" s="84"/>
      <c r="Q275" s="58"/>
      <c r="R275" s="84"/>
    </row>
    <row r="276">
      <c r="A276" s="58"/>
      <c r="B276" s="84"/>
      <c r="C276" s="58"/>
      <c r="D276" s="84"/>
      <c r="E276" s="58"/>
      <c r="F276" s="84"/>
      <c r="G276" s="58"/>
      <c r="H276" s="84"/>
      <c r="I276" s="58"/>
      <c r="J276" s="84"/>
      <c r="K276" s="58"/>
      <c r="L276" s="84"/>
      <c r="M276" s="58"/>
      <c r="N276" s="84"/>
      <c r="O276" s="58"/>
      <c r="P276" s="84"/>
      <c r="Q276" s="58"/>
      <c r="R276" s="84"/>
    </row>
    <row r="277">
      <c r="A277" s="58"/>
      <c r="B277" s="84"/>
      <c r="C277" s="58"/>
      <c r="D277" s="84"/>
      <c r="E277" s="58"/>
      <c r="F277" s="84"/>
      <c r="G277" s="58"/>
      <c r="H277" s="84"/>
      <c r="I277" s="58"/>
      <c r="J277" s="84"/>
      <c r="K277" s="58"/>
      <c r="L277" s="84"/>
      <c r="M277" s="58"/>
      <c r="N277" s="84"/>
      <c r="O277" s="58"/>
      <c r="P277" s="84"/>
      <c r="Q277" s="58"/>
      <c r="R277" s="84"/>
    </row>
    <row r="278">
      <c r="A278" s="58"/>
      <c r="B278" s="84"/>
      <c r="C278" s="58"/>
      <c r="D278" s="84"/>
      <c r="E278" s="58"/>
      <c r="F278" s="84"/>
      <c r="G278" s="58"/>
      <c r="H278" s="84"/>
      <c r="I278" s="58"/>
      <c r="J278" s="84"/>
      <c r="K278" s="58"/>
      <c r="L278" s="84"/>
      <c r="M278" s="58"/>
      <c r="N278" s="84"/>
      <c r="O278" s="58"/>
      <c r="P278" s="84"/>
      <c r="Q278" s="58"/>
      <c r="R278" s="84"/>
    </row>
    <row r="279">
      <c r="A279" s="58"/>
      <c r="B279" s="84"/>
      <c r="C279" s="58"/>
      <c r="D279" s="84"/>
      <c r="E279" s="58"/>
      <c r="F279" s="84"/>
      <c r="G279" s="58"/>
      <c r="H279" s="84"/>
      <c r="I279" s="58"/>
      <c r="J279" s="84"/>
      <c r="K279" s="58"/>
      <c r="L279" s="84"/>
      <c r="M279" s="58"/>
      <c r="N279" s="84"/>
      <c r="O279" s="58"/>
      <c r="P279" s="84"/>
      <c r="Q279" s="58"/>
      <c r="R279" s="84"/>
    </row>
    <row r="280">
      <c r="A280" s="58"/>
      <c r="B280" s="84"/>
      <c r="C280" s="58"/>
      <c r="D280" s="84"/>
      <c r="E280" s="58"/>
      <c r="F280" s="84"/>
      <c r="G280" s="58"/>
      <c r="H280" s="84"/>
      <c r="I280" s="58"/>
      <c r="J280" s="84"/>
      <c r="K280" s="58"/>
      <c r="L280" s="84"/>
      <c r="M280" s="58"/>
      <c r="N280" s="84"/>
      <c r="O280" s="58"/>
      <c r="P280" s="84"/>
      <c r="Q280" s="58"/>
      <c r="R280" s="84"/>
    </row>
    <row r="281">
      <c r="A281" s="58"/>
      <c r="B281" s="84"/>
      <c r="C281" s="58"/>
      <c r="D281" s="84"/>
      <c r="E281" s="58"/>
      <c r="F281" s="84"/>
      <c r="G281" s="58"/>
      <c r="H281" s="84"/>
      <c r="I281" s="58"/>
      <c r="J281" s="84"/>
      <c r="K281" s="58"/>
      <c r="L281" s="84"/>
      <c r="M281" s="58"/>
      <c r="N281" s="84"/>
      <c r="O281" s="58"/>
      <c r="P281" s="84"/>
      <c r="Q281" s="58"/>
      <c r="R281" s="84"/>
    </row>
    <row r="282">
      <c r="A282" s="58"/>
      <c r="B282" s="84"/>
      <c r="C282" s="58"/>
      <c r="D282" s="84"/>
      <c r="E282" s="58"/>
      <c r="F282" s="84"/>
      <c r="G282" s="58"/>
      <c r="H282" s="84"/>
      <c r="I282" s="58"/>
      <c r="J282" s="84"/>
      <c r="K282" s="58"/>
      <c r="L282" s="84"/>
      <c r="M282" s="58"/>
      <c r="N282" s="84"/>
      <c r="O282" s="58"/>
      <c r="P282" s="84"/>
      <c r="Q282" s="58"/>
      <c r="R282" s="84"/>
    </row>
    <row r="283">
      <c r="A283" s="58"/>
      <c r="B283" s="84"/>
      <c r="C283" s="58"/>
      <c r="D283" s="84"/>
      <c r="E283" s="58"/>
      <c r="F283" s="84"/>
      <c r="G283" s="58"/>
      <c r="H283" s="84"/>
      <c r="I283" s="58"/>
      <c r="J283" s="84"/>
      <c r="K283" s="58"/>
      <c r="L283" s="84"/>
      <c r="M283" s="58"/>
      <c r="N283" s="84"/>
      <c r="O283" s="58"/>
      <c r="P283" s="84"/>
      <c r="Q283" s="58"/>
      <c r="R283" s="84"/>
    </row>
    <row r="284">
      <c r="A284" s="58"/>
      <c r="B284" s="84"/>
      <c r="C284" s="58"/>
      <c r="D284" s="84"/>
      <c r="E284" s="58"/>
      <c r="F284" s="84"/>
      <c r="G284" s="58"/>
      <c r="H284" s="84"/>
      <c r="I284" s="58"/>
      <c r="J284" s="84"/>
      <c r="K284" s="58"/>
      <c r="L284" s="84"/>
      <c r="M284" s="58"/>
      <c r="N284" s="84"/>
      <c r="O284" s="58"/>
      <c r="P284" s="84"/>
      <c r="Q284" s="58"/>
      <c r="R284" s="84"/>
    </row>
    <row r="285">
      <c r="A285" s="58"/>
      <c r="B285" s="84"/>
      <c r="C285" s="58"/>
      <c r="D285" s="84"/>
      <c r="E285" s="58"/>
      <c r="F285" s="84"/>
      <c r="G285" s="58"/>
      <c r="H285" s="84"/>
      <c r="I285" s="58"/>
      <c r="J285" s="84"/>
      <c r="K285" s="58"/>
      <c r="L285" s="84"/>
      <c r="M285" s="58"/>
      <c r="N285" s="84"/>
      <c r="O285" s="58"/>
      <c r="P285" s="84"/>
      <c r="Q285" s="58"/>
      <c r="R285" s="84"/>
    </row>
    <row r="286">
      <c r="A286" s="58"/>
      <c r="B286" s="84"/>
      <c r="C286" s="58"/>
      <c r="D286" s="84"/>
      <c r="E286" s="58"/>
      <c r="F286" s="84"/>
      <c r="G286" s="58"/>
      <c r="H286" s="84"/>
      <c r="I286" s="58"/>
      <c r="J286" s="84"/>
      <c r="K286" s="58"/>
      <c r="L286" s="84"/>
      <c r="M286" s="58"/>
      <c r="N286" s="84"/>
      <c r="O286" s="58"/>
      <c r="P286" s="84"/>
      <c r="Q286" s="58"/>
      <c r="R286" s="84"/>
    </row>
    <row r="287">
      <c r="A287" s="58"/>
      <c r="B287" s="84"/>
      <c r="C287" s="58"/>
      <c r="D287" s="84"/>
      <c r="E287" s="58"/>
      <c r="F287" s="84"/>
      <c r="G287" s="58"/>
      <c r="H287" s="84"/>
      <c r="I287" s="58"/>
      <c r="J287" s="84"/>
      <c r="K287" s="58"/>
      <c r="L287" s="84"/>
      <c r="M287" s="58"/>
      <c r="N287" s="84"/>
      <c r="O287" s="58"/>
      <c r="P287" s="84"/>
      <c r="Q287" s="58"/>
      <c r="R287" s="84"/>
    </row>
    <row r="288">
      <c r="A288" s="58"/>
      <c r="B288" s="84"/>
      <c r="C288" s="58"/>
      <c r="D288" s="84"/>
      <c r="E288" s="58"/>
      <c r="F288" s="84"/>
      <c r="G288" s="58"/>
      <c r="H288" s="84"/>
      <c r="I288" s="58"/>
      <c r="J288" s="84"/>
      <c r="K288" s="58"/>
      <c r="L288" s="84"/>
      <c r="M288" s="58"/>
      <c r="N288" s="84"/>
      <c r="O288" s="58"/>
      <c r="P288" s="84"/>
      <c r="Q288" s="58"/>
      <c r="R288" s="84"/>
    </row>
    <row r="289">
      <c r="A289" s="58"/>
      <c r="B289" s="84"/>
      <c r="C289" s="58"/>
      <c r="D289" s="84"/>
      <c r="E289" s="58"/>
      <c r="F289" s="84"/>
      <c r="G289" s="58"/>
      <c r="H289" s="84"/>
      <c r="I289" s="58"/>
      <c r="J289" s="84"/>
      <c r="K289" s="58"/>
      <c r="L289" s="84"/>
      <c r="M289" s="58"/>
      <c r="N289" s="84"/>
      <c r="O289" s="58"/>
      <c r="P289" s="84"/>
      <c r="Q289" s="58"/>
      <c r="R289" s="84"/>
    </row>
    <row r="290">
      <c r="A290" s="58"/>
      <c r="B290" s="84"/>
      <c r="C290" s="58"/>
      <c r="D290" s="84"/>
      <c r="E290" s="58"/>
      <c r="F290" s="84"/>
      <c r="G290" s="58"/>
      <c r="H290" s="84"/>
      <c r="I290" s="58"/>
      <c r="J290" s="84"/>
      <c r="K290" s="58"/>
      <c r="L290" s="84"/>
      <c r="M290" s="58"/>
      <c r="N290" s="84"/>
      <c r="O290" s="58"/>
      <c r="P290" s="84"/>
      <c r="Q290" s="58"/>
      <c r="R290" s="84"/>
    </row>
    <row r="291">
      <c r="A291" s="58"/>
      <c r="B291" s="84"/>
      <c r="C291" s="58"/>
      <c r="D291" s="84"/>
      <c r="E291" s="58"/>
      <c r="F291" s="84"/>
      <c r="G291" s="58"/>
      <c r="H291" s="84"/>
      <c r="I291" s="58"/>
      <c r="J291" s="84"/>
      <c r="K291" s="58"/>
      <c r="L291" s="84"/>
      <c r="M291" s="58"/>
      <c r="N291" s="84"/>
      <c r="O291" s="58"/>
      <c r="P291" s="84"/>
      <c r="Q291" s="58"/>
      <c r="R291" s="84"/>
    </row>
    <row r="292">
      <c r="A292" s="58"/>
      <c r="B292" s="84"/>
      <c r="C292" s="58"/>
      <c r="D292" s="84"/>
      <c r="E292" s="58"/>
      <c r="F292" s="84"/>
      <c r="G292" s="58"/>
      <c r="H292" s="84"/>
      <c r="I292" s="58"/>
      <c r="J292" s="84"/>
      <c r="K292" s="58"/>
      <c r="L292" s="84"/>
      <c r="M292" s="58"/>
      <c r="N292" s="84"/>
      <c r="O292" s="58"/>
      <c r="P292" s="84"/>
      <c r="Q292" s="58"/>
      <c r="R292" s="84"/>
    </row>
    <row r="293">
      <c r="A293" s="58"/>
      <c r="B293" s="84"/>
      <c r="C293" s="58"/>
      <c r="D293" s="84"/>
      <c r="E293" s="58"/>
      <c r="F293" s="84"/>
      <c r="G293" s="58"/>
      <c r="H293" s="84"/>
      <c r="I293" s="58"/>
      <c r="J293" s="84"/>
      <c r="K293" s="58"/>
      <c r="L293" s="84"/>
      <c r="M293" s="58"/>
      <c r="N293" s="84"/>
      <c r="O293" s="58"/>
      <c r="P293" s="84"/>
      <c r="Q293" s="58"/>
      <c r="R293" s="84"/>
    </row>
    <row r="294">
      <c r="A294" s="58"/>
      <c r="B294" s="84"/>
      <c r="C294" s="58"/>
      <c r="D294" s="84"/>
      <c r="E294" s="58"/>
      <c r="F294" s="84"/>
      <c r="G294" s="58"/>
      <c r="H294" s="84"/>
      <c r="I294" s="58"/>
      <c r="J294" s="84"/>
      <c r="K294" s="58"/>
      <c r="L294" s="84"/>
      <c r="M294" s="58"/>
      <c r="N294" s="84"/>
      <c r="O294" s="58"/>
      <c r="P294" s="84"/>
      <c r="Q294" s="58"/>
      <c r="R294" s="84"/>
    </row>
    <row r="295">
      <c r="A295" s="58"/>
      <c r="B295" s="84"/>
      <c r="C295" s="58"/>
      <c r="D295" s="84"/>
      <c r="E295" s="58"/>
      <c r="F295" s="84"/>
      <c r="G295" s="58"/>
      <c r="H295" s="84"/>
      <c r="I295" s="58"/>
      <c r="J295" s="84"/>
      <c r="K295" s="58"/>
      <c r="L295" s="84"/>
      <c r="M295" s="58"/>
      <c r="N295" s="84"/>
      <c r="O295" s="58"/>
      <c r="P295" s="84"/>
      <c r="Q295" s="58"/>
      <c r="R295" s="84"/>
    </row>
    <row r="296">
      <c r="A296" s="58"/>
      <c r="B296" s="84"/>
      <c r="C296" s="58"/>
      <c r="D296" s="84"/>
      <c r="E296" s="58"/>
      <c r="F296" s="84"/>
      <c r="G296" s="58"/>
      <c r="H296" s="84"/>
      <c r="I296" s="58"/>
      <c r="J296" s="84"/>
      <c r="K296" s="58"/>
      <c r="L296" s="84"/>
      <c r="M296" s="58"/>
      <c r="N296" s="84"/>
      <c r="O296" s="58"/>
      <c r="P296" s="84"/>
      <c r="Q296" s="58"/>
      <c r="R296" s="84"/>
    </row>
    <row r="297">
      <c r="A297" s="58"/>
      <c r="B297" s="84"/>
      <c r="C297" s="58"/>
      <c r="D297" s="84"/>
      <c r="E297" s="58"/>
      <c r="F297" s="84"/>
      <c r="G297" s="58"/>
      <c r="H297" s="84"/>
      <c r="I297" s="58"/>
      <c r="J297" s="84"/>
      <c r="K297" s="58"/>
      <c r="L297" s="84"/>
      <c r="M297" s="58"/>
      <c r="N297" s="84"/>
      <c r="O297" s="58"/>
      <c r="P297" s="84"/>
      <c r="Q297" s="58"/>
      <c r="R297" s="84"/>
    </row>
    <row r="298">
      <c r="A298" s="58"/>
      <c r="B298" s="84"/>
      <c r="C298" s="58"/>
      <c r="D298" s="84"/>
      <c r="E298" s="58"/>
      <c r="F298" s="84"/>
      <c r="G298" s="58"/>
      <c r="H298" s="84"/>
      <c r="I298" s="58"/>
      <c r="J298" s="84"/>
      <c r="K298" s="58"/>
      <c r="L298" s="84"/>
      <c r="M298" s="58"/>
      <c r="N298" s="84"/>
      <c r="O298" s="58"/>
      <c r="P298" s="84"/>
      <c r="Q298" s="58"/>
      <c r="R298" s="84"/>
    </row>
    <row r="299">
      <c r="A299" s="58"/>
      <c r="B299" s="84"/>
      <c r="C299" s="58"/>
      <c r="D299" s="84"/>
      <c r="E299" s="58"/>
      <c r="F299" s="84"/>
      <c r="G299" s="58"/>
      <c r="H299" s="84"/>
      <c r="I299" s="58"/>
      <c r="J299" s="84"/>
      <c r="K299" s="58"/>
      <c r="L299" s="84"/>
      <c r="M299" s="58"/>
      <c r="N299" s="84"/>
      <c r="O299" s="58"/>
      <c r="P299" s="84"/>
      <c r="Q299" s="58"/>
      <c r="R299" s="84"/>
    </row>
    <row r="300">
      <c r="A300" s="58"/>
      <c r="B300" s="84"/>
      <c r="C300" s="58"/>
      <c r="D300" s="84"/>
      <c r="E300" s="58"/>
      <c r="F300" s="84"/>
      <c r="G300" s="58"/>
      <c r="H300" s="84"/>
      <c r="I300" s="58"/>
      <c r="J300" s="84"/>
      <c r="K300" s="58"/>
      <c r="L300" s="84"/>
      <c r="M300" s="58"/>
      <c r="N300" s="84"/>
      <c r="O300" s="58"/>
      <c r="P300" s="84"/>
      <c r="Q300" s="58"/>
      <c r="R300" s="84"/>
    </row>
    <row r="301">
      <c r="A301" s="58"/>
      <c r="B301" s="84"/>
      <c r="C301" s="58"/>
      <c r="D301" s="84"/>
      <c r="E301" s="58"/>
      <c r="F301" s="84"/>
      <c r="G301" s="58"/>
      <c r="H301" s="84"/>
      <c r="I301" s="58"/>
      <c r="J301" s="84"/>
      <c r="K301" s="58"/>
      <c r="L301" s="84"/>
      <c r="M301" s="58"/>
      <c r="N301" s="84"/>
      <c r="O301" s="58"/>
      <c r="P301" s="84"/>
      <c r="Q301" s="58"/>
      <c r="R301" s="84"/>
    </row>
    <row r="302">
      <c r="A302" s="58"/>
      <c r="B302" s="84"/>
      <c r="C302" s="58"/>
      <c r="D302" s="84"/>
      <c r="E302" s="58"/>
      <c r="F302" s="84"/>
      <c r="G302" s="58"/>
      <c r="H302" s="84"/>
      <c r="I302" s="58"/>
      <c r="J302" s="84"/>
      <c r="K302" s="58"/>
      <c r="L302" s="84"/>
      <c r="M302" s="58"/>
      <c r="N302" s="84"/>
      <c r="O302" s="58"/>
      <c r="P302" s="84"/>
      <c r="Q302" s="58"/>
      <c r="R302" s="84"/>
    </row>
    <row r="303">
      <c r="A303" s="58"/>
      <c r="B303" s="84"/>
      <c r="C303" s="58"/>
      <c r="D303" s="84"/>
      <c r="E303" s="58"/>
      <c r="F303" s="84"/>
      <c r="G303" s="58"/>
      <c r="H303" s="84"/>
      <c r="I303" s="58"/>
      <c r="J303" s="84"/>
      <c r="K303" s="58"/>
      <c r="L303" s="84"/>
      <c r="M303" s="58"/>
      <c r="N303" s="84"/>
      <c r="O303" s="58"/>
      <c r="P303" s="84"/>
      <c r="Q303" s="58"/>
      <c r="R303" s="84"/>
    </row>
    <row r="304">
      <c r="A304" s="58"/>
      <c r="B304" s="84"/>
      <c r="C304" s="58"/>
      <c r="D304" s="84"/>
      <c r="E304" s="58"/>
      <c r="F304" s="84"/>
      <c r="G304" s="58"/>
      <c r="H304" s="84"/>
      <c r="I304" s="58"/>
      <c r="J304" s="84"/>
      <c r="K304" s="58"/>
      <c r="L304" s="84"/>
      <c r="M304" s="58"/>
      <c r="N304" s="84"/>
      <c r="O304" s="58"/>
      <c r="P304" s="84"/>
      <c r="Q304" s="58"/>
      <c r="R304" s="84"/>
    </row>
    <row r="305">
      <c r="A305" s="58"/>
      <c r="B305" s="84"/>
      <c r="C305" s="58"/>
      <c r="D305" s="84"/>
      <c r="E305" s="58"/>
      <c r="F305" s="84"/>
      <c r="G305" s="58"/>
      <c r="H305" s="84"/>
      <c r="I305" s="58"/>
      <c r="J305" s="84"/>
      <c r="K305" s="58"/>
      <c r="L305" s="84"/>
      <c r="M305" s="58"/>
      <c r="N305" s="84"/>
      <c r="O305" s="58"/>
      <c r="P305" s="84"/>
      <c r="Q305" s="58"/>
      <c r="R305" s="84"/>
    </row>
    <row r="306">
      <c r="A306" s="58"/>
      <c r="B306" s="84"/>
      <c r="C306" s="58"/>
      <c r="D306" s="84"/>
      <c r="E306" s="58"/>
      <c r="F306" s="84"/>
      <c r="G306" s="58"/>
      <c r="H306" s="84"/>
      <c r="I306" s="58"/>
      <c r="J306" s="84"/>
      <c r="K306" s="58"/>
      <c r="L306" s="84"/>
      <c r="M306" s="58"/>
      <c r="N306" s="84"/>
      <c r="O306" s="58"/>
      <c r="P306" s="84"/>
      <c r="Q306" s="58"/>
      <c r="R306" s="84"/>
    </row>
    <row r="307">
      <c r="A307" s="58"/>
      <c r="B307" s="84"/>
      <c r="C307" s="58"/>
      <c r="D307" s="84"/>
      <c r="E307" s="58"/>
      <c r="F307" s="84"/>
      <c r="G307" s="58"/>
      <c r="H307" s="84"/>
      <c r="I307" s="58"/>
      <c r="J307" s="84"/>
      <c r="K307" s="58"/>
      <c r="L307" s="84"/>
      <c r="M307" s="58"/>
      <c r="N307" s="84"/>
      <c r="O307" s="58"/>
      <c r="P307" s="84"/>
      <c r="Q307" s="58"/>
      <c r="R307" s="84"/>
    </row>
    <row r="308">
      <c r="A308" s="58"/>
      <c r="B308" s="84"/>
      <c r="C308" s="58"/>
      <c r="D308" s="84"/>
      <c r="E308" s="58"/>
      <c r="F308" s="84"/>
      <c r="G308" s="58"/>
      <c r="H308" s="84"/>
      <c r="I308" s="58"/>
      <c r="J308" s="84"/>
      <c r="K308" s="58"/>
      <c r="L308" s="84"/>
      <c r="M308" s="58"/>
      <c r="N308" s="84"/>
      <c r="O308" s="58"/>
      <c r="P308" s="84"/>
      <c r="Q308" s="58"/>
      <c r="R308" s="84"/>
    </row>
    <row r="309">
      <c r="A309" s="58"/>
      <c r="B309" s="84"/>
      <c r="C309" s="58"/>
      <c r="D309" s="84"/>
      <c r="E309" s="58"/>
      <c r="F309" s="84"/>
      <c r="G309" s="58"/>
      <c r="H309" s="84"/>
      <c r="I309" s="58"/>
      <c r="J309" s="84"/>
      <c r="K309" s="58"/>
      <c r="L309" s="84"/>
      <c r="M309" s="58"/>
      <c r="N309" s="84"/>
      <c r="O309" s="58"/>
      <c r="P309" s="84"/>
      <c r="Q309" s="58"/>
      <c r="R309" s="84"/>
    </row>
    <row r="310">
      <c r="A310" s="58"/>
      <c r="B310" s="84"/>
      <c r="C310" s="58"/>
      <c r="D310" s="84"/>
      <c r="E310" s="58"/>
      <c r="F310" s="84"/>
      <c r="G310" s="58"/>
      <c r="H310" s="84"/>
      <c r="I310" s="58"/>
      <c r="J310" s="84"/>
      <c r="K310" s="58"/>
      <c r="L310" s="84"/>
      <c r="M310" s="58"/>
      <c r="N310" s="84"/>
      <c r="O310" s="58"/>
      <c r="P310" s="84"/>
      <c r="Q310" s="58"/>
      <c r="R310" s="84"/>
    </row>
    <row r="311">
      <c r="A311" s="58"/>
      <c r="B311" s="84"/>
      <c r="C311" s="58"/>
      <c r="D311" s="84"/>
      <c r="E311" s="58"/>
      <c r="F311" s="84"/>
      <c r="G311" s="58"/>
      <c r="H311" s="84"/>
      <c r="I311" s="58"/>
      <c r="J311" s="84"/>
      <c r="K311" s="58"/>
      <c r="L311" s="84"/>
      <c r="M311" s="58"/>
      <c r="N311" s="84"/>
      <c r="O311" s="58"/>
      <c r="P311" s="84"/>
      <c r="Q311" s="58"/>
      <c r="R311" s="84"/>
    </row>
    <row r="312">
      <c r="A312" s="58"/>
      <c r="B312" s="84"/>
      <c r="C312" s="58"/>
      <c r="D312" s="84"/>
      <c r="E312" s="58"/>
      <c r="F312" s="84"/>
      <c r="G312" s="58"/>
      <c r="H312" s="84"/>
      <c r="I312" s="58"/>
      <c r="J312" s="84"/>
      <c r="K312" s="58"/>
      <c r="L312" s="84"/>
      <c r="M312" s="58"/>
      <c r="N312" s="84"/>
      <c r="O312" s="58"/>
      <c r="P312" s="84"/>
      <c r="Q312" s="58"/>
      <c r="R312" s="84"/>
    </row>
    <row r="313">
      <c r="A313" s="58"/>
      <c r="B313" s="84"/>
      <c r="C313" s="58"/>
      <c r="D313" s="84"/>
      <c r="E313" s="58"/>
      <c r="F313" s="84"/>
      <c r="G313" s="58"/>
      <c r="H313" s="84"/>
      <c r="I313" s="58"/>
      <c r="J313" s="84"/>
      <c r="K313" s="58"/>
      <c r="L313" s="84"/>
      <c r="M313" s="58"/>
      <c r="N313" s="84"/>
      <c r="O313" s="58"/>
      <c r="P313" s="84"/>
      <c r="Q313" s="58"/>
      <c r="R313" s="84"/>
    </row>
    <row r="314">
      <c r="A314" s="58"/>
      <c r="B314" s="84"/>
      <c r="C314" s="58"/>
      <c r="D314" s="84"/>
      <c r="E314" s="58"/>
      <c r="F314" s="84"/>
      <c r="G314" s="58"/>
      <c r="H314" s="84"/>
      <c r="I314" s="58"/>
      <c r="J314" s="84"/>
      <c r="K314" s="58"/>
      <c r="L314" s="84"/>
      <c r="M314" s="58"/>
      <c r="N314" s="84"/>
      <c r="O314" s="58"/>
      <c r="P314" s="84"/>
      <c r="Q314" s="58"/>
      <c r="R314" s="84"/>
    </row>
    <row r="315">
      <c r="A315" s="58"/>
      <c r="B315" s="84"/>
      <c r="C315" s="58"/>
      <c r="D315" s="84"/>
      <c r="E315" s="58"/>
      <c r="F315" s="84"/>
      <c r="G315" s="58"/>
      <c r="H315" s="84"/>
      <c r="I315" s="58"/>
      <c r="J315" s="84"/>
      <c r="K315" s="58"/>
      <c r="L315" s="84"/>
      <c r="M315" s="58"/>
      <c r="N315" s="84"/>
      <c r="O315" s="58"/>
      <c r="P315" s="84"/>
      <c r="Q315" s="58"/>
      <c r="R315" s="84"/>
    </row>
    <row r="316">
      <c r="A316" s="58"/>
      <c r="B316" s="84"/>
      <c r="C316" s="58"/>
      <c r="D316" s="84"/>
      <c r="E316" s="58"/>
      <c r="F316" s="84"/>
      <c r="G316" s="58"/>
      <c r="H316" s="84"/>
      <c r="I316" s="58"/>
      <c r="J316" s="84"/>
      <c r="K316" s="58"/>
      <c r="L316" s="84"/>
      <c r="M316" s="58"/>
      <c r="N316" s="84"/>
      <c r="O316" s="58"/>
      <c r="P316" s="84"/>
      <c r="Q316" s="58"/>
      <c r="R316" s="84"/>
    </row>
    <row r="317">
      <c r="A317" s="58"/>
      <c r="B317" s="84"/>
      <c r="C317" s="58"/>
      <c r="D317" s="84"/>
      <c r="E317" s="58"/>
      <c r="F317" s="84"/>
      <c r="G317" s="58"/>
      <c r="H317" s="84"/>
      <c r="I317" s="58"/>
      <c r="J317" s="84"/>
      <c r="K317" s="58"/>
      <c r="L317" s="84"/>
      <c r="M317" s="58"/>
      <c r="N317" s="84"/>
      <c r="O317" s="58"/>
      <c r="P317" s="84"/>
      <c r="Q317" s="58"/>
      <c r="R317" s="84"/>
    </row>
    <row r="318">
      <c r="A318" s="58"/>
      <c r="B318" s="84"/>
      <c r="C318" s="58"/>
      <c r="D318" s="84"/>
      <c r="E318" s="58"/>
      <c r="F318" s="84"/>
      <c r="G318" s="58"/>
      <c r="H318" s="84"/>
      <c r="I318" s="58"/>
      <c r="J318" s="84"/>
      <c r="K318" s="58"/>
      <c r="L318" s="84"/>
      <c r="M318" s="58"/>
      <c r="N318" s="84"/>
      <c r="O318" s="58"/>
      <c r="P318" s="84"/>
      <c r="Q318" s="58"/>
      <c r="R318" s="84"/>
    </row>
    <row r="319">
      <c r="A319" s="58"/>
      <c r="B319" s="84"/>
      <c r="C319" s="58"/>
      <c r="D319" s="84"/>
      <c r="E319" s="58"/>
      <c r="F319" s="84"/>
      <c r="G319" s="58"/>
      <c r="H319" s="84"/>
      <c r="I319" s="58"/>
      <c r="J319" s="84"/>
      <c r="K319" s="58"/>
      <c r="L319" s="84"/>
      <c r="M319" s="58"/>
      <c r="N319" s="84"/>
      <c r="O319" s="58"/>
      <c r="P319" s="84"/>
      <c r="Q319" s="58"/>
      <c r="R319" s="84"/>
    </row>
    <row r="320">
      <c r="A320" s="58"/>
      <c r="B320" s="84"/>
      <c r="C320" s="58"/>
      <c r="D320" s="84"/>
      <c r="E320" s="58"/>
      <c r="F320" s="84"/>
      <c r="G320" s="58"/>
      <c r="H320" s="84"/>
      <c r="I320" s="58"/>
      <c r="J320" s="84"/>
      <c r="K320" s="58"/>
      <c r="L320" s="84"/>
      <c r="M320" s="58"/>
      <c r="N320" s="84"/>
      <c r="O320" s="58"/>
      <c r="P320" s="84"/>
      <c r="Q320" s="58"/>
      <c r="R320" s="84"/>
    </row>
    <row r="321">
      <c r="A321" s="58"/>
      <c r="B321" s="84"/>
      <c r="C321" s="58"/>
      <c r="D321" s="84"/>
      <c r="E321" s="58"/>
      <c r="F321" s="84"/>
      <c r="G321" s="58"/>
      <c r="H321" s="84"/>
      <c r="I321" s="58"/>
      <c r="J321" s="84"/>
      <c r="K321" s="58"/>
      <c r="L321" s="84"/>
      <c r="M321" s="58"/>
      <c r="N321" s="84"/>
      <c r="O321" s="58"/>
      <c r="P321" s="84"/>
      <c r="Q321" s="58"/>
      <c r="R321" s="84"/>
    </row>
    <row r="322">
      <c r="A322" s="58"/>
      <c r="B322" s="84"/>
      <c r="C322" s="58"/>
      <c r="D322" s="84"/>
      <c r="E322" s="58"/>
      <c r="F322" s="84"/>
      <c r="G322" s="58"/>
      <c r="H322" s="84"/>
      <c r="I322" s="58"/>
      <c r="J322" s="84"/>
      <c r="K322" s="58"/>
      <c r="L322" s="84"/>
      <c r="M322" s="58"/>
      <c r="N322" s="84"/>
      <c r="O322" s="58"/>
      <c r="P322" s="84"/>
      <c r="Q322" s="58"/>
      <c r="R322" s="84"/>
    </row>
    <row r="323">
      <c r="A323" s="58"/>
      <c r="B323" s="84"/>
      <c r="C323" s="58"/>
      <c r="D323" s="84"/>
      <c r="E323" s="58"/>
      <c r="F323" s="84"/>
      <c r="G323" s="58"/>
      <c r="H323" s="84"/>
      <c r="I323" s="58"/>
      <c r="J323" s="84"/>
      <c r="K323" s="58"/>
      <c r="L323" s="84"/>
      <c r="M323" s="58"/>
      <c r="N323" s="84"/>
      <c r="O323" s="58"/>
      <c r="P323" s="84"/>
      <c r="Q323" s="58"/>
      <c r="R323" s="84"/>
    </row>
    <row r="324">
      <c r="A324" s="58"/>
      <c r="B324" s="84"/>
      <c r="C324" s="58"/>
      <c r="D324" s="84"/>
      <c r="E324" s="58"/>
      <c r="F324" s="84"/>
      <c r="G324" s="58"/>
      <c r="H324" s="84"/>
      <c r="I324" s="58"/>
      <c r="J324" s="84"/>
      <c r="K324" s="58"/>
      <c r="L324" s="84"/>
      <c r="M324" s="58"/>
      <c r="N324" s="84"/>
      <c r="O324" s="58"/>
      <c r="P324" s="84"/>
      <c r="Q324" s="58"/>
      <c r="R324" s="84"/>
    </row>
    <row r="325">
      <c r="A325" s="58"/>
      <c r="B325" s="84"/>
      <c r="C325" s="58"/>
      <c r="D325" s="84"/>
      <c r="E325" s="58"/>
      <c r="F325" s="84"/>
      <c r="G325" s="58"/>
      <c r="H325" s="84"/>
      <c r="I325" s="58"/>
      <c r="J325" s="84"/>
      <c r="K325" s="58"/>
      <c r="L325" s="84"/>
      <c r="M325" s="58"/>
      <c r="N325" s="84"/>
      <c r="O325" s="58"/>
      <c r="P325" s="84"/>
      <c r="Q325" s="58"/>
      <c r="R325" s="84"/>
    </row>
    <row r="326">
      <c r="A326" s="58"/>
      <c r="B326" s="84"/>
      <c r="C326" s="58"/>
      <c r="D326" s="84"/>
      <c r="E326" s="58"/>
      <c r="F326" s="84"/>
      <c r="G326" s="58"/>
      <c r="H326" s="84"/>
      <c r="I326" s="58"/>
      <c r="J326" s="84"/>
      <c r="K326" s="58"/>
      <c r="L326" s="84"/>
      <c r="M326" s="58"/>
      <c r="N326" s="84"/>
      <c r="O326" s="58"/>
      <c r="P326" s="84"/>
      <c r="Q326" s="58"/>
      <c r="R326" s="84"/>
    </row>
    <row r="327">
      <c r="A327" s="58"/>
      <c r="B327" s="84"/>
      <c r="C327" s="58"/>
      <c r="D327" s="84"/>
      <c r="E327" s="58"/>
      <c r="F327" s="84"/>
      <c r="G327" s="58"/>
      <c r="H327" s="84"/>
      <c r="I327" s="58"/>
      <c r="J327" s="84"/>
      <c r="K327" s="58"/>
      <c r="L327" s="84"/>
      <c r="M327" s="58"/>
      <c r="N327" s="84"/>
      <c r="O327" s="58"/>
      <c r="P327" s="84"/>
      <c r="Q327" s="58"/>
      <c r="R327" s="84"/>
    </row>
    <row r="328">
      <c r="A328" s="58"/>
      <c r="B328" s="84"/>
      <c r="C328" s="58"/>
      <c r="D328" s="84"/>
      <c r="E328" s="58"/>
      <c r="F328" s="84"/>
      <c r="G328" s="58"/>
      <c r="H328" s="84"/>
      <c r="I328" s="58"/>
      <c r="J328" s="84"/>
      <c r="K328" s="58"/>
      <c r="L328" s="84"/>
      <c r="M328" s="58"/>
      <c r="N328" s="84"/>
      <c r="O328" s="58"/>
      <c r="P328" s="84"/>
      <c r="Q328" s="58"/>
      <c r="R328" s="84"/>
    </row>
    <row r="329">
      <c r="A329" s="58"/>
      <c r="B329" s="84"/>
      <c r="C329" s="58"/>
      <c r="D329" s="84"/>
      <c r="E329" s="58"/>
      <c r="F329" s="84"/>
      <c r="G329" s="58"/>
      <c r="H329" s="84"/>
      <c r="I329" s="58"/>
      <c r="J329" s="84"/>
      <c r="K329" s="58"/>
      <c r="L329" s="84"/>
      <c r="M329" s="58"/>
      <c r="N329" s="84"/>
      <c r="O329" s="58"/>
      <c r="P329" s="84"/>
      <c r="Q329" s="58"/>
      <c r="R329" s="84"/>
    </row>
    <row r="330">
      <c r="A330" s="58"/>
      <c r="B330" s="84"/>
      <c r="C330" s="58"/>
      <c r="D330" s="84"/>
      <c r="E330" s="58"/>
      <c r="F330" s="84"/>
      <c r="G330" s="58"/>
      <c r="H330" s="84"/>
      <c r="I330" s="58"/>
      <c r="J330" s="84"/>
      <c r="K330" s="58"/>
      <c r="L330" s="84"/>
      <c r="M330" s="58"/>
      <c r="N330" s="84"/>
      <c r="O330" s="58"/>
      <c r="P330" s="84"/>
      <c r="Q330" s="58"/>
      <c r="R330" s="84"/>
    </row>
    <row r="331">
      <c r="A331" s="58"/>
      <c r="B331" s="84"/>
      <c r="C331" s="58"/>
      <c r="D331" s="84"/>
      <c r="E331" s="58"/>
      <c r="F331" s="84"/>
      <c r="G331" s="58"/>
      <c r="H331" s="84"/>
      <c r="I331" s="58"/>
      <c r="J331" s="84"/>
      <c r="K331" s="58"/>
      <c r="L331" s="84"/>
      <c r="M331" s="58"/>
      <c r="N331" s="84"/>
      <c r="O331" s="58"/>
      <c r="P331" s="84"/>
      <c r="Q331" s="58"/>
      <c r="R331" s="84"/>
    </row>
    <row r="332">
      <c r="A332" s="58"/>
      <c r="B332" s="84"/>
      <c r="C332" s="58"/>
      <c r="D332" s="84"/>
      <c r="E332" s="58"/>
      <c r="F332" s="84"/>
      <c r="G332" s="58"/>
      <c r="H332" s="84"/>
      <c r="I332" s="58"/>
      <c r="J332" s="84"/>
      <c r="K332" s="58"/>
      <c r="L332" s="84"/>
      <c r="M332" s="58"/>
      <c r="N332" s="84"/>
      <c r="O332" s="58"/>
      <c r="P332" s="84"/>
      <c r="Q332" s="58"/>
      <c r="R332" s="84"/>
    </row>
    <row r="333">
      <c r="A333" s="58"/>
      <c r="B333" s="84"/>
      <c r="C333" s="58"/>
      <c r="D333" s="84"/>
      <c r="E333" s="58"/>
      <c r="F333" s="84"/>
      <c r="G333" s="58"/>
      <c r="H333" s="84"/>
      <c r="I333" s="58"/>
      <c r="J333" s="84"/>
      <c r="K333" s="58"/>
      <c r="L333" s="84"/>
      <c r="M333" s="58"/>
      <c r="N333" s="84"/>
      <c r="O333" s="58"/>
      <c r="P333" s="84"/>
      <c r="Q333" s="58"/>
      <c r="R333" s="84"/>
    </row>
    <row r="334">
      <c r="A334" s="58"/>
      <c r="B334" s="84"/>
      <c r="C334" s="58"/>
      <c r="D334" s="84"/>
      <c r="E334" s="58"/>
      <c r="F334" s="84"/>
      <c r="G334" s="58"/>
      <c r="H334" s="84"/>
      <c r="I334" s="58"/>
      <c r="J334" s="84"/>
      <c r="K334" s="58"/>
      <c r="L334" s="84"/>
      <c r="M334" s="58"/>
      <c r="N334" s="84"/>
      <c r="O334" s="58"/>
      <c r="P334" s="84"/>
      <c r="Q334" s="58"/>
      <c r="R334" s="84"/>
    </row>
    <row r="335">
      <c r="A335" s="58"/>
      <c r="B335" s="84"/>
      <c r="C335" s="58"/>
      <c r="D335" s="84"/>
      <c r="E335" s="58"/>
      <c r="F335" s="84"/>
      <c r="G335" s="58"/>
      <c r="H335" s="84"/>
      <c r="I335" s="58"/>
      <c r="J335" s="84"/>
      <c r="K335" s="58"/>
      <c r="L335" s="84"/>
      <c r="M335" s="58"/>
      <c r="N335" s="84"/>
      <c r="O335" s="58"/>
      <c r="P335" s="84"/>
      <c r="Q335" s="58"/>
      <c r="R335" s="84"/>
    </row>
    <row r="336">
      <c r="A336" s="58"/>
      <c r="B336" s="84"/>
      <c r="C336" s="58"/>
      <c r="D336" s="84"/>
      <c r="E336" s="58"/>
      <c r="F336" s="84"/>
      <c r="G336" s="58"/>
      <c r="H336" s="84"/>
      <c r="I336" s="58"/>
      <c r="J336" s="84"/>
      <c r="K336" s="58"/>
      <c r="L336" s="84"/>
      <c r="M336" s="58"/>
      <c r="N336" s="84"/>
      <c r="O336" s="58"/>
      <c r="P336" s="84"/>
      <c r="Q336" s="58"/>
      <c r="R336" s="84"/>
    </row>
    <row r="337">
      <c r="A337" s="58"/>
      <c r="B337" s="84"/>
      <c r="C337" s="58"/>
      <c r="D337" s="84"/>
      <c r="E337" s="58"/>
      <c r="F337" s="84"/>
      <c r="G337" s="58"/>
      <c r="H337" s="84"/>
      <c r="I337" s="58"/>
      <c r="J337" s="84"/>
      <c r="K337" s="58"/>
      <c r="L337" s="84"/>
      <c r="M337" s="58"/>
      <c r="N337" s="84"/>
      <c r="O337" s="58"/>
      <c r="P337" s="84"/>
      <c r="Q337" s="58"/>
      <c r="R337" s="84"/>
    </row>
    <row r="338">
      <c r="A338" s="58"/>
      <c r="B338" s="84"/>
      <c r="C338" s="58"/>
      <c r="D338" s="84"/>
      <c r="E338" s="58"/>
      <c r="F338" s="84"/>
      <c r="G338" s="58"/>
      <c r="H338" s="84"/>
      <c r="I338" s="58"/>
      <c r="J338" s="84"/>
      <c r="K338" s="58"/>
      <c r="L338" s="84"/>
      <c r="M338" s="58"/>
      <c r="N338" s="84"/>
      <c r="O338" s="58"/>
      <c r="P338" s="84"/>
      <c r="Q338" s="58"/>
      <c r="R338" s="84"/>
    </row>
    <row r="339">
      <c r="A339" s="58"/>
      <c r="B339" s="84"/>
      <c r="C339" s="58"/>
      <c r="D339" s="84"/>
      <c r="E339" s="58"/>
      <c r="F339" s="84"/>
      <c r="G339" s="58"/>
      <c r="H339" s="84"/>
      <c r="I339" s="58"/>
      <c r="J339" s="84"/>
      <c r="K339" s="58"/>
      <c r="L339" s="84"/>
      <c r="M339" s="58"/>
      <c r="N339" s="84"/>
      <c r="O339" s="58"/>
      <c r="P339" s="84"/>
      <c r="Q339" s="58"/>
      <c r="R339" s="84"/>
    </row>
    <row r="340">
      <c r="A340" s="58"/>
      <c r="B340" s="84"/>
      <c r="C340" s="58"/>
      <c r="D340" s="84"/>
      <c r="E340" s="58"/>
      <c r="F340" s="84"/>
      <c r="G340" s="58"/>
      <c r="H340" s="84"/>
      <c r="I340" s="58"/>
      <c r="J340" s="84"/>
      <c r="K340" s="58"/>
      <c r="L340" s="84"/>
      <c r="M340" s="58"/>
      <c r="N340" s="84"/>
      <c r="O340" s="58"/>
      <c r="P340" s="84"/>
      <c r="Q340" s="58"/>
      <c r="R340" s="84"/>
    </row>
    <row r="341">
      <c r="A341" s="58"/>
      <c r="B341" s="84"/>
      <c r="C341" s="58"/>
      <c r="D341" s="84"/>
      <c r="E341" s="58"/>
      <c r="F341" s="84"/>
      <c r="G341" s="58"/>
      <c r="H341" s="84"/>
      <c r="I341" s="58"/>
      <c r="J341" s="84"/>
      <c r="K341" s="58"/>
      <c r="L341" s="84"/>
      <c r="M341" s="58"/>
      <c r="N341" s="84"/>
      <c r="O341" s="58"/>
      <c r="P341" s="84"/>
      <c r="Q341" s="58"/>
      <c r="R341" s="84"/>
    </row>
    <row r="342">
      <c r="A342" s="58"/>
      <c r="B342" s="84"/>
      <c r="C342" s="58"/>
      <c r="D342" s="84"/>
      <c r="E342" s="58"/>
      <c r="F342" s="84"/>
      <c r="G342" s="58"/>
      <c r="H342" s="84"/>
      <c r="I342" s="58"/>
      <c r="J342" s="84"/>
      <c r="K342" s="58"/>
      <c r="L342" s="84"/>
      <c r="M342" s="58"/>
      <c r="N342" s="84"/>
      <c r="O342" s="58"/>
      <c r="P342" s="84"/>
      <c r="Q342" s="58"/>
      <c r="R342" s="84"/>
    </row>
    <row r="343">
      <c r="A343" s="58"/>
      <c r="B343" s="84"/>
      <c r="C343" s="58"/>
      <c r="D343" s="84"/>
      <c r="E343" s="58"/>
      <c r="F343" s="84"/>
      <c r="G343" s="58"/>
      <c r="H343" s="84"/>
      <c r="I343" s="58"/>
      <c r="J343" s="84"/>
      <c r="K343" s="58"/>
      <c r="L343" s="84"/>
      <c r="M343" s="58"/>
      <c r="N343" s="84"/>
      <c r="O343" s="58"/>
      <c r="P343" s="84"/>
      <c r="Q343" s="58"/>
      <c r="R343" s="84"/>
    </row>
    <row r="344">
      <c r="A344" s="58"/>
      <c r="B344" s="84"/>
      <c r="C344" s="58"/>
      <c r="D344" s="84"/>
      <c r="E344" s="58"/>
      <c r="F344" s="84"/>
      <c r="G344" s="58"/>
      <c r="H344" s="84"/>
      <c r="I344" s="58"/>
      <c r="J344" s="84"/>
      <c r="K344" s="58"/>
      <c r="L344" s="84"/>
      <c r="M344" s="58"/>
      <c r="N344" s="84"/>
      <c r="O344" s="58"/>
      <c r="P344" s="84"/>
      <c r="Q344" s="58"/>
      <c r="R344" s="84"/>
    </row>
    <row r="345">
      <c r="A345" s="58"/>
      <c r="B345" s="84"/>
      <c r="C345" s="58"/>
      <c r="D345" s="84"/>
      <c r="E345" s="58"/>
      <c r="F345" s="84"/>
      <c r="G345" s="58"/>
      <c r="H345" s="84"/>
      <c r="I345" s="58"/>
      <c r="J345" s="84"/>
      <c r="K345" s="58"/>
      <c r="L345" s="84"/>
      <c r="M345" s="58"/>
      <c r="N345" s="84"/>
      <c r="O345" s="58"/>
      <c r="P345" s="84"/>
      <c r="Q345" s="58"/>
      <c r="R345" s="84"/>
    </row>
    <row r="346">
      <c r="A346" s="58"/>
      <c r="B346" s="84"/>
      <c r="C346" s="58"/>
      <c r="D346" s="84"/>
      <c r="E346" s="58"/>
      <c r="F346" s="84"/>
      <c r="G346" s="58"/>
      <c r="H346" s="84"/>
      <c r="I346" s="58"/>
      <c r="J346" s="84"/>
      <c r="K346" s="58"/>
      <c r="L346" s="84"/>
      <c r="M346" s="58"/>
      <c r="N346" s="84"/>
      <c r="O346" s="58"/>
      <c r="P346" s="84"/>
      <c r="Q346" s="58"/>
      <c r="R346" s="84"/>
    </row>
    <row r="347">
      <c r="A347" s="58"/>
      <c r="B347" s="84"/>
      <c r="C347" s="58"/>
      <c r="D347" s="84"/>
      <c r="E347" s="58"/>
      <c r="F347" s="84"/>
      <c r="G347" s="58"/>
      <c r="H347" s="84"/>
      <c r="I347" s="58"/>
      <c r="J347" s="84"/>
      <c r="K347" s="58"/>
      <c r="L347" s="84"/>
      <c r="M347" s="58"/>
      <c r="N347" s="84"/>
      <c r="O347" s="58"/>
      <c r="P347" s="84"/>
      <c r="Q347" s="58"/>
      <c r="R347" s="84"/>
    </row>
    <row r="348">
      <c r="A348" s="58"/>
      <c r="B348" s="84"/>
      <c r="C348" s="58"/>
      <c r="D348" s="84"/>
      <c r="E348" s="58"/>
      <c r="F348" s="84"/>
      <c r="G348" s="58"/>
      <c r="H348" s="84"/>
      <c r="I348" s="58"/>
      <c r="J348" s="84"/>
      <c r="K348" s="58"/>
      <c r="L348" s="84"/>
      <c r="M348" s="58"/>
      <c r="N348" s="84"/>
      <c r="O348" s="58"/>
      <c r="P348" s="84"/>
      <c r="Q348" s="58"/>
      <c r="R348" s="84"/>
    </row>
    <row r="349">
      <c r="A349" s="58"/>
      <c r="B349" s="84"/>
      <c r="C349" s="58"/>
      <c r="D349" s="84"/>
      <c r="E349" s="58"/>
      <c r="F349" s="84"/>
      <c r="G349" s="58"/>
      <c r="H349" s="84"/>
      <c r="I349" s="58"/>
      <c r="J349" s="84"/>
      <c r="K349" s="58"/>
      <c r="L349" s="84"/>
      <c r="M349" s="58"/>
      <c r="N349" s="84"/>
      <c r="O349" s="58"/>
      <c r="P349" s="84"/>
      <c r="Q349" s="58"/>
      <c r="R349" s="84"/>
    </row>
    <row r="350">
      <c r="A350" s="58"/>
      <c r="B350" s="84"/>
      <c r="C350" s="58"/>
      <c r="D350" s="84"/>
      <c r="E350" s="58"/>
      <c r="F350" s="84"/>
      <c r="G350" s="58"/>
      <c r="H350" s="84"/>
      <c r="I350" s="58"/>
      <c r="J350" s="84"/>
      <c r="K350" s="58"/>
      <c r="L350" s="84"/>
      <c r="M350" s="58"/>
      <c r="N350" s="84"/>
      <c r="O350" s="58"/>
      <c r="P350" s="84"/>
      <c r="Q350" s="58"/>
      <c r="R350" s="84"/>
    </row>
    <row r="351">
      <c r="A351" s="58"/>
      <c r="B351" s="84"/>
      <c r="C351" s="58"/>
      <c r="D351" s="84"/>
      <c r="E351" s="58"/>
      <c r="F351" s="84"/>
      <c r="G351" s="58"/>
      <c r="H351" s="84"/>
      <c r="I351" s="58"/>
      <c r="J351" s="84"/>
      <c r="K351" s="58"/>
      <c r="L351" s="84"/>
      <c r="M351" s="58"/>
      <c r="N351" s="84"/>
      <c r="O351" s="58"/>
      <c r="P351" s="84"/>
      <c r="Q351" s="58"/>
      <c r="R351" s="84"/>
    </row>
    <row r="352">
      <c r="A352" s="58"/>
      <c r="B352" s="84"/>
      <c r="C352" s="58"/>
      <c r="D352" s="84"/>
      <c r="E352" s="58"/>
      <c r="F352" s="84"/>
      <c r="G352" s="58"/>
      <c r="H352" s="84"/>
      <c r="I352" s="58"/>
      <c r="J352" s="84"/>
      <c r="K352" s="58"/>
      <c r="L352" s="84"/>
      <c r="M352" s="58"/>
      <c r="N352" s="84"/>
      <c r="O352" s="58"/>
      <c r="P352" s="84"/>
      <c r="Q352" s="58"/>
      <c r="R352" s="84"/>
    </row>
    <row r="353">
      <c r="A353" s="58"/>
      <c r="B353" s="84"/>
      <c r="C353" s="58"/>
      <c r="D353" s="84"/>
      <c r="E353" s="58"/>
      <c r="F353" s="84"/>
      <c r="G353" s="58"/>
      <c r="H353" s="84"/>
      <c r="I353" s="58"/>
      <c r="J353" s="84"/>
      <c r="K353" s="58"/>
      <c r="L353" s="84"/>
      <c r="M353" s="58"/>
      <c r="N353" s="84"/>
      <c r="O353" s="58"/>
      <c r="P353" s="84"/>
      <c r="Q353" s="58"/>
      <c r="R353" s="84"/>
    </row>
    <row r="354">
      <c r="A354" s="58"/>
      <c r="B354" s="84"/>
      <c r="C354" s="58"/>
      <c r="D354" s="84"/>
      <c r="E354" s="58"/>
      <c r="F354" s="84"/>
      <c r="G354" s="58"/>
      <c r="H354" s="84"/>
      <c r="I354" s="58"/>
      <c r="J354" s="84"/>
      <c r="K354" s="58"/>
      <c r="L354" s="84"/>
      <c r="M354" s="58"/>
      <c r="N354" s="84"/>
      <c r="O354" s="58"/>
      <c r="P354" s="84"/>
      <c r="Q354" s="58"/>
      <c r="R354" s="84"/>
    </row>
    <row r="355">
      <c r="A355" s="58"/>
      <c r="B355" s="84"/>
      <c r="C355" s="58"/>
      <c r="D355" s="84"/>
      <c r="E355" s="58"/>
      <c r="F355" s="84"/>
      <c r="G355" s="58"/>
      <c r="H355" s="84"/>
      <c r="I355" s="58"/>
      <c r="J355" s="84"/>
      <c r="K355" s="58"/>
      <c r="L355" s="84"/>
      <c r="M355" s="58"/>
      <c r="N355" s="84"/>
      <c r="O355" s="58"/>
      <c r="P355" s="84"/>
      <c r="Q355" s="58"/>
      <c r="R355" s="84"/>
    </row>
    <row r="356">
      <c r="A356" s="58"/>
      <c r="B356" s="84"/>
      <c r="C356" s="58"/>
      <c r="D356" s="84"/>
      <c r="E356" s="58"/>
      <c r="F356" s="84"/>
      <c r="G356" s="58"/>
      <c r="H356" s="84"/>
      <c r="I356" s="58"/>
      <c r="J356" s="84"/>
      <c r="K356" s="58"/>
      <c r="L356" s="84"/>
      <c r="M356" s="58"/>
      <c r="N356" s="84"/>
      <c r="O356" s="58"/>
      <c r="P356" s="84"/>
      <c r="Q356" s="58"/>
      <c r="R356" s="84"/>
    </row>
    <row r="357">
      <c r="A357" s="58"/>
      <c r="B357" s="84"/>
      <c r="C357" s="58"/>
      <c r="D357" s="84"/>
      <c r="E357" s="58"/>
      <c r="F357" s="84"/>
      <c r="G357" s="58"/>
      <c r="H357" s="84"/>
      <c r="I357" s="58"/>
      <c r="J357" s="84"/>
      <c r="K357" s="58"/>
      <c r="L357" s="84"/>
      <c r="M357" s="58"/>
      <c r="N357" s="84"/>
      <c r="O357" s="58"/>
      <c r="P357" s="84"/>
      <c r="Q357" s="58"/>
      <c r="R357" s="84"/>
    </row>
    <row r="358">
      <c r="A358" s="58"/>
      <c r="B358" s="84"/>
      <c r="C358" s="58"/>
      <c r="D358" s="84"/>
      <c r="E358" s="58"/>
      <c r="F358" s="84"/>
      <c r="G358" s="58"/>
      <c r="H358" s="84"/>
      <c r="I358" s="58"/>
      <c r="J358" s="84"/>
      <c r="K358" s="58"/>
      <c r="L358" s="84"/>
      <c r="M358" s="58"/>
      <c r="N358" s="84"/>
      <c r="O358" s="58"/>
      <c r="P358" s="84"/>
      <c r="Q358" s="58"/>
      <c r="R358" s="84"/>
    </row>
    <row r="359">
      <c r="A359" s="58"/>
      <c r="B359" s="84"/>
      <c r="C359" s="58"/>
      <c r="D359" s="84"/>
      <c r="E359" s="58"/>
      <c r="F359" s="84"/>
      <c r="G359" s="58"/>
      <c r="H359" s="84"/>
      <c r="I359" s="58"/>
      <c r="J359" s="84"/>
      <c r="K359" s="58"/>
      <c r="L359" s="84"/>
      <c r="M359" s="58"/>
      <c r="N359" s="84"/>
      <c r="O359" s="58"/>
      <c r="P359" s="84"/>
      <c r="Q359" s="58"/>
      <c r="R359" s="84"/>
    </row>
    <row r="360">
      <c r="A360" s="58"/>
      <c r="B360" s="84"/>
      <c r="C360" s="58"/>
      <c r="D360" s="84"/>
      <c r="E360" s="58"/>
      <c r="F360" s="84"/>
      <c r="G360" s="58"/>
      <c r="H360" s="84"/>
      <c r="I360" s="58"/>
      <c r="J360" s="84"/>
      <c r="K360" s="58"/>
      <c r="L360" s="84"/>
      <c r="M360" s="58"/>
      <c r="N360" s="84"/>
      <c r="O360" s="58"/>
      <c r="P360" s="84"/>
      <c r="Q360" s="58"/>
      <c r="R360" s="84"/>
    </row>
    <row r="361">
      <c r="A361" s="58"/>
      <c r="B361" s="84"/>
      <c r="C361" s="58"/>
      <c r="D361" s="84"/>
      <c r="E361" s="58"/>
      <c r="F361" s="84"/>
      <c r="G361" s="58"/>
      <c r="H361" s="84"/>
      <c r="I361" s="58"/>
      <c r="J361" s="84"/>
      <c r="K361" s="58"/>
      <c r="L361" s="84"/>
      <c r="M361" s="58"/>
      <c r="N361" s="84"/>
      <c r="O361" s="58"/>
      <c r="P361" s="84"/>
      <c r="Q361" s="58"/>
      <c r="R361" s="84"/>
    </row>
    <row r="362">
      <c r="A362" s="58"/>
      <c r="B362" s="84"/>
      <c r="C362" s="58"/>
      <c r="D362" s="84"/>
      <c r="E362" s="58"/>
      <c r="F362" s="84"/>
      <c r="G362" s="58"/>
      <c r="H362" s="84"/>
      <c r="I362" s="58"/>
      <c r="J362" s="84"/>
      <c r="K362" s="58"/>
      <c r="L362" s="84"/>
      <c r="M362" s="58"/>
      <c r="N362" s="84"/>
      <c r="O362" s="58"/>
      <c r="P362" s="84"/>
      <c r="Q362" s="58"/>
      <c r="R362" s="84"/>
    </row>
    <row r="363">
      <c r="A363" s="58"/>
      <c r="B363" s="84"/>
      <c r="C363" s="58"/>
      <c r="D363" s="84"/>
      <c r="E363" s="58"/>
      <c r="F363" s="84"/>
      <c r="G363" s="58"/>
      <c r="H363" s="84"/>
      <c r="I363" s="58"/>
      <c r="J363" s="84"/>
      <c r="K363" s="58"/>
      <c r="L363" s="84"/>
      <c r="M363" s="58"/>
      <c r="N363" s="84"/>
      <c r="O363" s="58"/>
      <c r="P363" s="84"/>
      <c r="Q363" s="58"/>
      <c r="R363" s="84"/>
    </row>
    <row r="364">
      <c r="A364" s="58"/>
      <c r="B364" s="84"/>
      <c r="C364" s="58"/>
      <c r="D364" s="84"/>
      <c r="E364" s="58"/>
      <c r="F364" s="84"/>
      <c r="G364" s="58"/>
      <c r="H364" s="84"/>
      <c r="I364" s="58"/>
      <c r="J364" s="84"/>
      <c r="K364" s="58"/>
      <c r="L364" s="84"/>
      <c r="M364" s="58"/>
      <c r="N364" s="84"/>
      <c r="O364" s="58"/>
      <c r="P364" s="84"/>
      <c r="Q364" s="58"/>
      <c r="R364" s="84"/>
    </row>
    <row r="365">
      <c r="A365" s="58"/>
      <c r="B365" s="84"/>
      <c r="C365" s="58"/>
      <c r="D365" s="84"/>
      <c r="E365" s="58"/>
      <c r="F365" s="84"/>
      <c r="G365" s="58"/>
      <c r="H365" s="84"/>
      <c r="I365" s="58"/>
      <c r="J365" s="84"/>
      <c r="K365" s="58"/>
      <c r="L365" s="84"/>
      <c r="M365" s="58"/>
      <c r="N365" s="84"/>
      <c r="O365" s="58"/>
      <c r="P365" s="84"/>
      <c r="Q365" s="58"/>
      <c r="R365" s="84"/>
    </row>
    <row r="366">
      <c r="A366" s="58"/>
      <c r="B366" s="84"/>
      <c r="C366" s="58"/>
      <c r="D366" s="84"/>
      <c r="E366" s="58"/>
      <c r="F366" s="84"/>
      <c r="G366" s="58"/>
      <c r="H366" s="84"/>
      <c r="I366" s="58"/>
      <c r="J366" s="84"/>
      <c r="K366" s="58"/>
      <c r="L366" s="84"/>
      <c r="M366" s="58"/>
      <c r="N366" s="84"/>
      <c r="O366" s="58"/>
      <c r="P366" s="84"/>
      <c r="Q366" s="58"/>
      <c r="R366" s="84"/>
    </row>
    <row r="367">
      <c r="A367" s="58"/>
      <c r="B367" s="84"/>
      <c r="C367" s="58"/>
      <c r="D367" s="84"/>
      <c r="E367" s="58"/>
      <c r="F367" s="84"/>
      <c r="G367" s="58"/>
      <c r="H367" s="84"/>
      <c r="I367" s="58"/>
      <c r="J367" s="84"/>
      <c r="K367" s="58"/>
      <c r="L367" s="84"/>
      <c r="M367" s="58"/>
      <c r="N367" s="84"/>
      <c r="O367" s="58"/>
      <c r="P367" s="84"/>
      <c r="Q367" s="58"/>
      <c r="R367" s="84"/>
    </row>
    <row r="368">
      <c r="A368" s="58"/>
      <c r="B368" s="84"/>
      <c r="C368" s="58"/>
      <c r="D368" s="84"/>
      <c r="E368" s="58"/>
      <c r="F368" s="84"/>
      <c r="G368" s="58"/>
      <c r="H368" s="84"/>
      <c r="I368" s="58"/>
      <c r="J368" s="84"/>
      <c r="K368" s="58"/>
      <c r="L368" s="84"/>
      <c r="M368" s="58"/>
      <c r="N368" s="84"/>
      <c r="O368" s="58"/>
      <c r="P368" s="84"/>
      <c r="Q368" s="58"/>
      <c r="R368" s="84"/>
    </row>
    <row r="369">
      <c r="A369" s="58"/>
      <c r="B369" s="84"/>
      <c r="C369" s="58"/>
      <c r="D369" s="84"/>
      <c r="E369" s="58"/>
      <c r="F369" s="84"/>
      <c r="G369" s="58"/>
      <c r="H369" s="84"/>
      <c r="I369" s="58"/>
      <c r="J369" s="84"/>
      <c r="K369" s="58"/>
      <c r="L369" s="84"/>
      <c r="M369" s="58"/>
      <c r="N369" s="84"/>
      <c r="O369" s="58"/>
      <c r="P369" s="84"/>
      <c r="Q369" s="58"/>
      <c r="R369" s="84"/>
    </row>
    <row r="370">
      <c r="A370" s="58"/>
      <c r="B370" s="84"/>
      <c r="C370" s="58"/>
      <c r="D370" s="84"/>
      <c r="E370" s="58"/>
      <c r="F370" s="84"/>
      <c r="G370" s="58"/>
      <c r="H370" s="84"/>
      <c r="I370" s="58"/>
      <c r="J370" s="84"/>
      <c r="K370" s="58"/>
      <c r="L370" s="84"/>
      <c r="M370" s="58"/>
      <c r="N370" s="84"/>
      <c r="O370" s="58"/>
      <c r="P370" s="84"/>
      <c r="Q370" s="58"/>
      <c r="R370" s="84"/>
    </row>
    <row r="371">
      <c r="A371" s="58"/>
      <c r="B371" s="84"/>
      <c r="C371" s="58"/>
      <c r="D371" s="84"/>
      <c r="E371" s="58"/>
      <c r="F371" s="84"/>
      <c r="G371" s="58"/>
      <c r="H371" s="84"/>
      <c r="I371" s="58"/>
      <c r="J371" s="84"/>
      <c r="K371" s="58"/>
      <c r="L371" s="84"/>
      <c r="M371" s="58"/>
      <c r="N371" s="84"/>
      <c r="O371" s="58"/>
      <c r="P371" s="84"/>
      <c r="Q371" s="58"/>
      <c r="R371" s="84"/>
    </row>
    <row r="372">
      <c r="A372" s="58"/>
      <c r="B372" s="84"/>
      <c r="C372" s="58"/>
      <c r="D372" s="84"/>
      <c r="E372" s="58"/>
      <c r="F372" s="84"/>
      <c r="G372" s="58"/>
      <c r="H372" s="84"/>
      <c r="I372" s="58"/>
      <c r="J372" s="84"/>
      <c r="K372" s="58"/>
      <c r="L372" s="84"/>
      <c r="M372" s="58"/>
      <c r="N372" s="84"/>
      <c r="O372" s="58"/>
      <c r="P372" s="84"/>
      <c r="Q372" s="58"/>
      <c r="R372" s="84"/>
    </row>
    <row r="373">
      <c r="A373" s="58"/>
      <c r="B373" s="84"/>
      <c r="C373" s="58"/>
      <c r="D373" s="84"/>
      <c r="E373" s="58"/>
      <c r="F373" s="84"/>
      <c r="G373" s="58"/>
      <c r="H373" s="84"/>
      <c r="I373" s="58"/>
      <c r="J373" s="84"/>
      <c r="K373" s="58"/>
      <c r="L373" s="84"/>
      <c r="M373" s="58"/>
      <c r="N373" s="84"/>
      <c r="O373" s="58"/>
      <c r="P373" s="84"/>
      <c r="Q373" s="58"/>
      <c r="R373" s="84"/>
    </row>
    <row r="374">
      <c r="A374" s="58"/>
      <c r="B374" s="84"/>
      <c r="C374" s="58"/>
      <c r="D374" s="84"/>
      <c r="E374" s="58"/>
      <c r="F374" s="84"/>
      <c r="G374" s="58"/>
      <c r="H374" s="84"/>
      <c r="I374" s="58"/>
      <c r="J374" s="84"/>
      <c r="K374" s="58"/>
      <c r="L374" s="84"/>
      <c r="M374" s="58"/>
      <c r="N374" s="84"/>
      <c r="O374" s="58"/>
      <c r="P374" s="84"/>
      <c r="Q374" s="58"/>
      <c r="R374" s="84"/>
    </row>
    <row r="375">
      <c r="A375" s="58"/>
      <c r="B375" s="84"/>
      <c r="C375" s="58"/>
      <c r="D375" s="84"/>
      <c r="E375" s="58"/>
      <c r="F375" s="84"/>
      <c r="G375" s="58"/>
      <c r="H375" s="84"/>
      <c r="I375" s="58"/>
      <c r="J375" s="84"/>
      <c r="K375" s="58"/>
      <c r="L375" s="84"/>
      <c r="M375" s="58"/>
      <c r="N375" s="84"/>
      <c r="O375" s="58"/>
      <c r="P375" s="84"/>
      <c r="Q375" s="58"/>
      <c r="R375" s="84"/>
    </row>
    <row r="376">
      <c r="A376" s="58"/>
      <c r="B376" s="84"/>
      <c r="C376" s="58"/>
      <c r="D376" s="84"/>
      <c r="E376" s="58"/>
      <c r="F376" s="84"/>
      <c r="G376" s="58"/>
      <c r="H376" s="84"/>
      <c r="I376" s="58"/>
      <c r="J376" s="84"/>
      <c r="K376" s="58"/>
      <c r="L376" s="84"/>
      <c r="M376" s="58"/>
      <c r="N376" s="84"/>
      <c r="O376" s="58"/>
      <c r="P376" s="84"/>
      <c r="Q376" s="58"/>
      <c r="R376" s="84"/>
    </row>
    <row r="377">
      <c r="A377" s="58"/>
      <c r="B377" s="84"/>
      <c r="C377" s="58"/>
      <c r="D377" s="84"/>
      <c r="E377" s="58"/>
      <c r="F377" s="84"/>
      <c r="G377" s="58"/>
      <c r="H377" s="84"/>
      <c r="I377" s="58"/>
      <c r="J377" s="84"/>
      <c r="K377" s="58"/>
      <c r="L377" s="84"/>
      <c r="M377" s="58"/>
      <c r="N377" s="84"/>
      <c r="O377" s="58"/>
      <c r="P377" s="84"/>
      <c r="Q377" s="58"/>
      <c r="R377" s="84"/>
    </row>
    <row r="378">
      <c r="A378" s="58"/>
      <c r="B378" s="84"/>
      <c r="C378" s="58"/>
      <c r="D378" s="84"/>
      <c r="E378" s="58"/>
      <c r="F378" s="84"/>
      <c r="G378" s="58"/>
      <c r="H378" s="84"/>
      <c r="I378" s="58"/>
      <c r="J378" s="84"/>
      <c r="K378" s="58"/>
      <c r="L378" s="84"/>
      <c r="M378" s="58"/>
      <c r="N378" s="84"/>
      <c r="O378" s="58"/>
      <c r="P378" s="84"/>
      <c r="Q378" s="58"/>
      <c r="R378" s="84"/>
    </row>
    <row r="379">
      <c r="A379" s="58"/>
      <c r="B379" s="84"/>
      <c r="C379" s="58"/>
      <c r="D379" s="84"/>
      <c r="E379" s="58"/>
      <c r="F379" s="84"/>
      <c r="G379" s="58"/>
      <c r="H379" s="84"/>
      <c r="I379" s="58"/>
      <c r="J379" s="84"/>
      <c r="K379" s="58"/>
      <c r="L379" s="84"/>
      <c r="M379" s="58"/>
      <c r="N379" s="84"/>
      <c r="O379" s="58"/>
      <c r="P379" s="84"/>
      <c r="Q379" s="58"/>
      <c r="R379" s="84"/>
    </row>
    <row r="380">
      <c r="A380" s="58"/>
      <c r="B380" s="84"/>
      <c r="C380" s="58"/>
      <c r="D380" s="84"/>
      <c r="E380" s="58"/>
      <c r="F380" s="84"/>
      <c r="G380" s="58"/>
      <c r="H380" s="84"/>
      <c r="I380" s="58"/>
      <c r="J380" s="84"/>
      <c r="K380" s="58"/>
      <c r="L380" s="84"/>
      <c r="M380" s="58"/>
      <c r="N380" s="84"/>
      <c r="O380" s="58"/>
      <c r="P380" s="84"/>
      <c r="Q380" s="58"/>
      <c r="R380" s="84"/>
    </row>
    <row r="381">
      <c r="A381" s="58"/>
      <c r="B381" s="84"/>
      <c r="C381" s="58"/>
      <c r="D381" s="84"/>
      <c r="E381" s="58"/>
      <c r="F381" s="84"/>
      <c r="G381" s="58"/>
      <c r="H381" s="84"/>
      <c r="I381" s="58"/>
      <c r="J381" s="84"/>
      <c r="K381" s="58"/>
      <c r="L381" s="84"/>
      <c r="M381" s="58"/>
      <c r="N381" s="84"/>
      <c r="O381" s="58"/>
      <c r="P381" s="84"/>
      <c r="Q381" s="58"/>
      <c r="R381" s="84"/>
    </row>
    <row r="382">
      <c r="A382" s="58"/>
      <c r="B382" s="84"/>
      <c r="C382" s="58"/>
      <c r="D382" s="84"/>
      <c r="E382" s="58"/>
      <c r="F382" s="84"/>
      <c r="G382" s="58"/>
      <c r="H382" s="84"/>
      <c r="I382" s="58"/>
      <c r="J382" s="84"/>
      <c r="K382" s="58"/>
      <c r="L382" s="84"/>
      <c r="M382" s="58"/>
      <c r="N382" s="84"/>
      <c r="O382" s="58"/>
      <c r="P382" s="84"/>
      <c r="Q382" s="58"/>
      <c r="R382" s="84"/>
    </row>
    <row r="383">
      <c r="A383" s="58"/>
      <c r="B383" s="84"/>
      <c r="C383" s="58"/>
      <c r="D383" s="84"/>
      <c r="E383" s="58"/>
      <c r="F383" s="84"/>
      <c r="G383" s="58"/>
      <c r="H383" s="84"/>
      <c r="I383" s="58"/>
      <c r="J383" s="84"/>
      <c r="K383" s="58"/>
      <c r="L383" s="84"/>
      <c r="M383" s="58"/>
      <c r="N383" s="84"/>
      <c r="O383" s="58"/>
      <c r="P383" s="84"/>
      <c r="Q383" s="58"/>
      <c r="R383" s="84"/>
    </row>
    <row r="384">
      <c r="A384" s="58"/>
      <c r="B384" s="84"/>
      <c r="C384" s="58"/>
      <c r="D384" s="84"/>
      <c r="E384" s="58"/>
      <c r="F384" s="84"/>
      <c r="G384" s="58"/>
      <c r="H384" s="84"/>
      <c r="I384" s="58"/>
      <c r="J384" s="84"/>
      <c r="K384" s="58"/>
      <c r="L384" s="84"/>
      <c r="M384" s="58"/>
      <c r="N384" s="84"/>
      <c r="O384" s="58"/>
      <c r="P384" s="84"/>
      <c r="Q384" s="58"/>
      <c r="R384" s="84"/>
    </row>
    <row r="385">
      <c r="A385" s="58"/>
      <c r="B385" s="84"/>
      <c r="C385" s="58"/>
      <c r="D385" s="84"/>
      <c r="E385" s="58"/>
      <c r="F385" s="84"/>
      <c r="G385" s="58"/>
      <c r="H385" s="84"/>
      <c r="I385" s="58"/>
      <c r="J385" s="84"/>
      <c r="K385" s="58"/>
      <c r="L385" s="84"/>
      <c r="M385" s="58"/>
      <c r="N385" s="84"/>
      <c r="O385" s="58"/>
      <c r="P385" s="84"/>
      <c r="Q385" s="58"/>
      <c r="R385" s="84"/>
    </row>
    <row r="386">
      <c r="A386" s="58"/>
      <c r="B386" s="84"/>
      <c r="C386" s="58"/>
      <c r="D386" s="84"/>
      <c r="E386" s="58"/>
      <c r="F386" s="84"/>
      <c r="G386" s="58"/>
      <c r="H386" s="84"/>
      <c r="I386" s="58"/>
      <c r="J386" s="84"/>
      <c r="K386" s="58"/>
      <c r="L386" s="84"/>
      <c r="M386" s="58"/>
      <c r="N386" s="84"/>
      <c r="O386" s="58"/>
      <c r="P386" s="84"/>
      <c r="Q386" s="58"/>
      <c r="R386" s="84"/>
    </row>
    <row r="387">
      <c r="A387" s="58"/>
      <c r="B387" s="84"/>
      <c r="C387" s="58"/>
      <c r="D387" s="84"/>
      <c r="E387" s="58"/>
      <c r="F387" s="84"/>
      <c r="G387" s="58"/>
      <c r="H387" s="84"/>
      <c r="I387" s="58"/>
      <c r="J387" s="84"/>
      <c r="K387" s="58"/>
      <c r="L387" s="84"/>
      <c r="M387" s="58"/>
      <c r="N387" s="84"/>
      <c r="O387" s="58"/>
      <c r="P387" s="84"/>
      <c r="Q387" s="58"/>
      <c r="R387" s="84"/>
    </row>
    <row r="388">
      <c r="A388" s="58"/>
      <c r="B388" s="84"/>
      <c r="C388" s="58"/>
      <c r="D388" s="84"/>
      <c r="E388" s="58"/>
      <c r="F388" s="84"/>
      <c r="G388" s="58"/>
      <c r="H388" s="84"/>
      <c r="I388" s="58"/>
      <c r="J388" s="84"/>
      <c r="K388" s="58"/>
      <c r="L388" s="84"/>
      <c r="M388" s="58"/>
      <c r="N388" s="84"/>
      <c r="O388" s="58"/>
      <c r="P388" s="84"/>
      <c r="Q388" s="58"/>
      <c r="R388" s="84"/>
    </row>
    <row r="389">
      <c r="A389" s="58"/>
      <c r="B389" s="84"/>
      <c r="C389" s="58"/>
      <c r="D389" s="84"/>
      <c r="E389" s="58"/>
      <c r="F389" s="84"/>
      <c r="G389" s="58"/>
      <c r="H389" s="84"/>
      <c r="I389" s="58"/>
      <c r="J389" s="84"/>
      <c r="K389" s="58"/>
      <c r="L389" s="84"/>
      <c r="M389" s="58"/>
      <c r="N389" s="84"/>
      <c r="O389" s="58"/>
      <c r="P389" s="84"/>
      <c r="Q389" s="58"/>
      <c r="R389" s="84"/>
    </row>
    <row r="390">
      <c r="A390" s="58"/>
      <c r="B390" s="84"/>
      <c r="C390" s="58"/>
      <c r="D390" s="84"/>
      <c r="E390" s="58"/>
      <c r="F390" s="84"/>
      <c r="G390" s="58"/>
      <c r="H390" s="84"/>
      <c r="I390" s="58"/>
      <c r="J390" s="84"/>
      <c r="K390" s="58"/>
      <c r="L390" s="84"/>
      <c r="M390" s="58"/>
      <c r="N390" s="84"/>
      <c r="O390" s="58"/>
      <c r="P390" s="84"/>
      <c r="Q390" s="58"/>
      <c r="R390" s="84"/>
    </row>
    <row r="391">
      <c r="A391" s="58"/>
      <c r="B391" s="84"/>
      <c r="C391" s="58"/>
      <c r="D391" s="84"/>
      <c r="E391" s="58"/>
      <c r="F391" s="84"/>
      <c r="G391" s="58"/>
      <c r="H391" s="84"/>
      <c r="I391" s="58"/>
      <c r="J391" s="84"/>
      <c r="K391" s="58"/>
      <c r="L391" s="84"/>
      <c r="M391" s="58"/>
      <c r="N391" s="84"/>
      <c r="O391" s="58"/>
      <c r="P391" s="84"/>
      <c r="Q391" s="58"/>
      <c r="R391" s="84"/>
    </row>
    <row r="392">
      <c r="A392" s="58"/>
      <c r="B392" s="84"/>
      <c r="C392" s="58"/>
      <c r="D392" s="84"/>
      <c r="E392" s="58"/>
      <c r="F392" s="84"/>
      <c r="G392" s="58"/>
      <c r="H392" s="84"/>
      <c r="I392" s="58"/>
      <c r="J392" s="84"/>
      <c r="K392" s="58"/>
      <c r="L392" s="84"/>
      <c r="M392" s="58"/>
      <c r="N392" s="84"/>
      <c r="O392" s="58"/>
      <c r="P392" s="84"/>
      <c r="Q392" s="58"/>
      <c r="R392" s="84"/>
    </row>
    <row r="393">
      <c r="A393" s="58"/>
      <c r="B393" s="84"/>
      <c r="C393" s="58"/>
      <c r="D393" s="84"/>
      <c r="E393" s="58"/>
      <c r="F393" s="84"/>
      <c r="G393" s="58"/>
      <c r="H393" s="84"/>
      <c r="I393" s="58"/>
      <c r="J393" s="84"/>
      <c r="K393" s="58"/>
      <c r="L393" s="84"/>
      <c r="M393" s="58"/>
      <c r="N393" s="84"/>
      <c r="O393" s="58"/>
      <c r="P393" s="84"/>
      <c r="Q393" s="58"/>
      <c r="R393" s="84"/>
    </row>
    <row r="394">
      <c r="A394" s="58"/>
      <c r="B394" s="84"/>
      <c r="C394" s="58"/>
      <c r="D394" s="84"/>
      <c r="E394" s="58"/>
      <c r="F394" s="84"/>
      <c r="G394" s="58"/>
      <c r="H394" s="84"/>
      <c r="I394" s="58"/>
      <c r="J394" s="84"/>
      <c r="K394" s="58"/>
      <c r="L394" s="84"/>
      <c r="M394" s="58"/>
      <c r="N394" s="84"/>
      <c r="O394" s="58"/>
      <c r="P394" s="84"/>
      <c r="Q394" s="58"/>
      <c r="R394" s="84"/>
    </row>
    <row r="395">
      <c r="A395" s="58"/>
      <c r="B395" s="84"/>
      <c r="C395" s="58"/>
      <c r="D395" s="84"/>
      <c r="E395" s="58"/>
      <c r="F395" s="84"/>
      <c r="G395" s="58"/>
      <c r="H395" s="84"/>
      <c r="I395" s="58"/>
      <c r="J395" s="84"/>
      <c r="K395" s="58"/>
      <c r="L395" s="84"/>
      <c r="M395" s="58"/>
      <c r="N395" s="84"/>
      <c r="O395" s="58"/>
      <c r="P395" s="84"/>
      <c r="Q395" s="58"/>
      <c r="R395" s="84"/>
    </row>
    <row r="396">
      <c r="A396" s="58"/>
      <c r="B396" s="84"/>
      <c r="C396" s="58"/>
      <c r="D396" s="84"/>
      <c r="E396" s="58"/>
      <c r="F396" s="84"/>
      <c r="G396" s="58"/>
      <c r="H396" s="84"/>
      <c r="I396" s="58"/>
      <c r="J396" s="84"/>
      <c r="K396" s="58"/>
      <c r="L396" s="84"/>
      <c r="M396" s="58"/>
      <c r="N396" s="84"/>
      <c r="O396" s="58"/>
      <c r="P396" s="84"/>
      <c r="Q396" s="58"/>
      <c r="R396" s="84"/>
    </row>
    <row r="397">
      <c r="A397" s="58"/>
      <c r="B397" s="84"/>
      <c r="C397" s="58"/>
      <c r="D397" s="84"/>
      <c r="E397" s="58"/>
      <c r="F397" s="84"/>
      <c r="G397" s="58"/>
      <c r="H397" s="84"/>
      <c r="I397" s="58"/>
      <c r="J397" s="84"/>
      <c r="K397" s="58"/>
      <c r="L397" s="84"/>
      <c r="M397" s="58"/>
      <c r="N397" s="84"/>
      <c r="O397" s="58"/>
      <c r="P397" s="84"/>
      <c r="Q397" s="58"/>
      <c r="R397" s="84"/>
    </row>
    <row r="398">
      <c r="A398" s="58"/>
      <c r="B398" s="84"/>
      <c r="C398" s="58"/>
      <c r="D398" s="84"/>
      <c r="E398" s="58"/>
      <c r="F398" s="84"/>
      <c r="G398" s="58"/>
      <c r="H398" s="84"/>
      <c r="I398" s="58"/>
      <c r="J398" s="84"/>
      <c r="K398" s="58"/>
      <c r="L398" s="84"/>
      <c r="M398" s="58"/>
      <c r="N398" s="84"/>
      <c r="O398" s="58"/>
      <c r="P398" s="84"/>
      <c r="Q398" s="58"/>
      <c r="R398" s="84"/>
    </row>
    <row r="399">
      <c r="A399" s="58"/>
      <c r="B399" s="84"/>
      <c r="C399" s="58"/>
      <c r="D399" s="84"/>
      <c r="E399" s="58"/>
      <c r="F399" s="84"/>
      <c r="G399" s="58"/>
      <c r="H399" s="84"/>
      <c r="I399" s="58"/>
      <c r="J399" s="84"/>
      <c r="K399" s="58"/>
      <c r="L399" s="84"/>
      <c r="M399" s="58"/>
      <c r="N399" s="84"/>
      <c r="O399" s="58"/>
      <c r="P399" s="84"/>
      <c r="Q399" s="58"/>
      <c r="R399" s="84"/>
    </row>
    <row r="400">
      <c r="A400" s="58"/>
      <c r="B400" s="84"/>
      <c r="C400" s="58"/>
      <c r="D400" s="84"/>
      <c r="E400" s="58"/>
      <c r="F400" s="84"/>
      <c r="G400" s="58"/>
      <c r="H400" s="84"/>
      <c r="I400" s="58"/>
      <c r="J400" s="84"/>
      <c r="K400" s="58"/>
      <c r="L400" s="84"/>
      <c r="M400" s="58"/>
      <c r="N400" s="84"/>
      <c r="O400" s="58"/>
      <c r="P400" s="84"/>
      <c r="Q400" s="58"/>
      <c r="R400" s="84"/>
    </row>
    <row r="401">
      <c r="A401" s="58"/>
      <c r="B401" s="84"/>
      <c r="C401" s="58"/>
      <c r="D401" s="84"/>
      <c r="E401" s="58"/>
      <c r="F401" s="84"/>
      <c r="G401" s="58"/>
      <c r="H401" s="84"/>
      <c r="I401" s="58"/>
      <c r="J401" s="84"/>
      <c r="K401" s="58"/>
      <c r="L401" s="84"/>
      <c r="M401" s="58"/>
      <c r="N401" s="84"/>
      <c r="O401" s="58"/>
      <c r="P401" s="84"/>
      <c r="Q401" s="58"/>
      <c r="R401" s="84"/>
    </row>
    <row r="402">
      <c r="A402" s="58"/>
      <c r="B402" s="84"/>
      <c r="C402" s="58"/>
      <c r="D402" s="84"/>
      <c r="E402" s="58"/>
      <c r="F402" s="84"/>
      <c r="G402" s="58"/>
      <c r="H402" s="84"/>
      <c r="I402" s="58"/>
      <c r="J402" s="84"/>
      <c r="K402" s="58"/>
      <c r="L402" s="84"/>
      <c r="M402" s="58"/>
      <c r="N402" s="84"/>
      <c r="O402" s="58"/>
      <c r="P402" s="84"/>
      <c r="Q402" s="58"/>
      <c r="R402" s="84"/>
    </row>
    <row r="403">
      <c r="A403" s="58"/>
      <c r="B403" s="84"/>
      <c r="C403" s="58"/>
      <c r="D403" s="84"/>
      <c r="E403" s="58"/>
      <c r="F403" s="84"/>
      <c r="G403" s="58"/>
      <c r="H403" s="84"/>
      <c r="I403" s="58"/>
      <c r="J403" s="84"/>
      <c r="K403" s="58"/>
      <c r="L403" s="84"/>
      <c r="M403" s="58"/>
      <c r="N403" s="84"/>
      <c r="O403" s="58"/>
      <c r="P403" s="84"/>
      <c r="Q403" s="58"/>
      <c r="R403" s="84"/>
    </row>
    <row r="404">
      <c r="A404" s="58"/>
      <c r="B404" s="84"/>
      <c r="C404" s="58"/>
      <c r="D404" s="84"/>
      <c r="E404" s="58"/>
      <c r="F404" s="84"/>
      <c r="G404" s="58"/>
      <c r="H404" s="84"/>
      <c r="I404" s="58"/>
      <c r="J404" s="84"/>
      <c r="K404" s="58"/>
      <c r="L404" s="84"/>
      <c r="M404" s="58"/>
      <c r="N404" s="84"/>
      <c r="O404" s="58"/>
      <c r="P404" s="84"/>
      <c r="Q404" s="58"/>
      <c r="R404" s="84"/>
    </row>
    <row r="405">
      <c r="A405" s="58"/>
      <c r="B405" s="84"/>
      <c r="C405" s="58"/>
      <c r="D405" s="84"/>
      <c r="E405" s="58"/>
      <c r="F405" s="84"/>
      <c r="G405" s="58"/>
      <c r="H405" s="84"/>
      <c r="I405" s="58"/>
      <c r="J405" s="84"/>
      <c r="K405" s="58"/>
      <c r="L405" s="84"/>
      <c r="M405" s="58"/>
      <c r="N405" s="84"/>
      <c r="O405" s="58"/>
      <c r="P405" s="84"/>
      <c r="Q405" s="58"/>
      <c r="R405" s="84"/>
    </row>
    <row r="406">
      <c r="A406" s="58"/>
      <c r="B406" s="84"/>
      <c r="C406" s="58"/>
      <c r="D406" s="84"/>
      <c r="E406" s="58"/>
      <c r="F406" s="84"/>
      <c r="G406" s="58"/>
      <c r="H406" s="84"/>
      <c r="I406" s="58"/>
      <c r="J406" s="84"/>
      <c r="K406" s="58"/>
      <c r="L406" s="84"/>
      <c r="M406" s="58"/>
      <c r="N406" s="84"/>
      <c r="O406" s="58"/>
      <c r="P406" s="84"/>
      <c r="Q406" s="58"/>
      <c r="R406" s="84"/>
    </row>
    <row r="407">
      <c r="A407" s="58"/>
      <c r="B407" s="84"/>
      <c r="C407" s="58"/>
      <c r="D407" s="84"/>
      <c r="E407" s="58"/>
      <c r="F407" s="84"/>
      <c r="G407" s="58"/>
      <c r="H407" s="84"/>
      <c r="I407" s="58"/>
      <c r="J407" s="84"/>
      <c r="K407" s="58"/>
      <c r="L407" s="84"/>
      <c r="M407" s="58"/>
      <c r="N407" s="84"/>
      <c r="O407" s="58"/>
      <c r="P407" s="84"/>
      <c r="Q407" s="58"/>
      <c r="R407" s="84"/>
    </row>
    <row r="408">
      <c r="A408" s="58"/>
      <c r="B408" s="84"/>
      <c r="C408" s="58"/>
      <c r="D408" s="84"/>
      <c r="E408" s="58"/>
      <c r="F408" s="84"/>
      <c r="G408" s="58"/>
      <c r="H408" s="84"/>
      <c r="I408" s="58"/>
      <c r="J408" s="84"/>
      <c r="K408" s="58"/>
      <c r="L408" s="84"/>
      <c r="M408" s="58"/>
      <c r="N408" s="84"/>
      <c r="O408" s="58"/>
      <c r="P408" s="84"/>
      <c r="Q408" s="58"/>
      <c r="R408" s="84"/>
    </row>
    <row r="409">
      <c r="A409" s="58"/>
      <c r="B409" s="84"/>
      <c r="C409" s="58"/>
      <c r="D409" s="84"/>
      <c r="E409" s="58"/>
      <c r="F409" s="84"/>
      <c r="G409" s="58"/>
      <c r="H409" s="84"/>
      <c r="I409" s="58"/>
      <c r="J409" s="84"/>
      <c r="K409" s="58"/>
      <c r="L409" s="84"/>
      <c r="M409" s="58"/>
      <c r="N409" s="84"/>
      <c r="O409" s="58"/>
      <c r="P409" s="84"/>
      <c r="Q409" s="58"/>
      <c r="R409" s="84"/>
    </row>
    <row r="410">
      <c r="A410" s="58"/>
      <c r="B410" s="84"/>
      <c r="C410" s="58"/>
      <c r="D410" s="84"/>
      <c r="E410" s="58"/>
      <c r="F410" s="84"/>
      <c r="G410" s="58"/>
      <c r="H410" s="84"/>
      <c r="I410" s="58"/>
      <c r="J410" s="84"/>
      <c r="K410" s="58"/>
      <c r="L410" s="84"/>
      <c r="M410" s="58"/>
      <c r="N410" s="84"/>
      <c r="O410" s="58"/>
      <c r="P410" s="84"/>
      <c r="Q410" s="58"/>
      <c r="R410" s="84"/>
    </row>
    <row r="411">
      <c r="A411" s="58"/>
      <c r="B411" s="84"/>
      <c r="C411" s="58"/>
      <c r="D411" s="84"/>
      <c r="E411" s="58"/>
      <c r="F411" s="84"/>
      <c r="G411" s="58"/>
      <c r="H411" s="84"/>
      <c r="I411" s="58"/>
      <c r="J411" s="84"/>
      <c r="K411" s="58"/>
      <c r="L411" s="84"/>
      <c r="M411" s="58"/>
      <c r="N411" s="84"/>
      <c r="O411" s="58"/>
      <c r="P411" s="84"/>
      <c r="Q411" s="58"/>
      <c r="R411" s="84"/>
    </row>
    <row r="412">
      <c r="A412" s="58"/>
      <c r="B412" s="84"/>
      <c r="C412" s="58"/>
      <c r="D412" s="84"/>
      <c r="E412" s="58"/>
      <c r="F412" s="84"/>
      <c r="G412" s="58"/>
      <c r="H412" s="84"/>
      <c r="I412" s="58"/>
      <c r="J412" s="84"/>
      <c r="K412" s="58"/>
      <c r="L412" s="84"/>
      <c r="M412" s="58"/>
      <c r="N412" s="84"/>
      <c r="O412" s="58"/>
      <c r="P412" s="84"/>
      <c r="Q412" s="58"/>
      <c r="R412" s="84"/>
    </row>
    <row r="413">
      <c r="A413" s="58"/>
      <c r="B413" s="84"/>
      <c r="C413" s="58"/>
      <c r="D413" s="84"/>
      <c r="E413" s="58"/>
      <c r="F413" s="84"/>
      <c r="G413" s="58"/>
      <c r="H413" s="84"/>
      <c r="I413" s="58"/>
      <c r="J413" s="84"/>
      <c r="K413" s="58"/>
      <c r="L413" s="84"/>
      <c r="M413" s="58"/>
      <c r="N413" s="84"/>
      <c r="O413" s="58"/>
      <c r="P413" s="84"/>
      <c r="Q413" s="58"/>
      <c r="R413" s="84"/>
    </row>
    <row r="414">
      <c r="A414" s="58"/>
      <c r="B414" s="84"/>
      <c r="C414" s="58"/>
      <c r="D414" s="84"/>
      <c r="E414" s="58"/>
      <c r="F414" s="84"/>
      <c r="G414" s="58"/>
      <c r="H414" s="84"/>
      <c r="I414" s="58"/>
      <c r="J414" s="84"/>
      <c r="K414" s="58"/>
      <c r="L414" s="84"/>
      <c r="M414" s="58"/>
      <c r="N414" s="84"/>
      <c r="O414" s="58"/>
      <c r="P414" s="84"/>
      <c r="Q414" s="58"/>
      <c r="R414" s="84"/>
    </row>
    <row r="415">
      <c r="A415" s="58"/>
      <c r="B415" s="84"/>
      <c r="C415" s="58"/>
      <c r="D415" s="84"/>
      <c r="E415" s="58"/>
      <c r="F415" s="84"/>
      <c r="G415" s="58"/>
      <c r="H415" s="84"/>
      <c r="I415" s="58"/>
      <c r="J415" s="84"/>
      <c r="K415" s="58"/>
      <c r="L415" s="84"/>
      <c r="M415" s="58"/>
      <c r="N415" s="84"/>
      <c r="O415" s="58"/>
      <c r="P415" s="84"/>
      <c r="Q415" s="58"/>
      <c r="R415" s="84"/>
    </row>
    <row r="416">
      <c r="A416" s="58"/>
      <c r="B416" s="84"/>
      <c r="C416" s="58"/>
      <c r="D416" s="84"/>
      <c r="E416" s="58"/>
      <c r="F416" s="84"/>
      <c r="G416" s="58"/>
      <c r="H416" s="84"/>
      <c r="I416" s="58"/>
      <c r="J416" s="84"/>
      <c r="K416" s="58"/>
      <c r="L416" s="84"/>
      <c r="M416" s="58"/>
      <c r="N416" s="84"/>
      <c r="O416" s="58"/>
      <c r="P416" s="84"/>
      <c r="Q416" s="58"/>
      <c r="R416" s="84"/>
    </row>
    <row r="417">
      <c r="A417" s="58"/>
      <c r="B417" s="84"/>
      <c r="C417" s="58"/>
      <c r="D417" s="84"/>
      <c r="E417" s="58"/>
      <c r="F417" s="84"/>
      <c r="G417" s="58"/>
      <c r="H417" s="84"/>
      <c r="I417" s="58"/>
      <c r="J417" s="84"/>
      <c r="K417" s="58"/>
      <c r="L417" s="84"/>
      <c r="M417" s="58"/>
      <c r="N417" s="84"/>
      <c r="O417" s="58"/>
      <c r="P417" s="84"/>
      <c r="Q417" s="58"/>
      <c r="R417" s="84"/>
    </row>
    <row r="418">
      <c r="A418" s="58"/>
      <c r="B418" s="84"/>
      <c r="C418" s="58"/>
      <c r="D418" s="84"/>
      <c r="E418" s="58"/>
      <c r="F418" s="84"/>
      <c r="G418" s="58"/>
      <c r="H418" s="84"/>
      <c r="I418" s="58"/>
      <c r="J418" s="84"/>
      <c r="K418" s="58"/>
      <c r="L418" s="84"/>
      <c r="M418" s="58"/>
      <c r="N418" s="84"/>
      <c r="O418" s="58"/>
      <c r="P418" s="84"/>
      <c r="Q418" s="58"/>
      <c r="R418" s="84"/>
    </row>
    <row r="419">
      <c r="A419" s="58"/>
      <c r="B419" s="84"/>
      <c r="C419" s="58"/>
      <c r="D419" s="84"/>
      <c r="E419" s="58"/>
      <c r="F419" s="84"/>
      <c r="G419" s="58"/>
      <c r="H419" s="84"/>
      <c r="I419" s="58"/>
      <c r="J419" s="84"/>
      <c r="K419" s="58"/>
      <c r="L419" s="84"/>
      <c r="M419" s="58"/>
      <c r="N419" s="84"/>
      <c r="O419" s="58"/>
      <c r="P419" s="84"/>
      <c r="Q419" s="58"/>
      <c r="R419" s="84"/>
    </row>
    <row r="420">
      <c r="A420" s="58"/>
      <c r="B420" s="84"/>
      <c r="C420" s="58"/>
      <c r="D420" s="84"/>
      <c r="E420" s="58"/>
      <c r="F420" s="84"/>
      <c r="G420" s="58"/>
      <c r="H420" s="84"/>
      <c r="I420" s="58"/>
      <c r="J420" s="84"/>
      <c r="K420" s="58"/>
      <c r="L420" s="84"/>
      <c r="M420" s="58"/>
      <c r="N420" s="84"/>
      <c r="O420" s="58"/>
      <c r="P420" s="84"/>
      <c r="Q420" s="58"/>
      <c r="R420" s="84"/>
    </row>
    <row r="421">
      <c r="A421" s="58"/>
      <c r="B421" s="84"/>
      <c r="C421" s="58"/>
      <c r="D421" s="84"/>
      <c r="E421" s="58"/>
      <c r="F421" s="84"/>
      <c r="G421" s="58"/>
      <c r="H421" s="84"/>
      <c r="I421" s="58"/>
      <c r="J421" s="84"/>
      <c r="K421" s="58"/>
      <c r="L421" s="84"/>
      <c r="M421" s="58"/>
      <c r="N421" s="84"/>
      <c r="O421" s="58"/>
      <c r="P421" s="84"/>
      <c r="Q421" s="58"/>
      <c r="R421" s="84"/>
    </row>
    <row r="422">
      <c r="A422" s="58"/>
      <c r="B422" s="84"/>
      <c r="C422" s="58"/>
      <c r="D422" s="84"/>
      <c r="E422" s="58"/>
      <c r="F422" s="84"/>
      <c r="G422" s="58"/>
      <c r="H422" s="84"/>
      <c r="I422" s="58"/>
      <c r="J422" s="84"/>
      <c r="K422" s="58"/>
      <c r="L422" s="84"/>
      <c r="M422" s="58"/>
      <c r="N422" s="84"/>
      <c r="O422" s="58"/>
      <c r="P422" s="84"/>
      <c r="Q422" s="58"/>
      <c r="R422" s="84"/>
    </row>
    <row r="423">
      <c r="A423" s="58"/>
      <c r="B423" s="84"/>
      <c r="C423" s="58"/>
      <c r="D423" s="84"/>
      <c r="E423" s="58"/>
      <c r="F423" s="84"/>
      <c r="G423" s="58"/>
      <c r="H423" s="84"/>
      <c r="I423" s="58"/>
      <c r="J423" s="84"/>
      <c r="K423" s="58"/>
      <c r="L423" s="84"/>
      <c r="M423" s="58"/>
      <c r="N423" s="84"/>
      <c r="O423" s="58"/>
      <c r="P423" s="84"/>
      <c r="Q423" s="58"/>
      <c r="R423" s="84"/>
    </row>
    <row r="424">
      <c r="A424" s="58"/>
      <c r="B424" s="84"/>
      <c r="C424" s="58"/>
      <c r="D424" s="84"/>
      <c r="E424" s="58"/>
      <c r="F424" s="84"/>
      <c r="G424" s="58"/>
      <c r="H424" s="84"/>
      <c r="I424" s="58"/>
      <c r="J424" s="84"/>
      <c r="K424" s="58"/>
      <c r="L424" s="84"/>
      <c r="M424" s="58"/>
      <c r="N424" s="84"/>
      <c r="O424" s="58"/>
      <c r="P424" s="84"/>
      <c r="Q424" s="58"/>
      <c r="R424" s="84"/>
    </row>
    <row r="425">
      <c r="A425" s="58"/>
      <c r="B425" s="84"/>
      <c r="C425" s="58"/>
      <c r="D425" s="84"/>
      <c r="E425" s="58"/>
      <c r="F425" s="84"/>
      <c r="G425" s="58"/>
      <c r="H425" s="84"/>
      <c r="I425" s="58"/>
      <c r="J425" s="84"/>
      <c r="K425" s="58"/>
      <c r="L425" s="84"/>
      <c r="M425" s="58"/>
      <c r="N425" s="84"/>
      <c r="O425" s="58"/>
      <c r="P425" s="84"/>
      <c r="Q425" s="58"/>
      <c r="R425" s="84"/>
    </row>
    <row r="426">
      <c r="A426" s="58"/>
      <c r="B426" s="84"/>
      <c r="C426" s="58"/>
      <c r="D426" s="84"/>
      <c r="E426" s="58"/>
      <c r="F426" s="84"/>
      <c r="G426" s="58"/>
      <c r="H426" s="84"/>
      <c r="I426" s="58"/>
      <c r="J426" s="84"/>
      <c r="K426" s="58"/>
      <c r="L426" s="84"/>
      <c r="M426" s="58"/>
      <c r="N426" s="84"/>
      <c r="O426" s="58"/>
      <c r="P426" s="84"/>
      <c r="Q426" s="58"/>
      <c r="R426" s="84"/>
    </row>
    <row r="427">
      <c r="A427" s="58"/>
      <c r="B427" s="84"/>
      <c r="C427" s="58"/>
      <c r="D427" s="84"/>
      <c r="E427" s="58"/>
      <c r="F427" s="84"/>
      <c r="G427" s="58"/>
      <c r="H427" s="84"/>
      <c r="I427" s="58"/>
      <c r="J427" s="84"/>
      <c r="K427" s="58"/>
      <c r="L427" s="84"/>
      <c r="M427" s="58"/>
      <c r="N427" s="84"/>
      <c r="O427" s="58"/>
      <c r="P427" s="84"/>
      <c r="Q427" s="58"/>
      <c r="R427" s="84"/>
    </row>
    <row r="428">
      <c r="A428" s="58"/>
      <c r="B428" s="84"/>
      <c r="C428" s="58"/>
      <c r="D428" s="84"/>
      <c r="E428" s="58"/>
      <c r="F428" s="84"/>
      <c r="G428" s="58"/>
      <c r="H428" s="84"/>
      <c r="I428" s="58"/>
      <c r="J428" s="84"/>
      <c r="K428" s="58"/>
      <c r="L428" s="84"/>
      <c r="M428" s="58"/>
      <c r="N428" s="84"/>
      <c r="O428" s="58"/>
      <c r="P428" s="84"/>
      <c r="Q428" s="58"/>
      <c r="R428" s="84"/>
    </row>
    <row r="429">
      <c r="A429" s="58"/>
      <c r="B429" s="84"/>
      <c r="C429" s="58"/>
      <c r="D429" s="84"/>
      <c r="E429" s="58"/>
      <c r="F429" s="84"/>
      <c r="G429" s="58"/>
      <c r="H429" s="84"/>
      <c r="I429" s="58"/>
      <c r="J429" s="84"/>
      <c r="K429" s="58"/>
      <c r="L429" s="84"/>
      <c r="M429" s="58"/>
      <c r="N429" s="84"/>
      <c r="O429" s="58"/>
      <c r="P429" s="84"/>
      <c r="Q429" s="58"/>
      <c r="R429" s="84"/>
    </row>
    <row r="430">
      <c r="A430" s="58"/>
      <c r="B430" s="84"/>
      <c r="C430" s="58"/>
      <c r="D430" s="84"/>
      <c r="E430" s="58"/>
      <c r="F430" s="84"/>
      <c r="G430" s="58"/>
      <c r="H430" s="84"/>
      <c r="I430" s="58"/>
      <c r="J430" s="84"/>
      <c r="K430" s="58"/>
      <c r="L430" s="84"/>
      <c r="M430" s="58"/>
      <c r="N430" s="84"/>
      <c r="O430" s="58"/>
      <c r="P430" s="84"/>
      <c r="Q430" s="58"/>
      <c r="R430" s="84"/>
    </row>
    <row r="431">
      <c r="A431" s="58"/>
      <c r="B431" s="84"/>
      <c r="C431" s="58"/>
      <c r="D431" s="84"/>
      <c r="E431" s="58"/>
      <c r="F431" s="84"/>
      <c r="G431" s="58"/>
      <c r="H431" s="84"/>
      <c r="I431" s="58"/>
      <c r="J431" s="84"/>
      <c r="K431" s="58"/>
      <c r="L431" s="84"/>
      <c r="M431" s="58"/>
      <c r="N431" s="84"/>
      <c r="O431" s="58"/>
      <c r="P431" s="84"/>
      <c r="Q431" s="58"/>
      <c r="R431" s="84"/>
    </row>
    <row r="432">
      <c r="A432" s="58"/>
      <c r="B432" s="84"/>
      <c r="C432" s="58"/>
      <c r="D432" s="84"/>
      <c r="E432" s="58"/>
      <c r="F432" s="84"/>
      <c r="G432" s="58"/>
      <c r="H432" s="84"/>
      <c r="I432" s="58"/>
      <c r="J432" s="84"/>
      <c r="K432" s="58"/>
      <c r="L432" s="84"/>
      <c r="M432" s="58"/>
      <c r="N432" s="84"/>
      <c r="O432" s="58"/>
      <c r="P432" s="84"/>
      <c r="Q432" s="58"/>
      <c r="R432" s="84"/>
    </row>
    <row r="433">
      <c r="A433" s="58"/>
      <c r="B433" s="84"/>
      <c r="C433" s="58"/>
      <c r="D433" s="84"/>
      <c r="E433" s="58"/>
      <c r="F433" s="84"/>
      <c r="G433" s="58"/>
      <c r="H433" s="84"/>
      <c r="I433" s="58"/>
      <c r="J433" s="84"/>
      <c r="K433" s="58"/>
      <c r="L433" s="84"/>
      <c r="M433" s="58"/>
      <c r="N433" s="84"/>
      <c r="O433" s="58"/>
      <c r="P433" s="84"/>
      <c r="Q433" s="58"/>
      <c r="R433" s="84"/>
    </row>
    <row r="434">
      <c r="A434" s="58"/>
      <c r="B434" s="84"/>
      <c r="C434" s="58"/>
      <c r="D434" s="84"/>
      <c r="E434" s="58"/>
      <c r="F434" s="84"/>
      <c r="G434" s="58"/>
      <c r="H434" s="84"/>
      <c r="I434" s="58"/>
      <c r="J434" s="84"/>
      <c r="K434" s="58"/>
      <c r="L434" s="84"/>
      <c r="M434" s="58"/>
      <c r="N434" s="84"/>
      <c r="O434" s="58"/>
      <c r="P434" s="84"/>
      <c r="Q434" s="58"/>
      <c r="R434" s="84"/>
    </row>
    <row r="435">
      <c r="A435" s="58"/>
      <c r="B435" s="84"/>
      <c r="C435" s="58"/>
      <c r="D435" s="84"/>
      <c r="E435" s="58"/>
      <c r="F435" s="84"/>
      <c r="G435" s="58"/>
      <c r="H435" s="84"/>
      <c r="I435" s="58"/>
      <c r="J435" s="84"/>
      <c r="K435" s="58"/>
      <c r="L435" s="84"/>
      <c r="M435" s="58"/>
      <c r="N435" s="84"/>
      <c r="O435" s="58"/>
      <c r="P435" s="84"/>
      <c r="Q435" s="58"/>
      <c r="R435" s="84"/>
    </row>
    <row r="436">
      <c r="A436" s="58"/>
      <c r="B436" s="84"/>
      <c r="C436" s="58"/>
      <c r="D436" s="84"/>
      <c r="E436" s="58"/>
      <c r="F436" s="84"/>
      <c r="G436" s="58"/>
      <c r="H436" s="84"/>
      <c r="I436" s="58"/>
      <c r="J436" s="84"/>
      <c r="K436" s="58"/>
      <c r="L436" s="84"/>
      <c r="M436" s="58"/>
      <c r="N436" s="84"/>
      <c r="O436" s="58"/>
      <c r="P436" s="84"/>
      <c r="Q436" s="58"/>
      <c r="R436" s="84"/>
    </row>
    <row r="437">
      <c r="A437" s="58"/>
      <c r="B437" s="84"/>
      <c r="C437" s="58"/>
      <c r="D437" s="84"/>
      <c r="E437" s="58"/>
      <c r="F437" s="84"/>
      <c r="G437" s="58"/>
      <c r="H437" s="84"/>
      <c r="I437" s="58"/>
      <c r="J437" s="84"/>
      <c r="K437" s="58"/>
      <c r="L437" s="84"/>
      <c r="M437" s="58"/>
      <c r="N437" s="84"/>
      <c r="O437" s="58"/>
      <c r="P437" s="84"/>
      <c r="Q437" s="58"/>
      <c r="R437" s="84"/>
    </row>
    <row r="438">
      <c r="A438" s="58"/>
      <c r="B438" s="84"/>
      <c r="C438" s="58"/>
      <c r="D438" s="84"/>
      <c r="E438" s="58"/>
      <c r="F438" s="84"/>
      <c r="G438" s="58"/>
      <c r="H438" s="84"/>
      <c r="I438" s="58"/>
      <c r="J438" s="84"/>
      <c r="K438" s="58"/>
      <c r="L438" s="84"/>
      <c r="M438" s="58"/>
      <c r="N438" s="84"/>
      <c r="O438" s="58"/>
      <c r="P438" s="84"/>
      <c r="Q438" s="58"/>
      <c r="R438" s="84"/>
    </row>
    <row r="439">
      <c r="A439" s="58"/>
      <c r="B439" s="84"/>
      <c r="C439" s="58"/>
      <c r="D439" s="84"/>
      <c r="E439" s="58"/>
      <c r="F439" s="84"/>
      <c r="G439" s="58"/>
      <c r="H439" s="84"/>
      <c r="I439" s="58"/>
      <c r="J439" s="84"/>
      <c r="K439" s="58"/>
      <c r="L439" s="84"/>
      <c r="M439" s="58"/>
      <c r="N439" s="84"/>
      <c r="O439" s="58"/>
      <c r="P439" s="84"/>
      <c r="Q439" s="58"/>
      <c r="R439" s="84"/>
    </row>
    <row r="440">
      <c r="A440" s="58"/>
      <c r="B440" s="84"/>
      <c r="C440" s="58"/>
      <c r="D440" s="84"/>
      <c r="E440" s="58"/>
      <c r="F440" s="84"/>
      <c r="G440" s="58"/>
      <c r="H440" s="84"/>
      <c r="I440" s="58"/>
      <c r="J440" s="84"/>
      <c r="K440" s="58"/>
      <c r="L440" s="84"/>
      <c r="M440" s="58"/>
      <c r="N440" s="84"/>
      <c r="O440" s="58"/>
      <c r="P440" s="84"/>
      <c r="Q440" s="58"/>
      <c r="R440" s="84"/>
    </row>
    <row r="441">
      <c r="A441" s="58"/>
      <c r="B441" s="84"/>
      <c r="C441" s="58"/>
      <c r="D441" s="84"/>
      <c r="E441" s="58"/>
      <c r="F441" s="84"/>
      <c r="G441" s="58"/>
      <c r="H441" s="84"/>
      <c r="I441" s="58"/>
      <c r="J441" s="84"/>
      <c r="K441" s="58"/>
      <c r="L441" s="84"/>
      <c r="M441" s="58"/>
      <c r="N441" s="84"/>
      <c r="O441" s="58"/>
      <c r="P441" s="84"/>
      <c r="Q441" s="58"/>
      <c r="R441" s="84"/>
    </row>
    <row r="442">
      <c r="A442" s="58"/>
      <c r="B442" s="84"/>
      <c r="C442" s="58"/>
      <c r="D442" s="84"/>
      <c r="E442" s="58"/>
      <c r="F442" s="84"/>
      <c r="G442" s="58"/>
      <c r="H442" s="84"/>
      <c r="I442" s="58"/>
      <c r="J442" s="84"/>
      <c r="K442" s="58"/>
      <c r="L442" s="84"/>
      <c r="M442" s="58"/>
      <c r="N442" s="84"/>
      <c r="O442" s="58"/>
      <c r="P442" s="84"/>
      <c r="Q442" s="58"/>
      <c r="R442" s="84"/>
    </row>
    <row r="443">
      <c r="A443" s="58"/>
      <c r="B443" s="84"/>
      <c r="C443" s="58"/>
      <c r="D443" s="84"/>
      <c r="E443" s="58"/>
      <c r="F443" s="84"/>
      <c r="G443" s="58"/>
      <c r="H443" s="84"/>
      <c r="I443" s="58"/>
      <c r="J443" s="84"/>
      <c r="K443" s="58"/>
      <c r="L443" s="84"/>
      <c r="M443" s="58"/>
      <c r="N443" s="84"/>
      <c r="O443" s="58"/>
      <c r="P443" s="84"/>
      <c r="Q443" s="58"/>
      <c r="R443" s="84"/>
    </row>
    <row r="444">
      <c r="A444" s="58"/>
      <c r="B444" s="84"/>
      <c r="C444" s="58"/>
      <c r="D444" s="84"/>
      <c r="E444" s="58"/>
      <c r="F444" s="84"/>
      <c r="G444" s="58"/>
      <c r="H444" s="84"/>
      <c r="I444" s="58"/>
      <c r="J444" s="84"/>
      <c r="K444" s="58"/>
      <c r="L444" s="84"/>
      <c r="M444" s="58"/>
      <c r="N444" s="84"/>
      <c r="O444" s="58"/>
      <c r="P444" s="84"/>
      <c r="Q444" s="58"/>
      <c r="R444" s="84"/>
    </row>
    <row r="445">
      <c r="A445" s="58"/>
      <c r="B445" s="84"/>
      <c r="C445" s="58"/>
      <c r="D445" s="84"/>
      <c r="E445" s="58"/>
      <c r="F445" s="84"/>
      <c r="G445" s="58"/>
      <c r="H445" s="84"/>
      <c r="I445" s="58"/>
      <c r="J445" s="84"/>
      <c r="K445" s="58"/>
      <c r="L445" s="84"/>
      <c r="M445" s="58"/>
      <c r="N445" s="84"/>
      <c r="O445" s="58"/>
      <c r="P445" s="84"/>
      <c r="Q445" s="58"/>
      <c r="R445" s="84"/>
    </row>
    <row r="446">
      <c r="A446" s="58"/>
      <c r="B446" s="84"/>
      <c r="C446" s="58"/>
      <c r="D446" s="84"/>
      <c r="E446" s="58"/>
      <c r="F446" s="84"/>
      <c r="G446" s="58"/>
      <c r="H446" s="84"/>
      <c r="I446" s="58"/>
      <c r="J446" s="84"/>
      <c r="K446" s="58"/>
      <c r="L446" s="84"/>
      <c r="M446" s="58"/>
      <c r="N446" s="84"/>
      <c r="O446" s="58"/>
      <c r="P446" s="84"/>
      <c r="Q446" s="58"/>
      <c r="R446" s="84"/>
    </row>
    <row r="447">
      <c r="A447" s="58"/>
      <c r="B447" s="84"/>
      <c r="C447" s="58"/>
      <c r="D447" s="84"/>
      <c r="E447" s="58"/>
      <c r="F447" s="84"/>
      <c r="G447" s="58"/>
      <c r="H447" s="84"/>
      <c r="I447" s="58"/>
      <c r="J447" s="84"/>
      <c r="K447" s="58"/>
      <c r="L447" s="84"/>
      <c r="M447" s="58"/>
      <c r="N447" s="84"/>
      <c r="O447" s="58"/>
      <c r="P447" s="84"/>
      <c r="Q447" s="58"/>
      <c r="R447" s="84"/>
    </row>
    <row r="448">
      <c r="A448" s="58"/>
      <c r="B448" s="84"/>
      <c r="C448" s="58"/>
      <c r="D448" s="84"/>
      <c r="E448" s="58"/>
      <c r="F448" s="84"/>
      <c r="G448" s="58"/>
      <c r="H448" s="84"/>
      <c r="I448" s="58"/>
      <c r="J448" s="84"/>
      <c r="K448" s="58"/>
      <c r="L448" s="84"/>
      <c r="M448" s="58"/>
      <c r="N448" s="84"/>
      <c r="O448" s="58"/>
      <c r="P448" s="84"/>
      <c r="Q448" s="58"/>
      <c r="R448" s="84"/>
    </row>
    <row r="449">
      <c r="A449" s="58"/>
      <c r="B449" s="84"/>
      <c r="C449" s="58"/>
      <c r="D449" s="84"/>
      <c r="E449" s="58"/>
      <c r="F449" s="84"/>
      <c r="G449" s="58"/>
      <c r="H449" s="84"/>
      <c r="I449" s="58"/>
      <c r="J449" s="84"/>
      <c r="K449" s="58"/>
      <c r="L449" s="84"/>
      <c r="M449" s="58"/>
      <c r="N449" s="84"/>
      <c r="O449" s="58"/>
      <c r="P449" s="84"/>
      <c r="Q449" s="58"/>
      <c r="R449" s="84"/>
    </row>
    <row r="450">
      <c r="A450" s="58"/>
      <c r="B450" s="84"/>
      <c r="C450" s="58"/>
      <c r="D450" s="84"/>
      <c r="E450" s="58"/>
      <c r="F450" s="84"/>
      <c r="G450" s="58"/>
      <c r="H450" s="84"/>
      <c r="I450" s="58"/>
      <c r="J450" s="84"/>
      <c r="K450" s="58"/>
      <c r="L450" s="84"/>
      <c r="M450" s="58"/>
      <c r="N450" s="84"/>
      <c r="O450" s="58"/>
      <c r="P450" s="84"/>
      <c r="Q450" s="58"/>
      <c r="R450" s="84"/>
    </row>
    <row r="451">
      <c r="A451" s="58"/>
      <c r="B451" s="84"/>
      <c r="C451" s="58"/>
      <c r="D451" s="84"/>
      <c r="E451" s="58"/>
      <c r="F451" s="84"/>
      <c r="G451" s="58"/>
      <c r="H451" s="84"/>
      <c r="I451" s="58"/>
      <c r="J451" s="84"/>
      <c r="K451" s="58"/>
      <c r="L451" s="84"/>
      <c r="M451" s="58"/>
      <c r="N451" s="84"/>
      <c r="O451" s="58"/>
      <c r="P451" s="84"/>
      <c r="Q451" s="58"/>
      <c r="R451" s="84"/>
    </row>
    <row r="452">
      <c r="A452" s="58"/>
      <c r="B452" s="84"/>
      <c r="C452" s="58"/>
      <c r="D452" s="84"/>
      <c r="E452" s="58"/>
      <c r="F452" s="84"/>
      <c r="G452" s="58"/>
      <c r="H452" s="84"/>
      <c r="I452" s="58"/>
      <c r="J452" s="84"/>
      <c r="K452" s="58"/>
      <c r="L452" s="84"/>
      <c r="M452" s="58"/>
      <c r="N452" s="84"/>
      <c r="O452" s="58"/>
      <c r="P452" s="84"/>
      <c r="Q452" s="58"/>
      <c r="R452" s="84"/>
    </row>
    <row r="453">
      <c r="A453" s="58"/>
      <c r="B453" s="84"/>
      <c r="C453" s="58"/>
      <c r="D453" s="84"/>
      <c r="E453" s="58"/>
      <c r="F453" s="84"/>
      <c r="G453" s="58"/>
      <c r="H453" s="84"/>
      <c r="I453" s="58"/>
      <c r="J453" s="84"/>
      <c r="K453" s="58"/>
      <c r="L453" s="84"/>
      <c r="M453" s="58"/>
      <c r="N453" s="84"/>
      <c r="O453" s="58"/>
      <c r="P453" s="84"/>
      <c r="Q453" s="58"/>
      <c r="R453" s="84"/>
    </row>
    <row r="454">
      <c r="A454" s="58"/>
      <c r="B454" s="84"/>
      <c r="C454" s="58"/>
      <c r="D454" s="84"/>
      <c r="E454" s="58"/>
      <c r="F454" s="84"/>
      <c r="G454" s="58"/>
      <c r="H454" s="84"/>
      <c r="I454" s="58"/>
      <c r="J454" s="84"/>
      <c r="K454" s="58"/>
      <c r="L454" s="84"/>
      <c r="M454" s="58"/>
      <c r="N454" s="84"/>
      <c r="O454" s="58"/>
      <c r="P454" s="84"/>
      <c r="Q454" s="58"/>
      <c r="R454" s="84"/>
    </row>
    <row r="455">
      <c r="A455" s="58"/>
      <c r="B455" s="84"/>
      <c r="C455" s="58"/>
      <c r="D455" s="84"/>
      <c r="E455" s="58"/>
      <c r="F455" s="84"/>
      <c r="G455" s="58"/>
      <c r="H455" s="84"/>
      <c r="I455" s="58"/>
      <c r="J455" s="84"/>
      <c r="K455" s="58"/>
      <c r="L455" s="84"/>
      <c r="M455" s="58"/>
      <c r="N455" s="84"/>
      <c r="O455" s="58"/>
      <c r="P455" s="84"/>
      <c r="Q455" s="58"/>
      <c r="R455" s="84"/>
    </row>
    <row r="456">
      <c r="A456" s="58"/>
      <c r="B456" s="84"/>
      <c r="C456" s="58"/>
      <c r="D456" s="84"/>
      <c r="E456" s="58"/>
      <c r="F456" s="84"/>
      <c r="G456" s="58"/>
      <c r="H456" s="84"/>
      <c r="I456" s="58"/>
      <c r="J456" s="84"/>
      <c r="K456" s="58"/>
      <c r="L456" s="84"/>
      <c r="M456" s="58"/>
      <c r="N456" s="84"/>
      <c r="O456" s="58"/>
      <c r="P456" s="84"/>
      <c r="Q456" s="58"/>
      <c r="R456" s="84"/>
    </row>
    <row r="457">
      <c r="A457" s="58"/>
      <c r="B457" s="84"/>
      <c r="C457" s="58"/>
      <c r="D457" s="84"/>
      <c r="E457" s="58"/>
      <c r="F457" s="84"/>
      <c r="G457" s="58"/>
      <c r="H457" s="84"/>
      <c r="I457" s="58"/>
      <c r="J457" s="84"/>
      <c r="K457" s="58"/>
      <c r="L457" s="84"/>
      <c r="M457" s="58"/>
      <c r="N457" s="84"/>
      <c r="O457" s="58"/>
      <c r="P457" s="84"/>
      <c r="Q457" s="58"/>
      <c r="R457" s="84"/>
    </row>
    <row r="458">
      <c r="A458" s="58"/>
      <c r="B458" s="84"/>
      <c r="C458" s="58"/>
      <c r="D458" s="84"/>
      <c r="E458" s="58"/>
      <c r="F458" s="84"/>
      <c r="G458" s="58"/>
      <c r="H458" s="84"/>
      <c r="I458" s="58"/>
      <c r="J458" s="84"/>
      <c r="K458" s="58"/>
      <c r="L458" s="84"/>
      <c r="M458" s="58"/>
      <c r="N458" s="84"/>
      <c r="O458" s="58"/>
      <c r="P458" s="84"/>
      <c r="Q458" s="58"/>
      <c r="R458" s="84"/>
    </row>
    <row r="459">
      <c r="A459" s="58"/>
      <c r="B459" s="84"/>
      <c r="C459" s="58"/>
      <c r="D459" s="84"/>
      <c r="E459" s="58"/>
      <c r="F459" s="84"/>
      <c r="G459" s="58"/>
      <c r="H459" s="84"/>
      <c r="I459" s="58"/>
      <c r="J459" s="84"/>
      <c r="K459" s="58"/>
      <c r="L459" s="84"/>
      <c r="M459" s="58"/>
      <c r="N459" s="84"/>
      <c r="O459" s="58"/>
      <c r="P459" s="84"/>
      <c r="Q459" s="58"/>
      <c r="R459" s="84"/>
    </row>
    <row r="460">
      <c r="A460" s="58"/>
      <c r="B460" s="84"/>
      <c r="C460" s="58"/>
      <c r="D460" s="84"/>
      <c r="E460" s="58"/>
      <c r="F460" s="84"/>
      <c r="G460" s="58"/>
      <c r="H460" s="84"/>
      <c r="I460" s="58"/>
      <c r="J460" s="84"/>
      <c r="K460" s="58"/>
      <c r="L460" s="84"/>
      <c r="M460" s="58"/>
      <c r="N460" s="84"/>
      <c r="O460" s="58"/>
      <c r="P460" s="84"/>
      <c r="Q460" s="58"/>
      <c r="R460" s="84"/>
    </row>
    <row r="461">
      <c r="A461" s="58"/>
      <c r="B461" s="84"/>
      <c r="C461" s="58"/>
      <c r="D461" s="84"/>
      <c r="E461" s="58"/>
      <c r="F461" s="84"/>
      <c r="G461" s="58"/>
      <c r="H461" s="84"/>
      <c r="I461" s="58"/>
      <c r="J461" s="84"/>
      <c r="K461" s="58"/>
      <c r="L461" s="84"/>
      <c r="M461" s="58"/>
      <c r="N461" s="84"/>
      <c r="O461" s="58"/>
      <c r="P461" s="84"/>
      <c r="Q461" s="58"/>
      <c r="R461" s="84"/>
    </row>
    <row r="462">
      <c r="A462" s="58"/>
      <c r="B462" s="84"/>
      <c r="C462" s="58"/>
      <c r="D462" s="84"/>
      <c r="E462" s="58"/>
      <c r="F462" s="84"/>
      <c r="G462" s="58"/>
      <c r="H462" s="84"/>
      <c r="I462" s="58"/>
      <c r="J462" s="84"/>
      <c r="K462" s="58"/>
      <c r="L462" s="84"/>
      <c r="M462" s="58"/>
      <c r="N462" s="84"/>
      <c r="O462" s="58"/>
      <c r="P462" s="84"/>
      <c r="Q462" s="58"/>
      <c r="R462" s="84"/>
    </row>
    <row r="463">
      <c r="A463" s="58"/>
      <c r="B463" s="84"/>
      <c r="C463" s="58"/>
      <c r="D463" s="84"/>
      <c r="E463" s="58"/>
      <c r="F463" s="84"/>
      <c r="G463" s="58"/>
      <c r="H463" s="84"/>
      <c r="I463" s="58"/>
      <c r="J463" s="84"/>
      <c r="K463" s="58"/>
      <c r="L463" s="84"/>
      <c r="M463" s="58"/>
      <c r="N463" s="84"/>
      <c r="O463" s="58"/>
      <c r="P463" s="84"/>
      <c r="Q463" s="58"/>
      <c r="R463" s="84"/>
    </row>
    <row r="464">
      <c r="A464" s="58"/>
      <c r="B464" s="84"/>
      <c r="C464" s="58"/>
      <c r="D464" s="84"/>
      <c r="E464" s="58"/>
      <c r="F464" s="84"/>
      <c r="G464" s="58"/>
      <c r="H464" s="84"/>
      <c r="I464" s="58"/>
      <c r="J464" s="84"/>
      <c r="K464" s="58"/>
      <c r="L464" s="84"/>
      <c r="M464" s="58"/>
      <c r="N464" s="84"/>
      <c r="O464" s="58"/>
      <c r="P464" s="84"/>
      <c r="Q464" s="58"/>
      <c r="R464" s="84"/>
    </row>
    <row r="465">
      <c r="A465" s="58"/>
      <c r="B465" s="84"/>
      <c r="C465" s="58"/>
      <c r="D465" s="84"/>
      <c r="E465" s="58"/>
      <c r="F465" s="84"/>
      <c r="G465" s="58"/>
      <c r="H465" s="84"/>
      <c r="I465" s="58"/>
      <c r="J465" s="84"/>
      <c r="K465" s="58"/>
      <c r="L465" s="84"/>
      <c r="M465" s="58"/>
      <c r="N465" s="84"/>
      <c r="O465" s="58"/>
      <c r="P465" s="84"/>
      <c r="Q465" s="58"/>
      <c r="R465" s="84"/>
    </row>
    <row r="466">
      <c r="A466" s="58"/>
      <c r="B466" s="84"/>
      <c r="C466" s="58"/>
      <c r="D466" s="84"/>
      <c r="E466" s="58"/>
      <c r="F466" s="84"/>
      <c r="G466" s="58"/>
      <c r="H466" s="84"/>
      <c r="I466" s="58"/>
      <c r="J466" s="84"/>
      <c r="K466" s="58"/>
      <c r="L466" s="84"/>
      <c r="M466" s="58"/>
      <c r="N466" s="84"/>
      <c r="O466" s="58"/>
      <c r="P466" s="84"/>
      <c r="Q466" s="58"/>
      <c r="R466" s="84"/>
    </row>
    <row r="467">
      <c r="A467" s="58"/>
      <c r="B467" s="84"/>
      <c r="C467" s="58"/>
      <c r="D467" s="84"/>
      <c r="E467" s="58"/>
      <c r="F467" s="84"/>
      <c r="G467" s="58"/>
      <c r="H467" s="84"/>
      <c r="I467" s="58"/>
      <c r="J467" s="84"/>
      <c r="K467" s="58"/>
      <c r="L467" s="84"/>
      <c r="M467" s="58"/>
      <c r="N467" s="84"/>
      <c r="O467" s="58"/>
      <c r="P467" s="84"/>
      <c r="Q467" s="58"/>
      <c r="R467" s="84"/>
    </row>
    <row r="468">
      <c r="A468" s="58"/>
      <c r="B468" s="84"/>
      <c r="C468" s="58"/>
      <c r="D468" s="84"/>
      <c r="E468" s="58"/>
      <c r="F468" s="84"/>
      <c r="G468" s="58"/>
      <c r="H468" s="84"/>
      <c r="I468" s="58"/>
      <c r="J468" s="84"/>
      <c r="K468" s="58"/>
      <c r="L468" s="84"/>
      <c r="M468" s="58"/>
      <c r="N468" s="84"/>
      <c r="O468" s="58"/>
      <c r="P468" s="84"/>
      <c r="Q468" s="58"/>
      <c r="R468" s="84"/>
    </row>
    <row r="469">
      <c r="A469" s="58"/>
      <c r="B469" s="84"/>
      <c r="C469" s="58"/>
      <c r="D469" s="84"/>
      <c r="E469" s="58"/>
      <c r="F469" s="84"/>
      <c r="G469" s="58"/>
      <c r="H469" s="84"/>
      <c r="I469" s="58"/>
      <c r="J469" s="84"/>
      <c r="K469" s="58"/>
      <c r="L469" s="84"/>
      <c r="M469" s="58"/>
      <c r="N469" s="84"/>
      <c r="O469" s="58"/>
      <c r="P469" s="84"/>
      <c r="Q469" s="58"/>
      <c r="R469" s="84"/>
    </row>
    <row r="470">
      <c r="A470" s="58"/>
      <c r="B470" s="84"/>
      <c r="C470" s="58"/>
      <c r="D470" s="84"/>
      <c r="E470" s="58"/>
      <c r="F470" s="84"/>
      <c r="G470" s="58"/>
      <c r="H470" s="84"/>
      <c r="I470" s="58"/>
      <c r="J470" s="84"/>
      <c r="K470" s="58"/>
      <c r="L470" s="84"/>
      <c r="M470" s="58"/>
      <c r="N470" s="84"/>
      <c r="O470" s="58"/>
      <c r="P470" s="84"/>
      <c r="Q470" s="58"/>
      <c r="R470" s="84"/>
    </row>
    <row r="471">
      <c r="A471" s="58"/>
      <c r="B471" s="84"/>
      <c r="C471" s="58"/>
      <c r="D471" s="84"/>
      <c r="E471" s="58"/>
      <c r="F471" s="84"/>
      <c r="G471" s="58"/>
      <c r="H471" s="84"/>
      <c r="I471" s="58"/>
      <c r="J471" s="84"/>
      <c r="K471" s="58"/>
      <c r="L471" s="84"/>
      <c r="M471" s="58"/>
      <c r="N471" s="84"/>
      <c r="O471" s="58"/>
      <c r="P471" s="84"/>
      <c r="Q471" s="58"/>
      <c r="R471" s="84"/>
    </row>
    <row r="472">
      <c r="A472" s="58"/>
      <c r="B472" s="84"/>
      <c r="C472" s="58"/>
      <c r="D472" s="84"/>
      <c r="E472" s="58"/>
      <c r="F472" s="84"/>
      <c r="G472" s="58"/>
      <c r="H472" s="84"/>
      <c r="I472" s="58"/>
      <c r="J472" s="84"/>
      <c r="K472" s="58"/>
      <c r="L472" s="84"/>
      <c r="M472" s="58"/>
      <c r="N472" s="84"/>
      <c r="O472" s="58"/>
      <c r="P472" s="84"/>
      <c r="Q472" s="58"/>
      <c r="R472" s="84"/>
    </row>
    <row r="473">
      <c r="A473" s="58"/>
      <c r="B473" s="84"/>
      <c r="C473" s="58"/>
      <c r="D473" s="84"/>
      <c r="E473" s="58"/>
      <c r="F473" s="84"/>
      <c r="G473" s="58"/>
      <c r="H473" s="84"/>
      <c r="I473" s="58"/>
      <c r="J473" s="84"/>
      <c r="K473" s="58"/>
      <c r="L473" s="84"/>
      <c r="M473" s="58"/>
      <c r="N473" s="84"/>
      <c r="O473" s="58"/>
      <c r="P473" s="84"/>
      <c r="Q473" s="58"/>
      <c r="R473" s="84"/>
    </row>
    <row r="474">
      <c r="A474" s="58"/>
      <c r="B474" s="84"/>
      <c r="C474" s="58"/>
      <c r="D474" s="84"/>
      <c r="E474" s="58"/>
      <c r="F474" s="84"/>
      <c r="G474" s="58"/>
      <c r="H474" s="84"/>
      <c r="I474" s="58"/>
      <c r="J474" s="84"/>
      <c r="K474" s="58"/>
      <c r="L474" s="84"/>
      <c r="M474" s="58"/>
      <c r="N474" s="84"/>
      <c r="O474" s="58"/>
      <c r="P474" s="84"/>
      <c r="Q474" s="58"/>
      <c r="R474" s="84"/>
    </row>
    <row r="475">
      <c r="A475" s="58"/>
      <c r="B475" s="84"/>
      <c r="C475" s="58"/>
      <c r="D475" s="84"/>
      <c r="E475" s="58"/>
      <c r="F475" s="84"/>
      <c r="G475" s="58"/>
      <c r="H475" s="84"/>
      <c r="I475" s="58"/>
      <c r="J475" s="84"/>
      <c r="K475" s="58"/>
      <c r="L475" s="84"/>
      <c r="M475" s="58"/>
      <c r="N475" s="84"/>
      <c r="O475" s="58"/>
      <c r="P475" s="84"/>
      <c r="Q475" s="58"/>
      <c r="R475" s="84"/>
    </row>
    <row r="476">
      <c r="A476" s="58"/>
      <c r="B476" s="84"/>
      <c r="C476" s="58"/>
      <c r="D476" s="84"/>
      <c r="E476" s="58"/>
      <c r="F476" s="84"/>
      <c r="G476" s="58"/>
      <c r="H476" s="84"/>
      <c r="I476" s="58"/>
      <c r="J476" s="84"/>
      <c r="K476" s="58"/>
      <c r="L476" s="84"/>
      <c r="M476" s="58"/>
      <c r="N476" s="84"/>
      <c r="O476" s="58"/>
      <c r="P476" s="84"/>
      <c r="Q476" s="58"/>
      <c r="R476" s="84"/>
    </row>
    <row r="477">
      <c r="A477" s="58"/>
      <c r="B477" s="84"/>
      <c r="C477" s="58"/>
      <c r="D477" s="84"/>
      <c r="E477" s="58"/>
      <c r="F477" s="84"/>
      <c r="G477" s="58"/>
      <c r="H477" s="84"/>
      <c r="I477" s="58"/>
      <c r="J477" s="84"/>
      <c r="K477" s="58"/>
      <c r="L477" s="84"/>
      <c r="M477" s="58"/>
      <c r="N477" s="84"/>
      <c r="O477" s="58"/>
      <c r="P477" s="84"/>
      <c r="Q477" s="58"/>
      <c r="R477" s="84"/>
    </row>
    <row r="478">
      <c r="A478" s="58"/>
      <c r="B478" s="84"/>
      <c r="C478" s="58"/>
      <c r="D478" s="84"/>
      <c r="E478" s="58"/>
      <c r="F478" s="84"/>
      <c r="G478" s="58"/>
      <c r="H478" s="84"/>
      <c r="I478" s="58"/>
      <c r="J478" s="84"/>
      <c r="K478" s="58"/>
      <c r="L478" s="84"/>
      <c r="M478" s="58"/>
      <c r="N478" s="84"/>
      <c r="O478" s="58"/>
      <c r="P478" s="84"/>
      <c r="Q478" s="58"/>
      <c r="R478" s="84"/>
    </row>
    <row r="479">
      <c r="A479" s="58"/>
      <c r="B479" s="84"/>
      <c r="C479" s="58"/>
      <c r="D479" s="84"/>
      <c r="E479" s="58"/>
      <c r="F479" s="84"/>
      <c r="G479" s="58"/>
      <c r="H479" s="84"/>
      <c r="I479" s="58"/>
      <c r="J479" s="84"/>
      <c r="K479" s="58"/>
      <c r="L479" s="84"/>
      <c r="M479" s="58"/>
      <c r="N479" s="84"/>
      <c r="O479" s="58"/>
      <c r="P479" s="84"/>
      <c r="Q479" s="58"/>
      <c r="R479" s="84"/>
    </row>
    <row r="480">
      <c r="A480" s="58"/>
      <c r="B480" s="84"/>
      <c r="C480" s="58"/>
      <c r="D480" s="84"/>
      <c r="E480" s="58"/>
      <c r="F480" s="84"/>
      <c r="G480" s="58"/>
      <c r="H480" s="84"/>
      <c r="I480" s="58"/>
      <c r="J480" s="84"/>
      <c r="K480" s="58"/>
      <c r="L480" s="84"/>
      <c r="M480" s="58"/>
      <c r="N480" s="84"/>
      <c r="O480" s="58"/>
      <c r="P480" s="84"/>
      <c r="Q480" s="58"/>
      <c r="R480" s="84"/>
    </row>
    <row r="481">
      <c r="A481" s="58"/>
      <c r="B481" s="84"/>
      <c r="C481" s="58"/>
      <c r="D481" s="84"/>
      <c r="E481" s="58"/>
      <c r="F481" s="84"/>
      <c r="G481" s="58"/>
      <c r="H481" s="84"/>
      <c r="I481" s="58"/>
      <c r="J481" s="84"/>
      <c r="K481" s="58"/>
      <c r="L481" s="84"/>
      <c r="M481" s="58"/>
      <c r="N481" s="84"/>
      <c r="O481" s="58"/>
      <c r="P481" s="84"/>
      <c r="Q481" s="58"/>
      <c r="R481" s="84"/>
    </row>
    <row r="482">
      <c r="A482" s="58"/>
      <c r="B482" s="84"/>
      <c r="C482" s="58"/>
      <c r="D482" s="84"/>
      <c r="E482" s="58"/>
      <c r="F482" s="84"/>
      <c r="G482" s="58"/>
      <c r="H482" s="84"/>
      <c r="I482" s="58"/>
      <c r="J482" s="84"/>
      <c r="K482" s="58"/>
      <c r="L482" s="84"/>
      <c r="M482" s="58"/>
      <c r="N482" s="84"/>
      <c r="O482" s="58"/>
      <c r="P482" s="84"/>
      <c r="Q482" s="58"/>
      <c r="R482" s="84"/>
    </row>
    <row r="483">
      <c r="A483" s="58"/>
      <c r="B483" s="84"/>
      <c r="C483" s="58"/>
      <c r="D483" s="84"/>
      <c r="E483" s="58"/>
      <c r="F483" s="84"/>
      <c r="G483" s="58"/>
      <c r="H483" s="84"/>
      <c r="I483" s="58"/>
      <c r="J483" s="84"/>
      <c r="K483" s="58"/>
      <c r="L483" s="84"/>
      <c r="M483" s="58"/>
      <c r="N483" s="84"/>
      <c r="O483" s="58"/>
      <c r="P483" s="84"/>
      <c r="Q483" s="58"/>
      <c r="R483" s="84"/>
    </row>
    <row r="484">
      <c r="A484" s="58"/>
      <c r="B484" s="84"/>
      <c r="C484" s="58"/>
      <c r="D484" s="84"/>
      <c r="E484" s="58"/>
      <c r="F484" s="84"/>
      <c r="G484" s="58"/>
      <c r="H484" s="84"/>
      <c r="I484" s="58"/>
      <c r="J484" s="84"/>
      <c r="K484" s="58"/>
      <c r="L484" s="84"/>
      <c r="M484" s="58"/>
      <c r="N484" s="84"/>
      <c r="O484" s="58"/>
      <c r="P484" s="84"/>
      <c r="Q484" s="58"/>
      <c r="R484" s="84"/>
    </row>
    <row r="485">
      <c r="A485" s="58"/>
      <c r="B485" s="84"/>
      <c r="C485" s="58"/>
      <c r="D485" s="84"/>
      <c r="E485" s="58"/>
      <c r="F485" s="84"/>
      <c r="G485" s="58"/>
      <c r="H485" s="84"/>
      <c r="I485" s="58"/>
      <c r="J485" s="84"/>
      <c r="K485" s="58"/>
      <c r="L485" s="84"/>
      <c r="M485" s="58"/>
      <c r="N485" s="84"/>
      <c r="O485" s="58"/>
      <c r="P485" s="84"/>
      <c r="Q485" s="58"/>
      <c r="R485" s="84"/>
    </row>
    <row r="486">
      <c r="A486" s="58"/>
      <c r="B486" s="84"/>
      <c r="C486" s="58"/>
      <c r="D486" s="84"/>
      <c r="E486" s="58"/>
      <c r="F486" s="84"/>
      <c r="G486" s="58"/>
      <c r="H486" s="84"/>
      <c r="I486" s="58"/>
      <c r="J486" s="84"/>
      <c r="K486" s="58"/>
      <c r="L486" s="84"/>
      <c r="M486" s="58"/>
      <c r="N486" s="84"/>
      <c r="O486" s="58"/>
      <c r="P486" s="84"/>
      <c r="Q486" s="58"/>
      <c r="R486" s="84"/>
    </row>
    <row r="487">
      <c r="A487" s="58"/>
      <c r="B487" s="84"/>
      <c r="C487" s="58"/>
      <c r="D487" s="84"/>
      <c r="E487" s="58"/>
      <c r="F487" s="84"/>
      <c r="G487" s="58"/>
      <c r="H487" s="84"/>
      <c r="I487" s="58"/>
      <c r="J487" s="84"/>
      <c r="K487" s="58"/>
      <c r="L487" s="84"/>
      <c r="M487" s="58"/>
      <c r="N487" s="84"/>
      <c r="O487" s="58"/>
      <c r="P487" s="84"/>
      <c r="Q487" s="58"/>
      <c r="R487" s="84"/>
    </row>
    <row r="488">
      <c r="A488" s="58"/>
      <c r="B488" s="84"/>
      <c r="C488" s="58"/>
      <c r="D488" s="84"/>
      <c r="E488" s="58"/>
      <c r="F488" s="84"/>
      <c r="G488" s="58"/>
      <c r="H488" s="84"/>
      <c r="I488" s="58"/>
      <c r="J488" s="84"/>
      <c r="K488" s="58"/>
      <c r="L488" s="84"/>
      <c r="M488" s="58"/>
      <c r="N488" s="84"/>
      <c r="O488" s="58"/>
      <c r="P488" s="84"/>
      <c r="Q488" s="58"/>
      <c r="R488" s="84"/>
    </row>
    <row r="489">
      <c r="A489" s="58"/>
      <c r="B489" s="84"/>
      <c r="C489" s="58"/>
      <c r="D489" s="84"/>
      <c r="E489" s="58"/>
      <c r="F489" s="84"/>
      <c r="G489" s="58"/>
      <c r="H489" s="84"/>
      <c r="I489" s="58"/>
      <c r="J489" s="84"/>
      <c r="K489" s="58"/>
      <c r="L489" s="84"/>
      <c r="M489" s="58"/>
      <c r="N489" s="84"/>
      <c r="O489" s="58"/>
      <c r="P489" s="84"/>
      <c r="Q489" s="58"/>
      <c r="R489" s="84"/>
    </row>
    <row r="490">
      <c r="A490" s="58"/>
      <c r="B490" s="84"/>
      <c r="C490" s="58"/>
      <c r="D490" s="84"/>
      <c r="E490" s="58"/>
      <c r="F490" s="84"/>
      <c r="G490" s="58"/>
      <c r="H490" s="84"/>
      <c r="I490" s="58"/>
      <c r="J490" s="84"/>
      <c r="K490" s="58"/>
      <c r="L490" s="84"/>
      <c r="M490" s="58"/>
      <c r="N490" s="84"/>
      <c r="O490" s="58"/>
      <c r="P490" s="84"/>
      <c r="Q490" s="58"/>
      <c r="R490" s="84"/>
    </row>
    <row r="491">
      <c r="A491" s="58"/>
      <c r="B491" s="84"/>
      <c r="C491" s="58"/>
      <c r="D491" s="84"/>
      <c r="E491" s="58"/>
      <c r="F491" s="84"/>
      <c r="G491" s="58"/>
      <c r="H491" s="84"/>
      <c r="I491" s="58"/>
      <c r="J491" s="84"/>
      <c r="K491" s="58"/>
      <c r="L491" s="84"/>
      <c r="M491" s="58"/>
      <c r="N491" s="84"/>
      <c r="O491" s="58"/>
      <c r="P491" s="84"/>
      <c r="Q491" s="58"/>
      <c r="R491" s="84"/>
    </row>
    <row r="492">
      <c r="A492" s="58"/>
      <c r="B492" s="84"/>
      <c r="C492" s="58"/>
      <c r="D492" s="84"/>
      <c r="E492" s="58"/>
      <c r="F492" s="84"/>
      <c r="G492" s="58"/>
      <c r="H492" s="84"/>
      <c r="I492" s="58"/>
      <c r="J492" s="84"/>
      <c r="K492" s="58"/>
      <c r="L492" s="84"/>
      <c r="M492" s="58"/>
      <c r="N492" s="84"/>
      <c r="O492" s="58"/>
      <c r="P492" s="84"/>
      <c r="Q492" s="58"/>
      <c r="R492" s="84"/>
    </row>
    <row r="493">
      <c r="A493" s="58"/>
      <c r="B493" s="84"/>
      <c r="C493" s="58"/>
      <c r="D493" s="84"/>
      <c r="E493" s="58"/>
      <c r="F493" s="84"/>
      <c r="G493" s="58"/>
      <c r="H493" s="84"/>
      <c r="I493" s="58"/>
      <c r="J493" s="84"/>
      <c r="K493" s="58"/>
      <c r="L493" s="84"/>
      <c r="M493" s="58"/>
      <c r="N493" s="84"/>
      <c r="O493" s="58"/>
      <c r="P493" s="84"/>
      <c r="Q493" s="58"/>
      <c r="R493" s="84"/>
    </row>
    <row r="494">
      <c r="A494" s="58"/>
      <c r="B494" s="84"/>
      <c r="C494" s="58"/>
      <c r="D494" s="84"/>
      <c r="E494" s="58"/>
      <c r="F494" s="84"/>
      <c r="G494" s="58"/>
      <c r="H494" s="84"/>
      <c r="I494" s="58"/>
      <c r="J494" s="84"/>
      <c r="K494" s="58"/>
      <c r="L494" s="84"/>
      <c r="M494" s="58"/>
      <c r="N494" s="84"/>
      <c r="O494" s="58"/>
      <c r="P494" s="84"/>
      <c r="Q494" s="58"/>
      <c r="R494" s="84"/>
    </row>
    <row r="495">
      <c r="A495" s="58"/>
      <c r="B495" s="84"/>
      <c r="C495" s="58"/>
      <c r="D495" s="84"/>
      <c r="E495" s="58"/>
      <c r="F495" s="84"/>
      <c r="G495" s="58"/>
      <c r="H495" s="84"/>
      <c r="I495" s="58"/>
      <c r="J495" s="84"/>
      <c r="K495" s="58"/>
      <c r="L495" s="84"/>
      <c r="M495" s="58"/>
      <c r="N495" s="84"/>
      <c r="O495" s="58"/>
      <c r="P495" s="84"/>
      <c r="Q495" s="58"/>
      <c r="R495" s="84"/>
    </row>
    <row r="496">
      <c r="A496" s="58"/>
      <c r="B496" s="84"/>
      <c r="C496" s="58"/>
      <c r="D496" s="84"/>
      <c r="E496" s="58"/>
      <c r="F496" s="84"/>
      <c r="G496" s="58"/>
      <c r="H496" s="84"/>
      <c r="I496" s="58"/>
      <c r="J496" s="84"/>
      <c r="K496" s="58"/>
      <c r="L496" s="84"/>
      <c r="M496" s="58"/>
      <c r="N496" s="84"/>
      <c r="O496" s="58"/>
      <c r="P496" s="84"/>
      <c r="Q496" s="58"/>
      <c r="R496" s="84"/>
    </row>
    <row r="497">
      <c r="A497" s="58"/>
      <c r="B497" s="84"/>
      <c r="C497" s="58"/>
      <c r="D497" s="84"/>
      <c r="E497" s="58"/>
      <c r="F497" s="84"/>
      <c r="G497" s="58"/>
      <c r="H497" s="84"/>
      <c r="I497" s="58"/>
      <c r="J497" s="84"/>
      <c r="K497" s="58"/>
      <c r="L497" s="84"/>
      <c r="M497" s="58"/>
      <c r="N497" s="84"/>
      <c r="O497" s="58"/>
      <c r="P497" s="84"/>
      <c r="Q497" s="58"/>
      <c r="R497" s="84"/>
    </row>
    <row r="498">
      <c r="A498" s="58"/>
      <c r="B498" s="84"/>
      <c r="C498" s="58"/>
      <c r="D498" s="84"/>
      <c r="E498" s="58"/>
      <c r="F498" s="84"/>
      <c r="G498" s="58"/>
      <c r="H498" s="84"/>
      <c r="I498" s="58"/>
      <c r="J498" s="84"/>
      <c r="K498" s="58"/>
      <c r="L498" s="84"/>
      <c r="M498" s="58"/>
      <c r="N498" s="84"/>
      <c r="O498" s="58"/>
      <c r="P498" s="84"/>
      <c r="Q498" s="58"/>
      <c r="R498" s="84"/>
    </row>
    <row r="499">
      <c r="A499" s="58"/>
      <c r="B499" s="84"/>
      <c r="C499" s="58"/>
      <c r="D499" s="84"/>
      <c r="E499" s="58"/>
      <c r="F499" s="84"/>
      <c r="G499" s="58"/>
      <c r="H499" s="84"/>
      <c r="I499" s="58"/>
      <c r="J499" s="84"/>
      <c r="K499" s="58"/>
      <c r="L499" s="84"/>
      <c r="M499" s="58"/>
      <c r="N499" s="84"/>
      <c r="O499" s="58"/>
      <c r="P499" s="84"/>
      <c r="Q499" s="58"/>
      <c r="R499" s="84"/>
    </row>
    <row r="500">
      <c r="A500" s="58"/>
      <c r="B500" s="84"/>
      <c r="C500" s="58"/>
      <c r="D500" s="84"/>
      <c r="E500" s="58"/>
      <c r="F500" s="84"/>
      <c r="G500" s="58"/>
      <c r="H500" s="84"/>
      <c r="I500" s="58"/>
      <c r="J500" s="84"/>
      <c r="K500" s="58"/>
      <c r="L500" s="84"/>
      <c r="M500" s="58"/>
      <c r="N500" s="84"/>
      <c r="O500" s="58"/>
      <c r="P500" s="84"/>
      <c r="Q500" s="58"/>
      <c r="R500" s="84"/>
    </row>
    <row r="501">
      <c r="A501" s="58"/>
      <c r="B501" s="84"/>
      <c r="C501" s="58"/>
      <c r="D501" s="84"/>
      <c r="E501" s="58"/>
      <c r="F501" s="84"/>
      <c r="G501" s="58"/>
      <c r="H501" s="84"/>
      <c r="I501" s="58"/>
      <c r="J501" s="84"/>
      <c r="K501" s="58"/>
      <c r="L501" s="84"/>
      <c r="M501" s="58"/>
      <c r="N501" s="84"/>
      <c r="O501" s="58"/>
      <c r="P501" s="84"/>
      <c r="Q501" s="58"/>
      <c r="R501" s="84"/>
    </row>
    <row r="502">
      <c r="A502" s="58"/>
      <c r="B502" s="84"/>
      <c r="C502" s="58"/>
      <c r="D502" s="84"/>
      <c r="E502" s="58"/>
      <c r="F502" s="84"/>
      <c r="G502" s="58"/>
      <c r="H502" s="84"/>
      <c r="I502" s="58"/>
      <c r="J502" s="84"/>
      <c r="K502" s="58"/>
      <c r="L502" s="84"/>
      <c r="M502" s="58"/>
      <c r="N502" s="84"/>
      <c r="O502" s="58"/>
      <c r="P502" s="84"/>
      <c r="Q502" s="58"/>
      <c r="R502" s="84"/>
    </row>
    <row r="503">
      <c r="A503" s="58"/>
      <c r="B503" s="84"/>
      <c r="C503" s="58"/>
      <c r="D503" s="84"/>
      <c r="E503" s="58"/>
      <c r="F503" s="84"/>
      <c r="G503" s="58"/>
      <c r="H503" s="84"/>
      <c r="I503" s="58"/>
      <c r="J503" s="84"/>
      <c r="K503" s="58"/>
      <c r="L503" s="84"/>
      <c r="M503" s="58"/>
      <c r="N503" s="84"/>
      <c r="O503" s="58"/>
      <c r="P503" s="84"/>
      <c r="Q503" s="58"/>
      <c r="R503" s="84"/>
    </row>
    <row r="504">
      <c r="A504" s="58"/>
      <c r="B504" s="84"/>
      <c r="C504" s="58"/>
      <c r="D504" s="84"/>
      <c r="E504" s="58"/>
      <c r="F504" s="84"/>
      <c r="G504" s="58"/>
      <c r="H504" s="84"/>
      <c r="I504" s="58"/>
      <c r="J504" s="84"/>
      <c r="K504" s="58"/>
      <c r="L504" s="84"/>
      <c r="M504" s="58"/>
      <c r="N504" s="84"/>
      <c r="O504" s="58"/>
      <c r="P504" s="84"/>
      <c r="Q504" s="58"/>
      <c r="R504" s="84"/>
    </row>
    <row r="505">
      <c r="A505" s="58"/>
      <c r="B505" s="84"/>
      <c r="C505" s="58"/>
      <c r="D505" s="84"/>
      <c r="E505" s="58"/>
      <c r="F505" s="84"/>
      <c r="G505" s="58"/>
      <c r="H505" s="84"/>
      <c r="I505" s="58"/>
      <c r="J505" s="84"/>
      <c r="K505" s="58"/>
      <c r="L505" s="84"/>
      <c r="M505" s="58"/>
      <c r="N505" s="84"/>
      <c r="O505" s="58"/>
      <c r="P505" s="84"/>
      <c r="Q505" s="58"/>
      <c r="R505" s="84"/>
    </row>
    <row r="506">
      <c r="A506" s="58"/>
      <c r="B506" s="84"/>
      <c r="C506" s="58"/>
      <c r="D506" s="84"/>
      <c r="E506" s="58"/>
      <c r="F506" s="84"/>
      <c r="G506" s="58"/>
      <c r="H506" s="84"/>
      <c r="I506" s="58"/>
      <c r="J506" s="84"/>
      <c r="K506" s="58"/>
      <c r="L506" s="84"/>
      <c r="M506" s="58"/>
      <c r="N506" s="84"/>
      <c r="O506" s="58"/>
      <c r="P506" s="84"/>
      <c r="Q506" s="58"/>
      <c r="R506" s="84"/>
    </row>
    <row r="507">
      <c r="A507" s="58"/>
      <c r="B507" s="84"/>
      <c r="C507" s="58"/>
      <c r="D507" s="84"/>
      <c r="E507" s="58"/>
      <c r="F507" s="84"/>
      <c r="G507" s="58"/>
      <c r="H507" s="84"/>
      <c r="I507" s="58"/>
      <c r="J507" s="84"/>
      <c r="K507" s="58"/>
      <c r="L507" s="84"/>
      <c r="M507" s="58"/>
      <c r="N507" s="84"/>
      <c r="O507" s="58"/>
      <c r="P507" s="84"/>
      <c r="Q507" s="58"/>
      <c r="R507" s="84"/>
    </row>
    <row r="508">
      <c r="A508" s="58"/>
      <c r="B508" s="84"/>
      <c r="C508" s="58"/>
      <c r="D508" s="84"/>
      <c r="E508" s="58"/>
      <c r="F508" s="84"/>
      <c r="G508" s="58"/>
      <c r="H508" s="84"/>
      <c r="I508" s="58"/>
      <c r="J508" s="84"/>
      <c r="K508" s="58"/>
      <c r="L508" s="84"/>
      <c r="M508" s="58"/>
      <c r="N508" s="84"/>
      <c r="O508" s="58"/>
      <c r="P508" s="84"/>
      <c r="Q508" s="58"/>
      <c r="R508" s="84"/>
    </row>
    <row r="509">
      <c r="A509" s="58"/>
      <c r="B509" s="84"/>
      <c r="C509" s="58"/>
      <c r="D509" s="84"/>
      <c r="E509" s="58"/>
      <c r="F509" s="84"/>
      <c r="G509" s="58"/>
      <c r="H509" s="84"/>
      <c r="I509" s="58"/>
      <c r="J509" s="84"/>
      <c r="K509" s="58"/>
      <c r="L509" s="84"/>
      <c r="M509" s="58"/>
      <c r="N509" s="84"/>
      <c r="O509" s="58"/>
      <c r="P509" s="84"/>
      <c r="Q509" s="58"/>
      <c r="R509" s="84"/>
    </row>
    <row r="510">
      <c r="A510" s="58"/>
      <c r="B510" s="84"/>
      <c r="C510" s="58"/>
      <c r="D510" s="84"/>
      <c r="E510" s="58"/>
      <c r="F510" s="84"/>
      <c r="G510" s="58"/>
      <c r="H510" s="84"/>
      <c r="I510" s="58"/>
      <c r="J510" s="84"/>
      <c r="K510" s="58"/>
      <c r="L510" s="84"/>
      <c r="M510" s="58"/>
      <c r="N510" s="84"/>
      <c r="O510" s="58"/>
      <c r="P510" s="84"/>
      <c r="Q510" s="58"/>
      <c r="R510" s="84"/>
    </row>
    <row r="511">
      <c r="A511" s="58"/>
      <c r="B511" s="84"/>
      <c r="C511" s="58"/>
      <c r="D511" s="84"/>
      <c r="E511" s="58"/>
      <c r="F511" s="84"/>
      <c r="G511" s="58"/>
      <c r="H511" s="84"/>
      <c r="I511" s="58"/>
      <c r="J511" s="84"/>
      <c r="K511" s="58"/>
      <c r="L511" s="84"/>
      <c r="M511" s="58"/>
      <c r="N511" s="84"/>
      <c r="O511" s="58"/>
      <c r="P511" s="84"/>
      <c r="Q511" s="58"/>
      <c r="R511" s="84"/>
    </row>
    <row r="512">
      <c r="A512" s="58"/>
      <c r="B512" s="84"/>
      <c r="C512" s="58"/>
      <c r="D512" s="84"/>
      <c r="E512" s="58"/>
      <c r="F512" s="84"/>
      <c r="G512" s="58"/>
      <c r="H512" s="84"/>
      <c r="I512" s="58"/>
      <c r="J512" s="84"/>
      <c r="K512" s="58"/>
      <c r="L512" s="84"/>
      <c r="M512" s="58"/>
      <c r="N512" s="84"/>
      <c r="O512" s="58"/>
      <c r="P512" s="84"/>
      <c r="Q512" s="58"/>
      <c r="R512" s="84"/>
    </row>
    <row r="513">
      <c r="A513" s="58"/>
      <c r="B513" s="84"/>
      <c r="C513" s="58"/>
      <c r="D513" s="84"/>
      <c r="E513" s="58"/>
      <c r="F513" s="84"/>
      <c r="G513" s="58"/>
      <c r="H513" s="84"/>
      <c r="I513" s="58"/>
      <c r="J513" s="84"/>
      <c r="K513" s="58"/>
      <c r="L513" s="84"/>
      <c r="M513" s="58"/>
      <c r="N513" s="84"/>
      <c r="O513" s="58"/>
      <c r="P513" s="84"/>
      <c r="Q513" s="58"/>
      <c r="R513" s="84"/>
    </row>
    <row r="514">
      <c r="A514" s="58"/>
      <c r="B514" s="84"/>
      <c r="C514" s="58"/>
      <c r="D514" s="84"/>
      <c r="E514" s="58"/>
      <c r="F514" s="84"/>
      <c r="G514" s="58"/>
      <c r="H514" s="84"/>
      <c r="I514" s="58"/>
      <c r="J514" s="84"/>
      <c r="K514" s="58"/>
      <c r="L514" s="84"/>
      <c r="M514" s="58"/>
      <c r="N514" s="84"/>
      <c r="O514" s="58"/>
      <c r="P514" s="84"/>
      <c r="Q514" s="58"/>
      <c r="R514" s="84"/>
    </row>
    <row r="515">
      <c r="A515" s="58"/>
      <c r="B515" s="84"/>
      <c r="C515" s="58"/>
      <c r="D515" s="84"/>
      <c r="E515" s="58"/>
      <c r="F515" s="84"/>
      <c r="G515" s="58"/>
      <c r="H515" s="84"/>
      <c r="I515" s="58"/>
      <c r="J515" s="84"/>
      <c r="K515" s="58"/>
      <c r="L515" s="84"/>
      <c r="M515" s="58"/>
      <c r="N515" s="84"/>
      <c r="O515" s="58"/>
      <c r="P515" s="84"/>
      <c r="Q515" s="58"/>
      <c r="R515" s="84"/>
    </row>
    <row r="516">
      <c r="A516" s="58"/>
      <c r="B516" s="84"/>
      <c r="C516" s="58"/>
      <c r="D516" s="84"/>
      <c r="E516" s="58"/>
      <c r="F516" s="84"/>
      <c r="G516" s="58"/>
      <c r="H516" s="84"/>
      <c r="I516" s="58"/>
      <c r="J516" s="84"/>
      <c r="K516" s="58"/>
      <c r="L516" s="84"/>
      <c r="M516" s="58"/>
      <c r="N516" s="84"/>
      <c r="O516" s="58"/>
      <c r="P516" s="84"/>
      <c r="Q516" s="58"/>
      <c r="R516" s="84"/>
    </row>
    <row r="517">
      <c r="A517" s="58"/>
      <c r="B517" s="84"/>
      <c r="C517" s="58"/>
      <c r="D517" s="84"/>
      <c r="E517" s="58"/>
      <c r="F517" s="84"/>
      <c r="G517" s="58"/>
      <c r="H517" s="84"/>
      <c r="I517" s="58"/>
      <c r="J517" s="84"/>
      <c r="K517" s="58"/>
      <c r="L517" s="84"/>
      <c r="M517" s="58"/>
      <c r="N517" s="84"/>
      <c r="O517" s="58"/>
      <c r="P517" s="84"/>
      <c r="Q517" s="58"/>
      <c r="R517" s="84"/>
    </row>
    <row r="518">
      <c r="A518" s="58"/>
      <c r="B518" s="84"/>
      <c r="C518" s="58"/>
      <c r="D518" s="84"/>
      <c r="E518" s="58"/>
      <c r="F518" s="84"/>
      <c r="G518" s="58"/>
      <c r="H518" s="84"/>
      <c r="I518" s="58"/>
      <c r="J518" s="84"/>
      <c r="K518" s="58"/>
      <c r="L518" s="84"/>
      <c r="M518" s="58"/>
      <c r="N518" s="84"/>
      <c r="O518" s="58"/>
      <c r="P518" s="84"/>
      <c r="Q518" s="58"/>
      <c r="R518" s="84"/>
    </row>
    <row r="519">
      <c r="A519" s="58"/>
      <c r="B519" s="84"/>
      <c r="C519" s="58"/>
      <c r="D519" s="84"/>
      <c r="E519" s="58"/>
      <c r="F519" s="84"/>
      <c r="G519" s="58"/>
      <c r="H519" s="84"/>
      <c r="I519" s="58"/>
      <c r="J519" s="84"/>
      <c r="K519" s="58"/>
      <c r="L519" s="84"/>
      <c r="M519" s="58"/>
      <c r="N519" s="84"/>
      <c r="O519" s="58"/>
      <c r="P519" s="84"/>
      <c r="Q519" s="58"/>
      <c r="R519" s="84"/>
    </row>
    <row r="520">
      <c r="A520" s="58"/>
      <c r="B520" s="84"/>
      <c r="C520" s="58"/>
      <c r="D520" s="84"/>
      <c r="E520" s="58"/>
      <c r="F520" s="84"/>
      <c r="G520" s="58"/>
      <c r="H520" s="84"/>
      <c r="I520" s="58"/>
      <c r="J520" s="84"/>
      <c r="K520" s="58"/>
      <c r="L520" s="84"/>
      <c r="M520" s="58"/>
      <c r="N520" s="84"/>
      <c r="O520" s="58"/>
      <c r="P520" s="84"/>
      <c r="Q520" s="58"/>
      <c r="R520" s="84"/>
    </row>
    <row r="521">
      <c r="A521" s="58"/>
      <c r="B521" s="84"/>
      <c r="C521" s="58"/>
      <c r="D521" s="84"/>
      <c r="E521" s="58"/>
      <c r="F521" s="84"/>
      <c r="G521" s="58"/>
      <c r="H521" s="84"/>
      <c r="I521" s="58"/>
      <c r="J521" s="84"/>
      <c r="K521" s="58"/>
      <c r="L521" s="84"/>
      <c r="M521" s="58"/>
      <c r="N521" s="84"/>
      <c r="O521" s="58"/>
      <c r="P521" s="84"/>
      <c r="Q521" s="58"/>
      <c r="R521" s="84"/>
    </row>
    <row r="522">
      <c r="A522" s="58"/>
      <c r="B522" s="84"/>
      <c r="C522" s="58"/>
      <c r="D522" s="84"/>
      <c r="E522" s="58"/>
      <c r="F522" s="84"/>
      <c r="G522" s="58"/>
      <c r="H522" s="84"/>
      <c r="I522" s="58"/>
      <c r="J522" s="84"/>
      <c r="K522" s="58"/>
      <c r="L522" s="84"/>
      <c r="M522" s="58"/>
      <c r="N522" s="84"/>
      <c r="O522" s="58"/>
      <c r="P522" s="84"/>
      <c r="Q522" s="58"/>
      <c r="R522" s="84"/>
    </row>
    <row r="523">
      <c r="A523" s="58"/>
      <c r="B523" s="84"/>
      <c r="C523" s="58"/>
      <c r="D523" s="84"/>
      <c r="E523" s="58"/>
      <c r="F523" s="84"/>
      <c r="G523" s="58"/>
      <c r="H523" s="84"/>
      <c r="I523" s="58"/>
      <c r="J523" s="84"/>
      <c r="K523" s="58"/>
      <c r="L523" s="84"/>
      <c r="M523" s="58"/>
      <c r="N523" s="84"/>
      <c r="O523" s="58"/>
      <c r="P523" s="84"/>
      <c r="Q523" s="58"/>
      <c r="R523" s="84"/>
    </row>
    <row r="524">
      <c r="A524" s="58"/>
      <c r="B524" s="84"/>
      <c r="C524" s="58"/>
      <c r="D524" s="84"/>
      <c r="E524" s="58"/>
      <c r="F524" s="84"/>
      <c r="G524" s="58"/>
      <c r="H524" s="84"/>
      <c r="I524" s="58"/>
      <c r="J524" s="84"/>
      <c r="K524" s="58"/>
      <c r="L524" s="84"/>
      <c r="M524" s="58"/>
      <c r="N524" s="84"/>
      <c r="O524" s="58"/>
      <c r="P524" s="84"/>
      <c r="Q524" s="58"/>
      <c r="R524" s="84"/>
    </row>
    <row r="525">
      <c r="A525" s="58"/>
      <c r="B525" s="84"/>
      <c r="C525" s="58"/>
      <c r="D525" s="84"/>
      <c r="E525" s="58"/>
      <c r="F525" s="84"/>
      <c r="G525" s="58"/>
      <c r="H525" s="84"/>
      <c r="I525" s="58"/>
      <c r="J525" s="84"/>
      <c r="K525" s="58"/>
      <c r="L525" s="84"/>
      <c r="M525" s="58"/>
      <c r="N525" s="84"/>
      <c r="O525" s="58"/>
      <c r="P525" s="84"/>
      <c r="Q525" s="58"/>
      <c r="R525" s="84"/>
    </row>
    <row r="526">
      <c r="A526" s="58"/>
      <c r="B526" s="84"/>
      <c r="C526" s="58"/>
      <c r="D526" s="84"/>
      <c r="E526" s="58"/>
      <c r="F526" s="84"/>
      <c r="G526" s="58"/>
      <c r="H526" s="84"/>
      <c r="I526" s="58"/>
      <c r="J526" s="84"/>
      <c r="K526" s="58"/>
      <c r="L526" s="84"/>
      <c r="M526" s="58"/>
      <c r="N526" s="84"/>
      <c r="O526" s="58"/>
      <c r="P526" s="84"/>
      <c r="Q526" s="58"/>
      <c r="R526" s="84"/>
    </row>
    <row r="527">
      <c r="A527" s="58"/>
      <c r="B527" s="84"/>
      <c r="C527" s="58"/>
      <c r="D527" s="84"/>
      <c r="E527" s="58"/>
      <c r="F527" s="84"/>
      <c r="G527" s="58"/>
      <c r="H527" s="84"/>
      <c r="I527" s="58"/>
      <c r="J527" s="84"/>
      <c r="K527" s="58"/>
      <c r="L527" s="84"/>
      <c r="M527" s="58"/>
      <c r="N527" s="84"/>
      <c r="O527" s="58"/>
      <c r="P527" s="84"/>
      <c r="Q527" s="58"/>
      <c r="R527" s="84"/>
    </row>
    <row r="528">
      <c r="A528" s="58"/>
      <c r="B528" s="84"/>
      <c r="C528" s="58"/>
      <c r="D528" s="84"/>
      <c r="E528" s="58"/>
      <c r="F528" s="84"/>
      <c r="G528" s="58"/>
      <c r="H528" s="84"/>
      <c r="I528" s="58"/>
      <c r="J528" s="84"/>
      <c r="K528" s="58"/>
      <c r="L528" s="84"/>
      <c r="M528" s="58"/>
      <c r="N528" s="84"/>
      <c r="O528" s="58"/>
      <c r="P528" s="84"/>
      <c r="Q528" s="58"/>
      <c r="R528" s="84"/>
    </row>
    <row r="529">
      <c r="A529" s="58"/>
      <c r="B529" s="84"/>
      <c r="C529" s="58"/>
      <c r="D529" s="84"/>
      <c r="E529" s="58"/>
      <c r="F529" s="84"/>
      <c r="G529" s="58"/>
      <c r="H529" s="84"/>
      <c r="I529" s="58"/>
      <c r="J529" s="84"/>
      <c r="K529" s="58"/>
      <c r="L529" s="84"/>
      <c r="M529" s="58"/>
      <c r="N529" s="84"/>
      <c r="O529" s="58"/>
      <c r="P529" s="84"/>
      <c r="Q529" s="58"/>
      <c r="R529" s="84"/>
    </row>
    <row r="530">
      <c r="A530" s="58"/>
      <c r="B530" s="84"/>
      <c r="C530" s="58"/>
      <c r="D530" s="84"/>
      <c r="E530" s="58"/>
      <c r="F530" s="84"/>
      <c r="G530" s="58"/>
      <c r="H530" s="84"/>
      <c r="I530" s="58"/>
      <c r="J530" s="84"/>
      <c r="K530" s="58"/>
      <c r="L530" s="84"/>
      <c r="M530" s="58"/>
      <c r="N530" s="84"/>
      <c r="O530" s="58"/>
      <c r="P530" s="84"/>
      <c r="Q530" s="58"/>
      <c r="R530" s="84"/>
    </row>
    <row r="531">
      <c r="A531" s="58"/>
      <c r="B531" s="84"/>
      <c r="C531" s="58"/>
      <c r="D531" s="84"/>
      <c r="E531" s="58"/>
      <c r="F531" s="84"/>
      <c r="G531" s="58"/>
      <c r="H531" s="84"/>
      <c r="I531" s="58"/>
      <c r="J531" s="84"/>
      <c r="K531" s="58"/>
      <c r="L531" s="84"/>
      <c r="M531" s="58"/>
      <c r="N531" s="84"/>
      <c r="O531" s="58"/>
      <c r="P531" s="84"/>
      <c r="Q531" s="58"/>
      <c r="R531" s="84"/>
    </row>
    <row r="532">
      <c r="A532" s="58"/>
      <c r="B532" s="84"/>
      <c r="C532" s="58"/>
      <c r="D532" s="84"/>
      <c r="E532" s="58"/>
      <c r="F532" s="84"/>
      <c r="G532" s="58"/>
      <c r="H532" s="84"/>
      <c r="I532" s="58"/>
      <c r="J532" s="84"/>
      <c r="K532" s="58"/>
      <c r="L532" s="84"/>
      <c r="M532" s="58"/>
      <c r="N532" s="84"/>
      <c r="O532" s="58"/>
      <c r="P532" s="84"/>
      <c r="Q532" s="58"/>
      <c r="R532" s="84"/>
    </row>
    <row r="533">
      <c r="A533" s="58"/>
      <c r="B533" s="84"/>
      <c r="C533" s="58"/>
      <c r="D533" s="84"/>
      <c r="E533" s="58"/>
      <c r="F533" s="84"/>
      <c r="G533" s="58"/>
      <c r="H533" s="84"/>
      <c r="I533" s="58"/>
      <c r="J533" s="84"/>
      <c r="K533" s="58"/>
      <c r="L533" s="84"/>
      <c r="M533" s="58"/>
      <c r="N533" s="84"/>
      <c r="O533" s="58"/>
      <c r="P533" s="84"/>
      <c r="Q533" s="58"/>
      <c r="R533" s="84"/>
    </row>
    <row r="534">
      <c r="A534" s="58"/>
      <c r="B534" s="84"/>
      <c r="C534" s="58"/>
      <c r="D534" s="84"/>
      <c r="E534" s="58"/>
      <c r="F534" s="84"/>
      <c r="G534" s="58"/>
      <c r="H534" s="84"/>
      <c r="I534" s="58"/>
      <c r="J534" s="84"/>
      <c r="K534" s="58"/>
      <c r="L534" s="84"/>
      <c r="M534" s="58"/>
      <c r="N534" s="84"/>
      <c r="O534" s="58"/>
      <c r="P534" s="84"/>
      <c r="Q534" s="58"/>
      <c r="R534" s="84"/>
    </row>
    <row r="535">
      <c r="A535" s="58"/>
      <c r="B535" s="84"/>
      <c r="C535" s="58"/>
      <c r="D535" s="84"/>
      <c r="E535" s="58"/>
      <c r="F535" s="84"/>
      <c r="G535" s="58"/>
      <c r="H535" s="84"/>
      <c r="I535" s="58"/>
      <c r="J535" s="84"/>
      <c r="K535" s="58"/>
      <c r="L535" s="84"/>
      <c r="M535" s="58"/>
      <c r="N535" s="84"/>
      <c r="O535" s="58"/>
      <c r="P535" s="84"/>
      <c r="Q535" s="58"/>
      <c r="R535" s="84"/>
    </row>
    <row r="536">
      <c r="A536" s="58"/>
      <c r="B536" s="84"/>
      <c r="C536" s="58"/>
      <c r="D536" s="84"/>
      <c r="E536" s="58"/>
      <c r="F536" s="84"/>
      <c r="G536" s="58"/>
      <c r="H536" s="84"/>
      <c r="I536" s="58"/>
      <c r="J536" s="84"/>
      <c r="K536" s="58"/>
      <c r="L536" s="84"/>
      <c r="M536" s="58"/>
      <c r="N536" s="84"/>
      <c r="O536" s="58"/>
      <c r="P536" s="84"/>
      <c r="Q536" s="58"/>
      <c r="R536" s="84"/>
    </row>
    <row r="537">
      <c r="A537" s="58"/>
      <c r="B537" s="84"/>
      <c r="C537" s="58"/>
      <c r="D537" s="84"/>
      <c r="E537" s="58"/>
      <c r="F537" s="84"/>
      <c r="G537" s="58"/>
      <c r="H537" s="84"/>
      <c r="I537" s="58"/>
      <c r="J537" s="84"/>
      <c r="K537" s="58"/>
      <c r="L537" s="84"/>
      <c r="M537" s="58"/>
      <c r="N537" s="84"/>
      <c r="O537" s="58"/>
      <c r="P537" s="84"/>
      <c r="Q537" s="58"/>
      <c r="R537" s="84"/>
    </row>
    <row r="538">
      <c r="A538" s="58"/>
      <c r="B538" s="84"/>
      <c r="C538" s="58"/>
      <c r="D538" s="84"/>
      <c r="E538" s="58"/>
      <c r="F538" s="84"/>
      <c r="G538" s="58"/>
      <c r="H538" s="84"/>
      <c r="I538" s="58"/>
      <c r="J538" s="84"/>
      <c r="K538" s="58"/>
      <c r="L538" s="84"/>
      <c r="M538" s="58"/>
      <c r="N538" s="84"/>
      <c r="O538" s="58"/>
      <c r="P538" s="84"/>
      <c r="Q538" s="58"/>
      <c r="R538" s="84"/>
    </row>
    <row r="539">
      <c r="A539" s="58"/>
      <c r="B539" s="84"/>
      <c r="C539" s="58"/>
      <c r="D539" s="84"/>
      <c r="E539" s="58"/>
      <c r="F539" s="84"/>
      <c r="G539" s="58"/>
      <c r="H539" s="84"/>
      <c r="I539" s="58"/>
      <c r="J539" s="84"/>
      <c r="K539" s="58"/>
      <c r="L539" s="84"/>
      <c r="M539" s="58"/>
      <c r="N539" s="84"/>
      <c r="O539" s="58"/>
      <c r="P539" s="84"/>
      <c r="Q539" s="58"/>
      <c r="R539" s="84"/>
    </row>
    <row r="540">
      <c r="A540" s="58"/>
      <c r="B540" s="84"/>
      <c r="C540" s="58"/>
      <c r="D540" s="84"/>
      <c r="E540" s="58"/>
      <c r="F540" s="84"/>
      <c r="G540" s="58"/>
      <c r="H540" s="84"/>
      <c r="I540" s="58"/>
      <c r="J540" s="84"/>
      <c r="K540" s="58"/>
      <c r="L540" s="84"/>
      <c r="M540" s="58"/>
      <c r="N540" s="84"/>
      <c r="O540" s="58"/>
      <c r="P540" s="84"/>
      <c r="Q540" s="58"/>
      <c r="R540" s="84"/>
    </row>
    <row r="541">
      <c r="A541" s="58"/>
      <c r="B541" s="84"/>
      <c r="C541" s="58"/>
      <c r="D541" s="84"/>
      <c r="E541" s="58"/>
      <c r="F541" s="84"/>
      <c r="G541" s="58"/>
      <c r="H541" s="84"/>
      <c r="I541" s="58"/>
      <c r="J541" s="84"/>
      <c r="K541" s="58"/>
      <c r="L541" s="84"/>
      <c r="M541" s="58"/>
      <c r="N541" s="84"/>
      <c r="O541" s="58"/>
      <c r="P541" s="84"/>
      <c r="Q541" s="58"/>
      <c r="R541" s="84"/>
    </row>
    <row r="542">
      <c r="A542" s="58"/>
      <c r="B542" s="84"/>
      <c r="C542" s="58"/>
      <c r="D542" s="84"/>
      <c r="E542" s="58"/>
      <c r="F542" s="84"/>
      <c r="G542" s="58"/>
      <c r="H542" s="84"/>
      <c r="I542" s="58"/>
      <c r="J542" s="84"/>
      <c r="K542" s="58"/>
      <c r="L542" s="84"/>
      <c r="M542" s="58"/>
      <c r="N542" s="84"/>
      <c r="O542" s="58"/>
      <c r="P542" s="84"/>
      <c r="Q542" s="58"/>
      <c r="R542" s="84"/>
    </row>
    <row r="543">
      <c r="A543" s="58"/>
      <c r="B543" s="84"/>
      <c r="C543" s="58"/>
      <c r="D543" s="84"/>
      <c r="E543" s="58"/>
      <c r="F543" s="84"/>
      <c r="G543" s="58"/>
      <c r="H543" s="84"/>
      <c r="I543" s="58"/>
      <c r="J543" s="84"/>
      <c r="K543" s="58"/>
      <c r="L543" s="84"/>
      <c r="M543" s="58"/>
      <c r="N543" s="84"/>
      <c r="O543" s="58"/>
      <c r="P543" s="84"/>
      <c r="Q543" s="58"/>
      <c r="R543" s="84"/>
    </row>
    <row r="544">
      <c r="A544" s="58"/>
      <c r="B544" s="84"/>
      <c r="C544" s="58"/>
      <c r="D544" s="84"/>
      <c r="E544" s="58"/>
      <c r="F544" s="84"/>
      <c r="G544" s="58"/>
      <c r="H544" s="84"/>
      <c r="I544" s="58"/>
      <c r="J544" s="84"/>
      <c r="K544" s="58"/>
      <c r="L544" s="84"/>
      <c r="M544" s="58"/>
      <c r="N544" s="84"/>
      <c r="O544" s="58"/>
      <c r="P544" s="84"/>
      <c r="Q544" s="58"/>
      <c r="R544" s="84"/>
    </row>
    <row r="545">
      <c r="A545" s="58"/>
      <c r="B545" s="84"/>
      <c r="C545" s="58"/>
      <c r="D545" s="84"/>
      <c r="E545" s="58"/>
      <c r="F545" s="84"/>
      <c r="G545" s="58"/>
      <c r="H545" s="84"/>
      <c r="I545" s="58"/>
      <c r="J545" s="84"/>
      <c r="K545" s="58"/>
      <c r="L545" s="84"/>
      <c r="M545" s="58"/>
      <c r="N545" s="84"/>
      <c r="O545" s="58"/>
      <c r="P545" s="84"/>
      <c r="Q545" s="58"/>
      <c r="R545" s="84"/>
    </row>
    <row r="546">
      <c r="A546" s="58"/>
      <c r="B546" s="84"/>
      <c r="C546" s="58"/>
      <c r="D546" s="84"/>
      <c r="E546" s="58"/>
      <c r="F546" s="84"/>
      <c r="G546" s="58"/>
      <c r="H546" s="84"/>
      <c r="I546" s="58"/>
      <c r="J546" s="84"/>
      <c r="K546" s="58"/>
      <c r="L546" s="84"/>
      <c r="M546" s="58"/>
      <c r="N546" s="84"/>
      <c r="O546" s="58"/>
      <c r="P546" s="84"/>
      <c r="Q546" s="58"/>
      <c r="R546" s="84"/>
    </row>
    <row r="547">
      <c r="A547" s="58"/>
      <c r="B547" s="84"/>
      <c r="C547" s="58"/>
      <c r="D547" s="84"/>
      <c r="E547" s="58"/>
      <c r="F547" s="84"/>
      <c r="G547" s="58"/>
      <c r="H547" s="84"/>
      <c r="I547" s="58"/>
      <c r="J547" s="84"/>
      <c r="K547" s="58"/>
      <c r="L547" s="84"/>
      <c r="M547" s="58"/>
      <c r="N547" s="84"/>
      <c r="O547" s="58"/>
      <c r="P547" s="84"/>
      <c r="Q547" s="58"/>
      <c r="R547" s="84"/>
    </row>
    <row r="548">
      <c r="A548" s="58"/>
      <c r="B548" s="84"/>
      <c r="C548" s="58"/>
      <c r="D548" s="84"/>
      <c r="E548" s="58"/>
      <c r="F548" s="84"/>
      <c r="G548" s="58"/>
      <c r="H548" s="84"/>
      <c r="I548" s="58"/>
      <c r="J548" s="84"/>
      <c r="K548" s="58"/>
      <c r="L548" s="84"/>
      <c r="M548" s="58"/>
      <c r="N548" s="84"/>
      <c r="O548" s="58"/>
      <c r="P548" s="84"/>
      <c r="Q548" s="58"/>
      <c r="R548" s="84"/>
    </row>
    <row r="549">
      <c r="A549" s="58"/>
      <c r="B549" s="84"/>
      <c r="C549" s="58"/>
      <c r="D549" s="84"/>
      <c r="E549" s="58"/>
      <c r="F549" s="84"/>
      <c r="G549" s="58"/>
      <c r="H549" s="84"/>
      <c r="I549" s="58"/>
      <c r="J549" s="84"/>
      <c r="K549" s="58"/>
      <c r="L549" s="84"/>
      <c r="M549" s="58"/>
      <c r="N549" s="84"/>
      <c r="O549" s="58"/>
      <c r="P549" s="84"/>
      <c r="Q549" s="58"/>
      <c r="R549" s="84"/>
    </row>
    <row r="550">
      <c r="A550" s="58"/>
      <c r="B550" s="84"/>
      <c r="C550" s="58"/>
      <c r="D550" s="84"/>
      <c r="E550" s="58"/>
      <c r="F550" s="84"/>
      <c r="G550" s="58"/>
      <c r="H550" s="84"/>
      <c r="I550" s="58"/>
      <c r="J550" s="84"/>
      <c r="K550" s="58"/>
      <c r="L550" s="84"/>
      <c r="M550" s="58"/>
      <c r="N550" s="84"/>
      <c r="O550" s="58"/>
      <c r="P550" s="84"/>
      <c r="Q550" s="58"/>
      <c r="R550" s="84"/>
    </row>
    <row r="551">
      <c r="A551" s="58"/>
      <c r="B551" s="84"/>
      <c r="C551" s="58"/>
      <c r="D551" s="84"/>
      <c r="E551" s="58"/>
      <c r="F551" s="84"/>
      <c r="G551" s="58"/>
      <c r="H551" s="84"/>
      <c r="I551" s="58"/>
      <c r="J551" s="84"/>
      <c r="K551" s="58"/>
      <c r="L551" s="84"/>
      <c r="M551" s="58"/>
      <c r="N551" s="84"/>
      <c r="O551" s="58"/>
      <c r="P551" s="84"/>
      <c r="Q551" s="58"/>
      <c r="R551" s="84"/>
    </row>
    <row r="552">
      <c r="A552" s="58"/>
      <c r="B552" s="84"/>
      <c r="C552" s="58"/>
      <c r="D552" s="84"/>
      <c r="E552" s="58"/>
      <c r="F552" s="84"/>
      <c r="G552" s="58"/>
      <c r="H552" s="84"/>
      <c r="I552" s="58"/>
      <c r="J552" s="84"/>
      <c r="K552" s="58"/>
      <c r="L552" s="84"/>
      <c r="M552" s="58"/>
      <c r="N552" s="84"/>
      <c r="O552" s="58"/>
      <c r="P552" s="84"/>
      <c r="Q552" s="58"/>
      <c r="R552" s="84"/>
    </row>
    <row r="553">
      <c r="A553" s="58"/>
      <c r="B553" s="84"/>
      <c r="C553" s="58"/>
      <c r="D553" s="84"/>
      <c r="E553" s="58"/>
      <c r="F553" s="84"/>
      <c r="G553" s="58"/>
      <c r="H553" s="84"/>
      <c r="I553" s="58"/>
      <c r="J553" s="84"/>
      <c r="K553" s="58"/>
      <c r="L553" s="84"/>
      <c r="M553" s="58"/>
      <c r="N553" s="84"/>
      <c r="O553" s="58"/>
      <c r="P553" s="84"/>
      <c r="Q553" s="58"/>
      <c r="R553" s="84"/>
    </row>
    <row r="554">
      <c r="A554" s="58"/>
      <c r="B554" s="84"/>
      <c r="C554" s="58"/>
      <c r="D554" s="84"/>
      <c r="E554" s="58"/>
      <c r="F554" s="84"/>
      <c r="G554" s="58"/>
      <c r="H554" s="84"/>
      <c r="I554" s="58"/>
      <c r="J554" s="84"/>
      <c r="K554" s="58"/>
      <c r="L554" s="84"/>
      <c r="M554" s="58"/>
      <c r="N554" s="84"/>
      <c r="O554" s="58"/>
      <c r="P554" s="84"/>
      <c r="Q554" s="58"/>
      <c r="R554" s="84"/>
    </row>
    <row r="555">
      <c r="A555" s="58"/>
      <c r="B555" s="84"/>
      <c r="C555" s="58"/>
      <c r="D555" s="84"/>
      <c r="E555" s="58"/>
      <c r="F555" s="84"/>
      <c r="G555" s="58"/>
      <c r="H555" s="84"/>
      <c r="I555" s="58"/>
      <c r="J555" s="84"/>
      <c r="K555" s="58"/>
      <c r="L555" s="84"/>
      <c r="M555" s="58"/>
      <c r="N555" s="84"/>
      <c r="O555" s="58"/>
      <c r="P555" s="84"/>
      <c r="Q555" s="58"/>
      <c r="R555" s="84"/>
    </row>
    <row r="556">
      <c r="A556" s="58"/>
      <c r="B556" s="84"/>
      <c r="C556" s="58"/>
      <c r="D556" s="84"/>
      <c r="E556" s="58"/>
      <c r="F556" s="84"/>
      <c r="G556" s="58"/>
      <c r="H556" s="84"/>
      <c r="I556" s="58"/>
      <c r="J556" s="84"/>
      <c r="K556" s="58"/>
      <c r="L556" s="84"/>
      <c r="M556" s="58"/>
      <c r="N556" s="84"/>
      <c r="O556" s="58"/>
      <c r="P556" s="84"/>
      <c r="Q556" s="58"/>
      <c r="R556" s="84"/>
    </row>
    <row r="557">
      <c r="A557" s="58"/>
      <c r="B557" s="84"/>
      <c r="C557" s="58"/>
      <c r="D557" s="84"/>
      <c r="E557" s="58"/>
      <c r="F557" s="84"/>
      <c r="G557" s="58"/>
      <c r="H557" s="84"/>
      <c r="I557" s="58"/>
      <c r="J557" s="84"/>
      <c r="K557" s="58"/>
      <c r="L557" s="84"/>
      <c r="M557" s="58"/>
      <c r="N557" s="84"/>
      <c r="O557" s="58"/>
      <c r="P557" s="84"/>
      <c r="Q557" s="58"/>
      <c r="R557" s="84"/>
    </row>
    <row r="558">
      <c r="A558" s="58"/>
      <c r="B558" s="84"/>
      <c r="C558" s="58"/>
      <c r="D558" s="84"/>
      <c r="E558" s="58"/>
      <c r="F558" s="84"/>
      <c r="G558" s="58"/>
      <c r="H558" s="84"/>
      <c r="I558" s="58"/>
      <c r="J558" s="84"/>
      <c r="K558" s="58"/>
      <c r="L558" s="84"/>
      <c r="M558" s="58"/>
      <c r="N558" s="84"/>
      <c r="O558" s="58"/>
      <c r="P558" s="84"/>
      <c r="Q558" s="58"/>
      <c r="R558" s="84"/>
    </row>
    <row r="559">
      <c r="A559" s="58"/>
      <c r="B559" s="84"/>
      <c r="C559" s="58"/>
      <c r="D559" s="84"/>
      <c r="E559" s="58"/>
      <c r="F559" s="84"/>
      <c r="G559" s="58"/>
      <c r="H559" s="84"/>
      <c r="I559" s="58"/>
      <c r="J559" s="84"/>
      <c r="K559" s="58"/>
      <c r="L559" s="84"/>
      <c r="M559" s="58"/>
      <c r="N559" s="84"/>
      <c r="O559" s="58"/>
      <c r="P559" s="84"/>
      <c r="Q559" s="58"/>
      <c r="R559" s="84"/>
    </row>
    <row r="560">
      <c r="A560" s="58"/>
      <c r="B560" s="84"/>
      <c r="C560" s="58"/>
      <c r="D560" s="84"/>
      <c r="E560" s="58"/>
      <c r="F560" s="84"/>
      <c r="G560" s="58"/>
      <c r="H560" s="84"/>
      <c r="I560" s="58"/>
      <c r="J560" s="84"/>
      <c r="K560" s="58"/>
      <c r="L560" s="84"/>
      <c r="M560" s="58"/>
      <c r="N560" s="84"/>
      <c r="O560" s="58"/>
      <c r="P560" s="84"/>
      <c r="Q560" s="58"/>
      <c r="R560" s="84"/>
    </row>
    <row r="561">
      <c r="A561" s="58"/>
      <c r="B561" s="84"/>
      <c r="C561" s="58"/>
      <c r="D561" s="84"/>
      <c r="E561" s="58"/>
      <c r="F561" s="84"/>
      <c r="G561" s="58"/>
      <c r="H561" s="84"/>
      <c r="I561" s="58"/>
      <c r="J561" s="84"/>
      <c r="K561" s="58"/>
      <c r="L561" s="84"/>
      <c r="M561" s="58"/>
      <c r="N561" s="84"/>
      <c r="O561" s="58"/>
      <c r="P561" s="84"/>
      <c r="Q561" s="58"/>
      <c r="R561" s="84"/>
    </row>
    <row r="562">
      <c r="A562" s="58"/>
      <c r="B562" s="84"/>
      <c r="C562" s="58"/>
      <c r="D562" s="84"/>
      <c r="E562" s="58"/>
      <c r="F562" s="84"/>
      <c r="G562" s="58"/>
      <c r="H562" s="84"/>
      <c r="I562" s="58"/>
      <c r="J562" s="84"/>
      <c r="K562" s="58"/>
      <c r="L562" s="84"/>
      <c r="M562" s="58"/>
      <c r="N562" s="84"/>
      <c r="O562" s="58"/>
      <c r="P562" s="84"/>
      <c r="Q562" s="58"/>
      <c r="R562" s="84"/>
    </row>
    <row r="563">
      <c r="A563" s="58"/>
      <c r="B563" s="84"/>
      <c r="C563" s="58"/>
      <c r="D563" s="84"/>
      <c r="E563" s="58"/>
      <c r="F563" s="84"/>
      <c r="G563" s="58"/>
      <c r="H563" s="84"/>
      <c r="I563" s="58"/>
      <c r="J563" s="84"/>
      <c r="K563" s="58"/>
      <c r="L563" s="84"/>
      <c r="M563" s="58"/>
      <c r="N563" s="84"/>
      <c r="O563" s="58"/>
      <c r="P563" s="84"/>
      <c r="Q563" s="58"/>
      <c r="R563" s="84"/>
    </row>
    <row r="564">
      <c r="A564" s="58"/>
      <c r="B564" s="84"/>
      <c r="C564" s="58"/>
      <c r="D564" s="84"/>
      <c r="E564" s="58"/>
      <c r="F564" s="84"/>
      <c r="G564" s="58"/>
      <c r="H564" s="84"/>
      <c r="I564" s="58"/>
      <c r="J564" s="84"/>
      <c r="K564" s="58"/>
      <c r="L564" s="84"/>
      <c r="M564" s="58"/>
      <c r="N564" s="84"/>
      <c r="O564" s="58"/>
      <c r="P564" s="84"/>
      <c r="Q564" s="58"/>
      <c r="R564" s="84"/>
    </row>
    <row r="565">
      <c r="A565" s="58"/>
      <c r="B565" s="84"/>
      <c r="C565" s="58"/>
      <c r="D565" s="84"/>
      <c r="E565" s="58"/>
      <c r="F565" s="84"/>
      <c r="G565" s="58"/>
      <c r="H565" s="84"/>
      <c r="I565" s="58"/>
      <c r="J565" s="84"/>
      <c r="K565" s="58"/>
      <c r="L565" s="84"/>
      <c r="M565" s="58"/>
      <c r="N565" s="84"/>
      <c r="O565" s="58"/>
      <c r="P565" s="84"/>
      <c r="Q565" s="58"/>
      <c r="R565" s="84"/>
    </row>
    <row r="566">
      <c r="A566" s="58"/>
      <c r="B566" s="84"/>
      <c r="C566" s="58"/>
      <c r="D566" s="84"/>
      <c r="E566" s="58"/>
      <c r="F566" s="84"/>
      <c r="G566" s="58"/>
      <c r="H566" s="84"/>
      <c r="I566" s="58"/>
      <c r="J566" s="84"/>
      <c r="K566" s="58"/>
      <c r="L566" s="84"/>
      <c r="M566" s="58"/>
      <c r="N566" s="84"/>
      <c r="O566" s="58"/>
      <c r="P566" s="84"/>
      <c r="Q566" s="58"/>
      <c r="R566" s="84"/>
    </row>
    <row r="567">
      <c r="A567" s="58"/>
      <c r="B567" s="84"/>
      <c r="C567" s="58"/>
      <c r="D567" s="84"/>
      <c r="E567" s="58"/>
      <c r="F567" s="84"/>
      <c r="G567" s="58"/>
      <c r="H567" s="84"/>
      <c r="I567" s="58"/>
      <c r="J567" s="84"/>
      <c r="K567" s="58"/>
      <c r="L567" s="84"/>
      <c r="M567" s="58"/>
      <c r="N567" s="84"/>
      <c r="O567" s="58"/>
      <c r="P567" s="84"/>
      <c r="Q567" s="58"/>
      <c r="R567" s="84"/>
    </row>
    <row r="568">
      <c r="A568" s="58"/>
      <c r="B568" s="84"/>
      <c r="C568" s="58"/>
      <c r="D568" s="84"/>
      <c r="E568" s="58"/>
      <c r="F568" s="84"/>
      <c r="G568" s="58"/>
      <c r="H568" s="84"/>
      <c r="I568" s="58"/>
      <c r="J568" s="84"/>
      <c r="K568" s="58"/>
      <c r="L568" s="84"/>
      <c r="M568" s="58"/>
      <c r="N568" s="84"/>
      <c r="O568" s="58"/>
      <c r="P568" s="84"/>
      <c r="Q568" s="58"/>
      <c r="R568" s="84"/>
    </row>
    <row r="569">
      <c r="A569" s="58"/>
      <c r="B569" s="84"/>
      <c r="C569" s="58"/>
      <c r="D569" s="84"/>
      <c r="E569" s="58"/>
      <c r="F569" s="84"/>
      <c r="G569" s="58"/>
      <c r="H569" s="84"/>
      <c r="I569" s="58"/>
      <c r="J569" s="84"/>
      <c r="K569" s="58"/>
      <c r="L569" s="84"/>
      <c r="M569" s="58"/>
      <c r="N569" s="84"/>
      <c r="O569" s="58"/>
      <c r="P569" s="84"/>
      <c r="Q569" s="58"/>
      <c r="R569" s="84"/>
    </row>
    <row r="570">
      <c r="A570" s="58"/>
      <c r="B570" s="84"/>
      <c r="C570" s="58"/>
      <c r="D570" s="84"/>
      <c r="E570" s="58"/>
      <c r="F570" s="84"/>
      <c r="G570" s="58"/>
      <c r="H570" s="84"/>
      <c r="I570" s="58"/>
      <c r="J570" s="84"/>
      <c r="K570" s="58"/>
      <c r="L570" s="84"/>
      <c r="M570" s="58"/>
      <c r="N570" s="84"/>
      <c r="O570" s="58"/>
      <c r="P570" s="84"/>
      <c r="Q570" s="58"/>
      <c r="R570" s="84"/>
    </row>
    <row r="571">
      <c r="A571" s="58"/>
      <c r="B571" s="84"/>
      <c r="C571" s="58"/>
      <c r="D571" s="84"/>
      <c r="E571" s="58"/>
      <c r="F571" s="84"/>
      <c r="G571" s="58"/>
      <c r="H571" s="84"/>
      <c r="I571" s="58"/>
      <c r="J571" s="84"/>
      <c r="K571" s="58"/>
      <c r="L571" s="84"/>
      <c r="M571" s="58"/>
      <c r="N571" s="84"/>
      <c r="O571" s="58"/>
      <c r="P571" s="84"/>
      <c r="Q571" s="58"/>
      <c r="R571" s="84"/>
    </row>
    <row r="572">
      <c r="A572" s="58"/>
      <c r="B572" s="84"/>
      <c r="C572" s="58"/>
      <c r="D572" s="84"/>
      <c r="E572" s="58"/>
      <c r="F572" s="84"/>
      <c r="G572" s="58"/>
      <c r="H572" s="84"/>
      <c r="I572" s="58"/>
      <c r="J572" s="84"/>
      <c r="K572" s="58"/>
      <c r="L572" s="84"/>
      <c r="M572" s="58"/>
      <c r="N572" s="84"/>
      <c r="O572" s="58"/>
      <c r="P572" s="84"/>
      <c r="Q572" s="58"/>
      <c r="R572" s="84"/>
    </row>
    <row r="573">
      <c r="A573" s="58"/>
      <c r="B573" s="84"/>
      <c r="C573" s="58"/>
      <c r="D573" s="84"/>
      <c r="E573" s="58"/>
      <c r="F573" s="84"/>
      <c r="G573" s="58"/>
      <c r="H573" s="84"/>
      <c r="I573" s="58"/>
      <c r="J573" s="84"/>
      <c r="K573" s="58"/>
      <c r="L573" s="84"/>
      <c r="M573" s="58"/>
      <c r="N573" s="84"/>
      <c r="O573" s="58"/>
      <c r="P573" s="84"/>
      <c r="Q573" s="58"/>
      <c r="R573" s="84"/>
    </row>
    <row r="574">
      <c r="A574" s="58"/>
      <c r="B574" s="84"/>
      <c r="C574" s="58"/>
      <c r="D574" s="84"/>
      <c r="E574" s="58"/>
      <c r="F574" s="84"/>
      <c r="G574" s="58"/>
      <c r="H574" s="84"/>
      <c r="I574" s="58"/>
      <c r="J574" s="84"/>
      <c r="K574" s="58"/>
      <c r="L574" s="84"/>
      <c r="M574" s="58"/>
      <c r="N574" s="84"/>
      <c r="O574" s="58"/>
      <c r="P574" s="84"/>
      <c r="Q574" s="58"/>
      <c r="R574" s="84"/>
    </row>
    <row r="575">
      <c r="A575" s="58"/>
      <c r="B575" s="84"/>
      <c r="C575" s="58"/>
      <c r="D575" s="84"/>
      <c r="E575" s="58"/>
      <c r="F575" s="84"/>
      <c r="G575" s="58"/>
      <c r="H575" s="84"/>
      <c r="I575" s="58"/>
      <c r="J575" s="84"/>
      <c r="K575" s="58"/>
      <c r="L575" s="84"/>
      <c r="M575" s="58"/>
      <c r="N575" s="84"/>
      <c r="O575" s="58"/>
      <c r="P575" s="84"/>
      <c r="Q575" s="58"/>
      <c r="R575" s="84"/>
    </row>
    <row r="576">
      <c r="A576" s="58"/>
      <c r="B576" s="84"/>
      <c r="C576" s="58"/>
      <c r="D576" s="84"/>
      <c r="E576" s="58"/>
      <c r="F576" s="84"/>
      <c r="G576" s="58"/>
      <c r="H576" s="84"/>
      <c r="I576" s="58"/>
      <c r="J576" s="84"/>
      <c r="K576" s="58"/>
      <c r="L576" s="84"/>
      <c r="M576" s="58"/>
      <c r="N576" s="84"/>
      <c r="O576" s="58"/>
      <c r="P576" s="84"/>
      <c r="Q576" s="58"/>
      <c r="R576" s="84"/>
    </row>
    <row r="577">
      <c r="A577" s="58"/>
      <c r="B577" s="84"/>
      <c r="C577" s="58"/>
      <c r="D577" s="84"/>
      <c r="E577" s="58"/>
      <c r="F577" s="84"/>
      <c r="G577" s="58"/>
      <c r="H577" s="84"/>
      <c r="I577" s="58"/>
      <c r="J577" s="84"/>
      <c r="K577" s="58"/>
      <c r="L577" s="84"/>
      <c r="M577" s="58"/>
      <c r="N577" s="84"/>
      <c r="O577" s="58"/>
      <c r="P577" s="84"/>
      <c r="Q577" s="58"/>
      <c r="R577" s="84"/>
    </row>
    <row r="578">
      <c r="A578" s="58"/>
      <c r="B578" s="84"/>
      <c r="C578" s="58"/>
      <c r="D578" s="84"/>
      <c r="E578" s="58"/>
      <c r="F578" s="84"/>
      <c r="G578" s="58"/>
      <c r="H578" s="84"/>
      <c r="I578" s="58"/>
      <c r="J578" s="84"/>
      <c r="K578" s="58"/>
      <c r="L578" s="84"/>
      <c r="M578" s="58"/>
      <c r="N578" s="84"/>
      <c r="O578" s="58"/>
      <c r="P578" s="84"/>
      <c r="Q578" s="58"/>
      <c r="R578" s="84"/>
    </row>
    <row r="579">
      <c r="A579" s="58"/>
      <c r="B579" s="84"/>
      <c r="C579" s="58"/>
      <c r="D579" s="84"/>
      <c r="E579" s="58"/>
      <c r="F579" s="84"/>
      <c r="G579" s="58"/>
      <c r="H579" s="84"/>
      <c r="I579" s="58"/>
      <c r="J579" s="84"/>
      <c r="K579" s="58"/>
      <c r="L579" s="84"/>
      <c r="M579" s="58"/>
      <c r="N579" s="84"/>
      <c r="O579" s="58"/>
      <c r="P579" s="84"/>
      <c r="Q579" s="58"/>
      <c r="R579" s="84"/>
    </row>
    <row r="580">
      <c r="A580" s="58"/>
      <c r="B580" s="84"/>
      <c r="C580" s="58"/>
      <c r="D580" s="84"/>
      <c r="E580" s="58"/>
      <c r="F580" s="84"/>
      <c r="G580" s="58"/>
      <c r="H580" s="84"/>
      <c r="I580" s="58"/>
      <c r="J580" s="84"/>
      <c r="K580" s="58"/>
      <c r="L580" s="84"/>
      <c r="M580" s="58"/>
      <c r="N580" s="84"/>
      <c r="O580" s="58"/>
      <c r="P580" s="84"/>
      <c r="Q580" s="58"/>
      <c r="R580" s="84"/>
    </row>
    <row r="581">
      <c r="A581" s="58"/>
      <c r="B581" s="84"/>
      <c r="C581" s="58"/>
      <c r="D581" s="84"/>
      <c r="E581" s="58"/>
      <c r="F581" s="84"/>
      <c r="G581" s="58"/>
      <c r="H581" s="84"/>
      <c r="I581" s="58"/>
      <c r="J581" s="84"/>
      <c r="K581" s="58"/>
      <c r="L581" s="84"/>
      <c r="M581" s="58"/>
      <c r="N581" s="84"/>
      <c r="O581" s="58"/>
      <c r="P581" s="84"/>
      <c r="Q581" s="58"/>
      <c r="R581" s="84"/>
    </row>
    <row r="582">
      <c r="A582" s="58"/>
      <c r="B582" s="84"/>
      <c r="C582" s="58"/>
      <c r="D582" s="84"/>
      <c r="E582" s="58"/>
      <c r="F582" s="84"/>
      <c r="G582" s="58"/>
      <c r="H582" s="84"/>
      <c r="I582" s="58"/>
      <c r="J582" s="84"/>
      <c r="K582" s="58"/>
      <c r="L582" s="84"/>
      <c r="M582" s="58"/>
      <c r="N582" s="84"/>
      <c r="O582" s="58"/>
      <c r="P582" s="84"/>
      <c r="Q582" s="58"/>
      <c r="R582" s="84"/>
    </row>
    <row r="583">
      <c r="A583" s="58"/>
      <c r="B583" s="84"/>
      <c r="C583" s="58"/>
      <c r="D583" s="84"/>
      <c r="E583" s="58"/>
      <c r="F583" s="84"/>
      <c r="G583" s="58"/>
      <c r="H583" s="84"/>
      <c r="I583" s="58"/>
      <c r="J583" s="84"/>
      <c r="K583" s="58"/>
      <c r="L583" s="84"/>
      <c r="M583" s="58"/>
      <c r="N583" s="84"/>
      <c r="O583" s="58"/>
      <c r="P583" s="84"/>
      <c r="Q583" s="58"/>
      <c r="R583" s="84"/>
    </row>
    <row r="584">
      <c r="A584" s="58"/>
      <c r="B584" s="84"/>
      <c r="C584" s="58"/>
      <c r="D584" s="84"/>
      <c r="E584" s="58"/>
      <c r="F584" s="84"/>
      <c r="G584" s="58"/>
      <c r="H584" s="84"/>
      <c r="I584" s="58"/>
      <c r="J584" s="84"/>
      <c r="K584" s="58"/>
      <c r="L584" s="84"/>
      <c r="M584" s="58"/>
      <c r="N584" s="84"/>
      <c r="O584" s="58"/>
      <c r="P584" s="84"/>
      <c r="Q584" s="58"/>
      <c r="R584" s="84"/>
    </row>
    <row r="585">
      <c r="A585" s="58"/>
      <c r="B585" s="84"/>
      <c r="C585" s="58"/>
      <c r="D585" s="84"/>
      <c r="E585" s="58"/>
      <c r="F585" s="84"/>
      <c r="G585" s="58"/>
      <c r="H585" s="84"/>
      <c r="I585" s="58"/>
      <c r="J585" s="84"/>
      <c r="K585" s="58"/>
      <c r="L585" s="84"/>
      <c r="M585" s="58"/>
      <c r="N585" s="84"/>
      <c r="O585" s="58"/>
      <c r="P585" s="84"/>
      <c r="Q585" s="58"/>
      <c r="R585" s="84"/>
    </row>
    <row r="586">
      <c r="A586" s="58"/>
      <c r="B586" s="84"/>
      <c r="C586" s="58"/>
      <c r="D586" s="84"/>
      <c r="E586" s="58"/>
      <c r="F586" s="84"/>
      <c r="G586" s="58"/>
      <c r="H586" s="84"/>
      <c r="I586" s="58"/>
      <c r="J586" s="84"/>
      <c r="K586" s="58"/>
      <c r="L586" s="84"/>
      <c r="M586" s="58"/>
      <c r="N586" s="84"/>
      <c r="O586" s="58"/>
      <c r="P586" s="84"/>
      <c r="Q586" s="58"/>
      <c r="R586" s="84"/>
    </row>
    <row r="587">
      <c r="A587" s="58"/>
      <c r="B587" s="84"/>
      <c r="C587" s="58"/>
      <c r="D587" s="84"/>
      <c r="E587" s="58"/>
      <c r="F587" s="84"/>
      <c r="G587" s="58"/>
      <c r="H587" s="84"/>
      <c r="I587" s="58"/>
      <c r="J587" s="84"/>
      <c r="K587" s="58"/>
      <c r="L587" s="84"/>
      <c r="M587" s="58"/>
      <c r="N587" s="84"/>
      <c r="O587" s="58"/>
      <c r="P587" s="84"/>
      <c r="Q587" s="58"/>
      <c r="R587" s="84"/>
    </row>
    <row r="588">
      <c r="A588" s="58"/>
      <c r="B588" s="84"/>
      <c r="C588" s="58"/>
      <c r="D588" s="84"/>
      <c r="E588" s="58"/>
      <c r="F588" s="84"/>
      <c r="G588" s="58"/>
      <c r="H588" s="84"/>
      <c r="I588" s="58"/>
      <c r="J588" s="84"/>
      <c r="K588" s="58"/>
      <c r="L588" s="84"/>
      <c r="M588" s="58"/>
      <c r="N588" s="84"/>
      <c r="O588" s="58"/>
      <c r="P588" s="84"/>
      <c r="Q588" s="58"/>
      <c r="R588" s="84"/>
    </row>
    <row r="589">
      <c r="A589" s="58"/>
      <c r="B589" s="84"/>
      <c r="C589" s="58"/>
      <c r="D589" s="84"/>
      <c r="E589" s="58"/>
      <c r="F589" s="84"/>
      <c r="G589" s="58"/>
      <c r="H589" s="84"/>
      <c r="I589" s="58"/>
      <c r="J589" s="84"/>
      <c r="K589" s="58"/>
      <c r="L589" s="84"/>
      <c r="M589" s="58"/>
      <c r="N589" s="84"/>
      <c r="O589" s="58"/>
      <c r="P589" s="84"/>
      <c r="Q589" s="58"/>
      <c r="R589" s="84"/>
    </row>
    <row r="590">
      <c r="A590" s="58"/>
      <c r="B590" s="84"/>
      <c r="C590" s="58"/>
      <c r="D590" s="84"/>
      <c r="E590" s="58"/>
      <c r="F590" s="84"/>
      <c r="G590" s="58"/>
      <c r="H590" s="84"/>
      <c r="I590" s="58"/>
      <c r="J590" s="84"/>
      <c r="K590" s="58"/>
      <c r="L590" s="84"/>
      <c r="M590" s="58"/>
      <c r="N590" s="84"/>
      <c r="O590" s="58"/>
      <c r="P590" s="84"/>
      <c r="Q590" s="58"/>
      <c r="R590" s="84"/>
    </row>
    <row r="591">
      <c r="A591" s="58"/>
      <c r="B591" s="84"/>
      <c r="C591" s="58"/>
      <c r="D591" s="84"/>
      <c r="E591" s="58"/>
      <c r="F591" s="84"/>
      <c r="G591" s="58"/>
      <c r="H591" s="84"/>
      <c r="I591" s="58"/>
      <c r="J591" s="84"/>
      <c r="K591" s="58"/>
      <c r="L591" s="84"/>
      <c r="M591" s="58"/>
      <c r="N591" s="84"/>
      <c r="O591" s="58"/>
      <c r="P591" s="84"/>
      <c r="Q591" s="58"/>
      <c r="R591" s="84"/>
    </row>
    <row r="592">
      <c r="A592" s="58"/>
      <c r="B592" s="84"/>
      <c r="C592" s="58"/>
      <c r="D592" s="84"/>
      <c r="E592" s="58"/>
      <c r="F592" s="84"/>
      <c r="G592" s="58"/>
      <c r="H592" s="84"/>
      <c r="I592" s="58"/>
      <c r="J592" s="84"/>
      <c r="K592" s="58"/>
      <c r="L592" s="84"/>
      <c r="M592" s="58"/>
      <c r="N592" s="84"/>
      <c r="O592" s="58"/>
      <c r="P592" s="84"/>
      <c r="Q592" s="58"/>
      <c r="R592" s="84"/>
    </row>
    <row r="593">
      <c r="A593" s="58"/>
      <c r="B593" s="84"/>
      <c r="C593" s="58"/>
      <c r="D593" s="84"/>
      <c r="E593" s="58"/>
      <c r="F593" s="84"/>
      <c r="G593" s="58"/>
      <c r="H593" s="84"/>
      <c r="I593" s="58"/>
      <c r="J593" s="84"/>
      <c r="K593" s="58"/>
      <c r="L593" s="84"/>
      <c r="M593" s="58"/>
      <c r="N593" s="84"/>
      <c r="O593" s="58"/>
      <c r="P593" s="84"/>
      <c r="Q593" s="58"/>
      <c r="R593" s="84"/>
    </row>
    <row r="594">
      <c r="A594" s="58"/>
      <c r="B594" s="84"/>
      <c r="C594" s="58"/>
      <c r="D594" s="84"/>
      <c r="E594" s="58"/>
      <c r="F594" s="84"/>
      <c r="G594" s="58"/>
      <c r="H594" s="84"/>
      <c r="I594" s="58"/>
      <c r="J594" s="84"/>
      <c r="K594" s="58"/>
      <c r="L594" s="84"/>
      <c r="M594" s="58"/>
      <c r="N594" s="84"/>
      <c r="O594" s="58"/>
      <c r="P594" s="84"/>
      <c r="Q594" s="58"/>
      <c r="R594" s="84"/>
    </row>
    <row r="595">
      <c r="A595" s="58"/>
      <c r="B595" s="84"/>
      <c r="C595" s="58"/>
      <c r="D595" s="84"/>
      <c r="E595" s="58"/>
      <c r="F595" s="84"/>
      <c r="G595" s="58"/>
      <c r="H595" s="84"/>
      <c r="I595" s="58"/>
      <c r="J595" s="84"/>
      <c r="K595" s="58"/>
      <c r="L595" s="84"/>
      <c r="M595" s="58"/>
      <c r="N595" s="84"/>
      <c r="O595" s="58"/>
      <c r="P595" s="84"/>
      <c r="Q595" s="58"/>
      <c r="R595" s="84"/>
    </row>
    <row r="596">
      <c r="A596" s="58"/>
      <c r="B596" s="84"/>
      <c r="C596" s="58"/>
      <c r="D596" s="84"/>
      <c r="E596" s="58"/>
      <c r="F596" s="84"/>
      <c r="G596" s="58"/>
      <c r="H596" s="84"/>
      <c r="I596" s="58"/>
      <c r="J596" s="84"/>
      <c r="K596" s="58"/>
      <c r="L596" s="84"/>
      <c r="M596" s="58"/>
      <c r="N596" s="84"/>
      <c r="O596" s="58"/>
      <c r="P596" s="84"/>
      <c r="Q596" s="58"/>
      <c r="R596" s="84"/>
    </row>
    <row r="597">
      <c r="A597" s="58"/>
      <c r="B597" s="84"/>
      <c r="C597" s="58"/>
      <c r="D597" s="84"/>
      <c r="E597" s="58"/>
      <c r="F597" s="84"/>
      <c r="G597" s="58"/>
      <c r="H597" s="84"/>
      <c r="I597" s="58"/>
      <c r="J597" s="84"/>
      <c r="K597" s="58"/>
      <c r="L597" s="84"/>
      <c r="M597" s="58"/>
      <c r="N597" s="84"/>
      <c r="O597" s="58"/>
      <c r="P597" s="84"/>
      <c r="Q597" s="58"/>
      <c r="R597" s="84"/>
    </row>
    <row r="598">
      <c r="A598" s="58"/>
      <c r="B598" s="84"/>
      <c r="C598" s="58"/>
      <c r="D598" s="84"/>
      <c r="E598" s="58"/>
      <c r="F598" s="84"/>
      <c r="G598" s="58"/>
      <c r="H598" s="84"/>
      <c r="I598" s="58"/>
      <c r="J598" s="84"/>
      <c r="K598" s="58"/>
      <c r="L598" s="84"/>
      <c r="M598" s="58"/>
      <c r="N598" s="84"/>
      <c r="O598" s="58"/>
      <c r="P598" s="84"/>
      <c r="Q598" s="58"/>
      <c r="R598" s="84"/>
    </row>
    <row r="599">
      <c r="A599" s="58"/>
      <c r="B599" s="84"/>
      <c r="C599" s="58"/>
      <c r="D599" s="84"/>
      <c r="E599" s="58"/>
      <c r="F599" s="84"/>
      <c r="G599" s="58"/>
      <c r="H599" s="84"/>
      <c r="I599" s="58"/>
      <c r="J599" s="84"/>
      <c r="K599" s="58"/>
      <c r="L599" s="84"/>
      <c r="M599" s="58"/>
      <c r="N599" s="84"/>
      <c r="O599" s="58"/>
      <c r="P599" s="84"/>
      <c r="Q599" s="58"/>
      <c r="R599" s="84"/>
    </row>
    <row r="600">
      <c r="A600" s="58"/>
      <c r="B600" s="84"/>
      <c r="C600" s="58"/>
      <c r="D600" s="84"/>
      <c r="E600" s="58"/>
      <c r="F600" s="84"/>
      <c r="G600" s="58"/>
      <c r="H600" s="84"/>
      <c r="I600" s="58"/>
      <c r="J600" s="84"/>
      <c r="K600" s="58"/>
      <c r="L600" s="84"/>
      <c r="M600" s="58"/>
      <c r="N600" s="84"/>
      <c r="O600" s="58"/>
      <c r="P600" s="84"/>
      <c r="Q600" s="58"/>
      <c r="R600" s="84"/>
    </row>
    <row r="601">
      <c r="A601" s="58"/>
      <c r="B601" s="84"/>
      <c r="C601" s="58"/>
      <c r="D601" s="84"/>
      <c r="E601" s="58"/>
      <c r="F601" s="84"/>
      <c r="G601" s="58"/>
      <c r="H601" s="84"/>
      <c r="I601" s="58"/>
      <c r="J601" s="84"/>
      <c r="K601" s="58"/>
      <c r="L601" s="84"/>
      <c r="M601" s="58"/>
      <c r="N601" s="84"/>
      <c r="O601" s="58"/>
      <c r="P601" s="84"/>
      <c r="Q601" s="58"/>
      <c r="R601" s="84"/>
    </row>
    <row r="602">
      <c r="A602" s="58"/>
      <c r="B602" s="84"/>
      <c r="C602" s="58"/>
      <c r="D602" s="84"/>
      <c r="E602" s="58"/>
      <c r="F602" s="84"/>
      <c r="G602" s="58"/>
      <c r="H602" s="84"/>
      <c r="I602" s="58"/>
      <c r="J602" s="84"/>
      <c r="K602" s="58"/>
      <c r="L602" s="84"/>
      <c r="M602" s="58"/>
      <c r="N602" s="84"/>
      <c r="O602" s="58"/>
      <c r="P602" s="84"/>
      <c r="Q602" s="58"/>
      <c r="R602" s="84"/>
    </row>
    <row r="603">
      <c r="A603" s="58"/>
      <c r="B603" s="84"/>
      <c r="C603" s="58"/>
      <c r="D603" s="84"/>
      <c r="E603" s="58"/>
      <c r="F603" s="84"/>
      <c r="G603" s="58"/>
      <c r="H603" s="84"/>
      <c r="I603" s="58"/>
      <c r="J603" s="84"/>
      <c r="K603" s="58"/>
      <c r="L603" s="84"/>
      <c r="M603" s="58"/>
      <c r="N603" s="84"/>
      <c r="O603" s="58"/>
      <c r="P603" s="84"/>
      <c r="Q603" s="58"/>
      <c r="R603" s="84"/>
    </row>
    <row r="604">
      <c r="A604" s="58"/>
      <c r="B604" s="84"/>
      <c r="C604" s="58"/>
      <c r="D604" s="84"/>
      <c r="E604" s="58"/>
      <c r="F604" s="84"/>
      <c r="G604" s="58"/>
      <c r="H604" s="84"/>
      <c r="I604" s="58"/>
      <c r="J604" s="84"/>
      <c r="K604" s="58"/>
      <c r="L604" s="84"/>
      <c r="M604" s="58"/>
      <c r="N604" s="84"/>
      <c r="O604" s="58"/>
      <c r="P604" s="84"/>
      <c r="Q604" s="58"/>
      <c r="R604" s="84"/>
    </row>
    <row r="605">
      <c r="A605" s="58"/>
      <c r="B605" s="84"/>
      <c r="C605" s="58"/>
      <c r="D605" s="84"/>
      <c r="E605" s="58"/>
      <c r="F605" s="84"/>
      <c r="G605" s="58"/>
      <c r="H605" s="84"/>
      <c r="I605" s="58"/>
      <c r="J605" s="84"/>
      <c r="K605" s="58"/>
      <c r="L605" s="84"/>
      <c r="M605" s="58"/>
      <c r="N605" s="84"/>
      <c r="O605" s="58"/>
      <c r="P605" s="84"/>
      <c r="Q605" s="58"/>
      <c r="R605" s="84"/>
    </row>
    <row r="606">
      <c r="A606" s="58"/>
      <c r="B606" s="84"/>
      <c r="C606" s="58"/>
      <c r="D606" s="84"/>
      <c r="E606" s="58"/>
      <c r="F606" s="84"/>
      <c r="G606" s="58"/>
      <c r="H606" s="84"/>
      <c r="I606" s="58"/>
      <c r="J606" s="84"/>
      <c r="K606" s="58"/>
      <c r="L606" s="84"/>
      <c r="M606" s="58"/>
      <c r="N606" s="84"/>
      <c r="O606" s="58"/>
      <c r="P606" s="84"/>
      <c r="Q606" s="58"/>
      <c r="R606" s="84"/>
    </row>
    <row r="607">
      <c r="A607" s="58"/>
      <c r="B607" s="84"/>
      <c r="C607" s="58"/>
      <c r="D607" s="84"/>
      <c r="E607" s="58"/>
      <c r="F607" s="84"/>
      <c r="G607" s="58"/>
      <c r="H607" s="84"/>
      <c r="I607" s="58"/>
      <c r="J607" s="84"/>
      <c r="K607" s="58"/>
      <c r="L607" s="84"/>
      <c r="M607" s="58"/>
      <c r="N607" s="84"/>
      <c r="O607" s="58"/>
      <c r="P607" s="84"/>
      <c r="Q607" s="58"/>
      <c r="R607" s="84"/>
    </row>
    <row r="608">
      <c r="A608" s="58"/>
      <c r="B608" s="84"/>
      <c r="C608" s="58"/>
      <c r="D608" s="84"/>
      <c r="E608" s="58"/>
      <c r="F608" s="84"/>
      <c r="G608" s="58"/>
      <c r="H608" s="84"/>
      <c r="I608" s="58"/>
      <c r="J608" s="84"/>
      <c r="K608" s="58"/>
      <c r="L608" s="84"/>
      <c r="M608" s="58"/>
      <c r="N608" s="84"/>
      <c r="O608" s="58"/>
      <c r="P608" s="84"/>
      <c r="Q608" s="58"/>
      <c r="R608" s="84"/>
    </row>
    <row r="609">
      <c r="A609" s="58"/>
      <c r="B609" s="84"/>
      <c r="C609" s="58"/>
      <c r="D609" s="84"/>
      <c r="E609" s="58"/>
      <c r="F609" s="84"/>
      <c r="G609" s="58"/>
      <c r="H609" s="84"/>
      <c r="I609" s="58"/>
      <c r="J609" s="84"/>
      <c r="K609" s="58"/>
      <c r="L609" s="84"/>
      <c r="M609" s="58"/>
      <c r="N609" s="84"/>
      <c r="O609" s="58"/>
      <c r="P609" s="84"/>
      <c r="Q609" s="58"/>
      <c r="R609" s="84"/>
    </row>
    <row r="610">
      <c r="A610" s="58"/>
      <c r="B610" s="84"/>
      <c r="C610" s="58"/>
      <c r="D610" s="84"/>
      <c r="E610" s="58"/>
      <c r="F610" s="84"/>
      <c r="G610" s="58"/>
      <c r="H610" s="84"/>
      <c r="I610" s="58"/>
      <c r="J610" s="84"/>
      <c r="K610" s="58"/>
      <c r="L610" s="84"/>
      <c r="M610" s="58"/>
      <c r="N610" s="84"/>
      <c r="O610" s="58"/>
      <c r="P610" s="84"/>
      <c r="Q610" s="58"/>
      <c r="R610" s="84"/>
    </row>
    <row r="611">
      <c r="A611" s="58"/>
      <c r="B611" s="84"/>
      <c r="C611" s="58"/>
      <c r="D611" s="84"/>
      <c r="E611" s="58"/>
      <c r="F611" s="84"/>
      <c r="G611" s="58"/>
      <c r="H611" s="84"/>
      <c r="I611" s="58"/>
      <c r="J611" s="84"/>
      <c r="K611" s="58"/>
      <c r="L611" s="84"/>
      <c r="M611" s="58"/>
      <c r="N611" s="84"/>
      <c r="O611" s="58"/>
      <c r="P611" s="84"/>
      <c r="Q611" s="58"/>
      <c r="R611" s="84"/>
    </row>
    <row r="612">
      <c r="A612" s="58"/>
      <c r="B612" s="84"/>
      <c r="C612" s="58"/>
      <c r="D612" s="84"/>
      <c r="E612" s="58"/>
      <c r="F612" s="84"/>
      <c r="G612" s="58"/>
      <c r="H612" s="84"/>
      <c r="I612" s="58"/>
      <c r="J612" s="84"/>
      <c r="K612" s="58"/>
      <c r="L612" s="84"/>
      <c r="M612" s="58"/>
      <c r="N612" s="84"/>
      <c r="O612" s="58"/>
      <c r="P612" s="84"/>
      <c r="Q612" s="58"/>
      <c r="R612" s="84"/>
    </row>
    <row r="613">
      <c r="A613" s="58"/>
      <c r="B613" s="84"/>
      <c r="C613" s="58"/>
      <c r="D613" s="84"/>
      <c r="E613" s="58"/>
      <c r="F613" s="84"/>
      <c r="G613" s="58"/>
      <c r="H613" s="84"/>
      <c r="I613" s="58"/>
      <c r="J613" s="84"/>
      <c r="K613" s="58"/>
      <c r="L613" s="84"/>
      <c r="M613" s="58"/>
      <c r="N613" s="84"/>
      <c r="O613" s="58"/>
      <c r="P613" s="84"/>
      <c r="Q613" s="58"/>
      <c r="R613" s="84"/>
    </row>
    <row r="614">
      <c r="A614" s="58"/>
      <c r="B614" s="84"/>
      <c r="C614" s="58"/>
      <c r="D614" s="84"/>
      <c r="E614" s="58"/>
      <c r="F614" s="84"/>
      <c r="G614" s="58"/>
      <c r="H614" s="84"/>
      <c r="I614" s="58"/>
      <c r="J614" s="84"/>
      <c r="K614" s="58"/>
      <c r="L614" s="84"/>
      <c r="M614" s="58"/>
      <c r="N614" s="84"/>
      <c r="O614" s="58"/>
      <c r="P614" s="84"/>
      <c r="Q614" s="58"/>
      <c r="R614" s="84"/>
    </row>
    <row r="615">
      <c r="A615" s="58"/>
      <c r="B615" s="84"/>
      <c r="C615" s="58"/>
      <c r="D615" s="84"/>
      <c r="E615" s="58"/>
      <c r="F615" s="84"/>
      <c r="G615" s="58"/>
      <c r="H615" s="84"/>
      <c r="I615" s="58"/>
      <c r="J615" s="84"/>
      <c r="K615" s="58"/>
      <c r="L615" s="84"/>
      <c r="M615" s="58"/>
      <c r="N615" s="84"/>
      <c r="O615" s="58"/>
      <c r="P615" s="84"/>
      <c r="Q615" s="58"/>
      <c r="R615" s="84"/>
    </row>
    <row r="616">
      <c r="A616" s="58"/>
      <c r="B616" s="84"/>
      <c r="C616" s="58"/>
      <c r="D616" s="84"/>
      <c r="E616" s="58"/>
      <c r="F616" s="84"/>
      <c r="G616" s="58"/>
      <c r="H616" s="84"/>
      <c r="I616" s="58"/>
      <c r="J616" s="84"/>
      <c r="K616" s="58"/>
      <c r="L616" s="84"/>
      <c r="M616" s="58"/>
      <c r="N616" s="84"/>
      <c r="O616" s="58"/>
      <c r="P616" s="84"/>
      <c r="Q616" s="58"/>
      <c r="R616" s="84"/>
    </row>
    <row r="617">
      <c r="A617" s="58"/>
      <c r="B617" s="84"/>
      <c r="C617" s="58"/>
      <c r="D617" s="84"/>
      <c r="E617" s="58"/>
      <c r="F617" s="84"/>
      <c r="G617" s="58"/>
      <c r="H617" s="84"/>
      <c r="I617" s="58"/>
      <c r="J617" s="84"/>
      <c r="K617" s="58"/>
      <c r="L617" s="84"/>
      <c r="M617" s="58"/>
      <c r="N617" s="84"/>
      <c r="O617" s="58"/>
      <c r="P617" s="84"/>
      <c r="Q617" s="58"/>
      <c r="R617" s="84"/>
    </row>
    <row r="618">
      <c r="A618" s="58"/>
      <c r="B618" s="84"/>
      <c r="C618" s="58"/>
      <c r="D618" s="84"/>
      <c r="E618" s="58"/>
      <c r="F618" s="84"/>
      <c r="G618" s="58"/>
      <c r="H618" s="84"/>
      <c r="I618" s="58"/>
      <c r="J618" s="84"/>
      <c r="K618" s="58"/>
      <c r="L618" s="84"/>
      <c r="M618" s="58"/>
      <c r="N618" s="84"/>
      <c r="O618" s="58"/>
      <c r="P618" s="84"/>
      <c r="Q618" s="58"/>
      <c r="R618" s="84"/>
    </row>
    <row r="619">
      <c r="A619" s="58"/>
      <c r="B619" s="84"/>
      <c r="C619" s="58"/>
      <c r="D619" s="84"/>
      <c r="E619" s="58"/>
      <c r="F619" s="84"/>
      <c r="G619" s="58"/>
      <c r="H619" s="84"/>
      <c r="I619" s="58"/>
      <c r="J619" s="84"/>
      <c r="K619" s="58"/>
      <c r="L619" s="84"/>
      <c r="M619" s="58"/>
      <c r="N619" s="84"/>
      <c r="O619" s="58"/>
      <c r="P619" s="84"/>
      <c r="Q619" s="58"/>
      <c r="R619" s="84"/>
    </row>
    <row r="620">
      <c r="A620" s="58"/>
      <c r="B620" s="84"/>
      <c r="C620" s="58"/>
      <c r="D620" s="84"/>
      <c r="E620" s="58"/>
      <c r="F620" s="84"/>
      <c r="G620" s="58"/>
      <c r="H620" s="84"/>
      <c r="I620" s="58"/>
      <c r="J620" s="84"/>
      <c r="K620" s="58"/>
      <c r="L620" s="84"/>
      <c r="M620" s="58"/>
      <c r="N620" s="84"/>
      <c r="O620" s="58"/>
      <c r="P620" s="84"/>
      <c r="Q620" s="58"/>
      <c r="R620" s="84"/>
    </row>
    <row r="621">
      <c r="A621" s="58"/>
      <c r="B621" s="84"/>
      <c r="C621" s="58"/>
      <c r="D621" s="84"/>
      <c r="E621" s="58"/>
      <c r="F621" s="84"/>
      <c r="G621" s="58"/>
      <c r="H621" s="84"/>
      <c r="I621" s="58"/>
      <c r="J621" s="84"/>
      <c r="K621" s="58"/>
      <c r="L621" s="84"/>
      <c r="M621" s="58"/>
      <c r="N621" s="84"/>
      <c r="O621" s="58"/>
      <c r="P621" s="84"/>
      <c r="Q621" s="58"/>
      <c r="R621" s="84"/>
    </row>
    <row r="622">
      <c r="A622" s="58"/>
      <c r="B622" s="84"/>
      <c r="C622" s="58"/>
      <c r="D622" s="84"/>
      <c r="E622" s="58"/>
      <c r="F622" s="84"/>
      <c r="G622" s="58"/>
      <c r="H622" s="84"/>
      <c r="I622" s="58"/>
      <c r="J622" s="84"/>
      <c r="K622" s="58"/>
      <c r="L622" s="84"/>
      <c r="M622" s="58"/>
      <c r="N622" s="84"/>
      <c r="O622" s="58"/>
      <c r="P622" s="84"/>
      <c r="Q622" s="58"/>
      <c r="R622" s="84"/>
    </row>
    <row r="623">
      <c r="A623" s="58"/>
      <c r="B623" s="84"/>
      <c r="C623" s="58"/>
      <c r="D623" s="84"/>
      <c r="E623" s="58"/>
      <c r="F623" s="84"/>
      <c r="G623" s="58"/>
      <c r="H623" s="84"/>
      <c r="I623" s="58"/>
      <c r="J623" s="84"/>
      <c r="K623" s="58"/>
      <c r="L623" s="84"/>
      <c r="M623" s="58"/>
      <c r="N623" s="84"/>
      <c r="O623" s="58"/>
      <c r="P623" s="84"/>
      <c r="Q623" s="58"/>
      <c r="R623" s="84"/>
    </row>
    <row r="624">
      <c r="A624" s="58"/>
      <c r="B624" s="84"/>
      <c r="C624" s="58"/>
      <c r="D624" s="84"/>
      <c r="E624" s="58"/>
      <c r="F624" s="84"/>
      <c r="G624" s="58"/>
      <c r="H624" s="84"/>
      <c r="I624" s="58"/>
      <c r="J624" s="84"/>
      <c r="K624" s="58"/>
      <c r="L624" s="84"/>
      <c r="M624" s="58"/>
      <c r="N624" s="84"/>
      <c r="O624" s="58"/>
      <c r="P624" s="84"/>
      <c r="Q624" s="58"/>
      <c r="R624" s="84"/>
    </row>
    <row r="625">
      <c r="A625" s="58"/>
      <c r="B625" s="84"/>
      <c r="C625" s="58"/>
      <c r="D625" s="84"/>
      <c r="E625" s="58"/>
      <c r="F625" s="84"/>
      <c r="G625" s="58"/>
      <c r="H625" s="84"/>
      <c r="I625" s="58"/>
      <c r="J625" s="84"/>
      <c r="K625" s="58"/>
      <c r="L625" s="84"/>
      <c r="M625" s="58"/>
      <c r="N625" s="84"/>
      <c r="O625" s="58"/>
      <c r="P625" s="84"/>
      <c r="Q625" s="58"/>
      <c r="R625" s="84"/>
    </row>
    <row r="626">
      <c r="A626" s="58"/>
      <c r="B626" s="84"/>
      <c r="C626" s="58"/>
      <c r="D626" s="84"/>
      <c r="E626" s="58"/>
      <c r="F626" s="84"/>
      <c r="G626" s="58"/>
      <c r="H626" s="84"/>
      <c r="I626" s="58"/>
      <c r="J626" s="84"/>
      <c r="K626" s="58"/>
      <c r="L626" s="84"/>
      <c r="M626" s="58"/>
      <c r="N626" s="84"/>
      <c r="O626" s="58"/>
      <c r="P626" s="84"/>
      <c r="Q626" s="58"/>
      <c r="R626" s="84"/>
    </row>
    <row r="627">
      <c r="A627" s="58"/>
      <c r="B627" s="84"/>
      <c r="C627" s="58"/>
      <c r="D627" s="84"/>
      <c r="E627" s="58"/>
      <c r="F627" s="84"/>
      <c r="G627" s="58"/>
      <c r="H627" s="84"/>
      <c r="I627" s="58"/>
      <c r="J627" s="84"/>
      <c r="K627" s="58"/>
      <c r="L627" s="84"/>
      <c r="M627" s="58"/>
      <c r="N627" s="84"/>
      <c r="O627" s="58"/>
      <c r="P627" s="84"/>
      <c r="Q627" s="58"/>
      <c r="R627" s="84"/>
    </row>
    <row r="628">
      <c r="A628" s="58"/>
      <c r="B628" s="84"/>
      <c r="C628" s="58"/>
      <c r="D628" s="84"/>
      <c r="E628" s="58"/>
      <c r="F628" s="84"/>
      <c r="G628" s="58"/>
      <c r="H628" s="84"/>
      <c r="I628" s="58"/>
      <c r="J628" s="84"/>
      <c r="K628" s="58"/>
      <c r="L628" s="84"/>
      <c r="M628" s="58"/>
      <c r="N628" s="84"/>
      <c r="O628" s="58"/>
      <c r="P628" s="84"/>
      <c r="Q628" s="58"/>
      <c r="R628" s="84"/>
    </row>
    <row r="629">
      <c r="A629" s="58"/>
      <c r="B629" s="84"/>
      <c r="C629" s="58"/>
      <c r="D629" s="84"/>
      <c r="E629" s="58"/>
      <c r="F629" s="84"/>
      <c r="G629" s="58"/>
      <c r="H629" s="84"/>
      <c r="I629" s="58"/>
      <c r="J629" s="84"/>
      <c r="K629" s="58"/>
      <c r="L629" s="84"/>
      <c r="M629" s="58"/>
      <c r="N629" s="84"/>
      <c r="O629" s="58"/>
      <c r="P629" s="84"/>
      <c r="Q629" s="58"/>
      <c r="R629" s="84"/>
    </row>
    <row r="630">
      <c r="A630" s="58"/>
      <c r="B630" s="84"/>
      <c r="C630" s="58"/>
      <c r="D630" s="84"/>
      <c r="E630" s="58"/>
      <c r="F630" s="84"/>
      <c r="G630" s="58"/>
      <c r="H630" s="84"/>
      <c r="I630" s="58"/>
      <c r="J630" s="84"/>
      <c r="K630" s="58"/>
      <c r="L630" s="84"/>
      <c r="M630" s="58"/>
      <c r="N630" s="84"/>
      <c r="O630" s="58"/>
      <c r="P630" s="84"/>
      <c r="Q630" s="58"/>
      <c r="R630" s="84"/>
    </row>
    <row r="631">
      <c r="A631" s="58"/>
      <c r="B631" s="84"/>
      <c r="C631" s="58"/>
      <c r="D631" s="84"/>
      <c r="E631" s="58"/>
      <c r="F631" s="84"/>
      <c r="G631" s="58"/>
      <c r="H631" s="84"/>
      <c r="I631" s="58"/>
      <c r="J631" s="84"/>
      <c r="K631" s="58"/>
      <c r="L631" s="84"/>
      <c r="M631" s="58"/>
      <c r="N631" s="84"/>
      <c r="O631" s="58"/>
      <c r="P631" s="84"/>
      <c r="Q631" s="58"/>
      <c r="R631" s="84"/>
    </row>
    <row r="632">
      <c r="A632" s="58"/>
      <c r="B632" s="84"/>
      <c r="C632" s="58"/>
      <c r="D632" s="84"/>
      <c r="E632" s="58"/>
      <c r="F632" s="84"/>
      <c r="G632" s="58"/>
      <c r="H632" s="84"/>
      <c r="I632" s="58"/>
      <c r="J632" s="84"/>
      <c r="K632" s="58"/>
      <c r="L632" s="84"/>
      <c r="M632" s="58"/>
      <c r="N632" s="84"/>
      <c r="O632" s="58"/>
      <c r="P632" s="84"/>
      <c r="Q632" s="58"/>
      <c r="R632" s="84"/>
    </row>
    <row r="633">
      <c r="A633" s="58"/>
      <c r="B633" s="84"/>
      <c r="C633" s="58"/>
      <c r="D633" s="84"/>
      <c r="E633" s="58"/>
      <c r="F633" s="84"/>
      <c r="G633" s="58"/>
      <c r="H633" s="84"/>
      <c r="I633" s="58"/>
      <c r="J633" s="84"/>
      <c r="K633" s="58"/>
      <c r="L633" s="84"/>
      <c r="M633" s="58"/>
      <c r="N633" s="84"/>
      <c r="O633" s="58"/>
      <c r="P633" s="84"/>
      <c r="Q633" s="58"/>
      <c r="R633" s="84"/>
    </row>
    <row r="634">
      <c r="A634" s="58"/>
      <c r="B634" s="84"/>
      <c r="C634" s="58"/>
      <c r="D634" s="84"/>
      <c r="E634" s="58"/>
      <c r="F634" s="84"/>
      <c r="G634" s="58"/>
      <c r="H634" s="84"/>
      <c r="I634" s="58"/>
      <c r="J634" s="84"/>
      <c r="K634" s="58"/>
      <c r="L634" s="84"/>
      <c r="M634" s="58"/>
      <c r="N634" s="84"/>
      <c r="O634" s="58"/>
      <c r="P634" s="84"/>
      <c r="Q634" s="58"/>
      <c r="R634" s="84"/>
    </row>
    <row r="635">
      <c r="A635" s="58"/>
      <c r="B635" s="84"/>
      <c r="C635" s="58"/>
      <c r="D635" s="84"/>
      <c r="E635" s="58"/>
      <c r="F635" s="84"/>
      <c r="G635" s="58"/>
      <c r="H635" s="84"/>
      <c r="I635" s="58"/>
      <c r="J635" s="84"/>
      <c r="K635" s="58"/>
      <c r="L635" s="84"/>
      <c r="M635" s="58"/>
      <c r="N635" s="84"/>
      <c r="O635" s="58"/>
      <c r="P635" s="84"/>
      <c r="Q635" s="58"/>
      <c r="R635" s="84"/>
    </row>
    <row r="636">
      <c r="A636" s="58"/>
      <c r="B636" s="84"/>
      <c r="C636" s="58"/>
      <c r="D636" s="84"/>
      <c r="E636" s="58"/>
      <c r="F636" s="84"/>
      <c r="G636" s="58"/>
      <c r="H636" s="84"/>
      <c r="I636" s="58"/>
      <c r="J636" s="84"/>
      <c r="K636" s="58"/>
      <c r="L636" s="84"/>
      <c r="M636" s="58"/>
      <c r="N636" s="84"/>
      <c r="O636" s="58"/>
      <c r="P636" s="84"/>
      <c r="Q636" s="58"/>
      <c r="R636" s="84"/>
    </row>
    <row r="637">
      <c r="A637" s="58"/>
      <c r="B637" s="84"/>
      <c r="C637" s="58"/>
      <c r="D637" s="84"/>
      <c r="E637" s="58"/>
      <c r="F637" s="84"/>
      <c r="G637" s="58"/>
      <c r="H637" s="84"/>
      <c r="I637" s="58"/>
      <c r="J637" s="84"/>
      <c r="K637" s="58"/>
      <c r="L637" s="84"/>
      <c r="M637" s="58"/>
      <c r="N637" s="84"/>
      <c r="O637" s="58"/>
      <c r="P637" s="84"/>
      <c r="Q637" s="58"/>
      <c r="R637" s="84"/>
    </row>
    <row r="638">
      <c r="A638" s="58"/>
      <c r="B638" s="84"/>
      <c r="C638" s="58"/>
      <c r="D638" s="84"/>
      <c r="E638" s="58"/>
      <c r="F638" s="84"/>
      <c r="G638" s="58"/>
      <c r="H638" s="84"/>
      <c r="I638" s="58"/>
      <c r="J638" s="84"/>
      <c r="K638" s="58"/>
      <c r="L638" s="84"/>
      <c r="M638" s="58"/>
      <c r="N638" s="84"/>
      <c r="O638" s="58"/>
      <c r="P638" s="84"/>
      <c r="Q638" s="58"/>
      <c r="R638" s="84"/>
    </row>
    <row r="639">
      <c r="A639" s="58"/>
      <c r="B639" s="84"/>
      <c r="C639" s="58"/>
      <c r="D639" s="84"/>
      <c r="E639" s="58"/>
      <c r="F639" s="84"/>
      <c r="G639" s="58"/>
      <c r="H639" s="84"/>
      <c r="I639" s="58"/>
      <c r="J639" s="84"/>
      <c r="K639" s="58"/>
      <c r="L639" s="84"/>
      <c r="M639" s="58"/>
      <c r="N639" s="84"/>
      <c r="O639" s="58"/>
      <c r="P639" s="84"/>
      <c r="Q639" s="58"/>
      <c r="R639" s="84"/>
    </row>
    <row r="640">
      <c r="A640" s="58"/>
      <c r="B640" s="84"/>
      <c r="C640" s="58"/>
      <c r="D640" s="84"/>
      <c r="E640" s="58"/>
      <c r="F640" s="84"/>
      <c r="G640" s="58"/>
      <c r="H640" s="84"/>
      <c r="I640" s="58"/>
      <c r="J640" s="84"/>
      <c r="K640" s="58"/>
      <c r="L640" s="84"/>
      <c r="M640" s="58"/>
      <c r="N640" s="84"/>
      <c r="O640" s="58"/>
      <c r="P640" s="84"/>
      <c r="Q640" s="58"/>
      <c r="R640" s="84"/>
    </row>
    <row r="641">
      <c r="A641" s="58"/>
      <c r="B641" s="84"/>
      <c r="C641" s="58"/>
      <c r="D641" s="84"/>
      <c r="E641" s="58"/>
      <c r="F641" s="84"/>
      <c r="G641" s="58"/>
      <c r="H641" s="84"/>
      <c r="I641" s="58"/>
      <c r="J641" s="84"/>
      <c r="K641" s="58"/>
      <c r="L641" s="84"/>
      <c r="M641" s="58"/>
      <c r="N641" s="84"/>
      <c r="O641" s="58"/>
      <c r="P641" s="84"/>
      <c r="Q641" s="58"/>
      <c r="R641" s="84"/>
    </row>
    <row r="642">
      <c r="A642" s="58"/>
      <c r="B642" s="84"/>
      <c r="C642" s="58"/>
      <c r="D642" s="84"/>
      <c r="E642" s="58"/>
      <c r="F642" s="84"/>
      <c r="G642" s="58"/>
      <c r="H642" s="84"/>
      <c r="I642" s="58"/>
      <c r="J642" s="84"/>
      <c r="K642" s="58"/>
      <c r="L642" s="84"/>
      <c r="M642" s="58"/>
      <c r="N642" s="84"/>
      <c r="O642" s="58"/>
      <c r="P642" s="84"/>
      <c r="Q642" s="58"/>
      <c r="R642" s="84"/>
    </row>
    <row r="643">
      <c r="A643" s="58"/>
      <c r="B643" s="84"/>
      <c r="C643" s="58"/>
      <c r="D643" s="84"/>
      <c r="E643" s="58"/>
      <c r="F643" s="84"/>
      <c r="G643" s="58"/>
      <c r="H643" s="84"/>
      <c r="I643" s="58"/>
      <c r="J643" s="84"/>
      <c r="K643" s="58"/>
      <c r="L643" s="84"/>
      <c r="M643" s="58"/>
      <c r="N643" s="84"/>
      <c r="O643" s="58"/>
      <c r="P643" s="84"/>
      <c r="Q643" s="58"/>
      <c r="R643" s="84"/>
    </row>
    <row r="644">
      <c r="A644" s="58"/>
      <c r="B644" s="84"/>
      <c r="C644" s="58"/>
      <c r="D644" s="84"/>
      <c r="E644" s="58"/>
      <c r="F644" s="84"/>
      <c r="G644" s="58"/>
      <c r="H644" s="84"/>
      <c r="I644" s="58"/>
      <c r="J644" s="84"/>
      <c r="K644" s="58"/>
      <c r="L644" s="84"/>
      <c r="M644" s="58"/>
      <c r="N644" s="84"/>
      <c r="O644" s="58"/>
      <c r="P644" s="84"/>
      <c r="Q644" s="58"/>
      <c r="R644" s="84"/>
    </row>
    <row r="645">
      <c r="A645" s="58"/>
      <c r="B645" s="84"/>
      <c r="C645" s="58"/>
      <c r="D645" s="84"/>
      <c r="E645" s="58"/>
      <c r="F645" s="84"/>
      <c r="G645" s="58"/>
      <c r="H645" s="84"/>
      <c r="I645" s="58"/>
      <c r="J645" s="84"/>
      <c r="K645" s="58"/>
      <c r="L645" s="84"/>
      <c r="M645" s="58"/>
      <c r="N645" s="84"/>
      <c r="O645" s="58"/>
      <c r="P645" s="84"/>
      <c r="Q645" s="58"/>
      <c r="R645" s="84"/>
    </row>
    <row r="646">
      <c r="A646" s="58"/>
      <c r="B646" s="84"/>
      <c r="C646" s="58"/>
      <c r="D646" s="84"/>
      <c r="E646" s="58"/>
      <c r="F646" s="84"/>
      <c r="G646" s="58"/>
      <c r="H646" s="84"/>
      <c r="I646" s="58"/>
      <c r="J646" s="84"/>
      <c r="K646" s="58"/>
      <c r="L646" s="84"/>
      <c r="M646" s="58"/>
      <c r="N646" s="84"/>
      <c r="O646" s="58"/>
      <c r="P646" s="84"/>
      <c r="Q646" s="58"/>
      <c r="R646" s="84"/>
    </row>
    <row r="647">
      <c r="A647" s="58"/>
      <c r="B647" s="84"/>
      <c r="C647" s="58"/>
      <c r="D647" s="84"/>
      <c r="E647" s="58"/>
      <c r="F647" s="84"/>
      <c r="G647" s="58"/>
      <c r="H647" s="84"/>
      <c r="I647" s="58"/>
      <c r="J647" s="84"/>
      <c r="K647" s="58"/>
      <c r="L647" s="84"/>
      <c r="M647" s="58"/>
      <c r="N647" s="84"/>
      <c r="O647" s="58"/>
      <c r="P647" s="84"/>
      <c r="Q647" s="58"/>
      <c r="R647" s="84"/>
    </row>
    <row r="648">
      <c r="A648" s="58"/>
      <c r="B648" s="84"/>
      <c r="C648" s="58"/>
      <c r="D648" s="84"/>
      <c r="E648" s="58"/>
      <c r="F648" s="84"/>
      <c r="G648" s="58"/>
      <c r="H648" s="84"/>
      <c r="I648" s="58"/>
      <c r="J648" s="84"/>
      <c r="K648" s="58"/>
      <c r="L648" s="84"/>
      <c r="M648" s="58"/>
      <c r="N648" s="84"/>
      <c r="O648" s="58"/>
      <c r="P648" s="84"/>
      <c r="Q648" s="58"/>
      <c r="R648" s="84"/>
    </row>
    <row r="649">
      <c r="A649" s="58"/>
      <c r="B649" s="84"/>
      <c r="C649" s="58"/>
      <c r="D649" s="84"/>
      <c r="E649" s="58"/>
      <c r="F649" s="84"/>
      <c r="G649" s="58"/>
      <c r="H649" s="84"/>
      <c r="I649" s="58"/>
      <c r="J649" s="84"/>
      <c r="K649" s="58"/>
      <c r="L649" s="84"/>
      <c r="M649" s="58"/>
      <c r="N649" s="84"/>
      <c r="O649" s="58"/>
      <c r="P649" s="84"/>
      <c r="Q649" s="58"/>
      <c r="R649" s="84"/>
    </row>
    <row r="650">
      <c r="A650" s="58"/>
      <c r="B650" s="84"/>
      <c r="C650" s="58"/>
      <c r="D650" s="84"/>
      <c r="E650" s="58"/>
      <c r="F650" s="84"/>
      <c r="G650" s="58"/>
      <c r="H650" s="84"/>
      <c r="I650" s="58"/>
      <c r="J650" s="84"/>
      <c r="K650" s="58"/>
      <c r="L650" s="84"/>
      <c r="M650" s="58"/>
      <c r="N650" s="84"/>
      <c r="O650" s="58"/>
      <c r="P650" s="84"/>
      <c r="Q650" s="58"/>
      <c r="R650" s="84"/>
    </row>
    <row r="651">
      <c r="A651" s="58"/>
      <c r="B651" s="84"/>
      <c r="C651" s="58"/>
      <c r="D651" s="84"/>
      <c r="E651" s="58"/>
      <c r="F651" s="84"/>
      <c r="G651" s="58"/>
      <c r="H651" s="84"/>
      <c r="I651" s="58"/>
      <c r="J651" s="84"/>
      <c r="K651" s="58"/>
      <c r="L651" s="84"/>
      <c r="M651" s="58"/>
      <c r="N651" s="84"/>
      <c r="O651" s="58"/>
      <c r="P651" s="84"/>
      <c r="Q651" s="58"/>
      <c r="R651" s="84"/>
    </row>
    <row r="652">
      <c r="A652" s="58"/>
      <c r="B652" s="84"/>
      <c r="C652" s="58"/>
      <c r="D652" s="84"/>
      <c r="E652" s="58"/>
      <c r="F652" s="84"/>
      <c r="G652" s="58"/>
      <c r="H652" s="84"/>
      <c r="I652" s="58"/>
      <c r="J652" s="84"/>
      <c r="K652" s="58"/>
      <c r="L652" s="84"/>
      <c r="M652" s="58"/>
      <c r="N652" s="84"/>
      <c r="O652" s="58"/>
      <c r="P652" s="84"/>
      <c r="Q652" s="58"/>
      <c r="R652" s="84"/>
    </row>
    <row r="653">
      <c r="A653" s="58"/>
      <c r="B653" s="84"/>
      <c r="C653" s="58"/>
      <c r="D653" s="84"/>
      <c r="E653" s="58"/>
      <c r="F653" s="84"/>
      <c r="G653" s="58"/>
      <c r="H653" s="84"/>
      <c r="I653" s="58"/>
      <c r="J653" s="84"/>
      <c r="K653" s="58"/>
      <c r="L653" s="84"/>
      <c r="M653" s="58"/>
      <c r="N653" s="84"/>
      <c r="O653" s="58"/>
      <c r="P653" s="84"/>
      <c r="Q653" s="58"/>
      <c r="R653" s="84"/>
    </row>
    <row r="654">
      <c r="A654" s="58"/>
      <c r="B654" s="84"/>
      <c r="C654" s="58"/>
      <c r="D654" s="84"/>
      <c r="E654" s="58"/>
      <c r="F654" s="84"/>
      <c r="G654" s="58"/>
      <c r="H654" s="84"/>
      <c r="I654" s="58"/>
      <c r="J654" s="84"/>
      <c r="K654" s="58"/>
      <c r="L654" s="84"/>
      <c r="M654" s="58"/>
      <c r="N654" s="84"/>
      <c r="O654" s="58"/>
      <c r="P654" s="84"/>
      <c r="Q654" s="58"/>
      <c r="R654" s="84"/>
    </row>
    <row r="655">
      <c r="A655" s="58"/>
      <c r="B655" s="84"/>
      <c r="C655" s="58"/>
      <c r="D655" s="84"/>
      <c r="E655" s="58"/>
      <c r="F655" s="84"/>
      <c r="G655" s="58"/>
      <c r="H655" s="84"/>
      <c r="I655" s="58"/>
      <c r="J655" s="84"/>
      <c r="K655" s="58"/>
      <c r="L655" s="84"/>
      <c r="M655" s="58"/>
      <c r="N655" s="84"/>
      <c r="O655" s="58"/>
      <c r="P655" s="84"/>
      <c r="Q655" s="58"/>
      <c r="R655" s="84"/>
    </row>
    <row r="656">
      <c r="A656" s="58"/>
      <c r="B656" s="84"/>
      <c r="C656" s="58"/>
      <c r="D656" s="84"/>
      <c r="E656" s="58"/>
      <c r="F656" s="84"/>
      <c r="G656" s="58"/>
      <c r="H656" s="84"/>
      <c r="I656" s="58"/>
      <c r="J656" s="84"/>
      <c r="K656" s="58"/>
      <c r="L656" s="84"/>
      <c r="M656" s="58"/>
      <c r="N656" s="84"/>
      <c r="O656" s="58"/>
      <c r="P656" s="84"/>
      <c r="Q656" s="58"/>
      <c r="R656" s="84"/>
    </row>
    <row r="657">
      <c r="A657" s="58"/>
      <c r="B657" s="84"/>
      <c r="C657" s="58"/>
      <c r="D657" s="84"/>
      <c r="E657" s="58"/>
      <c r="F657" s="84"/>
      <c r="G657" s="58"/>
      <c r="H657" s="84"/>
      <c r="I657" s="58"/>
      <c r="J657" s="84"/>
      <c r="K657" s="58"/>
      <c r="L657" s="84"/>
      <c r="M657" s="58"/>
      <c r="N657" s="84"/>
      <c r="O657" s="58"/>
      <c r="P657" s="84"/>
      <c r="Q657" s="58"/>
      <c r="R657" s="84"/>
    </row>
    <row r="658">
      <c r="A658" s="58"/>
      <c r="B658" s="84"/>
      <c r="C658" s="58"/>
      <c r="D658" s="84"/>
      <c r="E658" s="58"/>
      <c r="F658" s="84"/>
      <c r="G658" s="58"/>
      <c r="H658" s="84"/>
      <c r="I658" s="58"/>
      <c r="J658" s="84"/>
      <c r="K658" s="58"/>
      <c r="L658" s="84"/>
      <c r="M658" s="58"/>
      <c r="N658" s="84"/>
      <c r="O658" s="58"/>
      <c r="P658" s="84"/>
      <c r="Q658" s="58"/>
      <c r="R658" s="84"/>
    </row>
    <row r="659">
      <c r="A659" s="58"/>
      <c r="B659" s="84"/>
      <c r="C659" s="58"/>
      <c r="D659" s="84"/>
      <c r="E659" s="58"/>
      <c r="F659" s="84"/>
      <c r="G659" s="58"/>
      <c r="H659" s="84"/>
      <c r="I659" s="58"/>
      <c r="J659" s="84"/>
      <c r="K659" s="58"/>
      <c r="L659" s="84"/>
      <c r="M659" s="58"/>
      <c r="N659" s="84"/>
      <c r="O659" s="58"/>
      <c r="P659" s="84"/>
      <c r="Q659" s="58"/>
      <c r="R659" s="84"/>
    </row>
    <row r="660">
      <c r="A660" s="58"/>
      <c r="B660" s="84"/>
      <c r="C660" s="58"/>
      <c r="D660" s="84"/>
      <c r="E660" s="58"/>
      <c r="F660" s="84"/>
      <c r="G660" s="58"/>
      <c r="H660" s="84"/>
      <c r="I660" s="58"/>
      <c r="J660" s="84"/>
      <c r="K660" s="58"/>
      <c r="L660" s="84"/>
      <c r="M660" s="58"/>
      <c r="N660" s="84"/>
      <c r="O660" s="58"/>
      <c r="P660" s="84"/>
      <c r="Q660" s="58"/>
      <c r="R660" s="84"/>
    </row>
    <row r="661">
      <c r="A661" s="58"/>
      <c r="B661" s="84"/>
      <c r="C661" s="58"/>
      <c r="D661" s="84"/>
      <c r="E661" s="58"/>
      <c r="F661" s="84"/>
      <c r="G661" s="58"/>
      <c r="H661" s="84"/>
      <c r="I661" s="58"/>
      <c r="J661" s="84"/>
      <c r="K661" s="58"/>
      <c r="L661" s="84"/>
      <c r="M661" s="58"/>
      <c r="N661" s="84"/>
      <c r="O661" s="58"/>
      <c r="P661" s="84"/>
      <c r="Q661" s="58"/>
      <c r="R661" s="84"/>
    </row>
    <row r="662">
      <c r="A662" s="58"/>
      <c r="B662" s="84"/>
      <c r="C662" s="58"/>
      <c r="D662" s="84"/>
      <c r="E662" s="58"/>
      <c r="F662" s="84"/>
      <c r="G662" s="58"/>
      <c r="H662" s="84"/>
      <c r="I662" s="58"/>
      <c r="J662" s="84"/>
      <c r="K662" s="58"/>
      <c r="L662" s="84"/>
      <c r="M662" s="58"/>
      <c r="N662" s="84"/>
      <c r="O662" s="58"/>
      <c r="P662" s="84"/>
      <c r="Q662" s="58"/>
      <c r="R662" s="84"/>
    </row>
    <row r="663">
      <c r="A663" s="58"/>
      <c r="B663" s="84"/>
      <c r="C663" s="58"/>
      <c r="D663" s="84"/>
      <c r="E663" s="58"/>
      <c r="F663" s="84"/>
      <c r="G663" s="58"/>
      <c r="H663" s="84"/>
      <c r="I663" s="58"/>
      <c r="J663" s="84"/>
      <c r="K663" s="58"/>
      <c r="L663" s="84"/>
      <c r="M663" s="58"/>
      <c r="N663" s="84"/>
      <c r="O663" s="58"/>
      <c r="P663" s="84"/>
      <c r="Q663" s="58"/>
      <c r="R663" s="84"/>
    </row>
    <row r="664">
      <c r="A664" s="58"/>
      <c r="B664" s="84"/>
      <c r="C664" s="58"/>
      <c r="D664" s="84"/>
      <c r="E664" s="58"/>
      <c r="F664" s="84"/>
      <c r="G664" s="58"/>
      <c r="H664" s="84"/>
      <c r="I664" s="58"/>
      <c r="J664" s="84"/>
      <c r="K664" s="58"/>
      <c r="L664" s="84"/>
      <c r="M664" s="58"/>
      <c r="N664" s="84"/>
      <c r="O664" s="58"/>
      <c r="P664" s="84"/>
      <c r="Q664" s="58"/>
      <c r="R664" s="84"/>
    </row>
    <row r="665">
      <c r="A665" s="58"/>
      <c r="B665" s="84"/>
      <c r="C665" s="58"/>
      <c r="D665" s="84"/>
      <c r="E665" s="58"/>
      <c r="F665" s="84"/>
      <c r="G665" s="58"/>
      <c r="H665" s="84"/>
      <c r="I665" s="58"/>
      <c r="J665" s="84"/>
      <c r="K665" s="58"/>
      <c r="L665" s="84"/>
      <c r="M665" s="58"/>
      <c r="N665" s="84"/>
      <c r="O665" s="58"/>
      <c r="P665" s="84"/>
      <c r="Q665" s="58"/>
      <c r="R665" s="84"/>
    </row>
    <row r="666">
      <c r="A666" s="58"/>
      <c r="B666" s="84"/>
      <c r="C666" s="58"/>
      <c r="D666" s="84"/>
      <c r="E666" s="58"/>
      <c r="F666" s="84"/>
      <c r="G666" s="58"/>
      <c r="H666" s="84"/>
      <c r="I666" s="58"/>
      <c r="J666" s="84"/>
      <c r="K666" s="58"/>
      <c r="L666" s="84"/>
      <c r="M666" s="58"/>
      <c r="N666" s="84"/>
      <c r="O666" s="58"/>
      <c r="P666" s="84"/>
      <c r="Q666" s="58"/>
      <c r="R666" s="84"/>
    </row>
    <row r="667">
      <c r="A667" s="58"/>
      <c r="B667" s="84"/>
      <c r="C667" s="58"/>
      <c r="D667" s="84"/>
      <c r="E667" s="58"/>
      <c r="F667" s="84"/>
      <c r="G667" s="58"/>
      <c r="H667" s="84"/>
      <c r="I667" s="58"/>
      <c r="J667" s="84"/>
      <c r="K667" s="58"/>
      <c r="L667" s="84"/>
      <c r="M667" s="58"/>
      <c r="N667" s="84"/>
      <c r="O667" s="58"/>
      <c r="P667" s="84"/>
      <c r="Q667" s="58"/>
      <c r="R667" s="84"/>
    </row>
    <row r="668">
      <c r="A668" s="58"/>
      <c r="B668" s="84"/>
      <c r="C668" s="58"/>
      <c r="D668" s="84"/>
      <c r="E668" s="58"/>
      <c r="F668" s="84"/>
      <c r="G668" s="58"/>
      <c r="H668" s="84"/>
      <c r="I668" s="58"/>
      <c r="J668" s="84"/>
      <c r="K668" s="58"/>
      <c r="L668" s="84"/>
      <c r="M668" s="58"/>
      <c r="N668" s="84"/>
      <c r="O668" s="58"/>
      <c r="P668" s="84"/>
      <c r="Q668" s="58"/>
      <c r="R668" s="84"/>
    </row>
    <row r="669">
      <c r="A669" s="58"/>
      <c r="B669" s="84"/>
      <c r="C669" s="58"/>
      <c r="D669" s="84"/>
      <c r="E669" s="58"/>
      <c r="F669" s="84"/>
      <c r="G669" s="58"/>
      <c r="H669" s="84"/>
      <c r="I669" s="58"/>
      <c r="J669" s="84"/>
      <c r="K669" s="58"/>
      <c r="L669" s="84"/>
      <c r="M669" s="58"/>
      <c r="N669" s="84"/>
      <c r="O669" s="58"/>
      <c r="P669" s="84"/>
      <c r="Q669" s="58"/>
      <c r="R669" s="84"/>
    </row>
    <row r="670">
      <c r="A670" s="58"/>
      <c r="B670" s="84"/>
      <c r="C670" s="58"/>
      <c r="D670" s="84"/>
      <c r="E670" s="58"/>
      <c r="F670" s="84"/>
      <c r="G670" s="58"/>
      <c r="H670" s="84"/>
      <c r="I670" s="58"/>
      <c r="J670" s="84"/>
      <c r="K670" s="58"/>
      <c r="L670" s="84"/>
      <c r="M670" s="58"/>
      <c r="N670" s="84"/>
      <c r="O670" s="58"/>
      <c r="P670" s="84"/>
      <c r="Q670" s="58"/>
      <c r="R670" s="84"/>
    </row>
    <row r="671">
      <c r="A671" s="58"/>
      <c r="B671" s="84"/>
      <c r="C671" s="58"/>
      <c r="D671" s="84"/>
      <c r="E671" s="58"/>
      <c r="F671" s="84"/>
      <c r="G671" s="58"/>
      <c r="H671" s="84"/>
      <c r="I671" s="58"/>
      <c r="J671" s="84"/>
      <c r="K671" s="58"/>
      <c r="L671" s="84"/>
      <c r="M671" s="58"/>
      <c r="N671" s="84"/>
      <c r="O671" s="58"/>
      <c r="P671" s="84"/>
      <c r="Q671" s="58"/>
      <c r="R671" s="84"/>
    </row>
    <row r="672">
      <c r="A672" s="58"/>
      <c r="B672" s="84"/>
      <c r="C672" s="58"/>
      <c r="D672" s="84"/>
      <c r="E672" s="58"/>
      <c r="F672" s="84"/>
      <c r="G672" s="58"/>
      <c r="H672" s="84"/>
      <c r="I672" s="58"/>
      <c r="J672" s="84"/>
      <c r="K672" s="58"/>
      <c r="L672" s="84"/>
      <c r="M672" s="58"/>
      <c r="N672" s="84"/>
      <c r="O672" s="58"/>
      <c r="P672" s="84"/>
      <c r="Q672" s="58"/>
      <c r="R672" s="84"/>
    </row>
    <row r="673">
      <c r="A673" s="58"/>
      <c r="B673" s="84"/>
      <c r="C673" s="58"/>
      <c r="D673" s="84"/>
      <c r="E673" s="58"/>
      <c r="F673" s="84"/>
      <c r="G673" s="58"/>
      <c r="H673" s="84"/>
      <c r="I673" s="58"/>
      <c r="J673" s="84"/>
      <c r="K673" s="58"/>
      <c r="L673" s="84"/>
      <c r="M673" s="58"/>
      <c r="N673" s="84"/>
      <c r="O673" s="58"/>
      <c r="P673" s="84"/>
      <c r="Q673" s="58"/>
      <c r="R673" s="84"/>
    </row>
    <row r="674">
      <c r="A674" s="58"/>
      <c r="B674" s="84"/>
      <c r="C674" s="58"/>
      <c r="D674" s="84"/>
      <c r="E674" s="58"/>
      <c r="F674" s="84"/>
      <c r="G674" s="58"/>
      <c r="H674" s="84"/>
      <c r="I674" s="58"/>
      <c r="J674" s="84"/>
      <c r="K674" s="58"/>
      <c r="L674" s="84"/>
      <c r="M674" s="58"/>
      <c r="N674" s="84"/>
      <c r="O674" s="58"/>
      <c r="P674" s="84"/>
      <c r="Q674" s="58"/>
      <c r="R674" s="84"/>
    </row>
    <row r="675">
      <c r="A675" s="58"/>
      <c r="B675" s="84"/>
      <c r="C675" s="58"/>
      <c r="D675" s="84"/>
      <c r="E675" s="58"/>
      <c r="F675" s="84"/>
      <c r="G675" s="58"/>
      <c r="H675" s="84"/>
      <c r="I675" s="58"/>
      <c r="J675" s="84"/>
      <c r="K675" s="58"/>
      <c r="L675" s="84"/>
      <c r="M675" s="58"/>
      <c r="N675" s="84"/>
      <c r="O675" s="58"/>
      <c r="P675" s="84"/>
      <c r="Q675" s="58"/>
      <c r="R675" s="84"/>
    </row>
    <row r="676">
      <c r="A676" s="58"/>
      <c r="B676" s="84"/>
      <c r="C676" s="58"/>
      <c r="D676" s="84"/>
      <c r="E676" s="58"/>
      <c r="F676" s="84"/>
      <c r="G676" s="58"/>
      <c r="H676" s="84"/>
      <c r="I676" s="58"/>
      <c r="J676" s="84"/>
      <c r="K676" s="58"/>
      <c r="L676" s="84"/>
      <c r="M676" s="58"/>
      <c r="N676" s="84"/>
      <c r="O676" s="58"/>
      <c r="P676" s="84"/>
      <c r="Q676" s="58"/>
      <c r="R676" s="84"/>
    </row>
    <row r="677">
      <c r="A677" s="58"/>
      <c r="B677" s="84"/>
      <c r="C677" s="58"/>
      <c r="D677" s="84"/>
      <c r="E677" s="58"/>
      <c r="F677" s="84"/>
      <c r="G677" s="58"/>
      <c r="H677" s="84"/>
      <c r="I677" s="58"/>
      <c r="J677" s="84"/>
      <c r="K677" s="58"/>
      <c r="L677" s="84"/>
      <c r="M677" s="58"/>
      <c r="N677" s="84"/>
      <c r="O677" s="58"/>
      <c r="P677" s="84"/>
      <c r="Q677" s="58"/>
      <c r="R677" s="84"/>
    </row>
    <row r="678">
      <c r="A678" s="58"/>
      <c r="B678" s="84"/>
      <c r="C678" s="58"/>
      <c r="D678" s="84"/>
      <c r="E678" s="58"/>
      <c r="F678" s="84"/>
      <c r="G678" s="58"/>
      <c r="H678" s="84"/>
      <c r="I678" s="58"/>
      <c r="J678" s="84"/>
      <c r="K678" s="58"/>
      <c r="L678" s="84"/>
      <c r="M678" s="58"/>
      <c r="N678" s="84"/>
      <c r="O678" s="58"/>
      <c r="P678" s="84"/>
      <c r="Q678" s="58"/>
      <c r="R678" s="84"/>
    </row>
    <row r="679">
      <c r="A679" s="58"/>
      <c r="B679" s="84"/>
      <c r="C679" s="58"/>
      <c r="D679" s="84"/>
      <c r="E679" s="58"/>
      <c r="F679" s="84"/>
      <c r="G679" s="58"/>
      <c r="H679" s="84"/>
      <c r="I679" s="58"/>
      <c r="J679" s="84"/>
      <c r="K679" s="58"/>
      <c r="L679" s="84"/>
      <c r="M679" s="58"/>
      <c r="N679" s="84"/>
      <c r="O679" s="58"/>
      <c r="P679" s="84"/>
      <c r="Q679" s="58"/>
      <c r="R679" s="84"/>
    </row>
    <row r="680">
      <c r="A680" s="58"/>
      <c r="B680" s="84"/>
      <c r="C680" s="58"/>
      <c r="D680" s="84"/>
      <c r="E680" s="58"/>
      <c r="F680" s="84"/>
      <c r="G680" s="58"/>
      <c r="H680" s="84"/>
      <c r="I680" s="58"/>
      <c r="J680" s="84"/>
      <c r="K680" s="58"/>
      <c r="L680" s="84"/>
      <c r="M680" s="58"/>
      <c r="N680" s="84"/>
      <c r="O680" s="58"/>
      <c r="P680" s="84"/>
      <c r="Q680" s="58"/>
      <c r="R680" s="84"/>
    </row>
    <row r="681">
      <c r="A681" s="58"/>
      <c r="B681" s="84"/>
      <c r="C681" s="58"/>
      <c r="D681" s="84"/>
      <c r="E681" s="58"/>
      <c r="F681" s="84"/>
      <c r="G681" s="58"/>
      <c r="H681" s="84"/>
      <c r="I681" s="58"/>
      <c r="J681" s="84"/>
      <c r="K681" s="58"/>
      <c r="L681" s="84"/>
      <c r="M681" s="58"/>
      <c r="N681" s="84"/>
      <c r="O681" s="58"/>
      <c r="P681" s="84"/>
      <c r="Q681" s="58"/>
      <c r="R681" s="84"/>
    </row>
    <row r="682">
      <c r="A682" s="58"/>
      <c r="B682" s="84"/>
      <c r="C682" s="58"/>
      <c r="D682" s="84"/>
      <c r="E682" s="58"/>
      <c r="F682" s="84"/>
      <c r="G682" s="58"/>
      <c r="H682" s="84"/>
      <c r="I682" s="58"/>
      <c r="J682" s="84"/>
      <c r="K682" s="58"/>
      <c r="L682" s="84"/>
      <c r="M682" s="58"/>
      <c r="N682" s="84"/>
      <c r="O682" s="58"/>
      <c r="P682" s="84"/>
      <c r="Q682" s="58"/>
      <c r="R682" s="84"/>
    </row>
    <row r="683">
      <c r="A683" s="58"/>
      <c r="B683" s="84"/>
      <c r="C683" s="58"/>
      <c r="D683" s="84"/>
      <c r="E683" s="58"/>
      <c r="F683" s="84"/>
      <c r="G683" s="58"/>
      <c r="H683" s="84"/>
      <c r="I683" s="58"/>
      <c r="J683" s="84"/>
      <c r="K683" s="58"/>
      <c r="L683" s="84"/>
      <c r="M683" s="58"/>
      <c r="N683" s="84"/>
      <c r="O683" s="58"/>
      <c r="P683" s="84"/>
      <c r="Q683" s="58"/>
      <c r="R683" s="84"/>
    </row>
    <row r="684">
      <c r="A684" s="58"/>
      <c r="B684" s="84"/>
      <c r="C684" s="58"/>
      <c r="D684" s="84"/>
      <c r="E684" s="58"/>
      <c r="F684" s="84"/>
      <c r="G684" s="58"/>
      <c r="H684" s="84"/>
      <c r="I684" s="58"/>
      <c r="J684" s="84"/>
      <c r="K684" s="58"/>
      <c r="L684" s="84"/>
      <c r="M684" s="58"/>
      <c r="N684" s="84"/>
      <c r="O684" s="58"/>
      <c r="P684" s="84"/>
      <c r="Q684" s="58"/>
      <c r="R684" s="84"/>
    </row>
    <row r="685">
      <c r="A685" s="58"/>
      <c r="B685" s="84"/>
      <c r="C685" s="58"/>
      <c r="D685" s="84"/>
      <c r="E685" s="58"/>
      <c r="F685" s="84"/>
      <c r="G685" s="58"/>
      <c r="H685" s="84"/>
      <c r="I685" s="58"/>
      <c r="J685" s="84"/>
      <c r="K685" s="58"/>
      <c r="L685" s="84"/>
      <c r="M685" s="58"/>
      <c r="N685" s="84"/>
      <c r="O685" s="58"/>
      <c r="P685" s="84"/>
      <c r="Q685" s="58"/>
      <c r="R685" s="84"/>
    </row>
    <row r="686">
      <c r="A686" s="58"/>
      <c r="B686" s="84"/>
      <c r="C686" s="58"/>
      <c r="D686" s="84"/>
      <c r="E686" s="58"/>
      <c r="F686" s="84"/>
      <c r="G686" s="58"/>
      <c r="H686" s="84"/>
      <c r="I686" s="58"/>
      <c r="J686" s="84"/>
      <c r="K686" s="58"/>
      <c r="L686" s="84"/>
      <c r="M686" s="58"/>
      <c r="N686" s="84"/>
      <c r="O686" s="58"/>
      <c r="P686" s="84"/>
      <c r="Q686" s="58"/>
      <c r="R686" s="84"/>
    </row>
    <row r="687">
      <c r="A687" s="58"/>
      <c r="B687" s="84"/>
      <c r="C687" s="58"/>
      <c r="D687" s="84"/>
      <c r="E687" s="58"/>
      <c r="F687" s="84"/>
      <c r="G687" s="58"/>
      <c r="H687" s="84"/>
      <c r="I687" s="58"/>
      <c r="J687" s="84"/>
      <c r="K687" s="58"/>
      <c r="L687" s="84"/>
      <c r="M687" s="58"/>
      <c r="N687" s="84"/>
      <c r="O687" s="58"/>
      <c r="P687" s="84"/>
      <c r="Q687" s="58"/>
      <c r="R687" s="84"/>
    </row>
    <row r="688">
      <c r="A688" s="58"/>
      <c r="B688" s="84"/>
      <c r="C688" s="58"/>
      <c r="D688" s="84"/>
      <c r="E688" s="58"/>
      <c r="F688" s="84"/>
      <c r="G688" s="58"/>
      <c r="H688" s="84"/>
      <c r="I688" s="58"/>
      <c r="J688" s="84"/>
      <c r="K688" s="58"/>
      <c r="L688" s="84"/>
      <c r="M688" s="58"/>
      <c r="N688" s="84"/>
      <c r="O688" s="58"/>
      <c r="P688" s="84"/>
      <c r="Q688" s="58"/>
      <c r="R688" s="84"/>
    </row>
    <row r="689">
      <c r="A689" s="58"/>
      <c r="B689" s="84"/>
      <c r="C689" s="58"/>
      <c r="D689" s="84"/>
      <c r="E689" s="58"/>
      <c r="F689" s="84"/>
      <c r="G689" s="58"/>
      <c r="H689" s="84"/>
      <c r="I689" s="58"/>
      <c r="J689" s="84"/>
      <c r="K689" s="58"/>
      <c r="L689" s="84"/>
      <c r="M689" s="58"/>
      <c r="N689" s="84"/>
      <c r="O689" s="58"/>
      <c r="P689" s="84"/>
      <c r="Q689" s="58"/>
      <c r="R689" s="84"/>
    </row>
    <row r="690">
      <c r="A690" s="58"/>
      <c r="B690" s="84"/>
      <c r="C690" s="58"/>
      <c r="D690" s="84"/>
      <c r="E690" s="58"/>
      <c r="F690" s="84"/>
      <c r="G690" s="58"/>
      <c r="H690" s="84"/>
      <c r="I690" s="58"/>
      <c r="J690" s="84"/>
      <c r="K690" s="58"/>
      <c r="L690" s="84"/>
      <c r="M690" s="58"/>
      <c r="N690" s="84"/>
      <c r="O690" s="58"/>
      <c r="P690" s="84"/>
      <c r="Q690" s="58"/>
      <c r="R690" s="84"/>
    </row>
    <row r="691">
      <c r="A691" s="58"/>
      <c r="B691" s="84"/>
      <c r="C691" s="58"/>
      <c r="D691" s="84"/>
      <c r="E691" s="58"/>
      <c r="F691" s="84"/>
      <c r="G691" s="58"/>
      <c r="H691" s="84"/>
      <c r="I691" s="58"/>
      <c r="J691" s="84"/>
      <c r="K691" s="58"/>
      <c r="L691" s="84"/>
      <c r="M691" s="58"/>
      <c r="N691" s="84"/>
      <c r="O691" s="58"/>
      <c r="P691" s="84"/>
      <c r="Q691" s="58"/>
      <c r="R691" s="84"/>
    </row>
    <row r="692">
      <c r="A692" s="58"/>
      <c r="B692" s="84"/>
      <c r="C692" s="58"/>
      <c r="D692" s="84"/>
      <c r="E692" s="58"/>
      <c r="F692" s="84"/>
      <c r="G692" s="58"/>
      <c r="H692" s="84"/>
      <c r="I692" s="58"/>
      <c r="J692" s="84"/>
      <c r="K692" s="58"/>
      <c r="L692" s="84"/>
      <c r="M692" s="58"/>
      <c r="N692" s="84"/>
      <c r="O692" s="58"/>
      <c r="P692" s="84"/>
      <c r="Q692" s="58"/>
      <c r="R692" s="84"/>
    </row>
    <row r="693">
      <c r="A693" s="58"/>
      <c r="B693" s="84"/>
      <c r="C693" s="58"/>
      <c r="D693" s="84"/>
      <c r="E693" s="58"/>
      <c r="F693" s="84"/>
      <c r="G693" s="58"/>
      <c r="H693" s="84"/>
      <c r="I693" s="58"/>
      <c r="J693" s="84"/>
      <c r="K693" s="58"/>
      <c r="L693" s="84"/>
      <c r="M693" s="58"/>
      <c r="N693" s="84"/>
      <c r="O693" s="58"/>
      <c r="P693" s="84"/>
      <c r="Q693" s="58"/>
      <c r="R693" s="84"/>
    </row>
    <row r="694">
      <c r="A694" s="58"/>
      <c r="B694" s="84"/>
      <c r="C694" s="58"/>
      <c r="D694" s="84"/>
      <c r="E694" s="58"/>
      <c r="F694" s="84"/>
      <c r="G694" s="58"/>
      <c r="H694" s="84"/>
      <c r="I694" s="58"/>
      <c r="J694" s="84"/>
      <c r="K694" s="58"/>
      <c r="L694" s="84"/>
      <c r="M694" s="58"/>
      <c r="N694" s="84"/>
      <c r="O694" s="58"/>
      <c r="P694" s="84"/>
      <c r="Q694" s="58"/>
      <c r="R694" s="84"/>
    </row>
    <row r="695">
      <c r="A695" s="58"/>
      <c r="B695" s="84"/>
      <c r="C695" s="58"/>
      <c r="D695" s="84"/>
      <c r="E695" s="58"/>
      <c r="F695" s="84"/>
      <c r="G695" s="58"/>
      <c r="H695" s="84"/>
      <c r="I695" s="58"/>
      <c r="J695" s="84"/>
      <c r="K695" s="58"/>
      <c r="L695" s="84"/>
      <c r="M695" s="58"/>
      <c r="N695" s="84"/>
      <c r="O695" s="58"/>
      <c r="P695" s="84"/>
      <c r="Q695" s="58"/>
      <c r="R695" s="84"/>
    </row>
    <row r="696">
      <c r="A696" s="58"/>
      <c r="B696" s="84"/>
      <c r="C696" s="58"/>
      <c r="D696" s="84"/>
      <c r="E696" s="58"/>
      <c r="F696" s="84"/>
      <c r="G696" s="58"/>
      <c r="H696" s="84"/>
      <c r="I696" s="58"/>
      <c r="J696" s="84"/>
      <c r="K696" s="58"/>
      <c r="L696" s="84"/>
      <c r="M696" s="58"/>
      <c r="N696" s="84"/>
      <c r="O696" s="58"/>
      <c r="P696" s="84"/>
      <c r="Q696" s="58"/>
      <c r="R696" s="84"/>
    </row>
    <row r="697">
      <c r="A697" s="58"/>
      <c r="B697" s="84"/>
      <c r="C697" s="58"/>
      <c r="D697" s="84"/>
      <c r="E697" s="58"/>
      <c r="F697" s="84"/>
      <c r="G697" s="58"/>
      <c r="H697" s="84"/>
      <c r="I697" s="58"/>
      <c r="J697" s="84"/>
      <c r="K697" s="58"/>
      <c r="L697" s="84"/>
      <c r="M697" s="58"/>
      <c r="N697" s="84"/>
      <c r="O697" s="58"/>
      <c r="P697" s="84"/>
      <c r="Q697" s="58"/>
      <c r="R697" s="84"/>
    </row>
    <row r="698">
      <c r="A698" s="58"/>
      <c r="B698" s="84"/>
      <c r="C698" s="58"/>
      <c r="D698" s="84"/>
      <c r="E698" s="58"/>
      <c r="F698" s="84"/>
      <c r="G698" s="58"/>
      <c r="H698" s="84"/>
      <c r="I698" s="58"/>
      <c r="J698" s="84"/>
      <c r="K698" s="58"/>
      <c r="L698" s="84"/>
      <c r="M698" s="58"/>
      <c r="N698" s="84"/>
      <c r="O698" s="58"/>
      <c r="P698" s="84"/>
      <c r="Q698" s="58"/>
      <c r="R698" s="84"/>
    </row>
    <row r="699">
      <c r="A699" s="58"/>
      <c r="B699" s="84"/>
      <c r="C699" s="58"/>
      <c r="D699" s="84"/>
      <c r="E699" s="58"/>
      <c r="F699" s="84"/>
      <c r="G699" s="58"/>
      <c r="H699" s="84"/>
      <c r="I699" s="58"/>
      <c r="J699" s="84"/>
      <c r="K699" s="58"/>
      <c r="L699" s="84"/>
      <c r="M699" s="58"/>
      <c r="N699" s="84"/>
      <c r="O699" s="58"/>
      <c r="P699" s="84"/>
      <c r="Q699" s="58"/>
      <c r="R699" s="84"/>
    </row>
    <row r="700">
      <c r="A700" s="58"/>
      <c r="B700" s="84"/>
      <c r="C700" s="58"/>
      <c r="D700" s="84"/>
      <c r="E700" s="58"/>
      <c r="F700" s="84"/>
      <c r="G700" s="58"/>
      <c r="H700" s="84"/>
      <c r="I700" s="58"/>
      <c r="J700" s="84"/>
      <c r="K700" s="58"/>
      <c r="L700" s="84"/>
      <c r="M700" s="58"/>
      <c r="N700" s="84"/>
      <c r="O700" s="58"/>
      <c r="P700" s="84"/>
      <c r="Q700" s="58"/>
      <c r="R700" s="84"/>
    </row>
    <row r="701">
      <c r="A701" s="58"/>
      <c r="B701" s="84"/>
      <c r="C701" s="58"/>
      <c r="D701" s="84"/>
      <c r="E701" s="58"/>
      <c r="F701" s="84"/>
      <c r="G701" s="58"/>
      <c r="H701" s="84"/>
      <c r="I701" s="58"/>
      <c r="J701" s="84"/>
      <c r="K701" s="58"/>
      <c r="L701" s="84"/>
      <c r="M701" s="58"/>
      <c r="N701" s="84"/>
      <c r="O701" s="58"/>
      <c r="P701" s="84"/>
      <c r="Q701" s="58"/>
      <c r="R701" s="84"/>
    </row>
    <row r="702">
      <c r="A702" s="58"/>
      <c r="B702" s="84"/>
      <c r="C702" s="58"/>
      <c r="D702" s="84"/>
      <c r="E702" s="58"/>
      <c r="F702" s="84"/>
      <c r="G702" s="58"/>
      <c r="H702" s="84"/>
      <c r="I702" s="58"/>
      <c r="J702" s="84"/>
      <c r="K702" s="58"/>
      <c r="L702" s="84"/>
      <c r="M702" s="58"/>
      <c r="N702" s="84"/>
      <c r="O702" s="58"/>
      <c r="P702" s="84"/>
      <c r="Q702" s="58"/>
      <c r="R702" s="84"/>
    </row>
    <row r="703">
      <c r="A703" s="58"/>
      <c r="B703" s="84"/>
      <c r="C703" s="58"/>
      <c r="D703" s="84"/>
      <c r="E703" s="58"/>
      <c r="F703" s="84"/>
      <c r="G703" s="58"/>
      <c r="H703" s="84"/>
      <c r="I703" s="58"/>
      <c r="J703" s="84"/>
      <c r="K703" s="58"/>
      <c r="L703" s="84"/>
      <c r="M703" s="58"/>
      <c r="N703" s="84"/>
      <c r="O703" s="58"/>
      <c r="P703" s="84"/>
      <c r="Q703" s="58"/>
      <c r="R703" s="84"/>
    </row>
    <row r="704">
      <c r="A704" s="58"/>
      <c r="B704" s="84"/>
      <c r="C704" s="58"/>
      <c r="D704" s="84"/>
      <c r="E704" s="58"/>
      <c r="F704" s="84"/>
      <c r="G704" s="58"/>
      <c r="H704" s="84"/>
      <c r="I704" s="58"/>
      <c r="J704" s="84"/>
      <c r="K704" s="58"/>
      <c r="L704" s="84"/>
      <c r="M704" s="58"/>
      <c r="N704" s="84"/>
      <c r="O704" s="58"/>
      <c r="P704" s="84"/>
      <c r="Q704" s="58"/>
      <c r="R704" s="84"/>
    </row>
    <row r="705">
      <c r="A705" s="58"/>
      <c r="B705" s="84"/>
      <c r="C705" s="58"/>
      <c r="D705" s="84"/>
      <c r="E705" s="58"/>
      <c r="F705" s="84"/>
      <c r="G705" s="58"/>
      <c r="H705" s="84"/>
      <c r="I705" s="58"/>
      <c r="J705" s="84"/>
      <c r="K705" s="58"/>
      <c r="L705" s="84"/>
      <c r="M705" s="58"/>
      <c r="N705" s="84"/>
      <c r="O705" s="58"/>
      <c r="P705" s="84"/>
      <c r="Q705" s="58"/>
      <c r="R705" s="84"/>
    </row>
    <row r="706">
      <c r="A706" s="58"/>
      <c r="B706" s="84"/>
      <c r="C706" s="58"/>
      <c r="D706" s="84"/>
      <c r="E706" s="58"/>
      <c r="F706" s="84"/>
      <c r="G706" s="58"/>
      <c r="H706" s="84"/>
      <c r="I706" s="58"/>
      <c r="J706" s="84"/>
      <c r="K706" s="58"/>
      <c r="L706" s="84"/>
      <c r="M706" s="58"/>
      <c r="N706" s="84"/>
      <c r="O706" s="58"/>
      <c r="P706" s="84"/>
      <c r="Q706" s="58"/>
      <c r="R706" s="84"/>
    </row>
    <row r="707">
      <c r="A707" s="58"/>
      <c r="B707" s="84"/>
      <c r="C707" s="58"/>
      <c r="D707" s="84"/>
      <c r="E707" s="58"/>
      <c r="F707" s="84"/>
      <c r="G707" s="58"/>
      <c r="H707" s="84"/>
      <c r="I707" s="58"/>
      <c r="J707" s="84"/>
      <c r="K707" s="58"/>
      <c r="L707" s="84"/>
      <c r="M707" s="58"/>
      <c r="N707" s="84"/>
      <c r="O707" s="58"/>
      <c r="P707" s="84"/>
      <c r="Q707" s="58"/>
      <c r="R707" s="84"/>
    </row>
    <row r="708">
      <c r="A708" s="58"/>
      <c r="B708" s="84"/>
      <c r="C708" s="58"/>
      <c r="D708" s="84"/>
      <c r="E708" s="58"/>
      <c r="F708" s="84"/>
      <c r="G708" s="58"/>
      <c r="H708" s="84"/>
      <c r="I708" s="58"/>
      <c r="J708" s="84"/>
      <c r="K708" s="58"/>
      <c r="L708" s="84"/>
      <c r="M708" s="58"/>
      <c r="N708" s="84"/>
      <c r="O708" s="58"/>
      <c r="P708" s="84"/>
      <c r="Q708" s="58"/>
      <c r="R708" s="84"/>
    </row>
    <row r="709">
      <c r="A709" s="58"/>
      <c r="B709" s="84"/>
      <c r="C709" s="58"/>
      <c r="D709" s="84"/>
      <c r="E709" s="58"/>
      <c r="F709" s="84"/>
      <c r="G709" s="58"/>
      <c r="H709" s="84"/>
      <c r="I709" s="58"/>
      <c r="J709" s="84"/>
      <c r="K709" s="58"/>
      <c r="L709" s="84"/>
      <c r="M709" s="58"/>
      <c r="N709" s="84"/>
      <c r="O709" s="58"/>
      <c r="P709" s="84"/>
      <c r="Q709" s="58"/>
      <c r="R709" s="84"/>
    </row>
    <row r="710">
      <c r="A710" s="58"/>
      <c r="B710" s="84"/>
      <c r="C710" s="58"/>
      <c r="D710" s="84"/>
      <c r="E710" s="58"/>
      <c r="F710" s="84"/>
      <c r="G710" s="58"/>
      <c r="H710" s="84"/>
      <c r="I710" s="58"/>
      <c r="J710" s="84"/>
      <c r="K710" s="58"/>
      <c r="L710" s="84"/>
      <c r="M710" s="58"/>
      <c r="N710" s="84"/>
      <c r="O710" s="58"/>
      <c r="P710" s="84"/>
      <c r="Q710" s="58"/>
      <c r="R710" s="84"/>
    </row>
    <row r="711">
      <c r="A711" s="58"/>
      <c r="B711" s="84"/>
      <c r="C711" s="58"/>
      <c r="D711" s="84"/>
      <c r="E711" s="58"/>
      <c r="F711" s="84"/>
      <c r="G711" s="58"/>
      <c r="H711" s="84"/>
      <c r="I711" s="58"/>
      <c r="J711" s="84"/>
      <c r="K711" s="58"/>
      <c r="L711" s="84"/>
      <c r="M711" s="58"/>
      <c r="N711" s="84"/>
      <c r="O711" s="58"/>
      <c r="P711" s="84"/>
      <c r="Q711" s="58"/>
      <c r="R711" s="84"/>
    </row>
    <row r="712">
      <c r="A712" s="58"/>
      <c r="B712" s="84"/>
      <c r="C712" s="58"/>
      <c r="D712" s="84"/>
      <c r="E712" s="58"/>
      <c r="F712" s="84"/>
      <c r="G712" s="58"/>
      <c r="H712" s="84"/>
      <c r="I712" s="58"/>
      <c r="J712" s="84"/>
      <c r="K712" s="58"/>
      <c r="L712" s="84"/>
      <c r="M712" s="58"/>
      <c r="N712" s="84"/>
      <c r="O712" s="58"/>
      <c r="P712" s="84"/>
      <c r="Q712" s="58"/>
      <c r="R712" s="84"/>
    </row>
    <row r="713">
      <c r="A713" s="58"/>
      <c r="B713" s="84"/>
      <c r="C713" s="58"/>
      <c r="D713" s="84"/>
      <c r="E713" s="58"/>
      <c r="F713" s="84"/>
      <c r="G713" s="58"/>
      <c r="H713" s="84"/>
      <c r="I713" s="58"/>
      <c r="J713" s="84"/>
      <c r="K713" s="58"/>
      <c r="L713" s="84"/>
      <c r="M713" s="58"/>
      <c r="N713" s="84"/>
      <c r="O713" s="58"/>
      <c r="P713" s="84"/>
      <c r="Q713" s="58"/>
      <c r="R713" s="84"/>
    </row>
    <row r="714">
      <c r="A714" s="58"/>
      <c r="B714" s="84"/>
      <c r="C714" s="58"/>
      <c r="D714" s="84"/>
      <c r="E714" s="58"/>
      <c r="F714" s="84"/>
      <c r="G714" s="58"/>
      <c r="H714" s="84"/>
      <c r="I714" s="58"/>
      <c r="J714" s="84"/>
      <c r="K714" s="58"/>
      <c r="L714" s="84"/>
      <c r="M714" s="58"/>
      <c r="N714" s="84"/>
      <c r="O714" s="58"/>
      <c r="P714" s="84"/>
      <c r="Q714" s="58"/>
      <c r="R714" s="84"/>
    </row>
    <row r="715">
      <c r="A715" s="58"/>
      <c r="B715" s="84"/>
      <c r="C715" s="58"/>
      <c r="D715" s="84"/>
      <c r="E715" s="58"/>
      <c r="F715" s="84"/>
      <c r="G715" s="58"/>
      <c r="H715" s="84"/>
      <c r="I715" s="58"/>
      <c r="J715" s="84"/>
      <c r="K715" s="58"/>
      <c r="L715" s="84"/>
      <c r="M715" s="58"/>
      <c r="N715" s="84"/>
      <c r="O715" s="58"/>
      <c r="P715" s="84"/>
      <c r="Q715" s="58"/>
      <c r="R715" s="84"/>
    </row>
    <row r="716">
      <c r="A716" s="58"/>
      <c r="B716" s="84"/>
      <c r="C716" s="58"/>
      <c r="D716" s="84"/>
      <c r="E716" s="58"/>
      <c r="F716" s="84"/>
      <c r="G716" s="58"/>
      <c r="H716" s="84"/>
      <c r="I716" s="58"/>
      <c r="J716" s="84"/>
      <c r="K716" s="58"/>
      <c r="L716" s="84"/>
      <c r="M716" s="58"/>
      <c r="N716" s="84"/>
      <c r="O716" s="58"/>
      <c r="P716" s="84"/>
      <c r="Q716" s="58"/>
      <c r="R716" s="84"/>
    </row>
    <row r="717">
      <c r="A717" s="58"/>
      <c r="B717" s="84"/>
      <c r="C717" s="58"/>
      <c r="D717" s="84"/>
      <c r="E717" s="58"/>
      <c r="F717" s="84"/>
      <c r="G717" s="58"/>
      <c r="H717" s="84"/>
      <c r="I717" s="58"/>
      <c r="J717" s="84"/>
      <c r="K717" s="58"/>
      <c r="L717" s="84"/>
      <c r="M717" s="58"/>
      <c r="N717" s="84"/>
      <c r="O717" s="58"/>
      <c r="P717" s="84"/>
      <c r="Q717" s="58"/>
      <c r="R717" s="84"/>
    </row>
    <row r="718">
      <c r="A718" s="58"/>
      <c r="B718" s="84"/>
      <c r="C718" s="58"/>
      <c r="D718" s="84"/>
      <c r="E718" s="58"/>
      <c r="F718" s="84"/>
      <c r="G718" s="58"/>
      <c r="H718" s="84"/>
      <c r="I718" s="58"/>
      <c r="J718" s="84"/>
      <c r="K718" s="58"/>
      <c r="L718" s="84"/>
      <c r="M718" s="58"/>
      <c r="N718" s="84"/>
      <c r="O718" s="58"/>
      <c r="P718" s="84"/>
      <c r="Q718" s="58"/>
      <c r="R718" s="84"/>
    </row>
    <row r="719">
      <c r="A719" s="58"/>
      <c r="B719" s="84"/>
      <c r="C719" s="58"/>
      <c r="D719" s="84"/>
      <c r="E719" s="58"/>
      <c r="F719" s="84"/>
      <c r="G719" s="58"/>
      <c r="H719" s="84"/>
      <c r="I719" s="58"/>
      <c r="J719" s="84"/>
      <c r="K719" s="58"/>
      <c r="L719" s="84"/>
      <c r="M719" s="58"/>
      <c r="N719" s="84"/>
      <c r="O719" s="58"/>
      <c r="P719" s="84"/>
      <c r="Q719" s="58"/>
      <c r="R719" s="84"/>
    </row>
    <row r="720">
      <c r="A720" s="58"/>
      <c r="B720" s="84"/>
      <c r="C720" s="58"/>
      <c r="D720" s="84"/>
      <c r="E720" s="58"/>
      <c r="F720" s="84"/>
      <c r="G720" s="58"/>
      <c r="H720" s="84"/>
      <c r="I720" s="58"/>
      <c r="J720" s="84"/>
      <c r="K720" s="58"/>
      <c r="L720" s="84"/>
      <c r="M720" s="58"/>
      <c r="N720" s="84"/>
      <c r="O720" s="58"/>
      <c r="P720" s="84"/>
      <c r="Q720" s="58"/>
      <c r="R720" s="84"/>
    </row>
    <row r="721">
      <c r="A721" s="58"/>
      <c r="B721" s="84"/>
      <c r="C721" s="58"/>
      <c r="D721" s="84"/>
      <c r="E721" s="58"/>
      <c r="F721" s="84"/>
      <c r="G721" s="58"/>
      <c r="H721" s="84"/>
      <c r="I721" s="58"/>
      <c r="J721" s="84"/>
      <c r="K721" s="58"/>
      <c r="L721" s="84"/>
      <c r="M721" s="58"/>
      <c r="N721" s="84"/>
      <c r="O721" s="58"/>
      <c r="P721" s="84"/>
      <c r="Q721" s="58"/>
      <c r="R721" s="84"/>
    </row>
    <row r="722">
      <c r="A722" s="58"/>
      <c r="B722" s="84"/>
      <c r="C722" s="58"/>
      <c r="D722" s="84"/>
      <c r="E722" s="58"/>
      <c r="F722" s="84"/>
      <c r="G722" s="58"/>
      <c r="H722" s="84"/>
      <c r="I722" s="58"/>
      <c r="J722" s="84"/>
      <c r="K722" s="58"/>
      <c r="L722" s="84"/>
      <c r="M722" s="58"/>
      <c r="N722" s="84"/>
      <c r="O722" s="58"/>
      <c r="P722" s="84"/>
      <c r="Q722" s="58"/>
      <c r="R722" s="84"/>
    </row>
    <row r="723">
      <c r="A723" s="58"/>
      <c r="B723" s="84"/>
      <c r="C723" s="58"/>
      <c r="D723" s="84"/>
      <c r="E723" s="58"/>
      <c r="F723" s="84"/>
      <c r="G723" s="58"/>
      <c r="H723" s="84"/>
      <c r="I723" s="58"/>
      <c r="J723" s="84"/>
      <c r="K723" s="58"/>
      <c r="L723" s="84"/>
      <c r="M723" s="58"/>
      <c r="N723" s="84"/>
      <c r="O723" s="58"/>
      <c r="P723" s="84"/>
      <c r="Q723" s="58"/>
      <c r="R723" s="84"/>
    </row>
    <row r="724">
      <c r="A724" s="58"/>
      <c r="B724" s="84"/>
      <c r="C724" s="58"/>
      <c r="D724" s="84"/>
      <c r="E724" s="58"/>
      <c r="F724" s="84"/>
      <c r="G724" s="58"/>
      <c r="H724" s="84"/>
      <c r="I724" s="58"/>
      <c r="J724" s="84"/>
      <c r="K724" s="58"/>
      <c r="L724" s="84"/>
      <c r="M724" s="58"/>
      <c r="N724" s="84"/>
      <c r="O724" s="58"/>
      <c r="P724" s="84"/>
      <c r="Q724" s="58"/>
      <c r="R724" s="84"/>
    </row>
    <row r="725">
      <c r="A725" s="58"/>
      <c r="B725" s="84"/>
      <c r="C725" s="58"/>
      <c r="D725" s="84"/>
      <c r="E725" s="58"/>
      <c r="F725" s="84"/>
      <c r="G725" s="58"/>
      <c r="H725" s="84"/>
      <c r="I725" s="58"/>
      <c r="J725" s="84"/>
      <c r="K725" s="58"/>
      <c r="L725" s="84"/>
      <c r="M725" s="58"/>
      <c r="N725" s="84"/>
      <c r="O725" s="58"/>
      <c r="P725" s="84"/>
      <c r="Q725" s="58"/>
      <c r="R725" s="84"/>
    </row>
    <row r="726">
      <c r="A726" s="58"/>
      <c r="B726" s="84"/>
      <c r="C726" s="58"/>
      <c r="D726" s="84"/>
      <c r="E726" s="58"/>
      <c r="F726" s="84"/>
      <c r="G726" s="58"/>
      <c r="H726" s="84"/>
      <c r="I726" s="58"/>
      <c r="J726" s="84"/>
      <c r="K726" s="58"/>
      <c r="L726" s="84"/>
      <c r="M726" s="58"/>
      <c r="N726" s="84"/>
      <c r="O726" s="58"/>
      <c r="P726" s="84"/>
      <c r="Q726" s="58"/>
      <c r="R726" s="84"/>
    </row>
    <row r="727">
      <c r="A727" s="58"/>
      <c r="B727" s="84"/>
      <c r="C727" s="58"/>
      <c r="D727" s="84"/>
      <c r="E727" s="58"/>
      <c r="F727" s="84"/>
      <c r="G727" s="58"/>
      <c r="H727" s="84"/>
      <c r="I727" s="58"/>
      <c r="J727" s="84"/>
      <c r="K727" s="58"/>
      <c r="L727" s="84"/>
      <c r="M727" s="58"/>
      <c r="N727" s="84"/>
      <c r="O727" s="58"/>
      <c r="P727" s="84"/>
      <c r="Q727" s="58"/>
      <c r="R727" s="84"/>
    </row>
    <row r="728">
      <c r="A728" s="58"/>
      <c r="B728" s="84"/>
      <c r="C728" s="58"/>
      <c r="D728" s="84"/>
      <c r="E728" s="58"/>
      <c r="F728" s="84"/>
      <c r="G728" s="58"/>
      <c r="H728" s="84"/>
      <c r="I728" s="58"/>
      <c r="J728" s="84"/>
      <c r="K728" s="58"/>
      <c r="L728" s="84"/>
      <c r="M728" s="58"/>
      <c r="N728" s="84"/>
      <c r="O728" s="58"/>
      <c r="P728" s="84"/>
      <c r="Q728" s="58"/>
      <c r="R728" s="84"/>
    </row>
    <row r="729">
      <c r="A729" s="58"/>
      <c r="B729" s="84"/>
      <c r="C729" s="58"/>
      <c r="D729" s="84"/>
      <c r="E729" s="58"/>
      <c r="F729" s="84"/>
      <c r="G729" s="58"/>
      <c r="H729" s="84"/>
      <c r="I729" s="58"/>
      <c r="J729" s="84"/>
      <c r="K729" s="58"/>
      <c r="L729" s="84"/>
      <c r="M729" s="58"/>
      <c r="N729" s="84"/>
      <c r="O729" s="58"/>
      <c r="P729" s="84"/>
      <c r="Q729" s="58"/>
      <c r="R729" s="84"/>
    </row>
    <row r="730">
      <c r="A730" s="58"/>
      <c r="B730" s="84"/>
      <c r="C730" s="58"/>
      <c r="D730" s="84"/>
      <c r="E730" s="58"/>
      <c r="F730" s="84"/>
      <c r="G730" s="58"/>
      <c r="H730" s="84"/>
      <c r="I730" s="58"/>
      <c r="J730" s="84"/>
      <c r="K730" s="58"/>
      <c r="L730" s="84"/>
      <c r="M730" s="58"/>
      <c r="N730" s="84"/>
      <c r="O730" s="58"/>
      <c r="P730" s="84"/>
      <c r="Q730" s="58"/>
      <c r="R730" s="84"/>
    </row>
    <row r="731">
      <c r="A731" s="58"/>
      <c r="B731" s="84"/>
      <c r="C731" s="58"/>
      <c r="D731" s="84"/>
      <c r="E731" s="58"/>
      <c r="F731" s="84"/>
      <c r="G731" s="58"/>
      <c r="H731" s="84"/>
      <c r="I731" s="58"/>
      <c r="J731" s="84"/>
      <c r="K731" s="58"/>
      <c r="L731" s="84"/>
      <c r="M731" s="58"/>
      <c r="N731" s="84"/>
      <c r="O731" s="58"/>
      <c r="P731" s="84"/>
      <c r="Q731" s="58"/>
      <c r="R731" s="84"/>
    </row>
    <row r="732">
      <c r="A732" s="58"/>
      <c r="B732" s="84"/>
      <c r="C732" s="58"/>
      <c r="D732" s="84"/>
      <c r="E732" s="58"/>
      <c r="F732" s="84"/>
      <c r="G732" s="58"/>
      <c r="H732" s="84"/>
      <c r="I732" s="58"/>
      <c r="J732" s="84"/>
      <c r="K732" s="58"/>
      <c r="L732" s="84"/>
      <c r="M732" s="58"/>
      <c r="N732" s="84"/>
      <c r="O732" s="58"/>
      <c r="P732" s="84"/>
      <c r="Q732" s="58"/>
      <c r="R732" s="84"/>
    </row>
    <row r="733">
      <c r="A733" s="58"/>
      <c r="B733" s="84"/>
      <c r="C733" s="58"/>
      <c r="D733" s="84"/>
      <c r="E733" s="58"/>
      <c r="F733" s="84"/>
      <c r="G733" s="58"/>
      <c r="H733" s="84"/>
      <c r="I733" s="58"/>
      <c r="J733" s="84"/>
      <c r="K733" s="58"/>
      <c r="L733" s="84"/>
      <c r="M733" s="58"/>
      <c r="N733" s="84"/>
      <c r="O733" s="58"/>
      <c r="P733" s="84"/>
      <c r="Q733" s="58"/>
      <c r="R733" s="84"/>
    </row>
    <row r="734">
      <c r="A734" s="58"/>
      <c r="B734" s="84"/>
      <c r="C734" s="58"/>
      <c r="D734" s="84"/>
      <c r="E734" s="58"/>
      <c r="F734" s="84"/>
      <c r="G734" s="58"/>
      <c r="H734" s="84"/>
      <c r="I734" s="58"/>
      <c r="J734" s="84"/>
      <c r="K734" s="58"/>
      <c r="L734" s="84"/>
      <c r="M734" s="58"/>
      <c r="N734" s="84"/>
      <c r="O734" s="58"/>
      <c r="P734" s="84"/>
      <c r="Q734" s="58"/>
      <c r="R734" s="84"/>
    </row>
    <row r="735">
      <c r="A735" s="58"/>
      <c r="B735" s="84"/>
      <c r="C735" s="58"/>
      <c r="D735" s="84"/>
      <c r="E735" s="58"/>
      <c r="F735" s="84"/>
      <c r="G735" s="58"/>
      <c r="H735" s="84"/>
      <c r="I735" s="58"/>
      <c r="J735" s="84"/>
      <c r="K735" s="58"/>
      <c r="L735" s="84"/>
      <c r="M735" s="58"/>
      <c r="N735" s="84"/>
      <c r="O735" s="58"/>
      <c r="P735" s="84"/>
      <c r="Q735" s="58"/>
      <c r="R735" s="84"/>
    </row>
    <row r="736">
      <c r="A736" s="58"/>
      <c r="B736" s="84"/>
      <c r="C736" s="58"/>
      <c r="D736" s="84"/>
      <c r="E736" s="58"/>
      <c r="F736" s="84"/>
      <c r="G736" s="58"/>
      <c r="H736" s="84"/>
      <c r="I736" s="58"/>
      <c r="J736" s="84"/>
      <c r="K736" s="58"/>
      <c r="L736" s="84"/>
      <c r="M736" s="58"/>
      <c r="N736" s="84"/>
      <c r="O736" s="58"/>
      <c r="P736" s="84"/>
      <c r="Q736" s="58"/>
      <c r="R736" s="84"/>
    </row>
    <row r="737">
      <c r="A737" s="58"/>
      <c r="B737" s="84"/>
      <c r="C737" s="58"/>
      <c r="D737" s="84"/>
      <c r="E737" s="58"/>
      <c r="F737" s="84"/>
      <c r="G737" s="58"/>
      <c r="H737" s="84"/>
      <c r="I737" s="58"/>
      <c r="J737" s="84"/>
      <c r="K737" s="58"/>
      <c r="L737" s="84"/>
      <c r="M737" s="58"/>
      <c r="N737" s="84"/>
      <c r="O737" s="58"/>
      <c r="P737" s="84"/>
      <c r="Q737" s="58"/>
      <c r="R737" s="84"/>
    </row>
    <row r="738">
      <c r="A738" s="58"/>
      <c r="B738" s="84"/>
      <c r="C738" s="58"/>
      <c r="D738" s="84"/>
      <c r="E738" s="58"/>
      <c r="F738" s="84"/>
      <c r="G738" s="58"/>
      <c r="H738" s="84"/>
      <c r="I738" s="58"/>
      <c r="J738" s="84"/>
      <c r="K738" s="58"/>
      <c r="L738" s="84"/>
      <c r="M738" s="58"/>
      <c r="N738" s="84"/>
      <c r="O738" s="58"/>
      <c r="P738" s="84"/>
      <c r="Q738" s="58"/>
      <c r="R738" s="84"/>
    </row>
    <row r="739">
      <c r="A739" s="58"/>
      <c r="B739" s="84"/>
      <c r="C739" s="58"/>
      <c r="D739" s="84"/>
      <c r="E739" s="58"/>
      <c r="F739" s="84"/>
      <c r="G739" s="58"/>
      <c r="H739" s="84"/>
      <c r="I739" s="58"/>
      <c r="J739" s="84"/>
      <c r="K739" s="58"/>
      <c r="L739" s="84"/>
      <c r="M739" s="58"/>
      <c r="N739" s="84"/>
      <c r="O739" s="58"/>
      <c r="P739" s="84"/>
      <c r="Q739" s="58"/>
      <c r="R739" s="84"/>
    </row>
    <row r="740">
      <c r="A740" s="58"/>
      <c r="B740" s="84"/>
      <c r="C740" s="58"/>
      <c r="D740" s="84"/>
      <c r="E740" s="58"/>
      <c r="F740" s="84"/>
      <c r="G740" s="58"/>
      <c r="H740" s="84"/>
      <c r="I740" s="58"/>
      <c r="J740" s="84"/>
      <c r="K740" s="58"/>
      <c r="L740" s="84"/>
      <c r="M740" s="58"/>
      <c r="N740" s="84"/>
      <c r="O740" s="58"/>
      <c r="P740" s="84"/>
      <c r="Q740" s="58"/>
      <c r="R740" s="84"/>
    </row>
    <row r="741">
      <c r="A741" s="58"/>
      <c r="B741" s="84"/>
      <c r="C741" s="58"/>
      <c r="D741" s="84"/>
      <c r="E741" s="58"/>
      <c r="F741" s="84"/>
      <c r="G741" s="58"/>
      <c r="H741" s="84"/>
      <c r="I741" s="58"/>
      <c r="J741" s="84"/>
      <c r="K741" s="58"/>
      <c r="L741" s="84"/>
      <c r="M741" s="58"/>
      <c r="N741" s="84"/>
      <c r="O741" s="58"/>
      <c r="P741" s="84"/>
      <c r="Q741" s="58"/>
      <c r="R741" s="84"/>
    </row>
    <row r="742">
      <c r="A742" s="58"/>
      <c r="B742" s="84"/>
      <c r="C742" s="58"/>
      <c r="D742" s="84"/>
      <c r="E742" s="58"/>
      <c r="F742" s="84"/>
      <c r="G742" s="58"/>
      <c r="H742" s="84"/>
      <c r="I742" s="58"/>
      <c r="J742" s="84"/>
      <c r="K742" s="58"/>
      <c r="L742" s="84"/>
      <c r="M742" s="58"/>
      <c r="N742" s="84"/>
      <c r="O742" s="58"/>
      <c r="P742" s="84"/>
      <c r="Q742" s="58"/>
      <c r="R742" s="84"/>
    </row>
    <row r="743">
      <c r="A743" s="58"/>
      <c r="B743" s="84"/>
      <c r="C743" s="58"/>
      <c r="D743" s="84"/>
      <c r="E743" s="58"/>
      <c r="F743" s="84"/>
      <c r="G743" s="58"/>
      <c r="H743" s="84"/>
      <c r="I743" s="58"/>
      <c r="J743" s="84"/>
      <c r="K743" s="58"/>
      <c r="L743" s="84"/>
      <c r="M743" s="58"/>
      <c r="N743" s="84"/>
      <c r="O743" s="58"/>
      <c r="P743" s="84"/>
      <c r="Q743" s="58"/>
      <c r="R743" s="84"/>
    </row>
    <row r="744">
      <c r="A744" s="58"/>
      <c r="B744" s="84"/>
      <c r="C744" s="58"/>
      <c r="D744" s="84"/>
      <c r="E744" s="58"/>
      <c r="F744" s="84"/>
      <c r="G744" s="58"/>
      <c r="H744" s="84"/>
      <c r="I744" s="58"/>
      <c r="J744" s="84"/>
      <c r="K744" s="58"/>
      <c r="L744" s="84"/>
      <c r="M744" s="58"/>
      <c r="N744" s="84"/>
      <c r="O744" s="58"/>
      <c r="P744" s="84"/>
      <c r="Q744" s="58"/>
      <c r="R744" s="84"/>
    </row>
    <row r="745">
      <c r="A745" s="58"/>
      <c r="B745" s="84"/>
      <c r="C745" s="58"/>
      <c r="D745" s="84"/>
      <c r="E745" s="58"/>
      <c r="F745" s="84"/>
      <c r="G745" s="58"/>
      <c r="H745" s="84"/>
      <c r="I745" s="58"/>
      <c r="J745" s="84"/>
      <c r="K745" s="58"/>
      <c r="L745" s="84"/>
      <c r="M745" s="58"/>
      <c r="N745" s="84"/>
      <c r="O745" s="58"/>
      <c r="P745" s="84"/>
      <c r="Q745" s="58"/>
      <c r="R745" s="84"/>
    </row>
    <row r="746">
      <c r="A746" s="58"/>
      <c r="B746" s="84"/>
      <c r="C746" s="58"/>
      <c r="D746" s="84"/>
      <c r="E746" s="58"/>
      <c r="F746" s="84"/>
      <c r="G746" s="58"/>
      <c r="H746" s="84"/>
      <c r="I746" s="58"/>
      <c r="J746" s="84"/>
      <c r="K746" s="58"/>
      <c r="L746" s="84"/>
      <c r="M746" s="58"/>
      <c r="N746" s="84"/>
      <c r="O746" s="58"/>
      <c r="P746" s="84"/>
      <c r="Q746" s="58"/>
      <c r="R746" s="84"/>
    </row>
    <row r="747">
      <c r="A747" s="58"/>
      <c r="B747" s="84"/>
      <c r="C747" s="58"/>
      <c r="D747" s="84"/>
      <c r="E747" s="58"/>
      <c r="F747" s="84"/>
      <c r="G747" s="58"/>
      <c r="H747" s="84"/>
      <c r="I747" s="58"/>
      <c r="J747" s="84"/>
      <c r="K747" s="58"/>
      <c r="L747" s="84"/>
      <c r="M747" s="58"/>
      <c r="N747" s="84"/>
      <c r="O747" s="58"/>
      <c r="P747" s="84"/>
      <c r="Q747" s="58"/>
      <c r="R747" s="84"/>
    </row>
    <row r="748">
      <c r="A748" s="58"/>
      <c r="B748" s="84"/>
      <c r="C748" s="58"/>
      <c r="D748" s="84"/>
      <c r="E748" s="58"/>
      <c r="F748" s="84"/>
      <c r="G748" s="58"/>
      <c r="H748" s="84"/>
      <c r="I748" s="58"/>
      <c r="J748" s="84"/>
      <c r="K748" s="58"/>
      <c r="L748" s="84"/>
      <c r="M748" s="58"/>
      <c r="N748" s="84"/>
      <c r="O748" s="58"/>
      <c r="P748" s="84"/>
      <c r="Q748" s="58"/>
      <c r="R748" s="84"/>
    </row>
    <row r="749">
      <c r="A749" s="58"/>
      <c r="B749" s="84"/>
      <c r="C749" s="58"/>
      <c r="D749" s="84"/>
      <c r="E749" s="58"/>
      <c r="F749" s="84"/>
      <c r="G749" s="58"/>
      <c r="H749" s="84"/>
      <c r="I749" s="58"/>
      <c r="J749" s="84"/>
      <c r="K749" s="58"/>
      <c r="L749" s="84"/>
      <c r="M749" s="58"/>
      <c r="N749" s="84"/>
      <c r="O749" s="58"/>
      <c r="P749" s="84"/>
      <c r="Q749" s="58"/>
      <c r="R749" s="84"/>
    </row>
    <row r="750">
      <c r="A750" s="58"/>
      <c r="B750" s="84"/>
      <c r="C750" s="58"/>
      <c r="D750" s="84"/>
      <c r="E750" s="58"/>
      <c r="F750" s="84"/>
      <c r="G750" s="58"/>
      <c r="H750" s="84"/>
      <c r="I750" s="58"/>
      <c r="J750" s="84"/>
      <c r="K750" s="58"/>
      <c r="L750" s="84"/>
      <c r="M750" s="58"/>
      <c r="N750" s="84"/>
      <c r="O750" s="58"/>
      <c r="P750" s="84"/>
      <c r="Q750" s="58"/>
      <c r="R750" s="84"/>
    </row>
    <row r="751">
      <c r="A751" s="58"/>
      <c r="B751" s="84"/>
      <c r="C751" s="58"/>
      <c r="D751" s="84"/>
      <c r="E751" s="58"/>
      <c r="F751" s="84"/>
      <c r="G751" s="58"/>
      <c r="H751" s="84"/>
      <c r="I751" s="58"/>
      <c r="J751" s="84"/>
      <c r="K751" s="58"/>
      <c r="L751" s="84"/>
      <c r="M751" s="58"/>
      <c r="N751" s="84"/>
      <c r="O751" s="58"/>
      <c r="P751" s="84"/>
      <c r="Q751" s="58"/>
      <c r="R751" s="84"/>
    </row>
    <row r="752">
      <c r="A752" s="58"/>
      <c r="B752" s="84"/>
      <c r="C752" s="58"/>
      <c r="D752" s="84"/>
      <c r="E752" s="58"/>
      <c r="F752" s="84"/>
      <c r="G752" s="58"/>
      <c r="H752" s="84"/>
      <c r="I752" s="58"/>
      <c r="J752" s="84"/>
      <c r="K752" s="58"/>
      <c r="L752" s="84"/>
      <c r="M752" s="58"/>
      <c r="N752" s="84"/>
      <c r="O752" s="58"/>
      <c r="P752" s="84"/>
      <c r="Q752" s="58"/>
      <c r="R752" s="84"/>
    </row>
    <row r="753">
      <c r="A753" s="58"/>
      <c r="B753" s="84"/>
      <c r="C753" s="58"/>
      <c r="D753" s="84"/>
      <c r="E753" s="58"/>
      <c r="F753" s="84"/>
      <c r="G753" s="58"/>
      <c r="H753" s="84"/>
      <c r="I753" s="58"/>
      <c r="J753" s="84"/>
      <c r="K753" s="58"/>
      <c r="L753" s="84"/>
      <c r="M753" s="58"/>
      <c r="N753" s="84"/>
      <c r="O753" s="58"/>
      <c r="P753" s="84"/>
      <c r="Q753" s="58"/>
      <c r="R753" s="84"/>
    </row>
    <row r="754">
      <c r="A754" s="58"/>
      <c r="B754" s="84"/>
      <c r="C754" s="58"/>
      <c r="D754" s="84"/>
      <c r="E754" s="58"/>
      <c r="F754" s="84"/>
      <c r="G754" s="58"/>
      <c r="H754" s="84"/>
      <c r="I754" s="58"/>
      <c r="J754" s="84"/>
      <c r="K754" s="58"/>
      <c r="L754" s="84"/>
      <c r="M754" s="58"/>
      <c r="N754" s="84"/>
      <c r="O754" s="58"/>
      <c r="P754" s="84"/>
      <c r="Q754" s="58"/>
      <c r="R754" s="84"/>
    </row>
    <row r="755">
      <c r="A755" s="58"/>
      <c r="B755" s="84"/>
      <c r="C755" s="58"/>
      <c r="D755" s="84"/>
      <c r="E755" s="58"/>
      <c r="F755" s="84"/>
      <c r="G755" s="58"/>
      <c r="H755" s="84"/>
      <c r="I755" s="58"/>
      <c r="J755" s="84"/>
      <c r="K755" s="58"/>
      <c r="L755" s="84"/>
      <c r="M755" s="58"/>
      <c r="N755" s="84"/>
      <c r="O755" s="58"/>
      <c r="P755" s="84"/>
      <c r="Q755" s="58"/>
      <c r="R755" s="84"/>
    </row>
    <row r="756">
      <c r="A756" s="58"/>
      <c r="B756" s="84"/>
      <c r="C756" s="58"/>
      <c r="D756" s="84"/>
      <c r="E756" s="58"/>
      <c r="F756" s="84"/>
      <c r="G756" s="58"/>
      <c r="H756" s="84"/>
      <c r="I756" s="58"/>
      <c r="J756" s="84"/>
      <c r="K756" s="58"/>
      <c r="L756" s="84"/>
      <c r="M756" s="58"/>
      <c r="N756" s="84"/>
      <c r="O756" s="58"/>
      <c r="P756" s="84"/>
      <c r="Q756" s="58"/>
      <c r="R756" s="84"/>
    </row>
    <row r="757">
      <c r="A757" s="58"/>
      <c r="B757" s="84"/>
      <c r="C757" s="58"/>
      <c r="D757" s="84"/>
      <c r="E757" s="58"/>
      <c r="F757" s="84"/>
      <c r="G757" s="58"/>
      <c r="H757" s="84"/>
      <c r="I757" s="58"/>
      <c r="J757" s="84"/>
      <c r="K757" s="58"/>
      <c r="L757" s="84"/>
      <c r="M757" s="58"/>
      <c r="N757" s="84"/>
      <c r="O757" s="58"/>
      <c r="P757" s="84"/>
      <c r="Q757" s="58"/>
      <c r="R757" s="84"/>
    </row>
    <row r="758">
      <c r="A758" s="58"/>
      <c r="B758" s="84"/>
      <c r="C758" s="58"/>
      <c r="D758" s="84"/>
      <c r="E758" s="58"/>
      <c r="F758" s="84"/>
      <c r="G758" s="58"/>
      <c r="H758" s="84"/>
      <c r="I758" s="58"/>
      <c r="J758" s="84"/>
      <c r="K758" s="58"/>
      <c r="L758" s="84"/>
      <c r="M758" s="58"/>
      <c r="N758" s="84"/>
      <c r="O758" s="58"/>
      <c r="P758" s="84"/>
      <c r="Q758" s="58"/>
      <c r="R758" s="84"/>
    </row>
    <row r="759">
      <c r="A759" s="58"/>
      <c r="B759" s="84"/>
      <c r="C759" s="58"/>
      <c r="D759" s="84"/>
      <c r="E759" s="58"/>
      <c r="F759" s="84"/>
      <c r="G759" s="58"/>
      <c r="H759" s="84"/>
      <c r="I759" s="58"/>
      <c r="J759" s="84"/>
      <c r="K759" s="58"/>
      <c r="L759" s="84"/>
      <c r="M759" s="58"/>
      <c r="N759" s="84"/>
      <c r="O759" s="58"/>
      <c r="P759" s="84"/>
      <c r="Q759" s="58"/>
      <c r="R759" s="84"/>
    </row>
    <row r="760">
      <c r="A760" s="58"/>
      <c r="B760" s="84"/>
      <c r="C760" s="58"/>
      <c r="D760" s="84"/>
      <c r="E760" s="58"/>
      <c r="F760" s="84"/>
      <c r="G760" s="58"/>
      <c r="H760" s="84"/>
      <c r="I760" s="58"/>
      <c r="J760" s="84"/>
      <c r="K760" s="58"/>
      <c r="L760" s="84"/>
      <c r="M760" s="58"/>
      <c r="N760" s="84"/>
      <c r="O760" s="58"/>
      <c r="P760" s="84"/>
      <c r="Q760" s="58"/>
      <c r="R760" s="84"/>
    </row>
    <row r="761">
      <c r="A761" s="58"/>
      <c r="B761" s="84"/>
      <c r="C761" s="58"/>
      <c r="D761" s="84"/>
      <c r="E761" s="58"/>
      <c r="F761" s="84"/>
      <c r="G761" s="58"/>
      <c r="H761" s="84"/>
      <c r="I761" s="58"/>
      <c r="J761" s="84"/>
      <c r="K761" s="58"/>
      <c r="L761" s="84"/>
      <c r="M761" s="58"/>
      <c r="N761" s="84"/>
      <c r="O761" s="58"/>
      <c r="P761" s="84"/>
      <c r="Q761" s="58"/>
      <c r="R761" s="84"/>
    </row>
    <row r="762">
      <c r="A762" s="58"/>
      <c r="B762" s="84"/>
      <c r="C762" s="58"/>
      <c r="D762" s="84"/>
      <c r="E762" s="58"/>
      <c r="F762" s="84"/>
      <c r="G762" s="58"/>
      <c r="H762" s="84"/>
      <c r="I762" s="58"/>
      <c r="J762" s="84"/>
      <c r="K762" s="58"/>
      <c r="L762" s="84"/>
      <c r="M762" s="58"/>
      <c r="N762" s="84"/>
      <c r="O762" s="58"/>
      <c r="P762" s="84"/>
      <c r="Q762" s="58"/>
      <c r="R762" s="84"/>
    </row>
    <row r="763">
      <c r="A763" s="58"/>
      <c r="B763" s="84"/>
      <c r="C763" s="58"/>
      <c r="D763" s="84"/>
      <c r="E763" s="58"/>
      <c r="F763" s="84"/>
      <c r="G763" s="58"/>
      <c r="H763" s="84"/>
      <c r="I763" s="58"/>
      <c r="J763" s="84"/>
      <c r="K763" s="58"/>
      <c r="L763" s="84"/>
      <c r="M763" s="58"/>
      <c r="N763" s="84"/>
      <c r="O763" s="58"/>
      <c r="P763" s="84"/>
      <c r="Q763" s="58"/>
      <c r="R763" s="84"/>
    </row>
    <row r="764">
      <c r="A764" s="58"/>
      <c r="B764" s="84"/>
      <c r="C764" s="58"/>
      <c r="D764" s="84"/>
      <c r="E764" s="58"/>
      <c r="F764" s="84"/>
      <c r="G764" s="58"/>
      <c r="H764" s="84"/>
      <c r="I764" s="58"/>
      <c r="J764" s="84"/>
      <c r="K764" s="58"/>
      <c r="L764" s="84"/>
      <c r="M764" s="58"/>
      <c r="N764" s="84"/>
      <c r="O764" s="58"/>
      <c r="P764" s="84"/>
      <c r="Q764" s="58"/>
      <c r="R764" s="84"/>
    </row>
    <row r="765">
      <c r="A765" s="58"/>
      <c r="B765" s="84"/>
      <c r="C765" s="58"/>
      <c r="D765" s="84"/>
      <c r="E765" s="58"/>
      <c r="F765" s="84"/>
      <c r="G765" s="58"/>
      <c r="H765" s="84"/>
      <c r="I765" s="58"/>
      <c r="J765" s="84"/>
      <c r="K765" s="58"/>
      <c r="L765" s="84"/>
      <c r="M765" s="58"/>
      <c r="N765" s="84"/>
      <c r="O765" s="58"/>
      <c r="P765" s="84"/>
      <c r="Q765" s="58"/>
      <c r="R765" s="84"/>
    </row>
    <row r="766">
      <c r="A766" s="58"/>
      <c r="B766" s="84"/>
      <c r="C766" s="58"/>
      <c r="D766" s="84"/>
      <c r="E766" s="58"/>
      <c r="F766" s="84"/>
      <c r="G766" s="58"/>
      <c r="H766" s="84"/>
      <c r="I766" s="58"/>
      <c r="J766" s="84"/>
      <c r="K766" s="58"/>
      <c r="L766" s="84"/>
      <c r="M766" s="58"/>
      <c r="N766" s="84"/>
      <c r="O766" s="58"/>
      <c r="P766" s="84"/>
      <c r="Q766" s="58"/>
      <c r="R766" s="84"/>
    </row>
    <row r="767">
      <c r="A767" s="58"/>
      <c r="B767" s="84"/>
      <c r="C767" s="58"/>
      <c r="D767" s="84"/>
      <c r="E767" s="58"/>
      <c r="F767" s="84"/>
      <c r="G767" s="58"/>
      <c r="H767" s="84"/>
      <c r="I767" s="58"/>
      <c r="J767" s="84"/>
      <c r="K767" s="58"/>
      <c r="L767" s="84"/>
      <c r="M767" s="58"/>
      <c r="N767" s="84"/>
      <c r="O767" s="58"/>
      <c r="P767" s="84"/>
      <c r="Q767" s="58"/>
      <c r="R767" s="84"/>
    </row>
    <row r="768">
      <c r="A768" s="58"/>
      <c r="B768" s="84"/>
      <c r="C768" s="58"/>
      <c r="D768" s="84"/>
      <c r="E768" s="58"/>
      <c r="F768" s="84"/>
      <c r="G768" s="58"/>
      <c r="H768" s="84"/>
      <c r="I768" s="58"/>
      <c r="J768" s="84"/>
      <c r="K768" s="58"/>
      <c r="L768" s="84"/>
      <c r="M768" s="58"/>
      <c r="N768" s="84"/>
      <c r="O768" s="58"/>
      <c r="P768" s="84"/>
      <c r="Q768" s="58"/>
      <c r="R768" s="84"/>
    </row>
    <row r="769">
      <c r="A769" s="58"/>
      <c r="B769" s="84"/>
      <c r="C769" s="58"/>
      <c r="D769" s="84"/>
      <c r="E769" s="58"/>
      <c r="F769" s="84"/>
      <c r="G769" s="58"/>
      <c r="H769" s="84"/>
      <c r="I769" s="58"/>
      <c r="J769" s="84"/>
      <c r="K769" s="58"/>
      <c r="L769" s="84"/>
      <c r="M769" s="58"/>
      <c r="N769" s="84"/>
      <c r="O769" s="58"/>
      <c r="P769" s="84"/>
      <c r="Q769" s="58"/>
      <c r="R769" s="84"/>
    </row>
    <row r="770">
      <c r="A770" s="58"/>
      <c r="B770" s="84"/>
      <c r="C770" s="58"/>
      <c r="D770" s="84"/>
      <c r="E770" s="58"/>
      <c r="F770" s="84"/>
      <c r="G770" s="58"/>
      <c r="H770" s="84"/>
      <c r="I770" s="58"/>
      <c r="J770" s="84"/>
      <c r="K770" s="58"/>
      <c r="L770" s="84"/>
      <c r="M770" s="58"/>
      <c r="N770" s="84"/>
      <c r="O770" s="58"/>
      <c r="P770" s="84"/>
      <c r="Q770" s="58"/>
      <c r="R770" s="84"/>
    </row>
    <row r="771">
      <c r="A771" s="58"/>
      <c r="B771" s="84"/>
      <c r="C771" s="58"/>
      <c r="D771" s="84"/>
      <c r="E771" s="58"/>
      <c r="F771" s="84"/>
      <c r="G771" s="58"/>
      <c r="H771" s="84"/>
      <c r="I771" s="58"/>
      <c r="J771" s="84"/>
      <c r="K771" s="58"/>
      <c r="L771" s="84"/>
      <c r="M771" s="58"/>
      <c r="N771" s="84"/>
      <c r="O771" s="58"/>
      <c r="P771" s="84"/>
      <c r="Q771" s="58"/>
      <c r="R771" s="84"/>
    </row>
    <row r="772">
      <c r="A772" s="58"/>
      <c r="B772" s="84"/>
      <c r="C772" s="58"/>
      <c r="D772" s="84"/>
      <c r="E772" s="58"/>
      <c r="F772" s="84"/>
      <c r="G772" s="58"/>
      <c r="H772" s="84"/>
      <c r="I772" s="58"/>
      <c r="J772" s="84"/>
      <c r="K772" s="58"/>
      <c r="L772" s="84"/>
      <c r="M772" s="58"/>
      <c r="N772" s="84"/>
      <c r="O772" s="58"/>
      <c r="P772" s="84"/>
      <c r="Q772" s="58"/>
      <c r="R772" s="84"/>
    </row>
    <row r="773">
      <c r="A773" s="58"/>
      <c r="B773" s="84"/>
      <c r="C773" s="58"/>
      <c r="D773" s="84"/>
      <c r="E773" s="58"/>
      <c r="F773" s="84"/>
      <c r="G773" s="58"/>
      <c r="H773" s="84"/>
      <c r="I773" s="58"/>
      <c r="J773" s="84"/>
      <c r="K773" s="58"/>
      <c r="L773" s="84"/>
      <c r="M773" s="58"/>
      <c r="N773" s="84"/>
      <c r="O773" s="58"/>
      <c r="P773" s="84"/>
      <c r="Q773" s="58"/>
      <c r="R773" s="84"/>
    </row>
    <row r="774">
      <c r="A774" s="58"/>
      <c r="B774" s="84"/>
      <c r="C774" s="58"/>
      <c r="D774" s="84"/>
      <c r="E774" s="58"/>
      <c r="F774" s="84"/>
      <c r="G774" s="58"/>
      <c r="H774" s="84"/>
      <c r="I774" s="58"/>
      <c r="J774" s="84"/>
      <c r="K774" s="58"/>
      <c r="L774" s="84"/>
      <c r="M774" s="58"/>
      <c r="N774" s="84"/>
      <c r="O774" s="58"/>
      <c r="P774" s="84"/>
      <c r="Q774" s="58"/>
      <c r="R774" s="84"/>
    </row>
    <row r="775">
      <c r="A775" s="58"/>
      <c r="B775" s="84"/>
      <c r="C775" s="58"/>
      <c r="D775" s="84"/>
      <c r="E775" s="58"/>
      <c r="F775" s="84"/>
      <c r="G775" s="58"/>
      <c r="H775" s="84"/>
      <c r="I775" s="58"/>
      <c r="J775" s="84"/>
      <c r="K775" s="58"/>
      <c r="L775" s="84"/>
      <c r="M775" s="58"/>
      <c r="N775" s="84"/>
      <c r="O775" s="58"/>
      <c r="P775" s="84"/>
      <c r="Q775" s="58"/>
      <c r="R775" s="84"/>
    </row>
    <row r="776">
      <c r="A776" s="58"/>
      <c r="B776" s="84"/>
      <c r="C776" s="58"/>
      <c r="D776" s="84"/>
      <c r="E776" s="58"/>
      <c r="F776" s="84"/>
      <c r="G776" s="58"/>
      <c r="H776" s="84"/>
      <c r="I776" s="58"/>
      <c r="J776" s="84"/>
      <c r="K776" s="58"/>
      <c r="L776" s="84"/>
      <c r="M776" s="58"/>
      <c r="N776" s="84"/>
      <c r="O776" s="58"/>
      <c r="P776" s="84"/>
      <c r="Q776" s="58"/>
      <c r="R776" s="84"/>
    </row>
    <row r="777">
      <c r="A777" s="58"/>
      <c r="B777" s="84"/>
      <c r="C777" s="58"/>
      <c r="D777" s="84"/>
      <c r="E777" s="58"/>
      <c r="F777" s="84"/>
      <c r="G777" s="58"/>
      <c r="H777" s="84"/>
      <c r="I777" s="58"/>
      <c r="J777" s="84"/>
      <c r="K777" s="58"/>
      <c r="L777" s="84"/>
      <c r="M777" s="58"/>
      <c r="N777" s="84"/>
      <c r="O777" s="58"/>
      <c r="P777" s="84"/>
      <c r="Q777" s="58"/>
      <c r="R777" s="84"/>
    </row>
    <row r="778">
      <c r="A778" s="58"/>
      <c r="B778" s="84"/>
      <c r="C778" s="58"/>
      <c r="D778" s="84"/>
      <c r="E778" s="58"/>
      <c r="F778" s="84"/>
      <c r="G778" s="58"/>
      <c r="H778" s="84"/>
      <c r="I778" s="58"/>
      <c r="J778" s="84"/>
      <c r="K778" s="58"/>
      <c r="L778" s="84"/>
      <c r="M778" s="58"/>
      <c r="N778" s="84"/>
      <c r="O778" s="58"/>
      <c r="P778" s="84"/>
      <c r="Q778" s="58"/>
      <c r="R778" s="84"/>
    </row>
    <row r="779">
      <c r="A779" s="58"/>
      <c r="B779" s="84"/>
      <c r="C779" s="58"/>
      <c r="D779" s="84"/>
      <c r="E779" s="58"/>
      <c r="F779" s="84"/>
      <c r="G779" s="58"/>
      <c r="H779" s="84"/>
      <c r="I779" s="58"/>
      <c r="J779" s="84"/>
      <c r="K779" s="58"/>
      <c r="L779" s="84"/>
      <c r="M779" s="58"/>
      <c r="N779" s="84"/>
      <c r="O779" s="58"/>
      <c r="P779" s="84"/>
      <c r="Q779" s="58"/>
      <c r="R779" s="84"/>
    </row>
    <row r="780">
      <c r="A780" s="58"/>
      <c r="B780" s="84"/>
      <c r="C780" s="58"/>
      <c r="D780" s="84"/>
      <c r="E780" s="58"/>
      <c r="F780" s="84"/>
      <c r="G780" s="58"/>
      <c r="H780" s="84"/>
      <c r="I780" s="58"/>
      <c r="J780" s="84"/>
      <c r="K780" s="58"/>
      <c r="L780" s="84"/>
      <c r="M780" s="58"/>
      <c r="N780" s="84"/>
      <c r="O780" s="58"/>
      <c r="P780" s="84"/>
      <c r="Q780" s="58"/>
      <c r="R780" s="84"/>
    </row>
    <row r="781">
      <c r="A781" s="58"/>
      <c r="B781" s="84"/>
      <c r="C781" s="58"/>
      <c r="D781" s="84"/>
      <c r="E781" s="58"/>
      <c r="F781" s="84"/>
      <c r="G781" s="58"/>
      <c r="H781" s="84"/>
      <c r="I781" s="58"/>
      <c r="J781" s="84"/>
      <c r="K781" s="58"/>
      <c r="L781" s="84"/>
      <c r="M781" s="58"/>
      <c r="N781" s="84"/>
      <c r="O781" s="58"/>
      <c r="P781" s="84"/>
      <c r="Q781" s="58"/>
      <c r="R781" s="84"/>
    </row>
    <row r="782">
      <c r="A782" s="58"/>
      <c r="B782" s="84"/>
      <c r="C782" s="58"/>
      <c r="D782" s="84"/>
      <c r="E782" s="58"/>
      <c r="F782" s="84"/>
      <c r="G782" s="58"/>
      <c r="H782" s="84"/>
      <c r="I782" s="58"/>
      <c r="J782" s="84"/>
      <c r="K782" s="58"/>
      <c r="L782" s="84"/>
      <c r="M782" s="58"/>
      <c r="N782" s="84"/>
      <c r="O782" s="58"/>
      <c r="P782" s="84"/>
      <c r="Q782" s="58"/>
      <c r="R782" s="84"/>
    </row>
    <row r="783">
      <c r="A783" s="58"/>
      <c r="B783" s="84"/>
      <c r="C783" s="58"/>
      <c r="D783" s="84"/>
      <c r="E783" s="58"/>
      <c r="F783" s="84"/>
      <c r="G783" s="58"/>
      <c r="H783" s="84"/>
      <c r="I783" s="58"/>
      <c r="J783" s="84"/>
      <c r="K783" s="58"/>
      <c r="L783" s="84"/>
      <c r="M783" s="58"/>
      <c r="N783" s="84"/>
      <c r="O783" s="58"/>
      <c r="P783" s="84"/>
      <c r="Q783" s="58"/>
      <c r="R783" s="84"/>
    </row>
    <row r="784">
      <c r="A784" s="58"/>
      <c r="B784" s="84"/>
      <c r="C784" s="58"/>
      <c r="D784" s="84"/>
      <c r="E784" s="58"/>
      <c r="F784" s="84"/>
      <c r="G784" s="58"/>
      <c r="H784" s="84"/>
      <c r="I784" s="58"/>
      <c r="J784" s="84"/>
      <c r="K784" s="58"/>
      <c r="L784" s="84"/>
      <c r="M784" s="58"/>
      <c r="N784" s="84"/>
      <c r="O784" s="58"/>
      <c r="P784" s="84"/>
      <c r="Q784" s="58"/>
      <c r="R784" s="84"/>
    </row>
    <row r="785">
      <c r="A785" s="58"/>
      <c r="B785" s="84"/>
      <c r="C785" s="58"/>
      <c r="D785" s="84"/>
      <c r="E785" s="58"/>
      <c r="F785" s="84"/>
      <c r="G785" s="58"/>
      <c r="H785" s="84"/>
      <c r="I785" s="58"/>
      <c r="J785" s="84"/>
      <c r="K785" s="58"/>
      <c r="L785" s="84"/>
      <c r="M785" s="58"/>
      <c r="N785" s="84"/>
      <c r="O785" s="58"/>
      <c r="P785" s="84"/>
      <c r="Q785" s="58"/>
      <c r="R785" s="84"/>
    </row>
    <row r="786">
      <c r="A786" s="58"/>
      <c r="B786" s="84"/>
      <c r="C786" s="58"/>
      <c r="D786" s="84"/>
      <c r="E786" s="58"/>
      <c r="F786" s="84"/>
      <c r="G786" s="58"/>
      <c r="H786" s="84"/>
      <c r="I786" s="58"/>
      <c r="J786" s="84"/>
      <c r="K786" s="58"/>
      <c r="L786" s="84"/>
      <c r="M786" s="58"/>
      <c r="N786" s="84"/>
      <c r="O786" s="58"/>
      <c r="P786" s="84"/>
      <c r="Q786" s="58"/>
      <c r="R786" s="84"/>
    </row>
    <row r="787">
      <c r="A787" s="58"/>
      <c r="B787" s="84"/>
      <c r="C787" s="58"/>
      <c r="D787" s="84"/>
      <c r="E787" s="58"/>
      <c r="F787" s="84"/>
      <c r="G787" s="58"/>
      <c r="H787" s="84"/>
      <c r="I787" s="58"/>
      <c r="J787" s="84"/>
      <c r="K787" s="58"/>
      <c r="L787" s="84"/>
      <c r="M787" s="58"/>
      <c r="N787" s="84"/>
      <c r="O787" s="58"/>
      <c r="P787" s="84"/>
      <c r="Q787" s="58"/>
      <c r="R787" s="84"/>
    </row>
    <row r="788">
      <c r="A788" s="58"/>
      <c r="B788" s="84"/>
      <c r="C788" s="58"/>
      <c r="D788" s="84"/>
      <c r="E788" s="58"/>
      <c r="F788" s="84"/>
      <c r="G788" s="58"/>
      <c r="H788" s="84"/>
      <c r="I788" s="58"/>
      <c r="J788" s="84"/>
      <c r="K788" s="58"/>
      <c r="L788" s="84"/>
      <c r="M788" s="58"/>
      <c r="N788" s="84"/>
      <c r="O788" s="58"/>
      <c r="P788" s="84"/>
      <c r="Q788" s="58"/>
      <c r="R788" s="84"/>
    </row>
    <row r="789">
      <c r="A789" s="58"/>
      <c r="B789" s="84"/>
      <c r="C789" s="58"/>
      <c r="D789" s="84"/>
      <c r="E789" s="58"/>
      <c r="F789" s="84"/>
      <c r="G789" s="58"/>
      <c r="H789" s="84"/>
      <c r="I789" s="58"/>
      <c r="J789" s="84"/>
      <c r="K789" s="58"/>
      <c r="L789" s="84"/>
      <c r="M789" s="58"/>
      <c r="N789" s="84"/>
      <c r="O789" s="58"/>
      <c r="P789" s="84"/>
      <c r="Q789" s="58"/>
      <c r="R789" s="84"/>
    </row>
    <row r="790">
      <c r="A790" s="58"/>
      <c r="B790" s="84"/>
      <c r="C790" s="58"/>
      <c r="D790" s="84"/>
      <c r="E790" s="58"/>
      <c r="F790" s="84"/>
      <c r="G790" s="58"/>
      <c r="H790" s="84"/>
      <c r="I790" s="58"/>
      <c r="J790" s="84"/>
      <c r="K790" s="58"/>
      <c r="L790" s="84"/>
      <c r="M790" s="58"/>
      <c r="N790" s="84"/>
      <c r="O790" s="58"/>
      <c r="P790" s="84"/>
      <c r="Q790" s="58"/>
      <c r="R790" s="84"/>
    </row>
    <row r="791">
      <c r="A791" s="58"/>
      <c r="B791" s="84"/>
      <c r="C791" s="58"/>
      <c r="D791" s="84"/>
      <c r="E791" s="58"/>
      <c r="F791" s="84"/>
      <c r="G791" s="58"/>
      <c r="H791" s="84"/>
      <c r="I791" s="58"/>
      <c r="J791" s="84"/>
      <c r="K791" s="58"/>
      <c r="L791" s="84"/>
      <c r="M791" s="58"/>
      <c r="N791" s="84"/>
      <c r="O791" s="58"/>
      <c r="P791" s="84"/>
      <c r="Q791" s="58"/>
      <c r="R791" s="84"/>
    </row>
    <row r="792">
      <c r="A792" s="58"/>
      <c r="B792" s="84"/>
      <c r="C792" s="58"/>
      <c r="D792" s="84"/>
      <c r="E792" s="58"/>
      <c r="F792" s="84"/>
      <c r="G792" s="58"/>
      <c r="H792" s="84"/>
      <c r="I792" s="58"/>
      <c r="J792" s="84"/>
      <c r="K792" s="58"/>
      <c r="L792" s="84"/>
      <c r="M792" s="58"/>
      <c r="N792" s="84"/>
      <c r="O792" s="58"/>
      <c r="P792" s="84"/>
      <c r="Q792" s="58"/>
      <c r="R792" s="84"/>
    </row>
    <row r="793">
      <c r="A793" s="58"/>
      <c r="B793" s="84"/>
      <c r="C793" s="58"/>
      <c r="D793" s="84"/>
      <c r="E793" s="58"/>
      <c r="F793" s="84"/>
      <c r="G793" s="58"/>
      <c r="H793" s="84"/>
      <c r="I793" s="58"/>
      <c r="J793" s="84"/>
      <c r="K793" s="58"/>
      <c r="L793" s="84"/>
      <c r="M793" s="58"/>
      <c r="N793" s="84"/>
      <c r="O793" s="58"/>
      <c r="P793" s="84"/>
      <c r="Q793" s="58"/>
      <c r="R793" s="84"/>
    </row>
    <row r="794">
      <c r="A794" s="58"/>
      <c r="B794" s="84"/>
      <c r="C794" s="58"/>
      <c r="D794" s="84"/>
      <c r="E794" s="58"/>
      <c r="F794" s="84"/>
      <c r="G794" s="58"/>
      <c r="H794" s="84"/>
      <c r="I794" s="58"/>
      <c r="J794" s="84"/>
      <c r="K794" s="58"/>
      <c r="L794" s="84"/>
      <c r="M794" s="58"/>
      <c r="N794" s="84"/>
      <c r="O794" s="58"/>
      <c r="P794" s="84"/>
      <c r="Q794" s="58"/>
      <c r="R794" s="84"/>
    </row>
    <row r="795">
      <c r="A795" s="58"/>
      <c r="B795" s="84"/>
      <c r="C795" s="58"/>
      <c r="D795" s="84"/>
      <c r="E795" s="58"/>
      <c r="F795" s="84"/>
      <c r="G795" s="58"/>
      <c r="H795" s="84"/>
      <c r="I795" s="58"/>
      <c r="J795" s="84"/>
      <c r="K795" s="58"/>
      <c r="L795" s="84"/>
      <c r="M795" s="58"/>
      <c r="N795" s="84"/>
      <c r="O795" s="58"/>
      <c r="P795" s="84"/>
      <c r="Q795" s="58"/>
      <c r="R795" s="84"/>
    </row>
    <row r="796">
      <c r="A796" s="58"/>
      <c r="B796" s="84"/>
      <c r="C796" s="58"/>
      <c r="D796" s="84"/>
      <c r="E796" s="58"/>
      <c r="F796" s="84"/>
      <c r="G796" s="58"/>
      <c r="H796" s="84"/>
      <c r="I796" s="58"/>
      <c r="J796" s="84"/>
      <c r="K796" s="58"/>
      <c r="L796" s="84"/>
      <c r="M796" s="58"/>
      <c r="N796" s="84"/>
      <c r="O796" s="58"/>
      <c r="P796" s="84"/>
      <c r="Q796" s="58"/>
      <c r="R796" s="84"/>
    </row>
    <row r="797">
      <c r="A797" s="58"/>
      <c r="B797" s="84"/>
      <c r="C797" s="58"/>
      <c r="D797" s="84"/>
      <c r="E797" s="58"/>
      <c r="F797" s="84"/>
      <c r="G797" s="58"/>
      <c r="H797" s="84"/>
      <c r="I797" s="58"/>
      <c r="J797" s="84"/>
      <c r="K797" s="58"/>
      <c r="L797" s="84"/>
      <c r="M797" s="58"/>
      <c r="N797" s="84"/>
      <c r="O797" s="58"/>
      <c r="P797" s="84"/>
      <c r="Q797" s="58"/>
      <c r="R797" s="84"/>
    </row>
    <row r="798">
      <c r="A798" s="58"/>
      <c r="B798" s="84"/>
      <c r="C798" s="58"/>
      <c r="D798" s="84"/>
      <c r="E798" s="58"/>
      <c r="F798" s="84"/>
      <c r="G798" s="58"/>
      <c r="H798" s="84"/>
      <c r="I798" s="58"/>
      <c r="J798" s="84"/>
      <c r="K798" s="58"/>
      <c r="L798" s="84"/>
      <c r="M798" s="58"/>
      <c r="N798" s="84"/>
      <c r="O798" s="58"/>
      <c r="P798" s="84"/>
      <c r="Q798" s="58"/>
      <c r="R798" s="84"/>
    </row>
    <row r="799">
      <c r="A799" s="58"/>
      <c r="B799" s="84"/>
      <c r="C799" s="58"/>
      <c r="D799" s="84"/>
      <c r="E799" s="58"/>
      <c r="F799" s="84"/>
      <c r="G799" s="58"/>
      <c r="H799" s="84"/>
      <c r="I799" s="58"/>
      <c r="J799" s="84"/>
      <c r="K799" s="58"/>
      <c r="L799" s="84"/>
      <c r="M799" s="58"/>
      <c r="N799" s="84"/>
      <c r="O799" s="58"/>
      <c r="P799" s="84"/>
      <c r="Q799" s="58"/>
      <c r="R799" s="84"/>
    </row>
    <row r="800">
      <c r="A800" s="58"/>
      <c r="B800" s="84"/>
      <c r="C800" s="58"/>
      <c r="D800" s="84"/>
      <c r="E800" s="58"/>
      <c r="F800" s="84"/>
      <c r="G800" s="58"/>
      <c r="H800" s="84"/>
      <c r="I800" s="58"/>
      <c r="J800" s="84"/>
      <c r="K800" s="58"/>
      <c r="L800" s="84"/>
      <c r="M800" s="58"/>
      <c r="N800" s="84"/>
      <c r="O800" s="58"/>
      <c r="P800" s="84"/>
      <c r="Q800" s="58"/>
      <c r="R800" s="84"/>
    </row>
    <row r="801">
      <c r="A801" s="58"/>
      <c r="B801" s="84"/>
      <c r="C801" s="58"/>
      <c r="D801" s="84"/>
      <c r="E801" s="58"/>
      <c r="F801" s="84"/>
      <c r="G801" s="58"/>
      <c r="H801" s="84"/>
      <c r="I801" s="58"/>
      <c r="J801" s="84"/>
      <c r="K801" s="58"/>
      <c r="L801" s="84"/>
      <c r="M801" s="58"/>
      <c r="N801" s="84"/>
      <c r="O801" s="58"/>
      <c r="P801" s="84"/>
      <c r="Q801" s="58"/>
      <c r="R801" s="84"/>
    </row>
    <row r="802">
      <c r="A802" s="58"/>
      <c r="B802" s="84"/>
      <c r="C802" s="58"/>
      <c r="D802" s="84"/>
      <c r="E802" s="58"/>
      <c r="F802" s="84"/>
      <c r="G802" s="58"/>
      <c r="H802" s="84"/>
      <c r="I802" s="58"/>
      <c r="J802" s="84"/>
      <c r="K802" s="58"/>
      <c r="L802" s="84"/>
      <c r="M802" s="58"/>
      <c r="N802" s="84"/>
      <c r="O802" s="58"/>
      <c r="P802" s="84"/>
      <c r="Q802" s="58"/>
      <c r="R802" s="84"/>
    </row>
    <row r="803">
      <c r="A803" s="58"/>
      <c r="B803" s="84"/>
      <c r="C803" s="58"/>
      <c r="D803" s="84"/>
      <c r="E803" s="58"/>
      <c r="F803" s="84"/>
      <c r="G803" s="58"/>
      <c r="H803" s="84"/>
      <c r="I803" s="58"/>
      <c r="J803" s="84"/>
      <c r="K803" s="58"/>
      <c r="L803" s="84"/>
      <c r="M803" s="58"/>
      <c r="N803" s="84"/>
      <c r="O803" s="58"/>
      <c r="P803" s="84"/>
      <c r="Q803" s="58"/>
      <c r="R803" s="84"/>
    </row>
    <row r="804">
      <c r="A804" s="58"/>
      <c r="B804" s="84"/>
      <c r="C804" s="58"/>
      <c r="D804" s="84"/>
      <c r="E804" s="58"/>
      <c r="F804" s="84"/>
      <c r="G804" s="58"/>
      <c r="H804" s="84"/>
      <c r="I804" s="58"/>
      <c r="J804" s="84"/>
      <c r="K804" s="58"/>
      <c r="L804" s="84"/>
      <c r="M804" s="58"/>
      <c r="N804" s="84"/>
      <c r="O804" s="58"/>
      <c r="P804" s="84"/>
      <c r="Q804" s="58"/>
      <c r="R804" s="84"/>
    </row>
    <row r="805">
      <c r="A805" s="58"/>
      <c r="B805" s="84"/>
      <c r="C805" s="58"/>
      <c r="D805" s="84"/>
      <c r="E805" s="58"/>
      <c r="F805" s="84"/>
      <c r="G805" s="58"/>
      <c r="H805" s="84"/>
      <c r="I805" s="58"/>
      <c r="J805" s="84"/>
      <c r="K805" s="58"/>
      <c r="L805" s="84"/>
      <c r="M805" s="58"/>
      <c r="N805" s="84"/>
      <c r="O805" s="58"/>
      <c r="P805" s="84"/>
      <c r="Q805" s="58"/>
      <c r="R805" s="84"/>
    </row>
    <row r="806">
      <c r="A806" s="58"/>
      <c r="B806" s="84"/>
      <c r="C806" s="58"/>
      <c r="D806" s="84"/>
      <c r="E806" s="58"/>
      <c r="F806" s="84"/>
      <c r="G806" s="58"/>
      <c r="H806" s="84"/>
      <c r="I806" s="58"/>
      <c r="J806" s="84"/>
      <c r="K806" s="58"/>
      <c r="L806" s="84"/>
      <c r="M806" s="58"/>
      <c r="N806" s="84"/>
      <c r="O806" s="58"/>
      <c r="P806" s="84"/>
      <c r="Q806" s="58"/>
      <c r="R806" s="84"/>
    </row>
    <row r="807">
      <c r="A807" s="58"/>
      <c r="B807" s="84"/>
      <c r="C807" s="58"/>
      <c r="D807" s="84"/>
      <c r="E807" s="58"/>
      <c r="F807" s="84"/>
      <c r="G807" s="58"/>
      <c r="H807" s="84"/>
      <c r="I807" s="58"/>
      <c r="J807" s="84"/>
      <c r="K807" s="58"/>
      <c r="L807" s="84"/>
      <c r="M807" s="58"/>
      <c r="N807" s="84"/>
      <c r="O807" s="58"/>
      <c r="P807" s="84"/>
      <c r="Q807" s="58"/>
      <c r="R807" s="84"/>
    </row>
    <row r="808">
      <c r="A808" s="58"/>
      <c r="B808" s="84"/>
      <c r="C808" s="58"/>
      <c r="D808" s="84"/>
      <c r="E808" s="58"/>
      <c r="F808" s="84"/>
      <c r="G808" s="58"/>
      <c r="H808" s="84"/>
      <c r="I808" s="58"/>
      <c r="J808" s="84"/>
      <c r="K808" s="58"/>
      <c r="L808" s="84"/>
      <c r="M808" s="58"/>
      <c r="N808" s="84"/>
      <c r="O808" s="58"/>
      <c r="P808" s="84"/>
      <c r="Q808" s="58"/>
      <c r="R808" s="84"/>
    </row>
    <row r="809">
      <c r="A809" s="58"/>
      <c r="B809" s="84"/>
      <c r="C809" s="58"/>
      <c r="D809" s="84"/>
      <c r="E809" s="58"/>
      <c r="F809" s="84"/>
      <c r="G809" s="58"/>
      <c r="H809" s="84"/>
      <c r="I809" s="58"/>
      <c r="J809" s="84"/>
      <c r="K809" s="58"/>
      <c r="L809" s="84"/>
      <c r="M809" s="58"/>
      <c r="N809" s="84"/>
      <c r="O809" s="58"/>
      <c r="P809" s="84"/>
      <c r="Q809" s="58"/>
      <c r="R809" s="84"/>
    </row>
    <row r="810">
      <c r="A810" s="58"/>
      <c r="B810" s="84"/>
      <c r="C810" s="58"/>
      <c r="D810" s="84"/>
      <c r="E810" s="58"/>
      <c r="F810" s="84"/>
      <c r="G810" s="58"/>
      <c r="H810" s="84"/>
      <c r="I810" s="58"/>
      <c r="J810" s="84"/>
      <c r="K810" s="58"/>
      <c r="L810" s="84"/>
      <c r="M810" s="58"/>
      <c r="N810" s="84"/>
      <c r="O810" s="58"/>
      <c r="P810" s="84"/>
      <c r="Q810" s="58"/>
      <c r="R810" s="84"/>
    </row>
    <row r="811">
      <c r="A811" s="58"/>
      <c r="B811" s="84"/>
      <c r="C811" s="58"/>
      <c r="D811" s="84"/>
      <c r="E811" s="58"/>
      <c r="F811" s="84"/>
      <c r="G811" s="58"/>
      <c r="H811" s="84"/>
      <c r="I811" s="58"/>
      <c r="J811" s="84"/>
      <c r="K811" s="58"/>
      <c r="L811" s="84"/>
      <c r="M811" s="58"/>
      <c r="N811" s="84"/>
      <c r="O811" s="58"/>
      <c r="P811" s="84"/>
      <c r="Q811" s="58"/>
      <c r="R811" s="84"/>
    </row>
    <row r="812">
      <c r="A812" s="58"/>
      <c r="B812" s="84"/>
      <c r="C812" s="58"/>
      <c r="D812" s="84"/>
      <c r="E812" s="58"/>
      <c r="F812" s="84"/>
      <c r="G812" s="58"/>
      <c r="H812" s="84"/>
      <c r="I812" s="58"/>
      <c r="J812" s="84"/>
      <c r="K812" s="58"/>
      <c r="L812" s="84"/>
      <c r="M812" s="58"/>
      <c r="N812" s="84"/>
      <c r="O812" s="58"/>
      <c r="P812" s="84"/>
      <c r="Q812" s="58"/>
      <c r="R812" s="84"/>
    </row>
    <row r="813">
      <c r="A813" s="58"/>
      <c r="B813" s="84"/>
      <c r="C813" s="58"/>
      <c r="D813" s="84"/>
      <c r="E813" s="58"/>
      <c r="F813" s="84"/>
      <c r="G813" s="58"/>
      <c r="H813" s="84"/>
      <c r="I813" s="58"/>
      <c r="J813" s="84"/>
      <c r="K813" s="58"/>
      <c r="L813" s="84"/>
      <c r="M813" s="58"/>
      <c r="N813" s="84"/>
      <c r="O813" s="58"/>
      <c r="P813" s="84"/>
      <c r="Q813" s="58"/>
      <c r="R813" s="84"/>
    </row>
    <row r="814">
      <c r="A814" s="58"/>
      <c r="B814" s="84"/>
      <c r="C814" s="58"/>
      <c r="D814" s="84"/>
      <c r="E814" s="58"/>
      <c r="F814" s="84"/>
      <c r="G814" s="58"/>
      <c r="H814" s="84"/>
      <c r="I814" s="58"/>
      <c r="J814" s="84"/>
      <c r="K814" s="58"/>
      <c r="L814" s="84"/>
      <c r="M814" s="58"/>
      <c r="N814" s="84"/>
      <c r="O814" s="58"/>
      <c r="P814" s="84"/>
      <c r="Q814" s="58"/>
      <c r="R814" s="84"/>
    </row>
    <row r="815">
      <c r="A815" s="58"/>
      <c r="B815" s="84"/>
      <c r="C815" s="58"/>
      <c r="D815" s="84"/>
      <c r="E815" s="58"/>
      <c r="F815" s="84"/>
      <c r="G815" s="58"/>
      <c r="H815" s="84"/>
      <c r="I815" s="58"/>
      <c r="J815" s="84"/>
      <c r="K815" s="58"/>
      <c r="L815" s="84"/>
      <c r="M815" s="58"/>
      <c r="N815" s="84"/>
      <c r="O815" s="58"/>
      <c r="P815" s="84"/>
      <c r="Q815" s="58"/>
      <c r="R815" s="84"/>
    </row>
    <row r="816">
      <c r="A816" s="58"/>
      <c r="B816" s="84"/>
      <c r="C816" s="58"/>
      <c r="D816" s="84"/>
      <c r="E816" s="58"/>
      <c r="F816" s="84"/>
      <c r="G816" s="58"/>
      <c r="H816" s="84"/>
      <c r="I816" s="58"/>
      <c r="J816" s="84"/>
      <c r="K816" s="58"/>
      <c r="L816" s="84"/>
      <c r="M816" s="58"/>
      <c r="N816" s="84"/>
      <c r="O816" s="58"/>
      <c r="P816" s="84"/>
      <c r="Q816" s="58"/>
      <c r="R816" s="84"/>
    </row>
    <row r="817">
      <c r="A817" s="58"/>
      <c r="B817" s="84"/>
      <c r="C817" s="58"/>
      <c r="D817" s="84"/>
      <c r="E817" s="58"/>
      <c r="F817" s="84"/>
      <c r="G817" s="58"/>
      <c r="H817" s="84"/>
      <c r="I817" s="58"/>
      <c r="J817" s="84"/>
      <c r="K817" s="58"/>
      <c r="L817" s="84"/>
      <c r="M817" s="58"/>
      <c r="N817" s="84"/>
      <c r="O817" s="58"/>
      <c r="P817" s="84"/>
      <c r="Q817" s="58"/>
      <c r="R817" s="84"/>
    </row>
    <row r="818">
      <c r="A818" s="58"/>
      <c r="B818" s="84"/>
      <c r="C818" s="58"/>
      <c r="D818" s="84"/>
      <c r="E818" s="58"/>
      <c r="F818" s="84"/>
      <c r="G818" s="58"/>
      <c r="H818" s="84"/>
      <c r="I818" s="58"/>
      <c r="J818" s="84"/>
      <c r="K818" s="58"/>
      <c r="L818" s="84"/>
      <c r="M818" s="58"/>
      <c r="N818" s="84"/>
      <c r="O818" s="58"/>
      <c r="P818" s="84"/>
      <c r="Q818" s="58"/>
      <c r="R818" s="84"/>
    </row>
    <row r="819">
      <c r="A819" s="58"/>
      <c r="B819" s="84"/>
      <c r="C819" s="58"/>
      <c r="D819" s="84"/>
      <c r="E819" s="58"/>
      <c r="F819" s="84"/>
      <c r="G819" s="58"/>
      <c r="H819" s="84"/>
      <c r="I819" s="58"/>
      <c r="J819" s="84"/>
      <c r="K819" s="58"/>
      <c r="L819" s="84"/>
      <c r="M819" s="58"/>
      <c r="N819" s="84"/>
      <c r="O819" s="58"/>
      <c r="P819" s="84"/>
      <c r="Q819" s="58"/>
      <c r="R819" s="84"/>
    </row>
    <row r="820">
      <c r="A820" s="58"/>
      <c r="B820" s="84"/>
      <c r="C820" s="58"/>
      <c r="D820" s="84"/>
      <c r="E820" s="58"/>
      <c r="F820" s="84"/>
      <c r="G820" s="58"/>
      <c r="H820" s="84"/>
      <c r="I820" s="58"/>
      <c r="J820" s="84"/>
      <c r="K820" s="58"/>
      <c r="L820" s="84"/>
      <c r="M820" s="58"/>
      <c r="N820" s="84"/>
      <c r="O820" s="58"/>
      <c r="P820" s="84"/>
      <c r="Q820" s="58"/>
      <c r="R820" s="84"/>
    </row>
    <row r="821">
      <c r="A821" s="58"/>
      <c r="B821" s="84"/>
      <c r="C821" s="58"/>
      <c r="D821" s="84"/>
      <c r="E821" s="58"/>
      <c r="F821" s="84"/>
      <c r="G821" s="58"/>
      <c r="H821" s="84"/>
      <c r="I821" s="58"/>
      <c r="J821" s="84"/>
      <c r="K821" s="58"/>
      <c r="L821" s="84"/>
      <c r="M821" s="58"/>
      <c r="N821" s="84"/>
      <c r="O821" s="58"/>
      <c r="P821" s="84"/>
      <c r="Q821" s="58"/>
      <c r="R821" s="84"/>
    </row>
    <row r="822">
      <c r="A822" s="58"/>
      <c r="B822" s="84"/>
      <c r="C822" s="58"/>
      <c r="D822" s="84"/>
      <c r="E822" s="58"/>
      <c r="F822" s="84"/>
      <c r="G822" s="58"/>
      <c r="H822" s="84"/>
      <c r="I822" s="58"/>
      <c r="J822" s="84"/>
      <c r="K822" s="58"/>
      <c r="L822" s="84"/>
      <c r="M822" s="58"/>
      <c r="N822" s="84"/>
      <c r="O822" s="58"/>
      <c r="P822" s="84"/>
      <c r="Q822" s="58"/>
      <c r="R822" s="84"/>
    </row>
    <row r="823">
      <c r="A823" s="58"/>
      <c r="B823" s="84"/>
      <c r="C823" s="58"/>
      <c r="D823" s="84"/>
      <c r="E823" s="58"/>
      <c r="F823" s="84"/>
      <c r="G823" s="58"/>
      <c r="H823" s="84"/>
      <c r="I823" s="58"/>
      <c r="J823" s="84"/>
      <c r="K823" s="58"/>
      <c r="L823" s="84"/>
      <c r="M823" s="58"/>
      <c r="N823" s="84"/>
      <c r="O823" s="58"/>
      <c r="P823" s="84"/>
      <c r="Q823" s="58"/>
      <c r="R823" s="84"/>
    </row>
    <row r="824">
      <c r="A824" s="58"/>
      <c r="B824" s="84"/>
      <c r="C824" s="58"/>
      <c r="D824" s="84"/>
      <c r="E824" s="58"/>
      <c r="F824" s="84"/>
      <c r="G824" s="58"/>
      <c r="H824" s="84"/>
      <c r="I824" s="58"/>
      <c r="J824" s="84"/>
      <c r="K824" s="58"/>
      <c r="L824" s="84"/>
      <c r="M824" s="58"/>
      <c r="N824" s="84"/>
      <c r="O824" s="58"/>
      <c r="P824" s="84"/>
      <c r="Q824" s="58"/>
      <c r="R824" s="84"/>
    </row>
    <row r="825">
      <c r="A825" s="58"/>
      <c r="B825" s="84"/>
      <c r="C825" s="58"/>
      <c r="D825" s="84"/>
      <c r="E825" s="58"/>
      <c r="F825" s="84"/>
      <c r="G825" s="58"/>
      <c r="H825" s="84"/>
      <c r="I825" s="58"/>
      <c r="J825" s="84"/>
      <c r="K825" s="58"/>
      <c r="L825" s="84"/>
      <c r="M825" s="58"/>
      <c r="N825" s="84"/>
      <c r="O825" s="58"/>
      <c r="P825" s="84"/>
      <c r="Q825" s="58"/>
      <c r="R825" s="84"/>
    </row>
    <row r="826">
      <c r="A826" s="58"/>
      <c r="B826" s="84"/>
      <c r="C826" s="58"/>
      <c r="D826" s="84"/>
      <c r="E826" s="58"/>
      <c r="F826" s="84"/>
      <c r="G826" s="58"/>
      <c r="H826" s="84"/>
      <c r="I826" s="58"/>
      <c r="J826" s="84"/>
      <c r="K826" s="58"/>
      <c r="L826" s="84"/>
      <c r="M826" s="58"/>
      <c r="N826" s="84"/>
      <c r="O826" s="58"/>
      <c r="P826" s="84"/>
      <c r="Q826" s="58"/>
      <c r="R826" s="84"/>
    </row>
    <row r="827">
      <c r="A827" s="58"/>
      <c r="B827" s="84"/>
      <c r="C827" s="58"/>
      <c r="D827" s="84"/>
      <c r="E827" s="58"/>
      <c r="F827" s="84"/>
      <c r="G827" s="58"/>
      <c r="H827" s="84"/>
      <c r="I827" s="58"/>
      <c r="J827" s="84"/>
      <c r="K827" s="58"/>
      <c r="L827" s="84"/>
      <c r="M827" s="58"/>
      <c r="N827" s="84"/>
      <c r="O827" s="58"/>
      <c r="P827" s="84"/>
      <c r="Q827" s="58"/>
      <c r="R827" s="84"/>
    </row>
    <row r="828">
      <c r="A828" s="58"/>
      <c r="B828" s="84"/>
      <c r="C828" s="58"/>
      <c r="D828" s="84"/>
      <c r="E828" s="58"/>
      <c r="F828" s="84"/>
      <c r="G828" s="58"/>
      <c r="H828" s="84"/>
      <c r="I828" s="58"/>
      <c r="J828" s="84"/>
      <c r="K828" s="58"/>
      <c r="L828" s="84"/>
      <c r="M828" s="58"/>
      <c r="N828" s="84"/>
      <c r="O828" s="58"/>
      <c r="P828" s="84"/>
      <c r="Q828" s="58"/>
      <c r="R828" s="84"/>
    </row>
    <row r="829">
      <c r="A829" s="58"/>
      <c r="B829" s="84"/>
      <c r="C829" s="58"/>
      <c r="D829" s="84"/>
      <c r="E829" s="58"/>
      <c r="F829" s="84"/>
      <c r="G829" s="58"/>
      <c r="H829" s="84"/>
      <c r="I829" s="58"/>
      <c r="J829" s="84"/>
      <c r="K829" s="58"/>
      <c r="L829" s="84"/>
      <c r="M829" s="58"/>
      <c r="N829" s="84"/>
      <c r="O829" s="58"/>
      <c r="P829" s="84"/>
      <c r="Q829" s="58"/>
      <c r="R829" s="84"/>
    </row>
    <row r="830">
      <c r="A830" s="58"/>
      <c r="B830" s="84"/>
      <c r="C830" s="58"/>
      <c r="D830" s="84"/>
      <c r="E830" s="58"/>
      <c r="F830" s="84"/>
      <c r="G830" s="58"/>
      <c r="H830" s="84"/>
      <c r="I830" s="58"/>
      <c r="J830" s="84"/>
      <c r="K830" s="58"/>
      <c r="L830" s="84"/>
      <c r="M830" s="58"/>
      <c r="N830" s="84"/>
      <c r="O830" s="58"/>
      <c r="P830" s="84"/>
      <c r="Q830" s="58"/>
      <c r="R830" s="84"/>
    </row>
    <row r="831">
      <c r="A831" s="58"/>
      <c r="B831" s="84"/>
      <c r="C831" s="58"/>
      <c r="D831" s="84"/>
      <c r="E831" s="58"/>
      <c r="F831" s="84"/>
      <c r="G831" s="58"/>
      <c r="H831" s="84"/>
      <c r="I831" s="58"/>
      <c r="J831" s="84"/>
      <c r="K831" s="58"/>
      <c r="L831" s="84"/>
      <c r="M831" s="58"/>
      <c r="N831" s="84"/>
      <c r="O831" s="58"/>
      <c r="P831" s="84"/>
      <c r="Q831" s="58"/>
      <c r="R831" s="84"/>
    </row>
    <row r="832">
      <c r="A832" s="58"/>
      <c r="B832" s="84"/>
      <c r="C832" s="58"/>
      <c r="D832" s="84"/>
      <c r="E832" s="58"/>
      <c r="F832" s="84"/>
      <c r="G832" s="58"/>
      <c r="H832" s="84"/>
      <c r="I832" s="58"/>
      <c r="J832" s="84"/>
      <c r="K832" s="58"/>
      <c r="L832" s="84"/>
      <c r="M832" s="58"/>
      <c r="N832" s="84"/>
      <c r="O832" s="58"/>
      <c r="P832" s="84"/>
      <c r="Q832" s="58"/>
      <c r="R832" s="84"/>
    </row>
    <row r="833">
      <c r="A833" s="58"/>
      <c r="B833" s="84"/>
      <c r="C833" s="58"/>
      <c r="D833" s="84"/>
      <c r="E833" s="58"/>
      <c r="F833" s="84"/>
      <c r="G833" s="58"/>
      <c r="H833" s="84"/>
      <c r="I833" s="58"/>
      <c r="J833" s="84"/>
      <c r="K833" s="58"/>
      <c r="L833" s="84"/>
      <c r="M833" s="58"/>
      <c r="N833" s="84"/>
      <c r="O833" s="58"/>
      <c r="P833" s="84"/>
      <c r="Q833" s="58"/>
      <c r="R833" s="84"/>
    </row>
    <row r="834">
      <c r="A834" s="58"/>
      <c r="B834" s="84"/>
      <c r="C834" s="58"/>
      <c r="D834" s="84"/>
      <c r="E834" s="58"/>
      <c r="F834" s="84"/>
      <c r="G834" s="58"/>
      <c r="H834" s="84"/>
      <c r="I834" s="58"/>
      <c r="J834" s="84"/>
      <c r="K834" s="58"/>
      <c r="L834" s="84"/>
      <c r="M834" s="58"/>
      <c r="N834" s="84"/>
      <c r="O834" s="58"/>
      <c r="P834" s="84"/>
      <c r="Q834" s="58"/>
      <c r="R834" s="84"/>
    </row>
    <row r="835">
      <c r="A835" s="58"/>
      <c r="B835" s="84"/>
      <c r="C835" s="58"/>
      <c r="D835" s="84"/>
      <c r="E835" s="58"/>
      <c r="F835" s="84"/>
      <c r="G835" s="58"/>
      <c r="H835" s="84"/>
      <c r="I835" s="58"/>
      <c r="J835" s="84"/>
      <c r="K835" s="58"/>
      <c r="L835" s="84"/>
      <c r="M835" s="58"/>
      <c r="N835" s="84"/>
      <c r="O835" s="58"/>
      <c r="P835" s="84"/>
      <c r="Q835" s="58"/>
      <c r="R835" s="84"/>
    </row>
    <row r="836">
      <c r="A836" s="58"/>
      <c r="B836" s="84"/>
      <c r="C836" s="58"/>
      <c r="D836" s="84"/>
      <c r="E836" s="58"/>
      <c r="F836" s="84"/>
      <c r="G836" s="58"/>
      <c r="H836" s="84"/>
      <c r="I836" s="58"/>
      <c r="J836" s="84"/>
      <c r="K836" s="58"/>
      <c r="L836" s="84"/>
      <c r="M836" s="58"/>
      <c r="N836" s="84"/>
      <c r="O836" s="58"/>
      <c r="P836" s="84"/>
      <c r="Q836" s="58"/>
      <c r="R836" s="84"/>
    </row>
    <row r="837">
      <c r="A837" s="58"/>
      <c r="B837" s="84"/>
      <c r="C837" s="58"/>
      <c r="D837" s="84"/>
      <c r="E837" s="58"/>
      <c r="F837" s="84"/>
      <c r="G837" s="58"/>
      <c r="H837" s="84"/>
      <c r="I837" s="58"/>
      <c r="J837" s="84"/>
      <c r="K837" s="58"/>
      <c r="L837" s="84"/>
      <c r="M837" s="58"/>
      <c r="N837" s="84"/>
      <c r="O837" s="58"/>
      <c r="P837" s="84"/>
      <c r="Q837" s="58"/>
      <c r="R837" s="84"/>
    </row>
    <row r="838">
      <c r="A838" s="58"/>
      <c r="B838" s="84"/>
      <c r="C838" s="58"/>
      <c r="D838" s="84"/>
      <c r="E838" s="58"/>
      <c r="F838" s="84"/>
      <c r="G838" s="58"/>
      <c r="H838" s="84"/>
      <c r="I838" s="58"/>
      <c r="J838" s="84"/>
      <c r="K838" s="58"/>
      <c r="L838" s="84"/>
      <c r="M838" s="58"/>
      <c r="N838" s="84"/>
      <c r="O838" s="58"/>
      <c r="P838" s="84"/>
      <c r="Q838" s="58"/>
      <c r="R838" s="84"/>
    </row>
    <row r="839">
      <c r="A839" s="58"/>
      <c r="B839" s="84"/>
      <c r="C839" s="58"/>
      <c r="D839" s="84"/>
      <c r="E839" s="58"/>
      <c r="F839" s="84"/>
      <c r="G839" s="58"/>
      <c r="H839" s="84"/>
      <c r="I839" s="58"/>
      <c r="J839" s="84"/>
      <c r="K839" s="58"/>
      <c r="L839" s="84"/>
      <c r="M839" s="58"/>
      <c r="N839" s="84"/>
      <c r="O839" s="58"/>
      <c r="P839" s="84"/>
      <c r="Q839" s="58"/>
      <c r="R839" s="84"/>
    </row>
    <row r="840">
      <c r="A840" s="58"/>
      <c r="B840" s="84"/>
      <c r="C840" s="58"/>
      <c r="D840" s="84"/>
      <c r="E840" s="58"/>
      <c r="F840" s="84"/>
      <c r="G840" s="58"/>
      <c r="H840" s="84"/>
      <c r="I840" s="58"/>
      <c r="J840" s="84"/>
      <c r="K840" s="58"/>
      <c r="L840" s="84"/>
      <c r="M840" s="58"/>
      <c r="N840" s="84"/>
      <c r="O840" s="58"/>
      <c r="P840" s="84"/>
      <c r="Q840" s="58"/>
      <c r="R840" s="84"/>
    </row>
    <row r="841">
      <c r="A841" s="58"/>
      <c r="B841" s="84"/>
      <c r="C841" s="58"/>
      <c r="D841" s="84"/>
      <c r="E841" s="58"/>
      <c r="F841" s="84"/>
      <c r="G841" s="58"/>
      <c r="H841" s="84"/>
      <c r="I841" s="58"/>
      <c r="J841" s="84"/>
      <c r="K841" s="58"/>
      <c r="L841" s="84"/>
      <c r="M841" s="58"/>
      <c r="N841" s="84"/>
      <c r="O841" s="58"/>
      <c r="P841" s="84"/>
      <c r="Q841" s="58"/>
      <c r="R841" s="84"/>
    </row>
    <row r="842">
      <c r="A842" s="58"/>
      <c r="B842" s="84"/>
      <c r="C842" s="58"/>
      <c r="D842" s="84"/>
      <c r="E842" s="58"/>
      <c r="F842" s="84"/>
      <c r="G842" s="58"/>
      <c r="H842" s="84"/>
      <c r="I842" s="58"/>
      <c r="J842" s="84"/>
      <c r="K842" s="58"/>
      <c r="L842" s="84"/>
      <c r="M842" s="58"/>
      <c r="N842" s="84"/>
      <c r="O842" s="58"/>
      <c r="P842" s="84"/>
      <c r="Q842" s="58"/>
      <c r="R842" s="84"/>
    </row>
    <row r="843">
      <c r="A843" s="58"/>
      <c r="B843" s="84"/>
      <c r="C843" s="58"/>
      <c r="D843" s="84"/>
      <c r="E843" s="58"/>
      <c r="F843" s="84"/>
      <c r="G843" s="58"/>
      <c r="H843" s="84"/>
      <c r="I843" s="58"/>
      <c r="J843" s="84"/>
      <c r="K843" s="58"/>
      <c r="L843" s="84"/>
      <c r="M843" s="58"/>
      <c r="N843" s="84"/>
      <c r="O843" s="58"/>
      <c r="P843" s="84"/>
      <c r="Q843" s="58"/>
      <c r="R843" s="84"/>
    </row>
    <row r="844">
      <c r="A844" s="58"/>
      <c r="B844" s="84"/>
      <c r="C844" s="58"/>
      <c r="D844" s="84"/>
      <c r="E844" s="58"/>
      <c r="F844" s="84"/>
      <c r="G844" s="58"/>
      <c r="H844" s="84"/>
      <c r="I844" s="58"/>
      <c r="J844" s="84"/>
      <c r="K844" s="58"/>
      <c r="L844" s="84"/>
      <c r="M844" s="58"/>
      <c r="N844" s="84"/>
      <c r="O844" s="58"/>
      <c r="P844" s="84"/>
      <c r="Q844" s="58"/>
      <c r="R844" s="84"/>
    </row>
    <row r="845">
      <c r="A845" s="58"/>
      <c r="B845" s="84"/>
      <c r="C845" s="58"/>
      <c r="D845" s="84"/>
      <c r="E845" s="58"/>
      <c r="F845" s="84"/>
      <c r="G845" s="58"/>
      <c r="H845" s="84"/>
      <c r="I845" s="58"/>
      <c r="J845" s="84"/>
      <c r="K845" s="58"/>
      <c r="L845" s="84"/>
      <c r="M845" s="58"/>
      <c r="N845" s="84"/>
      <c r="O845" s="58"/>
      <c r="P845" s="84"/>
      <c r="Q845" s="58"/>
      <c r="R845" s="84"/>
    </row>
    <row r="846">
      <c r="A846" s="58"/>
      <c r="B846" s="84"/>
      <c r="C846" s="58"/>
      <c r="D846" s="84"/>
      <c r="E846" s="58"/>
      <c r="F846" s="84"/>
      <c r="G846" s="58"/>
      <c r="H846" s="84"/>
      <c r="I846" s="58"/>
      <c r="J846" s="84"/>
      <c r="K846" s="58"/>
      <c r="L846" s="84"/>
      <c r="M846" s="58"/>
      <c r="N846" s="84"/>
      <c r="O846" s="58"/>
      <c r="P846" s="84"/>
      <c r="Q846" s="58"/>
      <c r="R846" s="84"/>
    </row>
    <row r="847">
      <c r="A847" s="58"/>
      <c r="B847" s="84"/>
      <c r="C847" s="58"/>
      <c r="D847" s="84"/>
      <c r="E847" s="58"/>
      <c r="F847" s="84"/>
      <c r="G847" s="58"/>
      <c r="H847" s="84"/>
      <c r="I847" s="58"/>
      <c r="J847" s="84"/>
      <c r="K847" s="58"/>
      <c r="L847" s="84"/>
      <c r="M847" s="58"/>
      <c r="N847" s="84"/>
      <c r="O847" s="58"/>
      <c r="P847" s="84"/>
      <c r="Q847" s="58"/>
      <c r="R847" s="84"/>
    </row>
    <row r="848">
      <c r="A848" s="58"/>
      <c r="B848" s="84"/>
      <c r="C848" s="58"/>
      <c r="D848" s="84"/>
      <c r="E848" s="58"/>
      <c r="F848" s="84"/>
      <c r="G848" s="58"/>
      <c r="H848" s="84"/>
      <c r="I848" s="58"/>
      <c r="J848" s="84"/>
      <c r="K848" s="58"/>
      <c r="L848" s="84"/>
      <c r="M848" s="58"/>
      <c r="N848" s="84"/>
      <c r="O848" s="58"/>
      <c r="P848" s="84"/>
      <c r="Q848" s="58"/>
      <c r="R848" s="84"/>
    </row>
    <row r="849">
      <c r="A849" s="58"/>
      <c r="B849" s="84"/>
      <c r="C849" s="58"/>
      <c r="D849" s="84"/>
      <c r="E849" s="58"/>
      <c r="F849" s="84"/>
      <c r="G849" s="58"/>
      <c r="H849" s="84"/>
      <c r="I849" s="58"/>
      <c r="J849" s="84"/>
      <c r="K849" s="58"/>
      <c r="L849" s="84"/>
      <c r="M849" s="58"/>
      <c r="N849" s="84"/>
      <c r="O849" s="58"/>
      <c r="P849" s="84"/>
      <c r="Q849" s="58"/>
      <c r="R849" s="84"/>
    </row>
    <row r="850">
      <c r="A850" s="58"/>
      <c r="B850" s="84"/>
      <c r="C850" s="58"/>
      <c r="D850" s="84"/>
      <c r="E850" s="58"/>
      <c r="F850" s="84"/>
      <c r="G850" s="58"/>
      <c r="H850" s="84"/>
      <c r="I850" s="58"/>
      <c r="J850" s="84"/>
      <c r="K850" s="58"/>
      <c r="L850" s="84"/>
      <c r="M850" s="58"/>
      <c r="N850" s="84"/>
      <c r="O850" s="58"/>
      <c r="P850" s="84"/>
      <c r="Q850" s="58"/>
      <c r="R850" s="84"/>
    </row>
    <row r="851">
      <c r="A851" s="58"/>
      <c r="B851" s="84"/>
      <c r="C851" s="58"/>
      <c r="D851" s="84"/>
      <c r="E851" s="58"/>
      <c r="F851" s="84"/>
      <c r="G851" s="58"/>
      <c r="H851" s="84"/>
      <c r="I851" s="58"/>
      <c r="J851" s="84"/>
      <c r="K851" s="58"/>
      <c r="L851" s="84"/>
      <c r="M851" s="58"/>
      <c r="N851" s="84"/>
      <c r="O851" s="58"/>
      <c r="P851" s="84"/>
      <c r="Q851" s="58"/>
      <c r="R851" s="84"/>
    </row>
    <row r="852">
      <c r="A852" s="58"/>
      <c r="B852" s="84"/>
      <c r="C852" s="58"/>
      <c r="D852" s="84"/>
      <c r="E852" s="58"/>
      <c r="F852" s="84"/>
      <c r="G852" s="58"/>
      <c r="H852" s="84"/>
      <c r="I852" s="58"/>
      <c r="J852" s="84"/>
      <c r="K852" s="58"/>
      <c r="L852" s="84"/>
      <c r="M852" s="58"/>
      <c r="N852" s="84"/>
      <c r="O852" s="58"/>
      <c r="P852" s="84"/>
      <c r="Q852" s="58"/>
      <c r="R852" s="84"/>
    </row>
    <row r="853">
      <c r="A853" s="58"/>
      <c r="B853" s="84"/>
      <c r="C853" s="58"/>
      <c r="D853" s="84"/>
      <c r="E853" s="58"/>
      <c r="F853" s="84"/>
      <c r="G853" s="58"/>
      <c r="H853" s="84"/>
      <c r="I853" s="58"/>
      <c r="J853" s="84"/>
      <c r="K853" s="58"/>
      <c r="L853" s="84"/>
      <c r="M853" s="58"/>
      <c r="N853" s="84"/>
      <c r="O853" s="58"/>
      <c r="P853" s="84"/>
      <c r="Q853" s="58"/>
      <c r="R853" s="84"/>
    </row>
    <row r="854">
      <c r="A854" s="58"/>
      <c r="B854" s="84"/>
      <c r="C854" s="58"/>
      <c r="D854" s="84"/>
      <c r="E854" s="58"/>
      <c r="F854" s="84"/>
      <c r="G854" s="58"/>
      <c r="H854" s="84"/>
      <c r="I854" s="58"/>
      <c r="J854" s="84"/>
      <c r="K854" s="58"/>
      <c r="L854" s="84"/>
      <c r="M854" s="58"/>
      <c r="N854" s="84"/>
      <c r="O854" s="58"/>
      <c r="P854" s="84"/>
      <c r="Q854" s="58"/>
      <c r="R854" s="84"/>
    </row>
    <row r="855">
      <c r="A855" s="58"/>
      <c r="B855" s="84"/>
      <c r="C855" s="58"/>
      <c r="D855" s="84"/>
      <c r="E855" s="58"/>
      <c r="F855" s="84"/>
      <c r="G855" s="58"/>
      <c r="H855" s="84"/>
      <c r="I855" s="58"/>
      <c r="J855" s="84"/>
      <c r="K855" s="58"/>
      <c r="L855" s="84"/>
      <c r="M855" s="58"/>
      <c r="N855" s="84"/>
      <c r="O855" s="58"/>
      <c r="P855" s="84"/>
      <c r="Q855" s="58"/>
      <c r="R855" s="84"/>
    </row>
    <row r="856">
      <c r="A856" s="58"/>
      <c r="B856" s="84"/>
      <c r="C856" s="58"/>
      <c r="D856" s="84"/>
      <c r="E856" s="58"/>
      <c r="F856" s="84"/>
      <c r="G856" s="58"/>
      <c r="H856" s="84"/>
      <c r="I856" s="58"/>
      <c r="J856" s="84"/>
      <c r="K856" s="58"/>
      <c r="L856" s="84"/>
      <c r="M856" s="58"/>
      <c r="N856" s="84"/>
      <c r="O856" s="58"/>
      <c r="P856" s="84"/>
      <c r="Q856" s="58"/>
      <c r="R856" s="84"/>
    </row>
    <row r="857">
      <c r="A857" s="58"/>
      <c r="B857" s="84"/>
      <c r="C857" s="58"/>
      <c r="D857" s="84"/>
      <c r="E857" s="58"/>
      <c r="F857" s="84"/>
      <c r="G857" s="58"/>
      <c r="H857" s="84"/>
      <c r="I857" s="58"/>
      <c r="J857" s="84"/>
      <c r="K857" s="58"/>
      <c r="L857" s="84"/>
      <c r="M857" s="58"/>
      <c r="N857" s="84"/>
      <c r="O857" s="58"/>
      <c r="P857" s="84"/>
      <c r="Q857" s="58"/>
      <c r="R857" s="84"/>
    </row>
    <row r="858">
      <c r="A858" s="58"/>
      <c r="B858" s="84"/>
      <c r="C858" s="58"/>
      <c r="D858" s="84"/>
      <c r="E858" s="58"/>
      <c r="F858" s="84"/>
      <c r="G858" s="58"/>
      <c r="H858" s="84"/>
      <c r="I858" s="58"/>
      <c r="J858" s="84"/>
      <c r="K858" s="58"/>
      <c r="L858" s="84"/>
      <c r="M858" s="58"/>
      <c r="N858" s="84"/>
      <c r="O858" s="58"/>
      <c r="P858" s="84"/>
      <c r="Q858" s="58"/>
      <c r="R858" s="84"/>
    </row>
    <row r="859">
      <c r="A859" s="58"/>
      <c r="B859" s="84"/>
      <c r="C859" s="58"/>
      <c r="D859" s="84"/>
      <c r="E859" s="58"/>
      <c r="F859" s="84"/>
      <c r="G859" s="58"/>
      <c r="H859" s="84"/>
      <c r="I859" s="58"/>
      <c r="J859" s="84"/>
      <c r="K859" s="58"/>
      <c r="L859" s="84"/>
      <c r="M859" s="58"/>
      <c r="N859" s="84"/>
      <c r="O859" s="58"/>
      <c r="P859" s="84"/>
      <c r="Q859" s="58"/>
      <c r="R859" s="84"/>
    </row>
    <row r="860">
      <c r="A860" s="58"/>
      <c r="B860" s="84"/>
      <c r="C860" s="58"/>
      <c r="D860" s="84"/>
      <c r="E860" s="58"/>
      <c r="F860" s="84"/>
      <c r="G860" s="58"/>
      <c r="H860" s="84"/>
      <c r="I860" s="58"/>
      <c r="J860" s="84"/>
      <c r="K860" s="58"/>
      <c r="L860" s="84"/>
      <c r="M860" s="58"/>
      <c r="N860" s="84"/>
      <c r="O860" s="58"/>
      <c r="P860" s="84"/>
      <c r="Q860" s="58"/>
      <c r="R860" s="84"/>
    </row>
    <row r="861">
      <c r="A861" s="58"/>
      <c r="B861" s="84"/>
      <c r="C861" s="58"/>
      <c r="D861" s="84"/>
      <c r="E861" s="58"/>
      <c r="F861" s="84"/>
      <c r="G861" s="58"/>
      <c r="H861" s="84"/>
      <c r="I861" s="58"/>
      <c r="J861" s="84"/>
      <c r="K861" s="58"/>
      <c r="L861" s="84"/>
      <c r="M861" s="58"/>
      <c r="N861" s="84"/>
      <c r="O861" s="58"/>
      <c r="P861" s="84"/>
      <c r="Q861" s="58"/>
      <c r="R861" s="84"/>
    </row>
    <row r="862">
      <c r="A862" s="58"/>
      <c r="B862" s="84"/>
      <c r="C862" s="58"/>
      <c r="D862" s="84"/>
      <c r="E862" s="58"/>
      <c r="F862" s="84"/>
      <c r="G862" s="58"/>
      <c r="H862" s="84"/>
      <c r="I862" s="58"/>
      <c r="J862" s="84"/>
      <c r="K862" s="58"/>
      <c r="L862" s="84"/>
      <c r="M862" s="58"/>
      <c r="N862" s="84"/>
      <c r="O862" s="58"/>
      <c r="P862" s="84"/>
      <c r="Q862" s="58"/>
      <c r="R862" s="84"/>
    </row>
    <row r="863">
      <c r="A863" s="58"/>
      <c r="B863" s="84"/>
      <c r="C863" s="58"/>
      <c r="D863" s="84"/>
      <c r="E863" s="58"/>
      <c r="F863" s="84"/>
      <c r="G863" s="58"/>
      <c r="H863" s="84"/>
      <c r="I863" s="58"/>
      <c r="J863" s="84"/>
      <c r="K863" s="58"/>
      <c r="L863" s="84"/>
      <c r="M863" s="58"/>
      <c r="N863" s="84"/>
      <c r="O863" s="58"/>
      <c r="P863" s="84"/>
      <c r="Q863" s="58"/>
      <c r="R863" s="84"/>
    </row>
    <row r="864">
      <c r="A864" s="58"/>
      <c r="B864" s="84"/>
      <c r="C864" s="58"/>
      <c r="D864" s="84"/>
      <c r="E864" s="58"/>
      <c r="F864" s="84"/>
      <c r="G864" s="58"/>
      <c r="H864" s="84"/>
      <c r="I864" s="58"/>
      <c r="J864" s="84"/>
      <c r="K864" s="58"/>
      <c r="L864" s="84"/>
      <c r="M864" s="58"/>
      <c r="N864" s="84"/>
      <c r="O864" s="58"/>
      <c r="P864" s="84"/>
      <c r="Q864" s="58"/>
      <c r="R864" s="84"/>
    </row>
    <row r="865">
      <c r="A865" s="58"/>
      <c r="B865" s="84"/>
      <c r="C865" s="58"/>
      <c r="D865" s="84"/>
      <c r="E865" s="58"/>
      <c r="F865" s="84"/>
      <c r="G865" s="58"/>
      <c r="H865" s="84"/>
      <c r="I865" s="58"/>
      <c r="J865" s="84"/>
      <c r="K865" s="58"/>
      <c r="L865" s="84"/>
      <c r="M865" s="58"/>
      <c r="N865" s="84"/>
      <c r="O865" s="58"/>
      <c r="P865" s="84"/>
      <c r="Q865" s="58"/>
      <c r="R865" s="84"/>
    </row>
    <row r="866">
      <c r="A866" s="58"/>
      <c r="B866" s="84"/>
      <c r="C866" s="58"/>
      <c r="D866" s="84"/>
      <c r="E866" s="58"/>
      <c r="F866" s="84"/>
      <c r="G866" s="58"/>
      <c r="H866" s="84"/>
      <c r="I866" s="58"/>
      <c r="J866" s="84"/>
      <c r="K866" s="58"/>
      <c r="L866" s="84"/>
      <c r="M866" s="58"/>
      <c r="N866" s="84"/>
      <c r="O866" s="58"/>
      <c r="P866" s="84"/>
      <c r="Q866" s="58"/>
      <c r="R866" s="84"/>
    </row>
    <row r="867">
      <c r="A867" s="58"/>
      <c r="B867" s="84"/>
      <c r="C867" s="58"/>
      <c r="D867" s="84"/>
      <c r="E867" s="58"/>
      <c r="F867" s="84"/>
      <c r="G867" s="58"/>
      <c r="H867" s="84"/>
      <c r="I867" s="58"/>
      <c r="J867" s="84"/>
      <c r="K867" s="58"/>
      <c r="L867" s="84"/>
      <c r="M867" s="58"/>
      <c r="N867" s="84"/>
      <c r="O867" s="58"/>
      <c r="P867" s="84"/>
      <c r="Q867" s="58"/>
      <c r="R867" s="84"/>
    </row>
    <row r="868">
      <c r="A868" s="58"/>
      <c r="B868" s="84"/>
      <c r="C868" s="58"/>
      <c r="D868" s="84"/>
      <c r="E868" s="58"/>
      <c r="F868" s="84"/>
      <c r="G868" s="58"/>
      <c r="H868" s="84"/>
      <c r="I868" s="58"/>
      <c r="J868" s="84"/>
      <c r="K868" s="58"/>
      <c r="L868" s="84"/>
      <c r="M868" s="58"/>
      <c r="N868" s="84"/>
      <c r="O868" s="58"/>
      <c r="P868" s="84"/>
      <c r="Q868" s="58"/>
      <c r="R868" s="84"/>
    </row>
    <row r="869">
      <c r="A869" s="58"/>
      <c r="B869" s="84"/>
      <c r="C869" s="58"/>
      <c r="D869" s="84"/>
      <c r="E869" s="58"/>
      <c r="F869" s="84"/>
      <c r="G869" s="58"/>
      <c r="H869" s="84"/>
      <c r="I869" s="58"/>
      <c r="J869" s="84"/>
      <c r="K869" s="58"/>
      <c r="L869" s="84"/>
      <c r="M869" s="58"/>
      <c r="N869" s="84"/>
      <c r="O869" s="58"/>
      <c r="P869" s="84"/>
      <c r="Q869" s="58"/>
      <c r="R869" s="84"/>
    </row>
    <row r="870">
      <c r="A870" s="58"/>
      <c r="B870" s="84"/>
      <c r="C870" s="58"/>
      <c r="D870" s="84"/>
      <c r="E870" s="58"/>
      <c r="F870" s="84"/>
      <c r="G870" s="58"/>
      <c r="H870" s="84"/>
      <c r="I870" s="58"/>
      <c r="J870" s="84"/>
      <c r="K870" s="58"/>
      <c r="L870" s="84"/>
      <c r="M870" s="58"/>
      <c r="N870" s="84"/>
      <c r="O870" s="58"/>
      <c r="P870" s="84"/>
      <c r="Q870" s="58"/>
      <c r="R870" s="84"/>
    </row>
    <row r="871">
      <c r="A871" s="58"/>
      <c r="B871" s="84"/>
      <c r="C871" s="58"/>
      <c r="D871" s="84"/>
      <c r="E871" s="58"/>
      <c r="F871" s="84"/>
      <c r="G871" s="58"/>
      <c r="H871" s="84"/>
      <c r="I871" s="58"/>
      <c r="J871" s="84"/>
      <c r="K871" s="58"/>
      <c r="L871" s="84"/>
      <c r="M871" s="58"/>
      <c r="N871" s="84"/>
      <c r="O871" s="58"/>
      <c r="P871" s="84"/>
      <c r="Q871" s="58"/>
      <c r="R871" s="84"/>
    </row>
    <row r="872">
      <c r="A872" s="58"/>
      <c r="B872" s="84"/>
      <c r="C872" s="58"/>
      <c r="D872" s="84"/>
      <c r="E872" s="58"/>
      <c r="F872" s="84"/>
      <c r="G872" s="58"/>
      <c r="H872" s="84"/>
      <c r="I872" s="58"/>
      <c r="J872" s="84"/>
      <c r="K872" s="58"/>
      <c r="L872" s="84"/>
      <c r="M872" s="58"/>
      <c r="N872" s="84"/>
      <c r="O872" s="58"/>
      <c r="P872" s="84"/>
      <c r="Q872" s="58"/>
      <c r="R872" s="84"/>
    </row>
    <row r="873">
      <c r="A873" s="58"/>
      <c r="B873" s="84"/>
      <c r="C873" s="58"/>
      <c r="D873" s="84"/>
      <c r="E873" s="58"/>
      <c r="F873" s="84"/>
      <c r="G873" s="58"/>
      <c r="H873" s="84"/>
      <c r="I873" s="58"/>
      <c r="J873" s="84"/>
      <c r="K873" s="58"/>
      <c r="L873" s="84"/>
      <c r="M873" s="58"/>
      <c r="N873" s="84"/>
      <c r="O873" s="58"/>
      <c r="P873" s="84"/>
      <c r="Q873" s="58"/>
      <c r="R873" s="84"/>
    </row>
    <row r="874">
      <c r="A874" s="58"/>
      <c r="B874" s="84"/>
      <c r="C874" s="58"/>
      <c r="D874" s="84"/>
      <c r="E874" s="58"/>
      <c r="F874" s="84"/>
      <c r="G874" s="58"/>
      <c r="H874" s="84"/>
      <c r="I874" s="58"/>
      <c r="J874" s="84"/>
      <c r="K874" s="58"/>
      <c r="L874" s="84"/>
      <c r="M874" s="58"/>
      <c r="N874" s="84"/>
      <c r="O874" s="58"/>
      <c r="P874" s="84"/>
      <c r="Q874" s="58"/>
      <c r="R874" s="84"/>
    </row>
    <row r="875">
      <c r="A875" s="58"/>
      <c r="B875" s="84"/>
      <c r="C875" s="58"/>
      <c r="D875" s="84"/>
      <c r="E875" s="58"/>
      <c r="F875" s="84"/>
      <c r="G875" s="58"/>
      <c r="H875" s="84"/>
      <c r="I875" s="58"/>
      <c r="J875" s="84"/>
      <c r="K875" s="58"/>
      <c r="L875" s="84"/>
      <c r="M875" s="58"/>
      <c r="N875" s="84"/>
      <c r="O875" s="58"/>
      <c r="P875" s="84"/>
      <c r="Q875" s="58"/>
      <c r="R875" s="84"/>
    </row>
    <row r="876">
      <c r="A876" s="58"/>
      <c r="B876" s="84"/>
      <c r="C876" s="58"/>
      <c r="D876" s="84"/>
      <c r="E876" s="58"/>
      <c r="F876" s="84"/>
      <c r="G876" s="58"/>
      <c r="H876" s="84"/>
      <c r="I876" s="58"/>
      <c r="J876" s="84"/>
      <c r="K876" s="58"/>
      <c r="L876" s="84"/>
      <c r="M876" s="58"/>
      <c r="N876" s="84"/>
      <c r="O876" s="58"/>
      <c r="P876" s="84"/>
      <c r="Q876" s="58"/>
      <c r="R876" s="84"/>
    </row>
    <row r="877">
      <c r="A877" s="58"/>
      <c r="B877" s="84"/>
      <c r="C877" s="58"/>
      <c r="D877" s="84"/>
      <c r="E877" s="58"/>
      <c r="F877" s="84"/>
      <c r="G877" s="58"/>
      <c r="H877" s="84"/>
      <c r="I877" s="58"/>
      <c r="J877" s="84"/>
      <c r="K877" s="58"/>
      <c r="L877" s="84"/>
      <c r="M877" s="58"/>
      <c r="N877" s="84"/>
      <c r="O877" s="58"/>
      <c r="P877" s="84"/>
      <c r="Q877" s="58"/>
      <c r="R877" s="84"/>
    </row>
    <row r="878">
      <c r="A878" s="58"/>
      <c r="B878" s="84"/>
      <c r="C878" s="58"/>
      <c r="D878" s="84"/>
      <c r="E878" s="58"/>
      <c r="F878" s="84"/>
      <c r="G878" s="58"/>
      <c r="H878" s="84"/>
      <c r="I878" s="58"/>
      <c r="J878" s="84"/>
      <c r="K878" s="58"/>
      <c r="L878" s="84"/>
      <c r="M878" s="58"/>
      <c r="N878" s="84"/>
      <c r="O878" s="58"/>
      <c r="P878" s="84"/>
      <c r="Q878" s="58"/>
      <c r="R878" s="84"/>
    </row>
    <row r="879">
      <c r="A879" s="58"/>
      <c r="B879" s="84"/>
      <c r="C879" s="58"/>
      <c r="D879" s="84"/>
      <c r="E879" s="58"/>
      <c r="F879" s="84"/>
      <c r="G879" s="58"/>
      <c r="H879" s="84"/>
      <c r="I879" s="58"/>
      <c r="J879" s="84"/>
      <c r="K879" s="58"/>
      <c r="L879" s="84"/>
      <c r="M879" s="58"/>
      <c r="N879" s="84"/>
      <c r="O879" s="58"/>
      <c r="P879" s="84"/>
      <c r="Q879" s="58"/>
      <c r="R879" s="84"/>
    </row>
    <row r="880">
      <c r="A880" s="58"/>
      <c r="B880" s="84"/>
      <c r="C880" s="58"/>
      <c r="D880" s="84"/>
      <c r="E880" s="58"/>
      <c r="F880" s="84"/>
      <c r="G880" s="58"/>
      <c r="H880" s="84"/>
      <c r="I880" s="58"/>
      <c r="J880" s="84"/>
      <c r="K880" s="58"/>
      <c r="L880" s="84"/>
      <c r="M880" s="58"/>
      <c r="N880" s="84"/>
      <c r="O880" s="58"/>
      <c r="P880" s="84"/>
      <c r="Q880" s="58"/>
      <c r="R880" s="84"/>
    </row>
    <row r="881">
      <c r="A881" s="58"/>
      <c r="B881" s="84"/>
      <c r="C881" s="58"/>
      <c r="D881" s="84"/>
      <c r="E881" s="58"/>
      <c r="F881" s="84"/>
      <c r="G881" s="58"/>
      <c r="H881" s="84"/>
      <c r="I881" s="58"/>
      <c r="J881" s="84"/>
      <c r="K881" s="58"/>
      <c r="L881" s="84"/>
      <c r="M881" s="58"/>
      <c r="N881" s="84"/>
      <c r="O881" s="58"/>
      <c r="P881" s="84"/>
      <c r="Q881" s="58"/>
      <c r="R881" s="84"/>
    </row>
    <row r="882">
      <c r="A882" s="58"/>
      <c r="B882" s="84"/>
      <c r="C882" s="58"/>
      <c r="D882" s="84"/>
      <c r="E882" s="58"/>
      <c r="F882" s="84"/>
      <c r="G882" s="58"/>
      <c r="H882" s="84"/>
      <c r="I882" s="58"/>
      <c r="J882" s="84"/>
      <c r="K882" s="58"/>
      <c r="L882" s="84"/>
      <c r="M882" s="58"/>
      <c r="N882" s="84"/>
      <c r="O882" s="58"/>
      <c r="P882" s="84"/>
      <c r="Q882" s="58"/>
      <c r="R882" s="84"/>
    </row>
    <row r="883">
      <c r="A883" s="58"/>
      <c r="B883" s="84"/>
      <c r="C883" s="58"/>
      <c r="D883" s="84"/>
      <c r="E883" s="58"/>
      <c r="F883" s="84"/>
      <c r="G883" s="58"/>
      <c r="H883" s="84"/>
      <c r="I883" s="58"/>
      <c r="J883" s="84"/>
      <c r="K883" s="58"/>
      <c r="L883" s="84"/>
      <c r="M883" s="58"/>
      <c r="N883" s="84"/>
      <c r="O883" s="58"/>
      <c r="P883" s="84"/>
      <c r="Q883" s="58"/>
      <c r="R883" s="84"/>
    </row>
    <row r="884">
      <c r="A884" s="58"/>
      <c r="B884" s="84"/>
      <c r="C884" s="58"/>
      <c r="D884" s="84"/>
      <c r="E884" s="58"/>
      <c r="F884" s="84"/>
      <c r="G884" s="58"/>
      <c r="H884" s="84"/>
      <c r="I884" s="58"/>
      <c r="J884" s="84"/>
      <c r="K884" s="58"/>
      <c r="L884" s="84"/>
      <c r="M884" s="58"/>
      <c r="N884" s="84"/>
      <c r="O884" s="58"/>
      <c r="P884" s="84"/>
      <c r="Q884" s="58"/>
      <c r="R884" s="84"/>
    </row>
    <row r="885">
      <c r="A885" s="58"/>
      <c r="B885" s="84"/>
      <c r="C885" s="58"/>
      <c r="D885" s="84"/>
      <c r="E885" s="58"/>
      <c r="F885" s="84"/>
      <c r="G885" s="58"/>
      <c r="H885" s="84"/>
      <c r="I885" s="58"/>
      <c r="J885" s="84"/>
      <c r="K885" s="58"/>
      <c r="L885" s="84"/>
      <c r="M885" s="58"/>
      <c r="N885" s="84"/>
      <c r="O885" s="58"/>
      <c r="P885" s="84"/>
      <c r="Q885" s="58"/>
      <c r="R885" s="84"/>
    </row>
    <row r="886">
      <c r="A886" s="58"/>
      <c r="B886" s="84"/>
      <c r="C886" s="58"/>
      <c r="D886" s="84"/>
      <c r="E886" s="58"/>
      <c r="F886" s="84"/>
      <c r="G886" s="58"/>
      <c r="H886" s="84"/>
      <c r="I886" s="58"/>
      <c r="J886" s="84"/>
      <c r="K886" s="58"/>
      <c r="L886" s="84"/>
      <c r="M886" s="58"/>
      <c r="N886" s="84"/>
      <c r="O886" s="58"/>
      <c r="P886" s="84"/>
      <c r="Q886" s="58"/>
      <c r="R886" s="84"/>
    </row>
    <row r="887">
      <c r="A887" s="58"/>
      <c r="B887" s="84"/>
      <c r="C887" s="58"/>
      <c r="D887" s="84"/>
      <c r="E887" s="58"/>
      <c r="F887" s="84"/>
      <c r="G887" s="58"/>
      <c r="H887" s="84"/>
      <c r="I887" s="58"/>
      <c r="J887" s="84"/>
      <c r="K887" s="58"/>
      <c r="L887" s="84"/>
      <c r="M887" s="58"/>
      <c r="N887" s="84"/>
      <c r="O887" s="58"/>
      <c r="P887" s="84"/>
      <c r="Q887" s="58"/>
      <c r="R887" s="84"/>
    </row>
    <row r="888">
      <c r="A888" s="58"/>
      <c r="B888" s="84"/>
      <c r="C888" s="58"/>
      <c r="D888" s="84"/>
      <c r="E888" s="58"/>
      <c r="F888" s="84"/>
      <c r="G888" s="58"/>
      <c r="H888" s="84"/>
      <c r="I888" s="58"/>
      <c r="J888" s="84"/>
      <c r="K888" s="58"/>
      <c r="L888" s="84"/>
      <c r="M888" s="58"/>
      <c r="N888" s="84"/>
      <c r="O888" s="58"/>
      <c r="P888" s="84"/>
      <c r="Q888" s="58"/>
      <c r="R888" s="84"/>
    </row>
    <row r="889">
      <c r="A889" s="58"/>
      <c r="B889" s="84"/>
      <c r="C889" s="58"/>
      <c r="D889" s="84"/>
      <c r="E889" s="58"/>
      <c r="F889" s="84"/>
      <c r="G889" s="58"/>
      <c r="H889" s="84"/>
      <c r="I889" s="58"/>
      <c r="J889" s="84"/>
      <c r="K889" s="58"/>
      <c r="L889" s="84"/>
      <c r="M889" s="58"/>
      <c r="N889" s="84"/>
      <c r="O889" s="58"/>
      <c r="P889" s="84"/>
      <c r="Q889" s="58"/>
      <c r="R889" s="84"/>
    </row>
    <row r="890">
      <c r="A890" s="58"/>
      <c r="B890" s="84"/>
      <c r="C890" s="58"/>
      <c r="D890" s="84"/>
      <c r="E890" s="58"/>
      <c r="F890" s="84"/>
      <c r="G890" s="58"/>
      <c r="H890" s="84"/>
      <c r="I890" s="58"/>
      <c r="J890" s="84"/>
      <c r="K890" s="58"/>
      <c r="L890" s="84"/>
      <c r="M890" s="58"/>
      <c r="N890" s="84"/>
      <c r="O890" s="58"/>
      <c r="P890" s="84"/>
      <c r="Q890" s="58"/>
      <c r="R890" s="84"/>
    </row>
    <row r="891">
      <c r="A891" s="58"/>
      <c r="B891" s="84"/>
      <c r="C891" s="58"/>
      <c r="D891" s="84"/>
      <c r="E891" s="58"/>
      <c r="F891" s="84"/>
      <c r="G891" s="58"/>
      <c r="H891" s="84"/>
      <c r="I891" s="58"/>
      <c r="J891" s="84"/>
      <c r="K891" s="58"/>
      <c r="L891" s="84"/>
      <c r="M891" s="58"/>
      <c r="N891" s="84"/>
      <c r="O891" s="58"/>
      <c r="P891" s="84"/>
      <c r="Q891" s="58"/>
      <c r="R891" s="84"/>
    </row>
    <row r="892">
      <c r="A892" s="58"/>
      <c r="B892" s="84"/>
      <c r="C892" s="58"/>
      <c r="D892" s="84"/>
      <c r="E892" s="58"/>
      <c r="F892" s="84"/>
      <c r="G892" s="58"/>
      <c r="H892" s="84"/>
      <c r="I892" s="58"/>
      <c r="J892" s="84"/>
      <c r="K892" s="58"/>
      <c r="L892" s="84"/>
      <c r="M892" s="58"/>
      <c r="N892" s="84"/>
      <c r="O892" s="58"/>
      <c r="P892" s="84"/>
      <c r="Q892" s="58"/>
      <c r="R892" s="84"/>
    </row>
    <row r="893">
      <c r="A893" s="58"/>
      <c r="B893" s="84"/>
      <c r="C893" s="58"/>
      <c r="D893" s="84"/>
      <c r="E893" s="58"/>
      <c r="F893" s="84"/>
      <c r="G893" s="58"/>
      <c r="H893" s="84"/>
      <c r="I893" s="58"/>
      <c r="J893" s="84"/>
      <c r="K893" s="58"/>
      <c r="L893" s="84"/>
      <c r="M893" s="58"/>
      <c r="N893" s="84"/>
      <c r="O893" s="58"/>
      <c r="P893" s="84"/>
      <c r="Q893" s="58"/>
      <c r="R893" s="84"/>
    </row>
    <row r="894">
      <c r="A894" s="58"/>
      <c r="B894" s="84"/>
      <c r="C894" s="58"/>
      <c r="D894" s="84"/>
      <c r="E894" s="58"/>
      <c r="F894" s="84"/>
      <c r="G894" s="58"/>
      <c r="H894" s="84"/>
      <c r="I894" s="58"/>
      <c r="J894" s="84"/>
      <c r="K894" s="58"/>
      <c r="L894" s="84"/>
      <c r="M894" s="58"/>
      <c r="N894" s="84"/>
      <c r="O894" s="58"/>
      <c r="P894" s="84"/>
      <c r="Q894" s="58"/>
      <c r="R894" s="84"/>
    </row>
    <row r="895">
      <c r="A895" s="58"/>
      <c r="B895" s="84"/>
      <c r="C895" s="58"/>
      <c r="D895" s="84"/>
      <c r="E895" s="58"/>
      <c r="F895" s="84"/>
      <c r="G895" s="58"/>
      <c r="H895" s="84"/>
      <c r="I895" s="58"/>
      <c r="J895" s="84"/>
      <c r="K895" s="58"/>
      <c r="L895" s="84"/>
      <c r="M895" s="58"/>
      <c r="N895" s="84"/>
      <c r="O895" s="58"/>
      <c r="P895" s="84"/>
      <c r="Q895" s="58"/>
      <c r="R895" s="84"/>
    </row>
    <row r="896">
      <c r="A896" s="58"/>
      <c r="B896" s="84"/>
      <c r="C896" s="58"/>
      <c r="D896" s="84"/>
      <c r="E896" s="58"/>
      <c r="F896" s="84"/>
      <c r="G896" s="58"/>
      <c r="H896" s="84"/>
      <c r="I896" s="58"/>
      <c r="J896" s="84"/>
      <c r="K896" s="58"/>
      <c r="L896" s="84"/>
      <c r="M896" s="58"/>
      <c r="N896" s="84"/>
      <c r="O896" s="58"/>
      <c r="P896" s="84"/>
      <c r="Q896" s="58"/>
      <c r="R896" s="84"/>
    </row>
    <row r="897">
      <c r="A897" s="58"/>
      <c r="B897" s="84"/>
      <c r="C897" s="58"/>
      <c r="D897" s="84"/>
      <c r="E897" s="58"/>
      <c r="F897" s="84"/>
      <c r="G897" s="58"/>
      <c r="H897" s="84"/>
      <c r="I897" s="58"/>
      <c r="J897" s="84"/>
      <c r="K897" s="58"/>
      <c r="L897" s="84"/>
      <c r="M897" s="58"/>
      <c r="N897" s="84"/>
      <c r="O897" s="58"/>
      <c r="P897" s="84"/>
      <c r="Q897" s="58"/>
      <c r="R897" s="84"/>
    </row>
    <row r="898">
      <c r="A898" s="58"/>
      <c r="B898" s="84"/>
      <c r="C898" s="58"/>
      <c r="D898" s="84"/>
      <c r="E898" s="58"/>
      <c r="F898" s="84"/>
      <c r="G898" s="58"/>
      <c r="H898" s="84"/>
      <c r="I898" s="58"/>
      <c r="J898" s="84"/>
      <c r="K898" s="58"/>
      <c r="L898" s="84"/>
      <c r="M898" s="58"/>
      <c r="N898" s="84"/>
      <c r="O898" s="58"/>
      <c r="P898" s="84"/>
      <c r="Q898" s="58"/>
      <c r="R898" s="84"/>
    </row>
    <row r="899">
      <c r="A899" s="58"/>
      <c r="B899" s="84"/>
      <c r="C899" s="58"/>
      <c r="D899" s="84"/>
      <c r="E899" s="58"/>
      <c r="F899" s="84"/>
      <c r="G899" s="58"/>
      <c r="H899" s="84"/>
      <c r="I899" s="58"/>
      <c r="J899" s="84"/>
      <c r="K899" s="58"/>
      <c r="L899" s="84"/>
      <c r="M899" s="58"/>
      <c r="N899" s="84"/>
      <c r="O899" s="58"/>
      <c r="P899" s="84"/>
      <c r="Q899" s="58"/>
      <c r="R899" s="84"/>
    </row>
    <row r="900">
      <c r="A900" s="58"/>
      <c r="B900" s="84"/>
      <c r="C900" s="58"/>
      <c r="D900" s="84"/>
      <c r="E900" s="58"/>
      <c r="F900" s="84"/>
      <c r="G900" s="58"/>
      <c r="H900" s="84"/>
      <c r="I900" s="58"/>
      <c r="J900" s="84"/>
      <c r="K900" s="58"/>
      <c r="L900" s="84"/>
      <c r="M900" s="58"/>
      <c r="N900" s="84"/>
      <c r="O900" s="58"/>
      <c r="P900" s="84"/>
      <c r="Q900" s="58"/>
      <c r="R900" s="84"/>
    </row>
    <row r="901">
      <c r="A901" s="58"/>
      <c r="B901" s="84"/>
      <c r="C901" s="58"/>
      <c r="D901" s="84"/>
      <c r="E901" s="58"/>
      <c r="F901" s="84"/>
      <c r="G901" s="58"/>
      <c r="H901" s="84"/>
      <c r="I901" s="58"/>
      <c r="J901" s="84"/>
      <c r="K901" s="58"/>
      <c r="L901" s="84"/>
      <c r="M901" s="58"/>
      <c r="N901" s="84"/>
      <c r="O901" s="58"/>
      <c r="P901" s="84"/>
      <c r="Q901" s="58"/>
      <c r="R901" s="84"/>
    </row>
    <row r="902">
      <c r="A902" s="58"/>
      <c r="B902" s="84"/>
      <c r="C902" s="58"/>
      <c r="D902" s="84"/>
      <c r="E902" s="58"/>
      <c r="F902" s="84"/>
      <c r="G902" s="58"/>
      <c r="H902" s="84"/>
      <c r="I902" s="58"/>
      <c r="J902" s="84"/>
      <c r="K902" s="58"/>
      <c r="L902" s="84"/>
      <c r="M902" s="58"/>
      <c r="N902" s="84"/>
      <c r="O902" s="58"/>
      <c r="P902" s="84"/>
      <c r="Q902" s="58"/>
      <c r="R902" s="84"/>
    </row>
    <row r="903">
      <c r="A903" s="58"/>
      <c r="B903" s="84"/>
      <c r="C903" s="58"/>
      <c r="D903" s="84"/>
      <c r="E903" s="58"/>
      <c r="F903" s="84"/>
      <c r="G903" s="58"/>
      <c r="H903" s="84"/>
      <c r="I903" s="58"/>
      <c r="J903" s="84"/>
      <c r="K903" s="58"/>
      <c r="L903" s="84"/>
      <c r="M903" s="58"/>
      <c r="N903" s="84"/>
      <c r="O903" s="58"/>
      <c r="P903" s="84"/>
      <c r="Q903" s="58"/>
      <c r="R903" s="84"/>
    </row>
    <row r="904">
      <c r="A904" s="58"/>
      <c r="B904" s="84"/>
      <c r="C904" s="58"/>
      <c r="D904" s="84"/>
      <c r="E904" s="58"/>
      <c r="F904" s="84"/>
      <c r="G904" s="58"/>
      <c r="H904" s="84"/>
      <c r="I904" s="58"/>
      <c r="J904" s="84"/>
      <c r="K904" s="58"/>
      <c r="L904" s="84"/>
      <c r="M904" s="58"/>
      <c r="N904" s="84"/>
      <c r="O904" s="58"/>
      <c r="P904" s="84"/>
      <c r="Q904" s="58"/>
      <c r="R904" s="84"/>
    </row>
    <row r="905">
      <c r="A905" s="58"/>
      <c r="B905" s="84"/>
      <c r="C905" s="58"/>
      <c r="D905" s="84"/>
      <c r="E905" s="58"/>
      <c r="F905" s="84"/>
      <c r="G905" s="58"/>
      <c r="H905" s="84"/>
      <c r="I905" s="58"/>
      <c r="J905" s="84"/>
      <c r="K905" s="58"/>
      <c r="L905" s="84"/>
      <c r="M905" s="58"/>
      <c r="N905" s="84"/>
      <c r="O905" s="58"/>
      <c r="P905" s="84"/>
      <c r="Q905" s="58"/>
      <c r="R905" s="84"/>
    </row>
    <row r="906">
      <c r="A906" s="58"/>
      <c r="B906" s="84"/>
      <c r="C906" s="58"/>
      <c r="D906" s="84"/>
      <c r="E906" s="58"/>
      <c r="F906" s="84"/>
      <c r="G906" s="58"/>
      <c r="H906" s="84"/>
      <c r="I906" s="58"/>
      <c r="J906" s="84"/>
      <c r="K906" s="58"/>
      <c r="L906" s="84"/>
      <c r="M906" s="58"/>
      <c r="N906" s="84"/>
      <c r="O906" s="58"/>
      <c r="P906" s="84"/>
      <c r="Q906" s="58"/>
      <c r="R906" s="84"/>
    </row>
    <row r="907">
      <c r="A907" s="58"/>
      <c r="B907" s="84"/>
      <c r="C907" s="58"/>
      <c r="D907" s="84"/>
      <c r="E907" s="58"/>
      <c r="F907" s="84"/>
      <c r="G907" s="58"/>
      <c r="H907" s="84"/>
      <c r="I907" s="58"/>
      <c r="J907" s="84"/>
      <c r="K907" s="58"/>
      <c r="L907" s="84"/>
      <c r="M907" s="58"/>
      <c r="N907" s="84"/>
      <c r="O907" s="58"/>
      <c r="P907" s="84"/>
      <c r="Q907" s="58"/>
      <c r="R907" s="84"/>
    </row>
    <row r="908">
      <c r="A908" s="58"/>
      <c r="B908" s="84"/>
      <c r="C908" s="58"/>
      <c r="D908" s="84"/>
      <c r="E908" s="58"/>
      <c r="F908" s="84"/>
      <c r="G908" s="58"/>
      <c r="H908" s="84"/>
      <c r="I908" s="58"/>
      <c r="J908" s="84"/>
      <c r="K908" s="58"/>
      <c r="L908" s="84"/>
      <c r="M908" s="58"/>
      <c r="N908" s="84"/>
      <c r="O908" s="58"/>
      <c r="P908" s="84"/>
      <c r="Q908" s="58"/>
      <c r="R908" s="84"/>
    </row>
    <row r="909">
      <c r="A909" s="58"/>
      <c r="B909" s="84"/>
      <c r="C909" s="58"/>
      <c r="D909" s="84"/>
      <c r="E909" s="58"/>
      <c r="F909" s="84"/>
      <c r="G909" s="58"/>
      <c r="H909" s="84"/>
      <c r="I909" s="58"/>
      <c r="J909" s="84"/>
      <c r="K909" s="58"/>
      <c r="L909" s="84"/>
      <c r="M909" s="58"/>
      <c r="N909" s="84"/>
      <c r="O909" s="58"/>
      <c r="P909" s="84"/>
      <c r="Q909" s="58"/>
      <c r="R909" s="84"/>
    </row>
    <row r="910">
      <c r="A910" s="58"/>
      <c r="B910" s="84"/>
      <c r="C910" s="58"/>
      <c r="D910" s="84"/>
      <c r="E910" s="58"/>
      <c r="F910" s="84"/>
      <c r="G910" s="58"/>
      <c r="H910" s="84"/>
      <c r="I910" s="58"/>
      <c r="J910" s="84"/>
      <c r="K910" s="58"/>
      <c r="L910" s="84"/>
      <c r="M910" s="58"/>
      <c r="N910" s="84"/>
      <c r="O910" s="58"/>
      <c r="P910" s="84"/>
      <c r="Q910" s="58"/>
      <c r="R910" s="84"/>
    </row>
    <row r="911">
      <c r="A911" s="58"/>
      <c r="B911" s="84"/>
      <c r="C911" s="58"/>
      <c r="D911" s="84"/>
      <c r="E911" s="58"/>
      <c r="F911" s="84"/>
      <c r="G911" s="58"/>
      <c r="H911" s="84"/>
      <c r="I911" s="58"/>
      <c r="J911" s="84"/>
      <c r="K911" s="58"/>
      <c r="L911" s="84"/>
      <c r="M911" s="58"/>
      <c r="N911" s="84"/>
      <c r="O911" s="58"/>
      <c r="P911" s="84"/>
      <c r="Q911" s="58"/>
      <c r="R911" s="84"/>
    </row>
    <row r="912">
      <c r="A912" s="58"/>
      <c r="B912" s="84"/>
      <c r="C912" s="58"/>
      <c r="D912" s="84"/>
      <c r="E912" s="58"/>
      <c r="F912" s="84"/>
      <c r="G912" s="58"/>
      <c r="H912" s="84"/>
      <c r="I912" s="58"/>
      <c r="J912" s="84"/>
      <c r="K912" s="58"/>
      <c r="L912" s="84"/>
      <c r="M912" s="58"/>
      <c r="N912" s="84"/>
      <c r="O912" s="58"/>
      <c r="P912" s="84"/>
      <c r="Q912" s="58"/>
      <c r="R912" s="84"/>
    </row>
    <row r="913">
      <c r="A913" s="58"/>
      <c r="B913" s="84"/>
      <c r="C913" s="58"/>
      <c r="D913" s="84"/>
      <c r="E913" s="58"/>
      <c r="F913" s="84"/>
      <c r="G913" s="58"/>
      <c r="H913" s="84"/>
      <c r="I913" s="58"/>
      <c r="J913" s="84"/>
      <c r="K913" s="58"/>
      <c r="L913" s="84"/>
      <c r="M913" s="58"/>
      <c r="N913" s="84"/>
      <c r="O913" s="58"/>
      <c r="P913" s="84"/>
      <c r="Q913" s="58"/>
      <c r="R913" s="84"/>
    </row>
    <row r="914">
      <c r="A914" s="58"/>
      <c r="B914" s="84"/>
      <c r="C914" s="58"/>
      <c r="D914" s="84"/>
      <c r="E914" s="58"/>
      <c r="F914" s="84"/>
      <c r="G914" s="58"/>
      <c r="H914" s="84"/>
      <c r="I914" s="58"/>
      <c r="J914" s="84"/>
      <c r="K914" s="58"/>
      <c r="L914" s="84"/>
      <c r="M914" s="58"/>
      <c r="N914" s="84"/>
      <c r="O914" s="58"/>
      <c r="P914" s="84"/>
      <c r="Q914" s="58"/>
      <c r="R914" s="84"/>
    </row>
    <row r="915">
      <c r="A915" s="58"/>
      <c r="B915" s="84"/>
      <c r="C915" s="58"/>
      <c r="D915" s="84"/>
      <c r="E915" s="58"/>
      <c r="F915" s="84"/>
      <c r="G915" s="58"/>
      <c r="H915" s="84"/>
      <c r="I915" s="58"/>
      <c r="J915" s="84"/>
      <c r="K915" s="58"/>
      <c r="L915" s="84"/>
      <c r="M915" s="58"/>
      <c r="N915" s="84"/>
      <c r="O915" s="58"/>
      <c r="P915" s="84"/>
      <c r="Q915" s="58"/>
      <c r="R915" s="84"/>
    </row>
    <row r="916">
      <c r="A916" s="58"/>
      <c r="B916" s="84"/>
      <c r="C916" s="58"/>
      <c r="D916" s="84"/>
      <c r="E916" s="58"/>
      <c r="F916" s="84"/>
      <c r="G916" s="58"/>
      <c r="H916" s="84"/>
      <c r="I916" s="58"/>
      <c r="J916" s="84"/>
      <c r="K916" s="58"/>
      <c r="L916" s="84"/>
      <c r="M916" s="58"/>
      <c r="N916" s="84"/>
      <c r="O916" s="58"/>
      <c r="P916" s="84"/>
      <c r="Q916" s="58"/>
      <c r="R916" s="84"/>
    </row>
    <row r="917">
      <c r="A917" s="58"/>
      <c r="B917" s="84"/>
      <c r="C917" s="58"/>
      <c r="D917" s="84"/>
      <c r="E917" s="58"/>
      <c r="F917" s="84"/>
      <c r="G917" s="58"/>
      <c r="H917" s="84"/>
      <c r="I917" s="58"/>
      <c r="J917" s="84"/>
      <c r="K917" s="58"/>
      <c r="L917" s="84"/>
      <c r="M917" s="58"/>
      <c r="N917" s="84"/>
      <c r="O917" s="58"/>
      <c r="P917" s="84"/>
      <c r="Q917" s="58"/>
      <c r="R917" s="84"/>
    </row>
    <row r="918">
      <c r="A918" s="58"/>
      <c r="B918" s="84"/>
      <c r="C918" s="58"/>
      <c r="D918" s="84"/>
      <c r="E918" s="58"/>
      <c r="F918" s="84"/>
      <c r="G918" s="58"/>
      <c r="H918" s="84"/>
      <c r="I918" s="58"/>
      <c r="J918" s="84"/>
      <c r="K918" s="58"/>
      <c r="L918" s="84"/>
      <c r="M918" s="58"/>
      <c r="N918" s="84"/>
      <c r="O918" s="58"/>
      <c r="P918" s="84"/>
      <c r="Q918" s="58"/>
      <c r="R918" s="84"/>
    </row>
    <row r="919">
      <c r="A919" s="58"/>
      <c r="B919" s="84"/>
      <c r="C919" s="58"/>
      <c r="D919" s="84"/>
      <c r="E919" s="58"/>
      <c r="F919" s="84"/>
      <c r="G919" s="58"/>
      <c r="H919" s="84"/>
      <c r="I919" s="58"/>
      <c r="J919" s="84"/>
      <c r="K919" s="58"/>
      <c r="L919" s="84"/>
      <c r="M919" s="58"/>
      <c r="N919" s="84"/>
      <c r="O919" s="58"/>
      <c r="P919" s="84"/>
      <c r="Q919" s="58"/>
      <c r="R919" s="84"/>
    </row>
    <row r="920">
      <c r="A920" s="58"/>
      <c r="B920" s="84"/>
      <c r="C920" s="58"/>
      <c r="D920" s="84"/>
      <c r="E920" s="58"/>
      <c r="F920" s="84"/>
      <c r="G920" s="58"/>
      <c r="H920" s="84"/>
      <c r="I920" s="58"/>
      <c r="J920" s="84"/>
      <c r="K920" s="58"/>
      <c r="L920" s="84"/>
      <c r="M920" s="58"/>
      <c r="N920" s="84"/>
      <c r="O920" s="58"/>
      <c r="P920" s="84"/>
      <c r="Q920" s="58"/>
      <c r="R920" s="84"/>
    </row>
    <row r="921">
      <c r="A921" s="58"/>
      <c r="B921" s="84"/>
      <c r="C921" s="58"/>
      <c r="D921" s="84"/>
      <c r="E921" s="58"/>
      <c r="F921" s="84"/>
      <c r="G921" s="58"/>
      <c r="H921" s="84"/>
      <c r="I921" s="58"/>
      <c r="J921" s="84"/>
      <c r="K921" s="58"/>
      <c r="L921" s="84"/>
      <c r="M921" s="58"/>
      <c r="N921" s="84"/>
      <c r="O921" s="58"/>
      <c r="P921" s="84"/>
      <c r="Q921" s="58"/>
      <c r="R921" s="84"/>
    </row>
    <row r="922">
      <c r="A922" s="58"/>
      <c r="B922" s="84"/>
      <c r="C922" s="58"/>
      <c r="D922" s="84"/>
      <c r="E922" s="58"/>
      <c r="F922" s="84"/>
      <c r="G922" s="58"/>
      <c r="H922" s="84"/>
      <c r="I922" s="58"/>
      <c r="J922" s="84"/>
      <c r="K922" s="58"/>
      <c r="L922" s="84"/>
      <c r="M922" s="58"/>
      <c r="N922" s="84"/>
      <c r="O922" s="58"/>
      <c r="P922" s="84"/>
      <c r="Q922" s="58"/>
      <c r="R922" s="84"/>
    </row>
    <row r="923">
      <c r="A923" s="58"/>
      <c r="B923" s="84"/>
      <c r="C923" s="58"/>
      <c r="D923" s="84"/>
      <c r="E923" s="58"/>
      <c r="F923" s="84"/>
      <c r="G923" s="58"/>
      <c r="H923" s="84"/>
      <c r="I923" s="58"/>
      <c r="J923" s="84"/>
      <c r="K923" s="58"/>
      <c r="L923" s="84"/>
      <c r="M923" s="58"/>
      <c r="N923" s="84"/>
      <c r="O923" s="58"/>
      <c r="P923" s="84"/>
      <c r="Q923" s="58"/>
      <c r="R923" s="84"/>
    </row>
    <row r="924">
      <c r="A924" s="58"/>
      <c r="B924" s="84"/>
      <c r="C924" s="58"/>
      <c r="D924" s="84"/>
      <c r="E924" s="58"/>
      <c r="F924" s="84"/>
      <c r="G924" s="58"/>
      <c r="H924" s="84"/>
      <c r="I924" s="58"/>
      <c r="J924" s="84"/>
      <c r="K924" s="58"/>
      <c r="L924" s="84"/>
      <c r="M924" s="58"/>
      <c r="N924" s="84"/>
      <c r="O924" s="58"/>
      <c r="P924" s="84"/>
      <c r="Q924" s="58"/>
      <c r="R924" s="84"/>
    </row>
    <row r="925">
      <c r="A925" s="58"/>
      <c r="B925" s="84"/>
      <c r="C925" s="58"/>
      <c r="D925" s="84"/>
      <c r="E925" s="58"/>
      <c r="F925" s="84"/>
      <c r="G925" s="58"/>
      <c r="H925" s="84"/>
      <c r="I925" s="58"/>
      <c r="J925" s="84"/>
      <c r="K925" s="58"/>
      <c r="L925" s="84"/>
      <c r="M925" s="58"/>
      <c r="N925" s="84"/>
      <c r="O925" s="58"/>
      <c r="P925" s="84"/>
      <c r="Q925" s="58"/>
      <c r="R925" s="84"/>
    </row>
    <row r="926">
      <c r="A926" s="58"/>
      <c r="B926" s="84"/>
      <c r="C926" s="58"/>
      <c r="D926" s="84"/>
      <c r="E926" s="58"/>
      <c r="F926" s="84"/>
      <c r="G926" s="58"/>
      <c r="H926" s="84"/>
      <c r="I926" s="58"/>
      <c r="J926" s="84"/>
      <c r="K926" s="58"/>
      <c r="L926" s="84"/>
      <c r="M926" s="58"/>
      <c r="N926" s="84"/>
      <c r="O926" s="58"/>
      <c r="P926" s="84"/>
      <c r="Q926" s="58"/>
      <c r="R926" s="84"/>
    </row>
    <row r="927">
      <c r="A927" s="58"/>
      <c r="B927" s="84"/>
      <c r="C927" s="58"/>
      <c r="D927" s="84"/>
      <c r="E927" s="58"/>
      <c r="F927" s="84"/>
      <c r="G927" s="58"/>
      <c r="H927" s="84"/>
      <c r="I927" s="58"/>
      <c r="J927" s="84"/>
      <c r="K927" s="58"/>
      <c r="L927" s="84"/>
      <c r="M927" s="58"/>
      <c r="N927" s="84"/>
      <c r="O927" s="58"/>
      <c r="P927" s="84"/>
      <c r="Q927" s="58"/>
      <c r="R927" s="84"/>
    </row>
    <row r="928">
      <c r="A928" s="58"/>
      <c r="B928" s="84"/>
      <c r="C928" s="58"/>
      <c r="D928" s="84"/>
      <c r="E928" s="58"/>
      <c r="F928" s="84"/>
      <c r="G928" s="58"/>
      <c r="H928" s="84"/>
      <c r="I928" s="58"/>
      <c r="J928" s="84"/>
      <c r="K928" s="58"/>
      <c r="L928" s="84"/>
      <c r="M928" s="58"/>
      <c r="N928" s="84"/>
      <c r="O928" s="58"/>
      <c r="P928" s="84"/>
      <c r="Q928" s="58"/>
      <c r="R928" s="84"/>
    </row>
    <row r="929">
      <c r="A929" s="58"/>
      <c r="B929" s="84"/>
      <c r="C929" s="58"/>
      <c r="D929" s="84"/>
      <c r="E929" s="58"/>
      <c r="F929" s="84"/>
      <c r="G929" s="58"/>
      <c r="H929" s="84"/>
      <c r="I929" s="58"/>
      <c r="J929" s="84"/>
      <c r="K929" s="58"/>
      <c r="L929" s="84"/>
      <c r="M929" s="58"/>
      <c r="N929" s="84"/>
      <c r="O929" s="58"/>
      <c r="P929" s="84"/>
      <c r="Q929" s="58"/>
      <c r="R929" s="84"/>
    </row>
    <row r="930">
      <c r="A930" s="58"/>
      <c r="B930" s="84"/>
      <c r="C930" s="58"/>
      <c r="D930" s="84"/>
      <c r="E930" s="58"/>
      <c r="F930" s="84"/>
      <c r="G930" s="58"/>
      <c r="H930" s="84"/>
      <c r="I930" s="58"/>
      <c r="J930" s="84"/>
      <c r="K930" s="58"/>
      <c r="L930" s="84"/>
      <c r="M930" s="58"/>
      <c r="N930" s="84"/>
      <c r="O930" s="58"/>
      <c r="P930" s="84"/>
      <c r="Q930" s="58"/>
      <c r="R930" s="84"/>
    </row>
    <row r="931">
      <c r="A931" s="58"/>
      <c r="B931" s="84"/>
      <c r="C931" s="58"/>
      <c r="D931" s="84"/>
      <c r="E931" s="58"/>
      <c r="F931" s="84"/>
      <c r="G931" s="58"/>
      <c r="H931" s="84"/>
      <c r="I931" s="58"/>
      <c r="J931" s="84"/>
      <c r="K931" s="58"/>
      <c r="L931" s="84"/>
      <c r="M931" s="58"/>
      <c r="N931" s="84"/>
      <c r="O931" s="58"/>
      <c r="P931" s="84"/>
      <c r="Q931" s="58"/>
      <c r="R931" s="84"/>
    </row>
    <row r="932">
      <c r="A932" s="58"/>
      <c r="B932" s="84"/>
      <c r="C932" s="58"/>
      <c r="D932" s="84"/>
      <c r="E932" s="58"/>
      <c r="F932" s="84"/>
      <c r="G932" s="58"/>
      <c r="H932" s="84"/>
      <c r="I932" s="58"/>
      <c r="J932" s="84"/>
      <c r="K932" s="58"/>
      <c r="L932" s="84"/>
      <c r="M932" s="58"/>
      <c r="N932" s="84"/>
      <c r="O932" s="58"/>
      <c r="P932" s="84"/>
      <c r="Q932" s="58"/>
      <c r="R932" s="84"/>
    </row>
    <row r="933">
      <c r="A933" s="58"/>
      <c r="B933" s="84"/>
      <c r="C933" s="58"/>
      <c r="D933" s="84"/>
      <c r="E933" s="58"/>
      <c r="F933" s="84"/>
      <c r="G933" s="58"/>
      <c r="H933" s="84"/>
      <c r="I933" s="58"/>
      <c r="J933" s="84"/>
      <c r="K933" s="58"/>
      <c r="L933" s="84"/>
      <c r="M933" s="58"/>
      <c r="N933" s="84"/>
      <c r="O933" s="58"/>
      <c r="P933" s="84"/>
      <c r="Q933" s="58"/>
      <c r="R933" s="84"/>
    </row>
    <row r="934">
      <c r="A934" s="58"/>
      <c r="B934" s="84"/>
      <c r="C934" s="58"/>
      <c r="D934" s="84"/>
      <c r="E934" s="58"/>
      <c r="F934" s="84"/>
      <c r="G934" s="58"/>
      <c r="H934" s="84"/>
      <c r="I934" s="58"/>
      <c r="J934" s="84"/>
      <c r="K934" s="58"/>
      <c r="L934" s="84"/>
      <c r="M934" s="58"/>
      <c r="N934" s="84"/>
      <c r="O934" s="58"/>
      <c r="P934" s="84"/>
      <c r="Q934" s="58"/>
      <c r="R934" s="84"/>
    </row>
    <row r="935">
      <c r="A935" s="58"/>
      <c r="B935" s="84"/>
      <c r="C935" s="58"/>
      <c r="D935" s="84"/>
      <c r="E935" s="58"/>
      <c r="F935" s="84"/>
      <c r="G935" s="58"/>
      <c r="H935" s="84"/>
      <c r="I935" s="58"/>
      <c r="J935" s="84"/>
      <c r="K935" s="58"/>
      <c r="L935" s="84"/>
      <c r="M935" s="58"/>
      <c r="N935" s="84"/>
      <c r="O935" s="58"/>
      <c r="P935" s="84"/>
      <c r="Q935" s="58"/>
      <c r="R935" s="84"/>
    </row>
    <row r="936">
      <c r="A936" s="58"/>
      <c r="B936" s="84"/>
      <c r="C936" s="58"/>
      <c r="D936" s="84"/>
      <c r="E936" s="58"/>
      <c r="F936" s="84"/>
      <c r="G936" s="58"/>
      <c r="H936" s="84"/>
      <c r="I936" s="58"/>
      <c r="J936" s="84"/>
      <c r="K936" s="58"/>
      <c r="L936" s="84"/>
      <c r="M936" s="58"/>
      <c r="N936" s="84"/>
      <c r="O936" s="58"/>
      <c r="P936" s="84"/>
      <c r="Q936" s="58"/>
      <c r="R936" s="84"/>
    </row>
    <row r="937">
      <c r="A937" s="58"/>
      <c r="B937" s="84"/>
      <c r="C937" s="58"/>
      <c r="D937" s="84"/>
      <c r="E937" s="58"/>
      <c r="F937" s="84"/>
      <c r="G937" s="58"/>
      <c r="H937" s="84"/>
      <c r="I937" s="58"/>
      <c r="J937" s="84"/>
      <c r="K937" s="58"/>
      <c r="L937" s="84"/>
      <c r="M937" s="58"/>
      <c r="N937" s="84"/>
      <c r="O937" s="58"/>
      <c r="P937" s="84"/>
      <c r="Q937" s="58"/>
      <c r="R937" s="84"/>
    </row>
    <row r="938">
      <c r="A938" s="58"/>
      <c r="B938" s="84"/>
      <c r="C938" s="58"/>
      <c r="D938" s="84"/>
      <c r="E938" s="58"/>
      <c r="F938" s="84"/>
      <c r="G938" s="58"/>
      <c r="H938" s="84"/>
      <c r="I938" s="58"/>
      <c r="J938" s="84"/>
      <c r="K938" s="58"/>
      <c r="L938" s="84"/>
      <c r="M938" s="58"/>
      <c r="N938" s="84"/>
      <c r="O938" s="58"/>
      <c r="P938" s="84"/>
      <c r="Q938" s="58"/>
      <c r="R938" s="84"/>
    </row>
    <row r="939">
      <c r="A939" s="58"/>
      <c r="B939" s="84"/>
      <c r="C939" s="58"/>
      <c r="D939" s="84"/>
      <c r="E939" s="58"/>
      <c r="F939" s="84"/>
      <c r="G939" s="58"/>
      <c r="H939" s="84"/>
      <c r="I939" s="58"/>
      <c r="J939" s="84"/>
      <c r="K939" s="58"/>
      <c r="L939" s="84"/>
      <c r="M939" s="58"/>
      <c r="N939" s="84"/>
      <c r="O939" s="58"/>
      <c r="P939" s="84"/>
      <c r="Q939" s="58"/>
      <c r="R939" s="84"/>
    </row>
    <row r="940">
      <c r="A940" s="58"/>
      <c r="B940" s="84"/>
      <c r="C940" s="58"/>
      <c r="D940" s="84"/>
      <c r="E940" s="58"/>
      <c r="F940" s="84"/>
      <c r="G940" s="58"/>
      <c r="H940" s="84"/>
      <c r="I940" s="58"/>
      <c r="J940" s="84"/>
      <c r="K940" s="58"/>
      <c r="L940" s="84"/>
      <c r="M940" s="58"/>
      <c r="N940" s="84"/>
      <c r="O940" s="58"/>
      <c r="P940" s="84"/>
      <c r="Q940" s="58"/>
      <c r="R940" s="84"/>
    </row>
    <row r="941">
      <c r="A941" s="58"/>
      <c r="B941" s="84"/>
      <c r="C941" s="58"/>
      <c r="D941" s="84"/>
      <c r="E941" s="58"/>
      <c r="F941" s="84"/>
      <c r="G941" s="58"/>
      <c r="H941" s="84"/>
      <c r="I941" s="58"/>
      <c r="J941" s="84"/>
      <c r="K941" s="58"/>
      <c r="L941" s="84"/>
      <c r="M941" s="58"/>
      <c r="N941" s="84"/>
      <c r="O941" s="58"/>
      <c r="P941" s="84"/>
      <c r="Q941" s="58"/>
      <c r="R941" s="84"/>
    </row>
    <row r="942">
      <c r="A942" s="58"/>
      <c r="B942" s="84"/>
      <c r="C942" s="58"/>
      <c r="D942" s="84"/>
      <c r="E942" s="58"/>
      <c r="F942" s="84"/>
      <c r="G942" s="58"/>
      <c r="H942" s="84"/>
      <c r="I942" s="58"/>
      <c r="J942" s="84"/>
      <c r="K942" s="58"/>
      <c r="L942" s="84"/>
      <c r="M942" s="58"/>
      <c r="N942" s="84"/>
      <c r="O942" s="58"/>
      <c r="P942" s="84"/>
      <c r="Q942" s="58"/>
      <c r="R942" s="84"/>
    </row>
    <row r="943">
      <c r="A943" s="58"/>
      <c r="B943" s="84"/>
      <c r="C943" s="58"/>
      <c r="D943" s="84"/>
      <c r="E943" s="58"/>
      <c r="F943" s="84"/>
      <c r="G943" s="58"/>
      <c r="H943" s="84"/>
      <c r="I943" s="58"/>
      <c r="J943" s="84"/>
      <c r="K943" s="58"/>
      <c r="L943" s="84"/>
      <c r="M943" s="58"/>
      <c r="N943" s="84"/>
      <c r="O943" s="58"/>
      <c r="P943" s="84"/>
      <c r="Q943" s="58"/>
      <c r="R943" s="84"/>
    </row>
    <row r="944">
      <c r="A944" s="58"/>
      <c r="B944" s="84"/>
      <c r="C944" s="58"/>
      <c r="D944" s="84"/>
      <c r="E944" s="58"/>
      <c r="F944" s="84"/>
      <c r="G944" s="58"/>
      <c r="H944" s="84"/>
      <c r="I944" s="58"/>
      <c r="J944" s="84"/>
      <c r="K944" s="58"/>
      <c r="L944" s="84"/>
      <c r="M944" s="58"/>
      <c r="N944" s="84"/>
      <c r="O944" s="58"/>
      <c r="P944" s="84"/>
      <c r="Q944" s="58"/>
      <c r="R944" s="84"/>
    </row>
    <row r="945">
      <c r="A945" s="58"/>
      <c r="B945" s="84"/>
      <c r="C945" s="58"/>
      <c r="D945" s="84"/>
      <c r="E945" s="58"/>
      <c r="F945" s="84"/>
      <c r="G945" s="58"/>
      <c r="H945" s="84"/>
      <c r="I945" s="58"/>
      <c r="J945" s="84"/>
      <c r="K945" s="58"/>
      <c r="L945" s="84"/>
      <c r="M945" s="58"/>
      <c r="N945" s="84"/>
      <c r="O945" s="58"/>
      <c r="P945" s="84"/>
      <c r="Q945" s="58"/>
      <c r="R945" s="84"/>
    </row>
    <row r="946">
      <c r="A946" s="58"/>
      <c r="B946" s="84"/>
      <c r="C946" s="58"/>
      <c r="D946" s="84"/>
      <c r="E946" s="58"/>
      <c r="F946" s="84"/>
      <c r="G946" s="58"/>
      <c r="H946" s="84"/>
      <c r="I946" s="58"/>
      <c r="J946" s="84"/>
      <c r="K946" s="58"/>
      <c r="L946" s="84"/>
      <c r="M946" s="58"/>
      <c r="N946" s="84"/>
      <c r="O946" s="58"/>
      <c r="P946" s="84"/>
      <c r="Q946" s="58"/>
      <c r="R946" s="84"/>
    </row>
    <row r="947">
      <c r="A947" s="58"/>
      <c r="B947" s="84"/>
      <c r="C947" s="58"/>
      <c r="D947" s="84"/>
      <c r="E947" s="58"/>
      <c r="F947" s="84"/>
      <c r="G947" s="58"/>
      <c r="H947" s="84"/>
      <c r="I947" s="58"/>
      <c r="J947" s="84"/>
      <c r="K947" s="58"/>
      <c r="L947" s="84"/>
      <c r="M947" s="58"/>
      <c r="N947" s="84"/>
      <c r="O947" s="58"/>
      <c r="P947" s="84"/>
      <c r="Q947" s="58"/>
      <c r="R947" s="84"/>
    </row>
    <row r="948">
      <c r="A948" s="58"/>
      <c r="B948" s="84"/>
      <c r="C948" s="58"/>
      <c r="D948" s="84"/>
      <c r="E948" s="58"/>
      <c r="F948" s="84"/>
      <c r="G948" s="58"/>
      <c r="H948" s="84"/>
      <c r="I948" s="58"/>
      <c r="J948" s="84"/>
      <c r="K948" s="58"/>
      <c r="L948" s="84"/>
      <c r="M948" s="58"/>
      <c r="N948" s="84"/>
      <c r="O948" s="58"/>
      <c r="P948" s="84"/>
      <c r="Q948" s="58"/>
      <c r="R948" s="84"/>
    </row>
    <row r="949">
      <c r="A949" s="58"/>
      <c r="B949" s="84"/>
      <c r="C949" s="58"/>
      <c r="D949" s="84"/>
      <c r="E949" s="58"/>
      <c r="F949" s="84"/>
      <c r="G949" s="58"/>
      <c r="H949" s="84"/>
      <c r="I949" s="58"/>
      <c r="J949" s="84"/>
      <c r="K949" s="58"/>
      <c r="L949" s="84"/>
      <c r="M949" s="58"/>
      <c r="N949" s="84"/>
      <c r="O949" s="58"/>
      <c r="P949" s="84"/>
      <c r="Q949" s="58"/>
      <c r="R949" s="84"/>
    </row>
    <row r="950">
      <c r="A950" s="58"/>
      <c r="B950" s="84"/>
      <c r="C950" s="58"/>
      <c r="D950" s="84"/>
      <c r="E950" s="58"/>
      <c r="F950" s="84"/>
      <c r="G950" s="58"/>
      <c r="H950" s="84"/>
      <c r="I950" s="58"/>
      <c r="J950" s="84"/>
      <c r="K950" s="58"/>
      <c r="L950" s="84"/>
      <c r="M950" s="58"/>
      <c r="N950" s="84"/>
      <c r="O950" s="58"/>
      <c r="P950" s="84"/>
      <c r="Q950" s="58"/>
      <c r="R950" s="84"/>
    </row>
    <row r="951">
      <c r="A951" s="58"/>
      <c r="B951" s="84"/>
      <c r="C951" s="58"/>
      <c r="D951" s="84"/>
      <c r="E951" s="58"/>
      <c r="F951" s="84"/>
      <c r="G951" s="58"/>
      <c r="H951" s="84"/>
      <c r="I951" s="58"/>
      <c r="J951" s="84"/>
      <c r="K951" s="58"/>
      <c r="L951" s="84"/>
      <c r="M951" s="58"/>
      <c r="N951" s="84"/>
      <c r="O951" s="58"/>
      <c r="P951" s="84"/>
      <c r="Q951" s="58"/>
      <c r="R951" s="84"/>
    </row>
    <row r="952">
      <c r="A952" s="58"/>
      <c r="B952" s="84"/>
      <c r="C952" s="58"/>
      <c r="D952" s="84"/>
      <c r="E952" s="58"/>
      <c r="F952" s="84"/>
      <c r="G952" s="58"/>
      <c r="H952" s="84"/>
      <c r="I952" s="58"/>
      <c r="J952" s="84"/>
      <c r="K952" s="58"/>
      <c r="L952" s="84"/>
      <c r="M952" s="58"/>
      <c r="N952" s="84"/>
      <c r="O952" s="58"/>
      <c r="P952" s="84"/>
      <c r="Q952" s="58"/>
      <c r="R952" s="84"/>
    </row>
    <row r="953">
      <c r="A953" s="58"/>
      <c r="B953" s="84"/>
      <c r="C953" s="58"/>
      <c r="D953" s="84"/>
      <c r="E953" s="58"/>
      <c r="F953" s="84"/>
      <c r="G953" s="58"/>
      <c r="H953" s="84"/>
      <c r="I953" s="58"/>
      <c r="J953" s="84"/>
      <c r="K953" s="58"/>
      <c r="L953" s="84"/>
      <c r="M953" s="58"/>
      <c r="N953" s="84"/>
      <c r="O953" s="58"/>
      <c r="P953" s="84"/>
      <c r="Q953" s="58"/>
      <c r="R953" s="84"/>
    </row>
    <row r="954">
      <c r="A954" s="58"/>
      <c r="B954" s="84"/>
      <c r="C954" s="58"/>
      <c r="D954" s="84"/>
      <c r="E954" s="58"/>
      <c r="F954" s="84"/>
      <c r="G954" s="58"/>
      <c r="H954" s="84"/>
      <c r="I954" s="58"/>
      <c r="J954" s="84"/>
      <c r="K954" s="58"/>
      <c r="L954" s="84"/>
      <c r="M954" s="58"/>
      <c r="N954" s="84"/>
      <c r="O954" s="58"/>
      <c r="P954" s="84"/>
      <c r="Q954" s="58"/>
      <c r="R954" s="84"/>
    </row>
    <row r="955">
      <c r="A955" s="58"/>
      <c r="B955" s="84"/>
      <c r="C955" s="58"/>
      <c r="D955" s="84"/>
      <c r="E955" s="58"/>
      <c r="F955" s="84"/>
      <c r="G955" s="58"/>
      <c r="H955" s="84"/>
      <c r="I955" s="58"/>
      <c r="J955" s="84"/>
      <c r="K955" s="58"/>
      <c r="L955" s="84"/>
      <c r="M955" s="58"/>
      <c r="N955" s="84"/>
      <c r="O955" s="58"/>
      <c r="P955" s="84"/>
      <c r="Q955" s="58"/>
      <c r="R955" s="84"/>
    </row>
    <row r="956">
      <c r="A956" s="58"/>
      <c r="B956" s="84"/>
      <c r="C956" s="58"/>
      <c r="D956" s="84"/>
      <c r="E956" s="58"/>
      <c r="F956" s="84"/>
      <c r="G956" s="58"/>
      <c r="H956" s="84"/>
      <c r="I956" s="58"/>
      <c r="J956" s="84"/>
      <c r="K956" s="58"/>
      <c r="L956" s="84"/>
      <c r="M956" s="58"/>
      <c r="N956" s="84"/>
      <c r="O956" s="58"/>
      <c r="P956" s="84"/>
      <c r="Q956" s="58"/>
      <c r="R956" s="84"/>
    </row>
    <row r="957">
      <c r="A957" s="58"/>
      <c r="B957" s="84"/>
      <c r="C957" s="58"/>
      <c r="D957" s="84"/>
      <c r="E957" s="58"/>
      <c r="F957" s="84"/>
      <c r="G957" s="58"/>
      <c r="H957" s="84"/>
      <c r="I957" s="58"/>
      <c r="J957" s="84"/>
      <c r="K957" s="58"/>
      <c r="L957" s="84"/>
      <c r="M957" s="58"/>
      <c r="N957" s="84"/>
      <c r="O957" s="58"/>
      <c r="P957" s="84"/>
      <c r="Q957" s="58"/>
      <c r="R957" s="84"/>
    </row>
    <row r="958">
      <c r="A958" s="58"/>
      <c r="B958" s="84"/>
      <c r="C958" s="58"/>
      <c r="D958" s="84"/>
      <c r="E958" s="58"/>
      <c r="F958" s="84"/>
      <c r="G958" s="58"/>
      <c r="H958" s="84"/>
      <c r="I958" s="58"/>
      <c r="J958" s="84"/>
      <c r="K958" s="58"/>
      <c r="L958" s="84"/>
      <c r="M958" s="58"/>
      <c r="N958" s="84"/>
      <c r="O958" s="58"/>
      <c r="P958" s="84"/>
      <c r="Q958" s="58"/>
      <c r="R958" s="84"/>
    </row>
    <row r="959">
      <c r="A959" s="58"/>
      <c r="B959" s="84"/>
      <c r="C959" s="58"/>
      <c r="D959" s="84"/>
      <c r="E959" s="58"/>
      <c r="F959" s="84"/>
      <c r="G959" s="58"/>
      <c r="H959" s="84"/>
      <c r="I959" s="58"/>
      <c r="J959" s="84"/>
      <c r="K959" s="58"/>
      <c r="L959" s="84"/>
      <c r="M959" s="58"/>
      <c r="N959" s="84"/>
      <c r="O959" s="58"/>
      <c r="P959" s="84"/>
      <c r="Q959" s="58"/>
      <c r="R959" s="84"/>
    </row>
    <row r="960">
      <c r="A960" s="58"/>
      <c r="B960" s="84"/>
      <c r="C960" s="58"/>
      <c r="D960" s="84"/>
      <c r="E960" s="58"/>
      <c r="F960" s="84"/>
      <c r="G960" s="58"/>
      <c r="H960" s="84"/>
      <c r="I960" s="58"/>
      <c r="J960" s="84"/>
      <c r="K960" s="58"/>
      <c r="L960" s="84"/>
      <c r="M960" s="58"/>
      <c r="N960" s="84"/>
      <c r="O960" s="58"/>
      <c r="P960" s="84"/>
      <c r="Q960" s="58"/>
      <c r="R960" s="84"/>
    </row>
    <row r="961">
      <c r="A961" s="58"/>
      <c r="B961" s="84"/>
      <c r="C961" s="58"/>
      <c r="D961" s="84"/>
      <c r="E961" s="58"/>
      <c r="F961" s="84"/>
      <c r="G961" s="58"/>
      <c r="H961" s="84"/>
      <c r="I961" s="58"/>
      <c r="J961" s="84"/>
      <c r="K961" s="58"/>
      <c r="L961" s="84"/>
      <c r="M961" s="58"/>
      <c r="N961" s="84"/>
      <c r="O961" s="58"/>
      <c r="P961" s="84"/>
      <c r="Q961" s="58"/>
      <c r="R961" s="84"/>
    </row>
    <row r="962">
      <c r="A962" s="58"/>
      <c r="B962" s="84"/>
      <c r="C962" s="58"/>
      <c r="D962" s="84"/>
      <c r="E962" s="58"/>
      <c r="F962" s="84"/>
      <c r="G962" s="58"/>
      <c r="H962" s="84"/>
      <c r="I962" s="58"/>
      <c r="J962" s="84"/>
      <c r="K962" s="58"/>
      <c r="L962" s="84"/>
      <c r="M962" s="58"/>
      <c r="N962" s="84"/>
      <c r="O962" s="58"/>
      <c r="P962" s="84"/>
      <c r="Q962" s="58"/>
      <c r="R962" s="84"/>
    </row>
    <row r="963">
      <c r="A963" s="58"/>
      <c r="B963" s="84"/>
      <c r="C963" s="58"/>
      <c r="D963" s="84"/>
      <c r="E963" s="58"/>
      <c r="F963" s="84"/>
      <c r="G963" s="58"/>
      <c r="H963" s="84"/>
      <c r="I963" s="58"/>
      <c r="J963" s="84"/>
      <c r="K963" s="58"/>
      <c r="L963" s="84"/>
      <c r="M963" s="58"/>
      <c r="N963" s="84"/>
      <c r="O963" s="58"/>
      <c r="P963" s="84"/>
      <c r="Q963" s="58"/>
      <c r="R963" s="84"/>
    </row>
    <row r="964">
      <c r="A964" s="58"/>
      <c r="B964" s="84"/>
      <c r="C964" s="58"/>
      <c r="D964" s="84"/>
      <c r="E964" s="58"/>
      <c r="F964" s="84"/>
      <c r="G964" s="58"/>
      <c r="H964" s="84"/>
      <c r="I964" s="58"/>
      <c r="J964" s="84"/>
      <c r="K964" s="58"/>
      <c r="L964" s="84"/>
      <c r="M964" s="58"/>
      <c r="N964" s="84"/>
      <c r="O964" s="58"/>
      <c r="P964" s="84"/>
      <c r="Q964" s="58"/>
      <c r="R964" s="84"/>
    </row>
    <row r="965">
      <c r="A965" s="58"/>
      <c r="B965" s="84"/>
      <c r="C965" s="58"/>
      <c r="D965" s="84"/>
      <c r="E965" s="58"/>
      <c r="F965" s="84"/>
      <c r="G965" s="58"/>
      <c r="H965" s="84"/>
      <c r="I965" s="58"/>
      <c r="J965" s="84"/>
      <c r="K965" s="58"/>
      <c r="L965" s="84"/>
      <c r="M965" s="58"/>
      <c r="N965" s="84"/>
      <c r="O965" s="58"/>
      <c r="P965" s="84"/>
      <c r="Q965" s="58"/>
      <c r="R965" s="84"/>
    </row>
    <row r="966">
      <c r="A966" s="58"/>
      <c r="B966" s="84"/>
      <c r="C966" s="58"/>
      <c r="D966" s="84"/>
      <c r="E966" s="58"/>
      <c r="F966" s="84"/>
      <c r="G966" s="58"/>
      <c r="H966" s="84"/>
      <c r="I966" s="58"/>
      <c r="J966" s="84"/>
      <c r="K966" s="58"/>
      <c r="L966" s="84"/>
      <c r="M966" s="58"/>
      <c r="N966" s="84"/>
      <c r="O966" s="58"/>
      <c r="P966" s="84"/>
      <c r="Q966" s="58"/>
      <c r="R966" s="84"/>
    </row>
    <row r="967">
      <c r="A967" s="58"/>
      <c r="B967" s="84"/>
      <c r="C967" s="58"/>
      <c r="D967" s="84"/>
      <c r="E967" s="58"/>
      <c r="F967" s="84"/>
      <c r="G967" s="58"/>
      <c r="H967" s="84"/>
      <c r="I967" s="58"/>
      <c r="J967" s="84"/>
      <c r="K967" s="58"/>
      <c r="L967" s="84"/>
      <c r="M967" s="58"/>
      <c r="N967" s="84"/>
      <c r="O967" s="58"/>
      <c r="P967" s="84"/>
      <c r="Q967" s="58"/>
      <c r="R967" s="84"/>
    </row>
    <row r="968">
      <c r="A968" s="58"/>
      <c r="B968" s="84"/>
      <c r="C968" s="58"/>
      <c r="D968" s="84"/>
      <c r="E968" s="58"/>
      <c r="F968" s="84"/>
      <c r="G968" s="58"/>
      <c r="H968" s="84"/>
      <c r="I968" s="58"/>
      <c r="J968" s="84"/>
      <c r="K968" s="58"/>
      <c r="L968" s="84"/>
      <c r="M968" s="58"/>
      <c r="N968" s="84"/>
      <c r="O968" s="58"/>
      <c r="P968" s="84"/>
      <c r="Q968" s="58"/>
      <c r="R968" s="84"/>
    </row>
    <row r="969">
      <c r="A969" s="58"/>
      <c r="B969" s="84"/>
      <c r="C969" s="58"/>
      <c r="D969" s="84"/>
      <c r="E969" s="58"/>
      <c r="F969" s="84"/>
      <c r="G969" s="58"/>
      <c r="H969" s="84"/>
      <c r="I969" s="58"/>
      <c r="J969" s="84"/>
      <c r="K969" s="58"/>
      <c r="L969" s="84"/>
      <c r="M969" s="58"/>
      <c r="N969" s="84"/>
      <c r="O969" s="58"/>
      <c r="P969" s="84"/>
      <c r="Q969" s="58"/>
      <c r="R969" s="84"/>
    </row>
    <row r="970">
      <c r="A970" s="58"/>
      <c r="B970" s="84"/>
      <c r="C970" s="58"/>
      <c r="D970" s="84"/>
      <c r="E970" s="58"/>
      <c r="F970" s="84"/>
      <c r="G970" s="58"/>
      <c r="H970" s="84"/>
      <c r="I970" s="58"/>
      <c r="J970" s="84"/>
      <c r="K970" s="58"/>
      <c r="L970" s="84"/>
      <c r="M970" s="58"/>
      <c r="N970" s="84"/>
      <c r="O970" s="58"/>
      <c r="P970" s="84"/>
      <c r="Q970" s="58"/>
      <c r="R970" s="84"/>
    </row>
    <row r="971">
      <c r="A971" s="58"/>
      <c r="B971" s="84"/>
      <c r="C971" s="58"/>
      <c r="D971" s="84"/>
      <c r="E971" s="58"/>
      <c r="F971" s="84"/>
      <c r="G971" s="58"/>
      <c r="H971" s="84"/>
      <c r="I971" s="58"/>
      <c r="J971" s="84"/>
      <c r="K971" s="58"/>
      <c r="L971" s="84"/>
      <c r="M971" s="58"/>
      <c r="N971" s="84"/>
      <c r="O971" s="58"/>
      <c r="P971" s="84"/>
      <c r="Q971" s="58"/>
      <c r="R971" s="84"/>
    </row>
    <row r="972">
      <c r="A972" s="58"/>
      <c r="B972" s="84"/>
      <c r="C972" s="58"/>
      <c r="D972" s="84"/>
      <c r="E972" s="58"/>
      <c r="F972" s="84"/>
      <c r="G972" s="58"/>
      <c r="H972" s="84"/>
      <c r="I972" s="58"/>
      <c r="J972" s="84"/>
      <c r="K972" s="58"/>
      <c r="L972" s="84"/>
      <c r="M972" s="58"/>
      <c r="N972" s="84"/>
      <c r="O972" s="58"/>
      <c r="P972" s="84"/>
      <c r="Q972" s="58"/>
      <c r="R972" s="84"/>
    </row>
    <row r="973">
      <c r="A973" s="58"/>
      <c r="B973" s="84"/>
      <c r="C973" s="58"/>
      <c r="D973" s="84"/>
      <c r="E973" s="58"/>
      <c r="F973" s="84"/>
      <c r="G973" s="58"/>
      <c r="H973" s="84"/>
      <c r="I973" s="58"/>
      <c r="J973" s="84"/>
      <c r="K973" s="58"/>
      <c r="L973" s="84"/>
      <c r="M973" s="58"/>
      <c r="N973" s="84"/>
      <c r="O973" s="58"/>
      <c r="P973" s="84"/>
      <c r="Q973" s="58"/>
      <c r="R973" s="84"/>
    </row>
    <row r="974">
      <c r="A974" s="58"/>
      <c r="B974" s="84"/>
      <c r="C974" s="58"/>
      <c r="D974" s="84"/>
      <c r="E974" s="58"/>
      <c r="F974" s="84"/>
      <c r="G974" s="58"/>
      <c r="H974" s="84"/>
      <c r="I974" s="58"/>
      <c r="J974" s="84"/>
      <c r="K974" s="58"/>
      <c r="L974" s="84"/>
      <c r="M974" s="58"/>
      <c r="N974" s="84"/>
      <c r="O974" s="58"/>
      <c r="P974" s="84"/>
      <c r="Q974" s="58"/>
      <c r="R974" s="84"/>
    </row>
    <row r="975">
      <c r="A975" s="58"/>
      <c r="B975" s="84"/>
      <c r="C975" s="58"/>
      <c r="D975" s="84"/>
      <c r="E975" s="58"/>
      <c r="F975" s="84"/>
      <c r="G975" s="58"/>
      <c r="H975" s="84"/>
      <c r="I975" s="58"/>
      <c r="J975" s="84"/>
      <c r="K975" s="58"/>
      <c r="L975" s="84"/>
      <c r="M975" s="58"/>
      <c r="N975" s="84"/>
      <c r="O975" s="58"/>
      <c r="P975" s="84"/>
      <c r="Q975" s="58"/>
      <c r="R975" s="84"/>
    </row>
    <row r="976">
      <c r="A976" s="58"/>
      <c r="B976" s="84"/>
      <c r="C976" s="58"/>
      <c r="D976" s="84"/>
      <c r="E976" s="58"/>
      <c r="F976" s="84"/>
      <c r="G976" s="58"/>
      <c r="H976" s="84"/>
      <c r="I976" s="58"/>
      <c r="J976" s="84"/>
      <c r="K976" s="58"/>
      <c r="L976" s="84"/>
      <c r="M976" s="58"/>
      <c r="N976" s="84"/>
      <c r="O976" s="58"/>
      <c r="P976" s="84"/>
      <c r="Q976" s="58"/>
      <c r="R976" s="84"/>
    </row>
    <row r="977">
      <c r="A977" s="58"/>
      <c r="B977" s="84"/>
      <c r="C977" s="58"/>
      <c r="D977" s="84"/>
      <c r="E977" s="58"/>
      <c r="F977" s="84"/>
      <c r="G977" s="58"/>
      <c r="H977" s="84"/>
      <c r="I977" s="58"/>
      <c r="J977" s="84"/>
      <c r="K977" s="58"/>
      <c r="L977" s="84"/>
      <c r="M977" s="58"/>
      <c r="N977" s="84"/>
      <c r="O977" s="58"/>
      <c r="P977" s="84"/>
      <c r="Q977" s="58"/>
      <c r="R977" s="84"/>
    </row>
    <row r="978">
      <c r="A978" s="58"/>
      <c r="B978" s="84"/>
      <c r="C978" s="58"/>
      <c r="D978" s="84"/>
      <c r="E978" s="58"/>
      <c r="F978" s="84"/>
      <c r="G978" s="58"/>
      <c r="H978" s="84"/>
      <c r="I978" s="58"/>
      <c r="J978" s="84"/>
      <c r="K978" s="58"/>
      <c r="L978" s="84"/>
      <c r="M978" s="58"/>
      <c r="N978" s="84"/>
      <c r="O978" s="58"/>
      <c r="P978" s="84"/>
      <c r="Q978" s="58"/>
      <c r="R978" s="84"/>
    </row>
    <row r="979">
      <c r="A979" s="58"/>
      <c r="B979" s="84"/>
      <c r="C979" s="58"/>
      <c r="D979" s="84"/>
      <c r="E979" s="58"/>
      <c r="F979" s="84"/>
      <c r="G979" s="58"/>
      <c r="H979" s="84"/>
      <c r="I979" s="58"/>
      <c r="J979" s="84"/>
      <c r="K979" s="58"/>
      <c r="L979" s="84"/>
      <c r="M979" s="58"/>
      <c r="N979" s="84"/>
      <c r="O979" s="58"/>
      <c r="P979" s="84"/>
      <c r="Q979" s="58"/>
      <c r="R979" s="84"/>
    </row>
    <row r="980">
      <c r="A980" s="58"/>
      <c r="B980" s="84"/>
      <c r="C980" s="58"/>
      <c r="D980" s="84"/>
      <c r="E980" s="58"/>
      <c r="F980" s="84"/>
      <c r="G980" s="58"/>
      <c r="H980" s="84"/>
      <c r="I980" s="58"/>
      <c r="J980" s="84"/>
      <c r="K980" s="58"/>
      <c r="L980" s="84"/>
      <c r="M980" s="58"/>
      <c r="N980" s="84"/>
      <c r="O980" s="58"/>
      <c r="P980" s="84"/>
      <c r="Q980" s="58"/>
      <c r="R980" s="84"/>
    </row>
    <row r="981">
      <c r="A981" s="58"/>
      <c r="B981" s="84"/>
      <c r="C981" s="58"/>
      <c r="D981" s="84"/>
      <c r="E981" s="58"/>
      <c r="F981" s="84"/>
      <c r="G981" s="58"/>
      <c r="H981" s="84"/>
      <c r="I981" s="58"/>
      <c r="J981" s="84"/>
      <c r="K981" s="58"/>
      <c r="L981" s="84"/>
      <c r="M981" s="58"/>
      <c r="N981" s="84"/>
      <c r="O981" s="58"/>
      <c r="P981" s="84"/>
      <c r="Q981" s="58"/>
      <c r="R981" s="84"/>
    </row>
    <row r="982">
      <c r="A982" s="58"/>
      <c r="B982" s="84"/>
      <c r="C982" s="58"/>
      <c r="D982" s="84"/>
      <c r="E982" s="58"/>
      <c r="F982" s="84"/>
      <c r="G982" s="58"/>
      <c r="H982" s="84"/>
      <c r="I982" s="58"/>
      <c r="J982" s="84"/>
      <c r="K982" s="58"/>
      <c r="L982" s="84"/>
      <c r="M982" s="58"/>
      <c r="N982" s="84"/>
      <c r="O982" s="58"/>
      <c r="P982" s="84"/>
      <c r="Q982" s="58"/>
      <c r="R982" s="84"/>
    </row>
    <row r="983">
      <c r="A983" s="58"/>
      <c r="B983" s="84"/>
      <c r="C983" s="58"/>
      <c r="D983" s="84"/>
      <c r="E983" s="58"/>
      <c r="F983" s="84"/>
      <c r="G983" s="58"/>
      <c r="H983" s="84"/>
      <c r="I983" s="58"/>
      <c r="J983" s="84"/>
      <c r="K983" s="58"/>
      <c r="L983" s="84"/>
      <c r="M983" s="58"/>
      <c r="N983" s="84"/>
      <c r="O983" s="58"/>
      <c r="P983" s="84"/>
      <c r="Q983" s="58"/>
      <c r="R983" s="84"/>
    </row>
    <row r="984">
      <c r="A984" s="58"/>
      <c r="B984" s="84"/>
      <c r="C984" s="58"/>
      <c r="D984" s="84"/>
      <c r="E984" s="58"/>
      <c r="F984" s="84"/>
      <c r="G984" s="58"/>
      <c r="H984" s="84"/>
      <c r="I984" s="58"/>
      <c r="J984" s="84"/>
      <c r="K984" s="58"/>
      <c r="L984" s="84"/>
      <c r="M984" s="58"/>
      <c r="N984" s="84"/>
      <c r="O984" s="58"/>
      <c r="P984" s="84"/>
      <c r="Q984" s="58"/>
      <c r="R984" s="84"/>
    </row>
    <row r="985">
      <c r="A985" s="58"/>
      <c r="B985" s="84"/>
      <c r="C985" s="58"/>
      <c r="D985" s="84"/>
      <c r="E985" s="58"/>
      <c r="F985" s="84"/>
      <c r="G985" s="58"/>
      <c r="H985" s="84"/>
      <c r="I985" s="58"/>
      <c r="J985" s="84"/>
      <c r="K985" s="58"/>
      <c r="L985" s="84"/>
      <c r="M985" s="58"/>
      <c r="N985" s="84"/>
      <c r="O985" s="58"/>
      <c r="P985" s="84"/>
      <c r="Q985" s="58"/>
      <c r="R985" s="84"/>
    </row>
    <row r="986">
      <c r="A986" s="58"/>
      <c r="B986" s="84"/>
      <c r="C986" s="58"/>
      <c r="D986" s="84"/>
      <c r="E986" s="58"/>
      <c r="F986" s="84"/>
      <c r="G986" s="58"/>
      <c r="H986" s="84"/>
      <c r="I986" s="58"/>
      <c r="J986" s="84"/>
      <c r="K986" s="58"/>
      <c r="L986" s="84"/>
      <c r="M986" s="58"/>
      <c r="N986" s="84"/>
      <c r="O986" s="58"/>
      <c r="P986" s="84"/>
      <c r="Q986" s="58"/>
      <c r="R986" s="84"/>
    </row>
    <row r="987">
      <c r="A987" s="58"/>
      <c r="B987" s="84"/>
      <c r="C987" s="58"/>
      <c r="D987" s="84"/>
      <c r="E987" s="58"/>
      <c r="F987" s="84"/>
      <c r="G987" s="58"/>
      <c r="H987" s="84"/>
      <c r="I987" s="58"/>
      <c r="J987" s="84"/>
      <c r="K987" s="58"/>
      <c r="L987" s="84"/>
      <c r="M987" s="58"/>
      <c r="N987" s="84"/>
      <c r="O987" s="58"/>
      <c r="P987" s="84"/>
      <c r="Q987" s="58"/>
      <c r="R987" s="84"/>
    </row>
    <row r="988">
      <c r="A988" s="58"/>
      <c r="B988" s="84"/>
      <c r="C988" s="58"/>
      <c r="D988" s="84"/>
      <c r="E988" s="58"/>
      <c r="F988" s="84"/>
      <c r="G988" s="58"/>
      <c r="H988" s="84"/>
      <c r="I988" s="58"/>
      <c r="J988" s="84"/>
      <c r="K988" s="58"/>
      <c r="L988" s="84"/>
      <c r="M988" s="58"/>
      <c r="N988" s="84"/>
      <c r="O988" s="58"/>
      <c r="P988" s="84"/>
      <c r="Q988" s="58"/>
      <c r="R988" s="84"/>
    </row>
    <row r="989">
      <c r="A989" s="58"/>
      <c r="B989" s="84"/>
      <c r="C989" s="58"/>
      <c r="D989" s="84"/>
      <c r="E989" s="58"/>
      <c r="F989" s="84"/>
      <c r="G989" s="58"/>
      <c r="H989" s="84"/>
      <c r="I989" s="58"/>
      <c r="J989" s="84"/>
      <c r="K989" s="58"/>
      <c r="L989" s="84"/>
      <c r="M989" s="58"/>
      <c r="N989" s="84"/>
      <c r="O989" s="58"/>
      <c r="P989" s="84"/>
      <c r="Q989" s="58"/>
      <c r="R989" s="84"/>
    </row>
    <row r="990">
      <c r="A990" s="58"/>
      <c r="B990" s="84"/>
      <c r="C990" s="58"/>
      <c r="D990" s="84"/>
      <c r="E990" s="58"/>
      <c r="F990" s="84"/>
      <c r="G990" s="58"/>
      <c r="H990" s="84"/>
      <c r="I990" s="58"/>
      <c r="J990" s="84"/>
      <c r="K990" s="58"/>
      <c r="L990" s="84"/>
      <c r="M990" s="58"/>
      <c r="N990" s="84"/>
      <c r="O990" s="58"/>
      <c r="P990" s="84"/>
      <c r="Q990" s="58"/>
      <c r="R990" s="84"/>
    </row>
    <row r="991">
      <c r="A991" s="58"/>
      <c r="B991" s="84"/>
      <c r="C991" s="58"/>
      <c r="D991" s="84"/>
      <c r="E991" s="58"/>
      <c r="F991" s="84"/>
      <c r="G991" s="58"/>
      <c r="H991" s="84"/>
      <c r="I991" s="58"/>
      <c r="J991" s="84"/>
      <c r="K991" s="58"/>
      <c r="L991" s="84"/>
      <c r="M991" s="58"/>
      <c r="N991" s="84"/>
      <c r="O991" s="58"/>
      <c r="P991" s="84"/>
      <c r="Q991" s="58"/>
      <c r="R991" s="84"/>
    </row>
    <row r="992">
      <c r="A992" s="58"/>
      <c r="B992" s="84"/>
      <c r="C992" s="58"/>
      <c r="D992" s="84"/>
      <c r="E992" s="58"/>
      <c r="F992" s="84"/>
      <c r="G992" s="58"/>
      <c r="H992" s="84"/>
      <c r="I992" s="58"/>
      <c r="J992" s="84"/>
      <c r="K992" s="58"/>
      <c r="L992" s="84"/>
      <c r="M992" s="58"/>
      <c r="N992" s="84"/>
      <c r="O992" s="58"/>
      <c r="P992" s="84"/>
      <c r="Q992" s="58"/>
      <c r="R992" s="84"/>
    </row>
    <row r="993">
      <c r="A993" s="58"/>
      <c r="B993" s="84"/>
      <c r="C993" s="58"/>
      <c r="D993" s="84"/>
      <c r="E993" s="58"/>
      <c r="F993" s="84"/>
      <c r="G993" s="58"/>
      <c r="H993" s="84"/>
      <c r="I993" s="58"/>
      <c r="J993" s="84"/>
      <c r="K993" s="58"/>
      <c r="L993" s="84"/>
      <c r="M993" s="58"/>
      <c r="N993" s="84"/>
      <c r="O993" s="58"/>
      <c r="P993" s="84"/>
      <c r="Q993" s="58"/>
      <c r="R993" s="84"/>
    </row>
    <row r="994">
      <c r="A994" s="58"/>
      <c r="B994" s="84"/>
      <c r="C994" s="58"/>
      <c r="D994" s="84"/>
      <c r="E994" s="58"/>
      <c r="F994" s="84"/>
      <c r="G994" s="58"/>
      <c r="H994" s="84"/>
      <c r="I994" s="58"/>
      <c r="J994" s="84"/>
      <c r="K994" s="58"/>
      <c r="L994" s="84"/>
      <c r="M994" s="58"/>
      <c r="N994" s="84"/>
      <c r="O994" s="58"/>
      <c r="P994" s="84"/>
      <c r="Q994" s="58"/>
      <c r="R994" s="84"/>
    </row>
    <row r="995">
      <c r="A995" s="58"/>
      <c r="B995" s="84"/>
      <c r="C995" s="58"/>
      <c r="D995" s="84"/>
      <c r="E995" s="58"/>
      <c r="F995" s="84"/>
      <c r="G995" s="58"/>
      <c r="H995" s="84"/>
      <c r="I995" s="58"/>
      <c r="J995" s="84"/>
      <c r="K995" s="58"/>
      <c r="L995" s="84"/>
      <c r="M995" s="58"/>
      <c r="N995" s="84"/>
      <c r="O995" s="58"/>
      <c r="P995" s="84"/>
      <c r="Q995" s="58"/>
      <c r="R995" s="84"/>
    </row>
    <row r="996">
      <c r="A996" s="58"/>
      <c r="B996" s="84"/>
      <c r="C996" s="58"/>
      <c r="D996" s="84"/>
      <c r="E996" s="58"/>
      <c r="F996" s="84"/>
      <c r="G996" s="58"/>
      <c r="H996" s="84"/>
      <c r="I996" s="58"/>
      <c r="J996" s="84"/>
      <c r="K996" s="58"/>
      <c r="L996" s="84"/>
      <c r="M996" s="58"/>
      <c r="N996" s="84"/>
      <c r="O996" s="58"/>
      <c r="P996" s="84"/>
      <c r="Q996" s="58"/>
      <c r="R996" s="84"/>
    </row>
    <row r="997">
      <c r="A997" s="58"/>
      <c r="B997" s="84"/>
      <c r="C997" s="58"/>
      <c r="D997" s="84"/>
      <c r="E997" s="58"/>
      <c r="F997" s="84"/>
      <c r="G997" s="58"/>
      <c r="H997" s="84"/>
      <c r="I997" s="58"/>
      <c r="J997" s="84"/>
      <c r="K997" s="58"/>
      <c r="L997" s="84"/>
      <c r="M997" s="58"/>
      <c r="N997" s="84"/>
      <c r="O997" s="58"/>
      <c r="P997" s="84"/>
      <c r="Q997" s="58"/>
      <c r="R997" s="84"/>
    </row>
    <row r="998">
      <c r="A998" s="58"/>
      <c r="B998" s="84"/>
      <c r="C998" s="58"/>
      <c r="D998" s="84"/>
      <c r="E998" s="58"/>
      <c r="F998" s="84"/>
      <c r="G998" s="58"/>
      <c r="H998" s="84"/>
      <c r="I998" s="58"/>
      <c r="J998" s="84"/>
      <c r="K998" s="58"/>
      <c r="L998" s="84"/>
      <c r="M998" s="58"/>
      <c r="N998" s="84"/>
      <c r="O998" s="58"/>
      <c r="P998" s="84"/>
      <c r="Q998" s="58"/>
      <c r="R998" s="84"/>
    </row>
    <row r="999">
      <c r="A999" s="58"/>
      <c r="B999" s="84"/>
      <c r="C999" s="58"/>
      <c r="D999" s="84"/>
      <c r="E999" s="58"/>
      <c r="F999" s="84"/>
      <c r="G999" s="58"/>
      <c r="H999" s="84"/>
      <c r="I999" s="58"/>
      <c r="J999" s="84"/>
      <c r="K999" s="58"/>
      <c r="L999" s="84"/>
      <c r="M999" s="58"/>
      <c r="N999" s="84"/>
      <c r="O999" s="58"/>
      <c r="P999" s="84"/>
      <c r="Q999" s="58"/>
      <c r="R999" s="84"/>
    </row>
    <row r="1000">
      <c r="A1000" s="58"/>
      <c r="B1000" s="84"/>
      <c r="C1000" s="58"/>
      <c r="D1000" s="84"/>
      <c r="E1000" s="58"/>
      <c r="F1000" s="84"/>
      <c r="G1000" s="58"/>
      <c r="H1000" s="84"/>
      <c r="I1000" s="58"/>
      <c r="J1000" s="84"/>
      <c r="K1000" s="58"/>
      <c r="L1000" s="84"/>
      <c r="M1000" s="58"/>
      <c r="N1000" s="84"/>
      <c r="O1000" s="58"/>
      <c r="P1000" s="84"/>
      <c r="Q1000" s="58"/>
      <c r="R1000" s="84"/>
    </row>
    <row r="1001">
      <c r="A1001" s="58"/>
      <c r="B1001" s="84"/>
      <c r="C1001" s="58"/>
      <c r="D1001" s="84"/>
      <c r="E1001" s="58"/>
      <c r="F1001" s="84"/>
      <c r="G1001" s="58"/>
      <c r="H1001" s="84"/>
      <c r="I1001" s="58"/>
      <c r="J1001" s="84"/>
      <c r="K1001" s="58"/>
      <c r="L1001" s="84"/>
      <c r="M1001" s="58"/>
      <c r="N1001" s="84"/>
      <c r="O1001" s="58"/>
      <c r="P1001" s="84"/>
      <c r="Q1001" s="58"/>
      <c r="R1001" s="84"/>
    </row>
  </sheetData>
  <hyperlinks>
    <hyperlink r:id="rId2" ref="R2"/>
  </hyperlinks>
  <drawing r:id="rId3"/>
  <legacyDrawing r:id="rId4"/>
  <tableParts count="1">
    <tablePart r:id="rId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8.0"/>
    <col customWidth="1" min="2" max="2" width="55.57"/>
    <col customWidth="1" min="3" max="3" width="24.71"/>
    <col customWidth="1" min="4" max="4" width="33.0"/>
    <col customWidth="1" min="5" max="5" width="28.57"/>
    <col customWidth="1" min="6" max="6" width="13.71"/>
    <col customWidth="1" min="7" max="7" width="8.71"/>
    <col customWidth="1" min="8" max="8" width="11.57"/>
    <col customWidth="1" min="9" max="22" width="7.29"/>
    <col customWidth="1" min="23" max="23" width="11.57"/>
    <col customWidth="1" min="24" max="24" width="18.86"/>
    <col customWidth="1" min="25" max="25" width="13.0"/>
    <col customWidth="1" min="26" max="26" width="29.71"/>
    <col customWidth="1" min="27" max="36" width="13.0"/>
  </cols>
  <sheetData>
    <row r="1">
      <c r="A1" s="1" t="s">
        <v>0</v>
      </c>
      <c r="B1" s="1" t="s">
        <v>1</v>
      </c>
      <c r="C1" s="2" t="s">
        <v>2</v>
      </c>
      <c r="D1" s="1" t="s">
        <v>3</v>
      </c>
      <c r="E1" s="1" t="s">
        <v>4</v>
      </c>
      <c r="F1" s="3" t="s">
        <v>5</v>
      </c>
      <c r="G1" s="1" t="s">
        <v>6</v>
      </c>
      <c r="H1" s="1" t="s">
        <v>7</v>
      </c>
      <c r="I1" s="4" t="s">
        <v>8</v>
      </c>
      <c r="J1" s="4" t="s">
        <v>9</v>
      </c>
      <c r="K1" s="4" t="s">
        <v>10</v>
      </c>
      <c r="L1" s="4" t="s">
        <v>11</v>
      </c>
      <c r="M1" s="4" t="s">
        <v>12</v>
      </c>
      <c r="N1" s="5" t="s">
        <v>13</v>
      </c>
      <c r="O1" s="5" t="s">
        <v>14</v>
      </c>
      <c r="P1" s="5" t="s">
        <v>15</v>
      </c>
      <c r="Q1" s="5" t="s">
        <v>16</v>
      </c>
      <c r="R1" s="5" t="s">
        <v>17</v>
      </c>
      <c r="S1" s="5" t="s">
        <v>18</v>
      </c>
      <c r="T1" s="5" t="s">
        <v>19</v>
      </c>
      <c r="U1" s="5" t="s">
        <v>20</v>
      </c>
      <c r="V1" s="5" t="s">
        <v>21</v>
      </c>
      <c r="W1" s="6" t="s">
        <v>22</v>
      </c>
      <c r="X1" s="6" t="s">
        <v>4409</v>
      </c>
      <c r="Y1" s="7" t="s">
        <v>24</v>
      </c>
      <c r="Z1" s="7" t="s">
        <v>25</v>
      </c>
      <c r="AA1" s="7"/>
      <c r="AB1" s="7"/>
      <c r="AC1" s="7"/>
      <c r="AD1" s="7"/>
      <c r="AE1" s="7"/>
      <c r="AF1" s="7"/>
      <c r="AG1" s="7"/>
      <c r="AH1" s="7"/>
      <c r="AI1" s="7"/>
      <c r="AJ1" s="7"/>
    </row>
    <row r="2">
      <c r="A2" s="126">
        <f>IFERROR(__xludf.DUMMYFUNCTION("filter(Selection!A:Z,Selection!X:X=""Yes"")"),2.0)</f>
        <v>2</v>
      </c>
      <c r="B2" s="126" t="str">
        <f>IFERROR(__xludf.DUMMYFUNCTION("""COMPUTED_VALUE"""),"Qos promotion in energy-efficient datacenters through peak load scheduling")</f>
        <v>Qos promotion in energy-efficient datacenters through peak load scheduling</v>
      </c>
      <c r="C2" s="127" t="str">
        <f>IFERROR(__xludf.DUMMYFUNCTION("""COMPUTED_VALUE"""),"https://ieeexplore.ieee.org/abstract/document/8573845/")</f>
        <v>https://ieeexplore.ieee.org/abstract/document/8573845/</v>
      </c>
      <c r="D2" s="126" t="str">
        <f>IFERROR(__xludf.DUMMYFUNCTION("""COMPUTED_VALUE"""),"C Hu, Y Deng, G Min, P Huang, X Qin")</f>
        <v>C Hu, Y Deng, G Min, P Huang, X Qin</v>
      </c>
      <c r="E2" s="126" t="str">
        <f>IFERROR(__xludf.DUMMYFUNCTION("""COMPUTED_VALUE"""),"Institute of Electrical and Electronics Engineers")</f>
        <v>Institute of Electrical and Electronics Engineers</v>
      </c>
      <c r="F2" s="126" t="str">
        <f>IFERROR(__xludf.DUMMYFUNCTION("""COMPUTED_VALUE"""),"IEEE Xplore")</f>
        <v>IEEE Xplore</v>
      </c>
      <c r="G2" s="128" t="str">
        <f>IFERROR(__xludf.DUMMYFUNCTION("""COMPUTED_VALUE"""),"J")</f>
        <v>J</v>
      </c>
      <c r="H2" s="129">
        <f>IFERROR(__xludf.DUMMYFUNCTION("""COMPUTED_VALUE"""),2018.0)</f>
        <v>2018</v>
      </c>
      <c r="I2" s="129">
        <f>IFERROR(__xludf.DUMMYFUNCTION("""COMPUTED_VALUE"""),0.0)</f>
        <v>0</v>
      </c>
      <c r="J2" s="129"/>
      <c r="K2" s="129"/>
      <c r="L2" s="129"/>
      <c r="M2" s="129"/>
      <c r="N2" s="130"/>
      <c r="O2" s="130"/>
      <c r="P2" s="130"/>
      <c r="Q2" s="129"/>
      <c r="R2" s="130"/>
      <c r="S2" s="130"/>
      <c r="T2" s="130"/>
      <c r="U2" s="130"/>
      <c r="V2" s="130"/>
      <c r="W2" s="131" t="str">
        <f>IFERROR(__xludf.DUMMYFUNCTION("""COMPUTED_VALUE"""),"No")</f>
        <v>No</v>
      </c>
      <c r="X2" s="131" t="str">
        <f>IFERROR(__xludf.DUMMYFUNCTION("""COMPUTED_VALUE"""),"Yes")</f>
        <v>Yes</v>
      </c>
      <c r="Y2" s="131" t="str">
        <f>IFERROR(__xludf.DUMMYFUNCTION("""COMPUTED_VALUE"""),"S")</f>
        <v>S</v>
      </c>
      <c r="Z2" s="131" t="str">
        <f>IFERROR(__xludf.DUMMYFUNCTION("""COMPUTED_VALUE"""),"improve QoS with negligible impact on energy saving")</f>
        <v>improve QoS with negligible impact on energy saving</v>
      </c>
      <c r="AA2" s="131"/>
      <c r="AB2" s="131"/>
      <c r="AC2" s="131"/>
      <c r="AD2" s="131"/>
      <c r="AE2" s="131"/>
      <c r="AF2" s="131"/>
      <c r="AG2" s="131"/>
      <c r="AH2" s="131"/>
      <c r="AI2" s="131"/>
      <c r="AJ2" s="131"/>
    </row>
    <row r="3">
      <c r="A3" s="126">
        <f>IFERROR(__xludf.DUMMYFUNCTION("""COMPUTED_VALUE"""),5.0)</f>
        <v>5</v>
      </c>
      <c r="B3" s="126" t="str">
        <f>IFERROR(__xludf.DUMMYFUNCTION("""COMPUTED_VALUE"""),"Smart-grid-aware load regulation of multiple datacenters towards the variable generation of renewable energy")</f>
        <v>Smart-grid-aware load regulation of multiple datacenters towards the variable generation of renewable energy</v>
      </c>
      <c r="C3" s="127" t="str">
        <f>IFERROR(__xludf.DUMMYFUNCTION("""COMPUTED_VALUE"""),"https://www.mdpi.com/2076-3417/9/3/518")</f>
        <v>https://www.mdpi.com/2076-3417/9/3/518</v>
      </c>
      <c r="D3" s="126" t="str">
        <f>IFERROR(__xludf.DUMMYFUNCTION("""COMPUTED_VALUE"""),"P Luo, X Wang, H Jin, Y Li, X Yang")</f>
        <v>P Luo, X Wang, H Jin, Y Li, X Yang</v>
      </c>
      <c r="E3" s="126" t="str">
        <f>IFERROR(__xludf.DUMMYFUNCTION("""COMPUTED_VALUE"""),"Multidisciplinary Digital Publishing Institute")</f>
        <v>Multidisciplinary Digital Publishing Institute</v>
      </c>
      <c r="F3" s="126" t="str">
        <f>IFERROR(__xludf.DUMMYFUNCTION("""COMPUTED_VALUE"""),"MDPI")</f>
        <v>MDPI</v>
      </c>
      <c r="G3" s="128" t="str">
        <f>IFERROR(__xludf.DUMMYFUNCTION("""COMPUTED_VALUE"""),"J")</f>
        <v>J</v>
      </c>
      <c r="H3" s="129">
        <f>IFERROR(__xludf.DUMMYFUNCTION("""COMPUTED_VALUE"""),2019.0)</f>
        <v>2019</v>
      </c>
      <c r="I3" s="129">
        <f>IFERROR(__xludf.DUMMYFUNCTION("""COMPUTED_VALUE"""),1.0)</f>
        <v>1</v>
      </c>
      <c r="J3" s="129"/>
      <c r="K3" s="129"/>
      <c r="L3" s="129">
        <f>IFERROR(__xludf.DUMMYFUNCTION("""COMPUTED_VALUE"""),1.0)</f>
        <v>1</v>
      </c>
      <c r="M3" s="130">
        <f>IFERROR(__xludf.DUMMYFUNCTION("""COMPUTED_VALUE"""),1.0)</f>
        <v>1</v>
      </c>
      <c r="N3" s="130"/>
      <c r="O3" s="130">
        <f>IFERROR(__xludf.DUMMYFUNCTION("""COMPUTED_VALUE"""),0.0)</f>
        <v>0</v>
      </c>
      <c r="P3" s="130">
        <f>IFERROR(__xludf.DUMMYFUNCTION("""COMPUTED_VALUE"""),1.0)</f>
        <v>1</v>
      </c>
      <c r="Q3" s="129">
        <f>IFERROR(__xludf.DUMMYFUNCTION("""COMPUTED_VALUE"""),1.0)</f>
        <v>1</v>
      </c>
      <c r="R3" s="130">
        <f>IFERROR(__xludf.DUMMYFUNCTION("""COMPUTED_VALUE"""),0.0)</f>
        <v>0</v>
      </c>
      <c r="S3" s="130">
        <f>IFERROR(__xludf.DUMMYFUNCTION("""COMPUTED_VALUE"""),0.0)</f>
        <v>0</v>
      </c>
      <c r="T3" s="130">
        <f>IFERROR(__xludf.DUMMYFUNCTION("""COMPUTED_VALUE"""),0.0)</f>
        <v>0</v>
      </c>
      <c r="U3" s="130">
        <f>IFERROR(__xludf.DUMMYFUNCTION("""COMPUTED_VALUE"""),0.0)</f>
        <v>0</v>
      </c>
      <c r="V3" s="130">
        <f>IFERROR(__xludf.DUMMYFUNCTION("""COMPUTED_VALUE"""),0.0)</f>
        <v>0</v>
      </c>
      <c r="W3" s="131" t="str">
        <f>IFERROR(__xludf.DUMMYFUNCTION("""COMPUTED_VALUE"""),"No")</f>
        <v>No</v>
      </c>
      <c r="X3" s="131" t="str">
        <f>IFERROR(__xludf.DUMMYFUNCTION("""COMPUTED_VALUE"""),"Yes")</f>
        <v>Yes</v>
      </c>
      <c r="Y3" s="131" t="str">
        <f>IFERROR(__xludf.DUMMYFUNCTION("""COMPUTED_VALUE"""),"S")</f>
        <v>S</v>
      </c>
      <c r="Z3" s="131" t="str">
        <f>IFERROR(__xludf.DUMMYFUNCTION("""COMPUTED_VALUE"""),"interaction of datacenters and renewable power plants in the transmission network smart grid")</f>
        <v>interaction of datacenters and renewable power plants in the transmission network smart grid</v>
      </c>
      <c r="AA3" s="131"/>
      <c r="AB3" s="131"/>
      <c r="AC3" s="131"/>
      <c r="AD3" s="131"/>
      <c r="AE3" s="131"/>
      <c r="AF3" s="131"/>
      <c r="AG3" s="131"/>
      <c r="AH3" s="131"/>
      <c r="AI3" s="131"/>
      <c r="AJ3" s="131"/>
    </row>
    <row r="4">
      <c r="A4" s="126">
        <f>IFERROR(__xludf.DUMMYFUNCTION("""COMPUTED_VALUE"""),6.0)</f>
        <v>6</v>
      </c>
      <c r="B4" s="126" t="str">
        <f>IFERROR(__xludf.DUMMYFUNCTION("""COMPUTED_VALUE"""),"Green Data Center Analysis and Design for Energy Efficiency Using Clustered and Virtualization Method")</f>
        <v>Green Data Center Analysis and Design for Energy Efficiency Using Clustered and Virtualization Method</v>
      </c>
      <c r="C4" s="127" t="str">
        <f>IFERROR(__xludf.DUMMYFUNCTION("""COMPUTED_VALUE"""),"https://ieeexplore.ieee.org/abstract/document/8874886/")</f>
        <v>https://ieeexplore.ieee.org/abstract/document/8874886/</v>
      </c>
      <c r="D4" s="131" t="str">
        <f>IFERROR(__xludf.DUMMYFUNCTION("""COMPUTED_VALUE"""),"JH Moedjahedy, M Taroreh")</f>
        <v>JH Moedjahedy, M Taroreh</v>
      </c>
      <c r="E4" s="131" t="str">
        <f>IFERROR(__xludf.DUMMYFUNCTION("""COMPUTED_VALUE"""),"Institute of Electrical and Electronics Engineers")</f>
        <v>Institute of Electrical and Electronics Engineers</v>
      </c>
      <c r="F4" s="126" t="str">
        <f>IFERROR(__xludf.DUMMYFUNCTION("""COMPUTED_VALUE"""),"IEEE Xplore")</f>
        <v>IEEE Xplore</v>
      </c>
      <c r="G4" s="132" t="str">
        <f>IFERROR(__xludf.DUMMYFUNCTION("""COMPUTED_VALUE"""),"C")</f>
        <v>C</v>
      </c>
      <c r="H4" s="130">
        <f>IFERROR(__xludf.DUMMYFUNCTION("""COMPUTED_VALUE"""),2019.0)</f>
        <v>2019</v>
      </c>
      <c r="I4" s="130">
        <f>IFERROR(__xludf.DUMMYFUNCTION("""COMPUTED_VALUE"""),1.0)</f>
        <v>1</v>
      </c>
      <c r="J4" s="130">
        <f>IFERROR(__xludf.DUMMYFUNCTION("""COMPUTED_VALUE"""),1.0)</f>
        <v>1</v>
      </c>
      <c r="K4" s="129">
        <f>IFERROR(__xludf.DUMMYFUNCTION("""COMPUTED_VALUE"""),1.0)</f>
        <v>1</v>
      </c>
      <c r="L4" s="129">
        <f>IFERROR(__xludf.DUMMYFUNCTION("""COMPUTED_VALUE"""),1.0)</f>
        <v>1</v>
      </c>
      <c r="M4" s="130">
        <f>IFERROR(__xludf.DUMMYFUNCTION("""COMPUTED_VALUE"""),1.0)</f>
        <v>1</v>
      </c>
      <c r="N4" s="130">
        <f>IFERROR(__xludf.DUMMYFUNCTION("""COMPUTED_VALUE"""),0.0)</f>
        <v>0</v>
      </c>
      <c r="O4" s="130">
        <f>IFERROR(__xludf.DUMMYFUNCTION("""COMPUTED_VALUE"""),0.0)</f>
        <v>0</v>
      </c>
      <c r="P4" s="130">
        <f>IFERROR(__xludf.DUMMYFUNCTION("""COMPUTED_VALUE"""),0.0)</f>
        <v>0</v>
      </c>
      <c r="Q4" s="130">
        <f>IFERROR(__xludf.DUMMYFUNCTION("""COMPUTED_VALUE"""),0.0)</f>
        <v>0</v>
      </c>
      <c r="R4" s="130">
        <f>IFERROR(__xludf.DUMMYFUNCTION("""COMPUTED_VALUE"""),0.0)</f>
        <v>0</v>
      </c>
      <c r="S4" s="130">
        <f>IFERROR(__xludf.DUMMYFUNCTION("""COMPUTED_VALUE"""),0.0)</f>
        <v>0</v>
      </c>
      <c r="T4" s="130">
        <f>IFERROR(__xludf.DUMMYFUNCTION("""COMPUTED_VALUE"""),0.0)</f>
        <v>0</v>
      </c>
      <c r="U4" s="130">
        <f>IFERROR(__xludf.DUMMYFUNCTION("""COMPUTED_VALUE"""),0.0)</f>
        <v>0</v>
      </c>
      <c r="V4" s="130">
        <f>IFERROR(__xludf.DUMMYFUNCTION("""COMPUTED_VALUE"""),0.0)</f>
        <v>0</v>
      </c>
      <c r="W4" s="131" t="str">
        <f>IFERROR(__xludf.DUMMYFUNCTION("""COMPUTED_VALUE"""),"Yes")</f>
        <v>Yes</v>
      </c>
      <c r="X4" s="131" t="str">
        <f>IFERROR(__xludf.DUMMYFUNCTION("""COMPUTED_VALUE"""),"Yes")</f>
        <v>Yes</v>
      </c>
      <c r="Y4" s="131" t="str">
        <f>IFERROR(__xludf.DUMMYFUNCTION("""COMPUTED_VALUE"""),"S")</f>
        <v>S</v>
      </c>
      <c r="Z4" s="131"/>
      <c r="AA4" s="131"/>
      <c r="AB4" s="131"/>
      <c r="AC4" s="131"/>
      <c r="AD4" s="131"/>
      <c r="AE4" s="131"/>
      <c r="AF4" s="131"/>
      <c r="AG4" s="131"/>
      <c r="AH4" s="131"/>
      <c r="AI4" s="131"/>
      <c r="AJ4" s="131"/>
    </row>
    <row r="5">
      <c r="A5" s="126">
        <f>IFERROR(__xludf.DUMMYFUNCTION("""COMPUTED_VALUE"""),7.0)</f>
        <v>7</v>
      </c>
      <c r="B5" s="126" t="str">
        <f>IFERROR(__xludf.DUMMYFUNCTION("""COMPUTED_VALUE"""),"Energy efficient scheduling for cloud data centers using heuristic based migration")</f>
        <v>Energy efficient scheduling for cloud data centers using heuristic based migration</v>
      </c>
      <c r="C5" s="127" t="str">
        <f>IFERROR(__xludf.DUMMYFUNCTION("""COMPUTED_VALUE"""),"https://link.springer.com/article/10.1007/s10586-018-2235-7")</f>
        <v>https://link.springer.com/article/10.1007/s10586-018-2235-7</v>
      </c>
      <c r="D5" s="131" t="str">
        <f>IFERROR(__xludf.DUMMYFUNCTION("""COMPUTED_VALUE"""),"GG Kumar, P Vivekanandan")</f>
        <v>GG Kumar, P Vivekanandan</v>
      </c>
      <c r="E5" s="131" t="str">
        <f>IFERROR(__xludf.DUMMYFUNCTION("""COMPUTED_VALUE"""),"Springer")</f>
        <v>Springer</v>
      </c>
      <c r="F5" s="126" t="str">
        <f>IFERROR(__xludf.DUMMYFUNCTION("""COMPUTED_VALUE"""),"Springer")</f>
        <v>Springer</v>
      </c>
      <c r="G5" s="128" t="str">
        <f>IFERROR(__xludf.DUMMYFUNCTION("""COMPUTED_VALUE"""),"J")</f>
        <v>J</v>
      </c>
      <c r="H5" s="130">
        <f>IFERROR(__xludf.DUMMYFUNCTION("""COMPUTED_VALUE"""),2019.0)</f>
        <v>2019</v>
      </c>
      <c r="I5" s="130">
        <f>IFERROR(__xludf.DUMMYFUNCTION("""COMPUTED_VALUE"""),1.0)</f>
        <v>1</v>
      </c>
      <c r="J5" s="130">
        <f>IFERROR(__xludf.DUMMYFUNCTION("""COMPUTED_VALUE"""),1.0)</f>
        <v>1</v>
      </c>
      <c r="K5" s="130">
        <f>IFERROR(__xludf.DUMMYFUNCTION("""COMPUTED_VALUE"""),1.0)</f>
        <v>1</v>
      </c>
      <c r="L5" s="129">
        <f>IFERROR(__xludf.DUMMYFUNCTION("""COMPUTED_VALUE"""),1.0)</f>
        <v>1</v>
      </c>
      <c r="M5" s="130">
        <f>IFERROR(__xludf.DUMMYFUNCTION("""COMPUTED_VALUE"""),1.0)</f>
        <v>1</v>
      </c>
      <c r="N5" s="130">
        <f>IFERROR(__xludf.DUMMYFUNCTION("""COMPUTED_VALUE"""),0.0)</f>
        <v>0</v>
      </c>
      <c r="O5" s="130">
        <f>IFERROR(__xludf.DUMMYFUNCTION("""COMPUTED_VALUE"""),0.0)</f>
        <v>0</v>
      </c>
      <c r="P5" s="130">
        <f>IFERROR(__xludf.DUMMYFUNCTION("""COMPUTED_VALUE"""),0.0)</f>
        <v>0</v>
      </c>
      <c r="Q5" s="130">
        <f>IFERROR(__xludf.DUMMYFUNCTION("""COMPUTED_VALUE"""),0.0)</f>
        <v>0</v>
      </c>
      <c r="R5" s="130">
        <f>IFERROR(__xludf.DUMMYFUNCTION("""COMPUTED_VALUE"""),0.0)</f>
        <v>0</v>
      </c>
      <c r="S5" s="130">
        <f>IFERROR(__xludf.DUMMYFUNCTION("""COMPUTED_VALUE"""),0.0)</f>
        <v>0</v>
      </c>
      <c r="T5" s="130">
        <f>IFERROR(__xludf.DUMMYFUNCTION("""COMPUTED_VALUE"""),0.0)</f>
        <v>0</v>
      </c>
      <c r="U5" s="130">
        <f>IFERROR(__xludf.DUMMYFUNCTION("""COMPUTED_VALUE"""),0.0)</f>
        <v>0</v>
      </c>
      <c r="V5" s="130">
        <f>IFERROR(__xludf.DUMMYFUNCTION("""COMPUTED_VALUE"""),0.0)</f>
        <v>0</v>
      </c>
      <c r="W5" s="131" t="str">
        <f>IFERROR(__xludf.DUMMYFUNCTION("""COMPUTED_VALUE"""),"Yes")</f>
        <v>Yes</v>
      </c>
      <c r="X5" s="131" t="str">
        <f>IFERROR(__xludf.DUMMYFUNCTION("""COMPUTED_VALUE"""),"Yes")</f>
        <v>Yes</v>
      </c>
      <c r="Y5" s="131" t="str">
        <f>IFERROR(__xludf.DUMMYFUNCTION("""COMPUTED_VALUE"""),"S")</f>
        <v>S</v>
      </c>
      <c r="Z5" s="131"/>
      <c r="AA5" s="131"/>
      <c r="AB5" s="131"/>
      <c r="AC5" s="131"/>
      <c r="AD5" s="131"/>
      <c r="AE5" s="131"/>
      <c r="AF5" s="131"/>
      <c r="AG5" s="131"/>
      <c r="AH5" s="131"/>
      <c r="AI5" s="131"/>
      <c r="AJ5" s="131"/>
    </row>
    <row r="6">
      <c r="A6" s="126">
        <f>IFERROR(__xludf.DUMMYFUNCTION("""COMPUTED_VALUE"""),10.0)</f>
        <v>10</v>
      </c>
      <c r="B6" s="126" t="str">
        <f>IFERROR(__xludf.DUMMYFUNCTION("""COMPUTED_VALUE"""),"Load Management with Predictions of Solar Energy Production for Cloud Data Centers")</f>
        <v>Load Management with Predictions of Solar Energy Production for Cloud Data Centers</v>
      </c>
      <c r="C6" s="127" t="str">
        <f>IFERROR(__xludf.DUMMYFUNCTION("""COMPUTED_VALUE"""),"https://ieeexplore.ieee.org/abstract/document/9053186/")</f>
        <v>https://ieeexplore.ieee.org/abstract/document/9053186/</v>
      </c>
      <c r="D6" s="126" t="str">
        <f>IFERROR(__xludf.DUMMYFUNCTION("""COMPUTED_VALUE"""),"M Floridia, D Laganà, C Mastroianni, M Meo, D Renga")</f>
        <v>M Floridia, D Laganà, C Mastroianni, M Meo, D Renga</v>
      </c>
      <c r="E6" s="126" t="str">
        <f>IFERROR(__xludf.DUMMYFUNCTION("""COMPUTED_VALUE"""),"Institute of Electrical and Electronics Engineers")</f>
        <v>Institute of Electrical and Electronics Engineers</v>
      </c>
      <c r="F6" s="126" t="str">
        <f>IFERROR(__xludf.DUMMYFUNCTION("""COMPUTED_VALUE"""),"IEEE Xplore")</f>
        <v>IEEE Xplore</v>
      </c>
      <c r="G6" s="128" t="str">
        <f>IFERROR(__xludf.DUMMYFUNCTION("""COMPUTED_VALUE"""),"C")</f>
        <v>C</v>
      </c>
      <c r="H6" s="130">
        <f>IFERROR(__xludf.DUMMYFUNCTION("""COMPUTED_VALUE"""),2020.0)</f>
        <v>2020</v>
      </c>
      <c r="I6" s="130">
        <f>IFERROR(__xludf.DUMMYFUNCTION("""COMPUTED_VALUE"""),1.0)</f>
        <v>1</v>
      </c>
      <c r="J6" s="130">
        <f>IFERROR(__xludf.DUMMYFUNCTION("""COMPUTED_VALUE"""),1.0)</f>
        <v>1</v>
      </c>
      <c r="K6" s="130">
        <f>IFERROR(__xludf.DUMMYFUNCTION("""COMPUTED_VALUE"""),1.0)</f>
        <v>1</v>
      </c>
      <c r="L6" s="129">
        <f>IFERROR(__xludf.DUMMYFUNCTION("""COMPUTED_VALUE"""),1.0)</f>
        <v>1</v>
      </c>
      <c r="M6" s="130">
        <f>IFERROR(__xludf.DUMMYFUNCTION("""COMPUTED_VALUE"""),1.0)</f>
        <v>1</v>
      </c>
      <c r="N6" s="130">
        <f>IFERROR(__xludf.DUMMYFUNCTION("""COMPUTED_VALUE"""),0.0)</f>
        <v>0</v>
      </c>
      <c r="O6" s="130">
        <f>IFERROR(__xludf.DUMMYFUNCTION("""COMPUTED_VALUE"""),0.0)</f>
        <v>0</v>
      </c>
      <c r="P6" s="130">
        <f>IFERROR(__xludf.DUMMYFUNCTION("""COMPUTED_VALUE"""),0.0)</f>
        <v>0</v>
      </c>
      <c r="Q6" s="130">
        <f>IFERROR(__xludf.DUMMYFUNCTION("""COMPUTED_VALUE"""),0.0)</f>
        <v>0</v>
      </c>
      <c r="R6" s="130">
        <f>IFERROR(__xludf.DUMMYFUNCTION("""COMPUTED_VALUE"""),0.0)</f>
        <v>0</v>
      </c>
      <c r="S6" s="130">
        <f>IFERROR(__xludf.DUMMYFUNCTION("""COMPUTED_VALUE"""),0.0)</f>
        <v>0</v>
      </c>
      <c r="T6" s="130">
        <f>IFERROR(__xludf.DUMMYFUNCTION("""COMPUTED_VALUE"""),0.0)</f>
        <v>0</v>
      </c>
      <c r="U6" s="130">
        <f>IFERROR(__xludf.DUMMYFUNCTION("""COMPUTED_VALUE"""),0.0)</f>
        <v>0</v>
      </c>
      <c r="V6" s="130">
        <f>IFERROR(__xludf.DUMMYFUNCTION("""COMPUTED_VALUE"""),0.0)</f>
        <v>0</v>
      </c>
      <c r="W6" s="131" t="str">
        <f>IFERROR(__xludf.DUMMYFUNCTION("""COMPUTED_VALUE"""),"Yes")</f>
        <v>Yes</v>
      </c>
      <c r="X6" s="131" t="str">
        <f>IFERROR(__xludf.DUMMYFUNCTION("""COMPUTED_VALUE"""),"Yes")</f>
        <v>Yes</v>
      </c>
      <c r="Y6" s="131" t="str">
        <f>IFERROR(__xludf.DUMMYFUNCTION("""COMPUTED_VALUE"""),"S")</f>
        <v>S</v>
      </c>
      <c r="Z6" s="131"/>
      <c r="AA6" s="131"/>
      <c r="AB6" s="131"/>
      <c r="AC6" s="131"/>
      <c r="AD6" s="131"/>
      <c r="AE6" s="131"/>
      <c r="AF6" s="131"/>
      <c r="AG6" s="131"/>
      <c r="AH6" s="131"/>
      <c r="AI6" s="131"/>
      <c r="AJ6" s="131"/>
    </row>
    <row r="7">
      <c r="A7" s="126">
        <f>IFERROR(__xludf.DUMMYFUNCTION("""COMPUTED_VALUE"""),11.0)</f>
        <v>11</v>
      </c>
      <c r="B7" s="126" t="str">
        <f>IFERROR(__xludf.DUMMYFUNCTION("""COMPUTED_VALUE"""),"Flexibility-Based Energy and Demand Management in Data Centers: A Case Study for Cloud Computing")</f>
        <v>Flexibility-Based Energy and Demand Management in Data Centers: A Case Study for Cloud Computing</v>
      </c>
      <c r="C7" s="127" t="str">
        <f>IFERROR(__xludf.DUMMYFUNCTION("""COMPUTED_VALUE"""),"https://www.mdpi.com/1996-1073/12/17/3301")</f>
        <v>https://www.mdpi.com/1996-1073/12/17/3301</v>
      </c>
      <c r="D7" s="126" t="str">
        <f>IFERROR(__xludf.DUMMYFUNCTION("""COMPUTED_VALUE"""),"R Basmadjian")</f>
        <v>R Basmadjian</v>
      </c>
      <c r="E7" s="126" t="str">
        <f>IFERROR(__xludf.DUMMYFUNCTION("""COMPUTED_VALUE"""),"Multidisciplinary Digital Publishing Institute")</f>
        <v>Multidisciplinary Digital Publishing Institute</v>
      </c>
      <c r="F7" s="126" t="str">
        <f>IFERROR(__xludf.DUMMYFUNCTION("""COMPUTED_VALUE"""),"MDPI")</f>
        <v>MDPI</v>
      </c>
      <c r="G7" s="128" t="str">
        <f>IFERROR(__xludf.DUMMYFUNCTION("""COMPUTED_VALUE"""),"J")</f>
        <v>J</v>
      </c>
      <c r="H7" s="129">
        <f>IFERROR(__xludf.DUMMYFUNCTION("""COMPUTED_VALUE"""),2019.0)</f>
        <v>2019</v>
      </c>
      <c r="I7" s="129">
        <f>IFERROR(__xludf.DUMMYFUNCTION("""COMPUTED_VALUE"""),1.0)</f>
        <v>1</v>
      </c>
      <c r="J7" s="129">
        <f>IFERROR(__xludf.DUMMYFUNCTION("""COMPUTED_VALUE"""),1.0)</f>
        <v>1</v>
      </c>
      <c r="K7" s="130">
        <f>IFERROR(__xludf.DUMMYFUNCTION("""COMPUTED_VALUE"""),1.0)</f>
        <v>1</v>
      </c>
      <c r="L7" s="130">
        <f>IFERROR(__xludf.DUMMYFUNCTION("""COMPUTED_VALUE"""),1.0)</f>
        <v>1</v>
      </c>
      <c r="M7" s="130">
        <f>IFERROR(__xludf.DUMMYFUNCTION("""COMPUTED_VALUE"""),1.0)</f>
        <v>1</v>
      </c>
      <c r="N7" s="130">
        <f>IFERROR(__xludf.DUMMYFUNCTION("""COMPUTED_VALUE"""),0.0)</f>
        <v>0</v>
      </c>
      <c r="O7" s="130">
        <f>IFERROR(__xludf.DUMMYFUNCTION("""COMPUTED_VALUE"""),0.0)</f>
        <v>0</v>
      </c>
      <c r="P7" s="130">
        <f>IFERROR(__xludf.DUMMYFUNCTION("""COMPUTED_VALUE"""),0.0)</f>
        <v>0</v>
      </c>
      <c r="Q7" s="130">
        <f>IFERROR(__xludf.DUMMYFUNCTION("""COMPUTED_VALUE"""),0.0)</f>
        <v>0</v>
      </c>
      <c r="R7" s="130">
        <f>IFERROR(__xludf.DUMMYFUNCTION("""COMPUTED_VALUE"""),0.0)</f>
        <v>0</v>
      </c>
      <c r="S7" s="130">
        <f>IFERROR(__xludf.DUMMYFUNCTION("""COMPUTED_VALUE"""),0.0)</f>
        <v>0</v>
      </c>
      <c r="T7" s="130">
        <f>IFERROR(__xludf.DUMMYFUNCTION("""COMPUTED_VALUE"""),0.0)</f>
        <v>0</v>
      </c>
      <c r="U7" s="130">
        <f>IFERROR(__xludf.DUMMYFUNCTION("""COMPUTED_VALUE"""),0.0)</f>
        <v>0</v>
      </c>
      <c r="V7" s="130">
        <f>IFERROR(__xludf.DUMMYFUNCTION("""COMPUTED_VALUE"""),0.0)</f>
        <v>0</v>
      </c>
      <c r="W7" s="131" t="str">
        <f>IFERROR(__xludf.DUMMYFUNCTION("""COMPUTED_VALUE"""),"Yes")</f>
        <v>Yes</v>
      </c>
      <c r="X7" s="131" t="str">
        <f>IFERROR(__xludf.DUMMYFUNCTION("""COMPUTED_VALUE"""),"Yes")</f>
        <v>Yes</v>
      </c>
      <c r="Y7" s="131" t="str">
        <f>IFERROR(__xludf.DUMMYFUNCTION("""COMPUTED_VALUE"""),"S")</f>
        <v>S</v>
      </c>
      <c r="Z7" s="131"/>
      <c r="AA7" s="131"/>
      <c r="AB7" s="131"/>
      <c r="AC7" s="131"/>
      <c r="AD7" s="131"/>
      <c r="AE7" s="131"/>
      <c r="AF7" s="131"/>
      <c r="AG7" s="131"/>
      <c r="AH7" s="131"/>
      <c r="AI7" s="131"/>
      <c r="AJ7" s="131"/>
    </row>
    <row r="8">
      <c r="A8" s="126">
        <f>IFERROR(__xludf.DUMMYFUNCTION("""COMPUTED_VALUE"""),13.0)</f>
        <v>13</v>
      </c>
      <c r="B8" s="126" t="str">
        <f>IFERROR(__xludf.DUMMYFUNCTION("""COMPUTED_VALUE"""),"Predictions and Modeling Energy Consumption for IT Data Center")</f>
        <v>Predictions and Modeling Energy Consumption for IT Data Center</v>
      </c>
      <c r="C8" s="127" t="str">
        <f>IFERROR(__xludf.DUMMYFUNCTION("""COMPUTED_VALUE"""),"https://link.springer.com/chapter/10.1007/978-3-030-12065-8_1")</f>
        <v>https://link.springer.com/chapter/10.1007/978-3-030-12065-8_1</v>
      </c>
      <c r="D8" s="126" t="str">
        <f>IFERROR(__xludf.DUMMYFUNCTION("""COMPUTED_VALUE"""),"M Soltane, P Roose, D Makhlouf, K Okba")</f>
        <v>M Soltane, P Roose, D Makhlouf, K Okba</v>
      </c>
      <c r="E8" s="126" t="str">
        <f>IFERROR(__xludf.DUMMYFUNCTION("""COMPUTED_VALUE"""),"Springer")</f>
        <v>Springer</v>
      </c>
      <c r="F8" s="126" t="str">
        <f>IFERROR(__xludf.DUMMYFUNCTION("""COMPUTED_VALUE"""),"Springer")</f>
        <v>Springer</v>
      </c>
      <c r="G8" s="128" t="str">
        <f>IFERROR(__xludf.DUMMYFUNCTION("""COMPUTED_VALUE"""),"C")</f>
        <v>C</v>
      </c>
      <c r="H8" s="130">
        <f>IFERROR(__xludf.DUMMYFUNCTION("""COMPUTED_VALUE"""),2018.0)</f>
        <v>2018</v>
      </c>
      <c r="I8" s="130">
        <f>IFERROR(__xludf.DUMMYFUNCTION("""COMPUTED_VALUE"""),1.0)</f>
        <v>1</v>
      </c>
      <c r="J8" s="130">
        <f>IFERROR(__xludf.DUMMYFUNCTION("""COMPUTED_VALUE"""),1.0)</f>
        <v>1</v>
      </c>
      <c r="K8" s="130">
        <f>IFERROR(__xludf.DUMMYFUNCTION("""COMPUTED_VALUE"""),1.0)</f>
        <v>1</v>
      </c>
      <c r="L8" s="129">
        <f>IFERROR(__xludf.DUMMYFUNCTION("""COMPUTED_VALUE"""),1.0)</f>
        <v>1</v>
      </c>
      <c r="M8" s="130">
        <f>IFERROR(__xludf.DUMMYFUNCTION("""COMPUTED_VALUE"""),1.0)</f>
        <v>1</v>
      </c>
      <c r="N8" s="130">
        <f>IFERROR(__xludf.DUMMYFUNCTION("""COMPUTED_VALUE"""),0.0)</f>
        <v>0</v>
      </c>
      <c r="O8" s="130">
        <f>IFERROR(__xludf.DUMMYFUNCTION("""COMPUTED_VALUE"""),0.0)</f>
        <v>0</v>
      </c>
      <c r="P8" s="130">
        <f>IFERROR(__xludf.DUMMYFUNCTION("""COMPUTED_VALUE"""),0.0)</f>
        <v>0</v>
      </c>
      <c r="Q8" s="130">
        <f>IFERROR(__xludf.DUMMYFUNCTION("""COMPUTED_VALUE"""),0.0)</f>
        <v>0</v>
      </c>
      <c r="R8" s="130">
        <f>IFERROR(__xludf.DUMMYFUNCTION("""COMPUTED_VALUE"""),0.0)</f>
        <v>0</v>
      </c>
      <c r="S8" s="130">
        <f>IFERROR(__xludf.DUMMYFUNCTION("""COMPUTED_VALUE"""),0.0)</f>
        <v>0</v>
      </c>
      <c r="T8" s="130">
        <f>IFERROR(__xludf.DUMMYFUNCTION("""COMPUTED_VALUE"""),0.0)</f>
        <v>0</v>
      </c>
      <c r="U8" s="130">
        <f>IFERROR(__xludf.DUMMYFUNCTION("""COMPUTED_VALUE"""),0.0)</f>
        <v>0</v>
      </c>
      <c r="V8" s="130">
        <f>IFERROR(__xludf.DUMMYFUNCTION("""COMPUTED_VALUE"""),0.0)</f>
        <v>0</v>
      </c>
      <c r="W8" s="131" t="str">
        <f>IFERROR(__xludf.DUMMYFUNCTION("""COMPUTED_VALUE"""),"Yes")</f>
        <v>Yes</v>
      </c>
      <c r="X8" s="131" t="str">
        <f>IFERROR(__xludf.DUMMYFUNCTION("""COMPUTED_VALUE"""),"Yes")</f>
        <v>Yes</v>
      </c>
      <c r="Y8" s="131" t="str">
        <f>IFERROR(__xludf.DUMMYFUNCTION("""COMPUTED_VALUE"""),"S")</f>
        <v>S</v>
      </c>
      <c r="Z8" s="131"/>
      <c r="AA8" s="131"/>
      <c r="AB8" s="131"/>
      <c r="AC8" s="131"/>
      <c r="AD8" s="131"/>
      <c r="AE8" s="131"/>
      <c r="AF8" s="131"/>
      <c r="AG8" s="131"/>
      <c r="AH8" s="131"/>
      <c r="AI8" s="131"/>
      <c r="AJ8" s="131"/>
    </row>
    <row r="9">
      <c r="A9" s="126">
        <f>IFERROR(__xludf.DUMMYFUNCTION("""COMPUTED_VALUE"""),15.0)</f>
        <v>15</v>
      </c>
      <c r="B9" s="126" t="str">
        <f>IFERROR(__xludf.DUMMYFUNCTION("""COMPUTED_VALUE"""),"Energy efficient indivisible workload distribution in geographically distributed data centers")</f>
        <v>Energy efficient indivisible workload distribution in geographically distributed data centers</v>
      </c>
      <c r="C9" s="127" t="str">
        <f>IFERROR(__xludf.DUMMYFUNCTION("""COMPUTED_VALUE"""),"https://ieeexplore.ieee.org/abstract/document/8742558/")</f>
        <v>https://ieeexplore.ieee.org/abstract/document/8742558/</v>
      </c>
      <c r="D9" s="126" t="str">
        <f>IFERROR(__xludf.DUMMYFUNCTION("""COMPUTED_VALUE"""),"MIK Khalil, I Ahmad, AA Almazroi")</f>
        <v>MIK Khalil, I Ahmad, AA Almazroi</v>
      </c>
      <c r="E9" s="126" t="str">
        <f>IFERROR(__xludf.DUMMYFUNCTION("""COMPUTED_VALUE"""),"Institute of Electrical and Electronics Engineers")</f>
        <v>Institute of Electrical and Electronics Engineers</v>
      </c>
      <c r="F9" s="126" t="str">
        <f>IFERROR(__xludf.DUMMYFUNCTION("""COMPUTED_VALUE"""),"IEEE Xplore")</f>
        <v>IEEE Xplore</v>
      </c>
      <c r="G9" s="128" t="str">
        <f>IFERROR(__xludf.DUMMYFUNCTION("""COMPUTED_VALUE"""),"J")</f>
        <v>J</v>
      </c>
      <c r="H9" s="130">
        <f>IFERROR(__xludf.DUMMYFUNCTION("""COMPUTED_VALUE"""),2019.0)</f>
        <v>2019</v>
      </c>
      <c r="I9" s="130">
        <f>IFERROR(__xludf.DUMMYFUNCTION("""COMPUTED_VALUE"""),0.0)</f>
        <v>0</v>
      </c>
      <c r="J9" s="130"/>
      <c r="K9" s="130"/>
      <c r="L9" s="129"/>
      <c r="M9" s="130"/>
      <c r="N9" s="130"/>
      <c r="O9" s="130"/>
      <c r="P9" s="130"/>
      <c r="Q9" s="130"/>
      <c r="R9" s="130"/>
      <c r="S9" s="130"/>
      <c r="T9" s="130"/>
      <c r="U9" s="130"/>
      <c r="V9" s="130"/>
      <c r="W9" s="131" t="str">
        <f>IFERROR(__xludf.DUMMYFUNCTION("""COMPUTED_VALUE"""),"No")</f>
        <v>No</v>
      </c>
      <c r="X9" s="131" t="str">
        <f>IFERROR(__xludf.DUMMYFUNCTION("""COMPUTED_VALUE"""),"Yes")</f>
        <v>Yes</v>
      </c>
      <c r="Y9" s="131" t="str">
        <f>IFERROR(__xludf.DUMMYFUNCTION("""COMPUTED_VALUE"""),"S")</f>
        <v>S</v>
      </c>
      <c r="Z9" s="131" t="str">
        <f>IFERROR(__xludf.DUMMYFUNCTION("""COMPUTED_VALUE"""),"cost-driven")</f>
        <v>cost-driven</v>
      </c>
      <c r="AA9" s="131"/>
      <c r="AB9" s="131"/>
      <c r="AC9" s="131"/>
      <c r="AD9" s="131"/>
      <c r="AE9" s="131"/>
      <c r="AF9" s="131"/>
      <c r="AG9" s="131"/>
      <c r="AH9" s="131"/>
      <c r="AI9" s="131"/>
      <c r="AJ9" s="131"/>
    </row>
    <row r="10">
      <c r="A10" s="126">
        <f>IFERROR(__xludf.DUMMYFUNCTION("""COMPUTED_VALUE"""),16.0)</f>
        <v>16</v>
      </c>
      <c r="B10" s="126" t="str">
        <f>IFERROR(__xludf.DUMMYFUNCTION("""COMPUTED_VALUE"""),"An energy-efficient power management for heterogeneous servers in data centers")</f>
        <v>An energy-efficient power management for heterogeneous servers in data centers</v>
      </c>
      <c r="C10" s="127" t="str">
        <f>IFERROR(__xludf.DUMMYFUNCTION("""COMPUTED_VALUE"""),"https://link.springer.com/content/pdf/10.1007/s00607-020-00805-w.pdf")</f>
        <v>https://link.springer.com/content/pdf/10.1007/s00607-020-00805-w.pdf</v>
      </c>
      <c r="D10" s="126" t="str">
        <f>IFERROR(__xludf.DUMMYFUNCTION("""COMPUTED_VALUE"""),"Q Wang, H Cai, Q Cao, F Wang")</f>
        <v>Q Wang, H Cai, Q Cao, F Wang</v>
      </c>
      <c r="E10" s="126" t="str">
        <f>IFERROR(__xludf.DUMMYFUNCTION("""COMPUTED_VALUE"""),"Springer")</f>
        <v>Springer</v>
      </c>
      <c r="F10" s="126" t="str">
        <f>IFERROR(__xludf.DUMMYFUNCTION("""COMPUTED_VALUE"""),"Springer")</f>
        <v>Springer</v>
      </c>
      <c r="G10" s="126" t="str">
        <f>IFERROR(__xludf.DUMMYFUNCTION("""COMPUTED_VALUE"""),"J")</f>
        <v>J</v>
      </c>
      <c r="H10" s="129">
        <f>IFERROR(__xludf.DUMMYFUNCTION("""COMPUTED_VALUE"""),2020.0)</f>
        <v>2020</v>
      </c>
      <c r="I10" s="129">
        <f>IFERROR(__xludf.DUMMYFUNCTION("""COMPUTED_VALUE"""),1.0)</f>
        <v>1</v>
      </c>
      <c r="J10" s="129">
        <f>IFERROR(__xludf.DUMMYFUNCTION("""COMPUTED_VALUE"""),1.0)</f>
        <v>1</v>
      </c>
      <c r="K10" s="129">
        <f>IFERROR(__xludf.DUMMYFUNCTION("""COMPUTED_VALUE"""),1.0)</f>
        <v>1</v>
      </c>
      <c r="L10" s="129">
        <f>IFERROR(__xludf.DUMMYFUNCTION("""COMPUTED_VALUE"""),1.0)</f>
        <v>1</v>
      </c>
      <c r="M10" s="129">
        <f>IFERROR(__xludf.DUMMYFUNCTION("""COMPUTED_VALUE"""),1.0)</f>
        <v>1</v>
      </c>
      <c r="N10" s="129">
        <f>IFERROR(__xludf.DUMMYFUNCTION("""COMPUTED_VALUE"""),0.0)</f>
        <v>0</v>
      </c>
      <c r="O10" s="129">
        <f>IFERROR(__xludf.DUMMYFUNCTION("""COMPUTED_VALUE"""),0.0)</f>
        <v>0</v>
      </c>
      <c r="P10" s="129">
        <f>IFERROR(__xludf.DUMMYFUNCTION("""COMPUTED_VALUE"""),0.0)</f>
        <v>0</v>
      </c>
      <c r="Q10" s="129">
        <f>IFERROR(__xludf.DUMMYFUNCTION("""COMPUTED_VALUE"""),0.0)</f>
        <v>0</v>
      </c>
      <c r="R10" s="129">
        <f>IFERROR(__xludf.DUMMYFUNCTION("""COMPUTED_VALUE"""),0.0)</f>
        <v>0</v>
      </c>
      <c r="S10" s="129">
        <f>IFERROR(__xludf.DUMMYFUNCTION("""COMPUTED_VALUE"""),0.0)</f>
        <v>0</v>
      </c>
      <c r="T10" s="129">
        <f>IFERROR(__xludf.DUMMYFUNCTION("""COMPUTED_VALUE"""),0.0)</f>
        <v>0</v>
      </c>
      <c r="U10" s="129">
        <f>IFERROR(__xludf.DUMMYFUNCTION("""COMPUTED_VALUE"""),0.0)</f>
        <v>0</v>
      </c>
      <c r="V10" s="129">
        <f>IFERROR(__xludf.DUMMYFUNCTION("""COMPUTED_VALUE"""),0.0)</f>
        <v>0</v>
      </c>
      <c r="W10" s="126" t="str">
        <f>IFERROR(__xludf.DUMMYFUNCTION("""COMPUTED_VALUE"""),"Yes")</f>
        <v>Yes</v>
      </c>
      <c r="X10" s="126" t="str">
        <f>IFERROR(__xludf.DUMMYFUNCTION("""COMPUTED_VALUE"""),"Yes")</f>
        <v>Yes</v>
      </c>
      <c r="Y10" s="126" t="str">
        <f>IFERROR(__xludf.DUMMYFUNCTION("""COMPUTED_VALUE"""),"S")</f>
        <v>S</v>
      </c>
      <c r="Z10" s="126"/>
      <c r="AA10" s="126"/>
      <c r="AB10" s="126"/>
      <c r="AC10" s="126"/>
      <c r="AD10" s="126"/>
      <c r="AE10" s="126"/>
      <c r="AF10" s="126"/>
      <c r="AG10" s="126"/>
      <c r="AH10" s="126"/>
      <c r="AI10" s="126"/>
      <c r="AJ10" s="126"/>
    </row>
    <row r="11">
      <c r="A11" s="126">
        <f>IFERROR(__xludf.DUMMYFUNCTION("""COMPUTED_VALUE"""),17.0)</f>
        <v>17</v>
      </c>
      <c r="B11" s="126" t="str">
        <f>IFERROR(__xludf.DUMMYFUNCTION("""COMPUTED_VALUE"""),"MFF: Performance Interference-Aware VM Placement Algorithm for Reducing Energy Consumption in Data Centers")</f>
        <v>MFF: Performance Interference-Aware VM Placement Algorithm for Reducing Energy Consumption in Data Centers</v>
      </c>
      <c r="C11" s="127" t="str">
        <f>IFERROR(__xludf.DUMMYFUNCTION("""COMPUTED_VALUE"""),"https://centerprode.com/ojit/ojit0301/coas.ojit.0301.01001m.html")</f>
        <v>https://centerprode.com/ojit/ojit0301/coas.ojit.0301.01001m.html</v>
      </c>
      <c r="D11" s="126" t="str">
        <f>IFERROR(__xludf.DUMMYFUNCTION("""COMPUTED_VALUE"""),"D Mosoti, VO Omwenga, P Ogao")</f>
        <v>D Mosoti, VO Omwenga, P Ogao</v>
      </c>
      <c r="E11" s="126" t="str">
        <f>IFERROR(__xludf.DUMMYFUNCTION("""COMPUTED_VALUE"""),"Open Journal for Information Technology")</f>
        <v>Open Journal for Information Technology</v>
      </c>
      <c r="F11" s="126" t="str">
        <f>IFERROR(__xludf.DUMMYFUNCTION("""COMPUTED_VALUE"""),"OJIT")</f>
        <v>OJIT</v>
      </c>
      <c r="G11" s="128" t="str">
        <f>IFERROR(__xludf.DUMMYFUNCTION("""COMPUTED_VALUE"""),"J")</f>
        <v>J</v>
      </c>
      <c r="H11" s="129">
        <f>IFERROR(__xludf.DUMMYFUNCTION("""COMPUTED_VALUE"""),2020.0)</f>
        <v>2020</v>
      </c>
      <c r="I11" s="130">
        <f>IFERROR(__xludf.DUMMYFUNCTION("""COMPUTED_VALUE"""),1.0)</f>
        <v>1</v>
      </c>
      <c r="J11" s="129">
        <f>IFERROR(__xludf.DUMMYFUNCTION("""COMPUTED_VALUE"""),1.0)</f>
        <v>1</v>
      </c>
      <c r="K11" s="130">
        <f>IFERROR(__xludf.DUMMYFUNCTION("""COMPUTED_VALUE"""),1.0)</f>
        <v>1</v>
      </c>
      <c r="L11" s="129">
        <f>IFERROR(__xludf.DUMMYFUNCTION("""COMPUTED_VALUE"""),1.0)</f>
        <v>1</v>
      </c>
      <c r="M11" s="130">
        <f>IFERROR(__xludf.DUMMYFUNCTION("""COMPUTED_VALUE"""),1.0)</f>
        <v>1</v>
      </c>
      <c r="N11" s="130">
        <f>IFERROR(__xludf.DUMMYFUNCTION("""COMPUTED_VALUE"""),0.0)</f>
        <v>0</v>
      </c>
      <c r="O11" s="130">
        <f>IFERROR(__xludf.DUMMYFUNCTION("""COMPUTED_VALUE"""),0.0)</f>
        <v>0</v>
      </c>
      <c r="P11" s="130">
        <f>IFERROR(__xludf.DUMMYFUNCTION("""COMPUTED_VALUE"""),0.0)</f>
        <v>0</v>
      </c>
      <c r="Q11" s="130">
        <f>IFERROR(__xludf.DUMMYFUNCTION("""COMPUTED_VALUE"""),0.0)</f>
        <v>0</v>
      </c>
      <c r="R11" s="130">
        <f>IFERROR(__xludf.DUMMYFUNCTION("""COMPUTED_VALUE"""),0.0)</f>
        <v>0</v>
      </c>
      <c r="S11" s="130">
        <f>IFERROR(__xludf.DUMMYFUNCTION("""COMPUTED_VALUE"""),0.0)</f>
        <v>0</v>
      </c>
      <c r="T11" s="130">
        <f>IFERROR(__xludf.DUMMYFUNCTION("""COMPUTED_VALUE"""),0.0)</f>
        <v>0</v>
      </c>
      <c r="U11" s="130">
        <f>IFERROR(__xludf.DUMMYFUNCTION("""COMPUTED_VALUE"""),0.0)</f>
        <v>0</v>
      </c>
      <c r="V11" s="130">
        <f>IFERROR(__xludf.DUMMYFUNCTION("""COMPUTED_VALUE"""),0.0)</f>
        <v>0</v>
      </c>
      <c r="W11" s="131" t="str">
        <f>IFERROR(__xludf.DUMMYFUNCTION("""COMPUTED_VALUE"""),"Yes")</f>
        <v>Yes</v>
      </c>
      <c r="X11" s="131" t="str">
        <f>IFERROR(__xludf.DUMMYFUNCTION("""COMPUTED_VALUE"""),"Yes")</f>
        <v>Yes</v>
      </c>
      <c r="Y11" s="131" t="str">
        <f>IFERROR(__xludf.DUMMYFUNCTION("""COMPUTED_VALUE"""),"S")</f>
        <v>S</v>
      </c>
      <c r="Z11" s="131"/>
      <c r="AA11" s="131"/>
      <c r="AB11" s="131"/>
      <c r="AC11" s="131"/>
      <c r="AD11" s="131"/>
      <c r="AE11" s="131"/>
      <c r="AF11" s="131"/>
      <c r="AG11" s="131"/>
      <c r="AH11" s="131"/>
      <c r="AI11" s="131"/>
      <c r="AJ11" s="131"/>
    </row>
    <row r="12">
      <c r="A12" s="126">
        <f>IFERROR(__xludf.DUMMYFUNCTION("""COMPUTED_VALUE"""),18.0)</f>
        <v>18</v>
      </c>
      <c r="B12" s="126" t="str">
        <f>IFERROR(__xludf.DUMMYFUNCTION("""COMPUTED_VALUE"""),"Energy Aware Multi Objective Algorithm for Task Scheduling on DVFS-Enabled Cloud Datacenters using Fuzzy NSGA-II")</f>
        <v>Energy Aware Multi Objective Algorithm for Task Scheduling on DVFS-Enabled Cloud Datacenters using Fuzzy NSGA-II</v>
      </c>
      <c r="C12" s="127" t="str">
        <f>IFERROR(__xludf.DUMMYFUNCTION("""COMPUTED_VALUE"""),"https://ijnaa.semnan.ac.ir/article_4666.html")</f>
        <v>https://ijnaa.semnan.ac.ir/article_4666.html</v>
      </c>
      <c r="D12" s="126" t="str">
        <f>IFERROR(__xludf.DUMMYFUNCTION("""COMPUTED_VALUE"""),"S Fatehi, H Motameni, B Barzegar…")</f>
        <v>S Fatehi, H Motameni, B Barzegar…</v>
      </c>
      <c r="E12" s="127" t="str">
        <f>IFERROR(__xludf.DUMMYFUNCTION("""COMPUTED_VALUE"""),"ijnaa.semnan.ac.ir")</f>
        <v>ijnaa.semnan.ac.ir</v>
      </c>
      <c r="F12" s="127" t="str">
        <f>IFERROR(__xludf.DUMMYFUNCTION("""COMPUTED_VALUE"""),"ijnaa.semnan.ac.ir")</f>
        <v>ijnaa.semnan.ac.ir</v>
      </c>
      <c r="G12" s="126"/>
      <c r="H12" s="129">
        <f>IFERROR(__xludf.DUMMYFUNCTION("""COMPUTED_VALUE"""),2020.0)</f>
        <v>2020</v>
      </c>
      <c r="I12" s="130">
        <f>IFERROR(__xludf.DUMMYFUNCTION("""COMPUTED_VALUE"""),0.0)</f>
        <v>0</v>
      </c>
      <c r="J12" s="129"/>
      <c r="K12" s="129"/>
      <c r="L12" s="129"/>
      <c r="M12" s="129"/>
      <c r="N12" s="129"/>
      <c r="O12" s="129"/>
      <c r="P12" s="129"/>
      <c r="Q12" s="129"/>
      <c r="R12" s="129"/>
      <c r="S12" s="129"/>
      <c r="T12" s="129"/>
      <c r="U12" s="129"/>
      <c r="V12" s="129"/>
      <c r="W12" s="126" t="str">
        <f>IFERROR(__xludf.DUMMYFUNCTION("""COMPUTED_VALUE"""),"No")</f>
        <v>No</v>
      </c>
      <c r="X12" s="126" t="str">
        <f>IFERROR(__xludf.DUMMYFUNCTION("""COMPUTED_VALUE"""),"Yes")</f>
        <v>Yes</v>
      </c>
      <c r="Y12" s="126" t="str">
        <f>IFERROR(__xludf.DUMMYFUNCTION("""COMPUTED_VALUE"""),"S")</f>
        <v>S</v>
      </c>
      <c r="Z12" s="126" t="str">
        <f>IFERROR(__xludf.DUMMYFUNCTION("""COMPUTED_VALUE"""),"cost-oriented, energy reduction minimal")</f>
        <v>cost-oriented, energy reduction minimal</v>
      </c>
      <c r="AA12" s="126"/>
      <c r="AB12" s="126"/>
      <c r="AC12" s="126"/>
      <c r="AD12" s="126"/>
      <c r="AE12" s="126"/>
      <c r="AF12" s="126"/>
      <c r="AG12" s="126"/>
      <c r="AH12" s="126"/>
      <c r="AI12" s="126"/>
      <c r="AJ12" s="126"/>
    </row>
    <row r="13">
      <c r="A13" s="126">
        <f>IFERROR(__xludf.DUMMYFUNCTION("""COMPUTED_VALUE"""),21.0)</f>
        <v>21</v>
      </c>
      <c r="B13" s="126" t="str">
        <f>IFERROR(__xludf.DUMMYFUNCTION("""COMPUTED_VALUE"""),"Network-aware energy saving multi-objective optimization in virtualized data centers")</f>
        <v>Network-aware energy saving multi-objective optimization in virtualized data centers</v>
      </c>
      <c r="C13" s="127" t="str">
        <f>IFERROR(__xludf.DUMMYFUNCTION("""COMPUTED_VALUE"""),"https://link.springer.com/article/10.1007/s10586-018-2869-5")</f>
        <v>https://link.springer.com/article/10.1007/s10586-018-2869-5</v>
      </c>
      <c r="D13" s="126" t="str">
        <f>IFERROR(__xludf.DUMMYFUNCTION("""COMPUTED_VALUE"""),"M Al-Tarazi, JM Chang")</f>
        <v>M Al-Tarazi, JM Chang</v>
      </c>
      <c r="E13" s="126" t="str">
        <f>IFERROR(__xludf.DUMMYFUNCTION("""COMPUTED_VALUE"""),"Springer")</f>
        <v>Springer</v>
      </c>
      <c r="F13" s="126" t="str">
        <f>IFERROR(__xludf.DUMMYFUNCTION("""COMPUTED_VALUE"""),"Springer")</f>
        <v>Springer</v>
      </c>
      <c r="G13" s="132" t="str">
        <f>IFERROR(__xludf.DUMMYFUNCTION("""COMPUTED_VALUE"""),"J")</f>
        <v>J</v>
      </c>
      <c r="H13" s="129">
        <f>IFERROR(__xludf.DUMMYFUNCTION("""COMPUTED_VALUE"""),2019.0)</f>
        <v>2019</v>
      </c>
      <c r="I13" s="129">
        <f>IFERROR(__xludf.DUMMYFUNCTION("""COMPUTED_VALUE"""),1.0)</f>
        <v>1</v>
      </c>
      <c r="J13" s="129">
        <f>IFERROR(__xludf.DUMMYFUNCTION("""COMPUTED_VALUE"""),1.0)</f>
        <v>1</v>
      </c>
      <c r="K13" s="130">
        <f>IFERROR(__xludf.DUMMYFUNCTION("""COMPUTED_VALUE"""),1.0)</f>
        <v>1</v>
      </c>
      <c r="L13" s="130">
        <f>IFERROR(__xludf.DUMMYFUNCTION("""COMPUTED_VALUE"""),1.0)</f>
        <v>1</v>
      </c>
      <c r="M13" s="130">
        <f>IFERROR(__xludf.DUMMYFUNCTION("""COMPUTED_VALUE"""),1.0)</f>
        <v>1</v>
      </c>
      <c r="N13" s="130">
        <f>IFERROR(__xludf.DUMMYFUNCTION("""COMPUTED_VALUE"""),0.0)</f>
        <v>0</v>
      </c>
      <c r="O13" s="130">
        <f>IFERROR(__xludf.DUMMYFUNCTION("""COMPUTED_VALUE"""),0.0)</f>
        <v>0</v>
      </c>
      <c r="P13" s="130">
        <f>IFERROR(__xludf.DUMMYFUNCTION("""COMPUTED_VALUE"""),0.0)</f>
        <v>0</v>
      </c>
      <c r="Q13" s="129">
        <f>IFERROR(__xludf.DUMMYFUNCTION("""COMPUTED_VALUE"""),0.0)</f>
        <v>0</v>
      </c>
      <c r="R13" s="129">
        <f>IFERROR(__xludf.DUMMYFUNCTION("""COMPUTED_VALUE"""),0.0)</f>
        <v>0</v>
      </c>
      <c r="S13" s="129">
        <f>IFERROR(__xludf.DUMMYFUNCTION("""COMPUTED_VALUE"""),0.0)</f>
        <v>0</v>
      </c>
      <c r="T13" s="129">
        <f>IFERROR(__xludf.DUMMYFUNCTION("""COMPUTED_VALUE"""),0.0)</f>
        <v>0</v>
      </c>
      <c r="U13" s="129">
        <f>IFERROR(__xludf.DUMMYFUNCTION("""COMPUTED_VALUE"""),0.0)</f>
        <v>0</v>
      </c>
      <c r="V13" s="129">
        <f>IFERROR(__xludf.DUMMYFUNCTION("""COMPUTED_VALUE"""),0.0)</f>
        <v>0</v>
      </c>
      <c r="W13" s="126" t="str">
        <f>IFERROR(__xludf.DUMMYFUNCTION("""COMPUTED_VALUE"""),"Yes")</f>
        <v>Yes</v>
      </c>
      <c r="X13" s="126" t="str">
        <f>IFERROR(__xludf.DUMMYFUNCTION("""COMPUTED_VALUE"""),"Yes")</f>
        <v>Yes</v>
      </c>
      <c r="Y13" s="126" t="str">
        <f>IFERROR(__xludf.DUMMYFUNCTION("""COMPUTED_VALUE"""),"S")</f>
        <v>S</v>
      </c>
      <c r="Z13" s="126"/>
      <c r="AA13" s="126"/>
      <c r="AB13" s="126"/>
      <c r="AC13" s="126"/>
      <c r="AD13" s="126"/>
      <c r="AE13" s="126"/>
      <c r="AF13" s="126"/>
      <c r="AG13" s="126"/>
      <c r="AH13" s="126"/>
      <c r="AI13" s="126"/>
      <c r="AJ13" s="126"/>
    </row>
    <row r="14">
      <c r="A14" s="126">
        <f>IFERROR(__xludf.DUMMYFUNCTION("""COMPUTED_VALUE"""),22.0)</f>
        <v>22</v>
      </c>
      <c r="B14" s="126" t="str">
        <f>IFERROR(__xludf.DUMMYFUNCTION("""COMPUTED_VALUE"""),"Methods for Reducing Energy Consumption, Optimization in Operational Data Centers")</f>
        <v>Methods for Reducing Energy Consumption, Optimization in Operational Data Centers</v>
      </c>
      <c r="C14" s="127" t="str">
        <f>IFERROR(__xludf.DUMMYFUNCTION("""COMPUTED_VALUE"""),"https://ieeexplore.ieee.org/abstract/document/8559920/")</f>
        <v>https://ieeexplore.ieee.org/abstract/document/8559920/</v>
      </c>
      <c r="D14" s="126" t="str">
        <f>IFERROR(__xludf.DUMMYFUNCTION("""COMPUTED_VALUE"""),"C Dumitrescu, A Plesca, M Adam…")</f>
        <v>C Dumitrescu, A Plesca, M Adam…</v>
      </c>
      <c r="E14" s="126" t="str">
        <f>IFERROR(__xludf.DUMMYFUNCTION("""COMPUTED_VALUE"""),"Institute of Electrical and Electronics Engineers")</f>
        <v>Institute of Electrical and Electronics Engineers</v>
      </c>
      <c r="F14" s="126" t="str">
        <f>IFERROR(__xludf.DUMMYFUNCTION("""COMPUTED_VALUE"""),"IEEE Xplore")</f>
        <v>IEEE Xplore</v>
      </c>
      <c r="G14" s="128" t="str">
        <f>IFERROR(__xludf.DUMMYFUNCTION("""COMPUTED_VALUE"""),"C")</f>
        <v>C</v>
      </c>
      <c r="H14" s="129">
        <f>IFERROR(__xludf.DUMMYFUNCTION("""COMPUTED_VALUE"""),2018.0)</f>
        <v>2018</v>
      </c>
      <c r="I14" s="129"/>
      <c r="J14" s="129"/>
      <c r="K14" s="130"/>
      <c r="L14" s="130"/>
      <c r="M14" s="130"/>
      <c r="N14" s="130"/>
      <c r="O14" s="130">
        <f>IFERROR(__xludf.DUMMYFUNCTION("""COMPUTED_VALUE"""),1.0)</f>
        <v>1</v>
      </c>
      <c r="P14" s="130"/>
      <c r="Q14" s="129"/>
      <c r="R14" s="129"/>
      <c r="S14" s="129"/>
      <c r="T14" s="129"/>
      <c r="U14" s="129"/>
      <c r="V14" s="129"/>
      <c r="W14" s="126" t="str">
        <f>IFERROR(__xludf.DUMMYFUNCTION("""COMPUTED_VALUE"""),"No")</f>
        <v>No</v>
      </c>
      <c r="X14" s="126" t="str">
        <f>IFERROR(__xludf.DUMMYFUNCTION("""COMPUTED_VALUE"""),"Yes")</f>
        <v>Yes</v>
      </c>
      <c r="Y14" s="126" t="str">
        <f>IFERROR(__xludf.DUMMYFUNCTION("""COMPUTED_VALUE"""),"S")</f>
        <v>S</v>
      </c>
      <c r="Z14" s="126"/>
      <c r="AA14" s="126"/>
      <c r="AB14" s="126"/>
      <c r="AC14" s="126"/>
      <c r="AD14" s="126"/>
      <c r="AE14" s="126"/>
      <c r="AF14" s="126"/>
      <c r="AG14" s="126"/>
      <c r="AH14" s="126"/>
      <c r="AI14" s="126"/>
      <c r="AJ14" s="126"/>
    </row>
    <row r="15">
      <c r="A15" s="126">
        <f>IFERROR(__xludf.DUMMYFUNCTION("""COMPUTED_VALUE"""),28.0)</f>
        <v>28</v>
      </c>
      <c r="B15" s="126" t="str">
        <f>IFERROR(__xludf.DUMMYFUNCTION("""COMPUTED_VALUE"""),"Infrastructure Aware Heterogeneous-Workloads Scheduling for Data Center Energy Cost Minimization")</f>
        <v>Infrastructure Aware Heterogeneous-Workloads Scheduling for Data Center Energy Cost Minimization</v>
      </c>
      <c r="C15" s="127" t="str">
        <f>IFERROR(__xludf.DUMMYFUNCTION("""COMPUTED_VALUE"""),"https://ieeexplore.ieee.org/abstract/document/9017981/")</f>
        <v>https://ieeexplore.ieee.org/abstract/document/9017981/</v>
      </c>
      <c r="D15" s="126" t="str">
        <f>IFERROR(__xludf.DUMMYFUNCTION("""COMPUTED_VALUE"""),"K Haghshenas, S Taheri, M Goudarzi, S Mohammadi")</f>
        <v>K Haghshenas, S Taheri, M Goudarzi, S Mohammadi</v>
      </c>
      <c r="E15" s="126" t="str">
        <f>IFERROR(__xludf.DUMMYFUNCTION("""COMPUTED_VALUE"""),"Institute of Electrical and Electronics Engineers")</f>
        <v>Institute of Electrical and Electronics Engineers</v>
      </c>
      <c r="F15" s="126" t="str">
        <f>IFERROR(__xludf.DUMMYFUNCTION("""COMPUTED_VALUE"""),"IEEE Xplore")</f>
        <v>IEEE Xplore</v>
      </c>
      <c r="G15" s="126" t="str">
        <f>IFERROR(__xludf.DUMMYFUNCTION("""COMPUTED_VALUE"""),"J")</f>
        <v>J</v>
      </c>
      <c r="H15" s="129">
        <f>IFERROR(__xludf.DUMMYFUNCTION("""COMPUTED_VALUE"""),2020.0)</f>
        <v>2020</v>
      </c>
      <c r="I15" s="129"/>
      <c r="J15" s="129"/>
      <c r="K15" s="129"/>
      <c r="L15" s="129"/>
      <c r="M15" s="129"/>
      <c r="N15" s="129"/>
      <c r="O15" s="129">
        <f>IFERROR(__xludf.DUMMYFUNCTION("""COMPUTED_VALUE"""),1.0)</f>
        <v>1</v>
      </c>
      <c r="P15" s="129">
        <f>IFERROR(__xludf.DUMMYFUNCTION("""COMPUTED_VALUE"""),1.0)</f>
        <v>1</v>
      </c>
      <c r="Q15" s="129"/>
      <c r="R15" s="129"/>
      <c r="S15" s="129"/>
      <c r="T15" s="129"/>
      <c r="U15" s="129"/>
      <c r="V15" s="129"/>
      <c r="W15" s="126" t="str">
        <f>IFERROR(__xludf.DUMMYFUNCTION("""COMPUTED_VALUE"""),"No")</f>
        <v>No</v>
      </c>
      <c r="X15" s="126" t="str">
        <f>IFERROR(__xludf.DUMMYFUNCTION("""COMPUTED_VALUE"""),"Yes")</f>
        <v>Yes</v>
      </c>
      <c r="Y15" s="126" t="str">
        <f>IFERROR(__xludf.DUMMYFUNCTION("""COMPUTED_VALUE"""),"S")</f>
        <v>S</v>
      </c>
      <c r="Z15" s="126"/>
      <c r="AA15" s="126"/>
      <c r="AB15" s="126"/>
      <c r="AC15" s="126"/>
      <c r="AD15" s="126"/>
      <c r="AE15" s="126"/>
      <c r="AF15" s="126"/>
      <c r="AG15" s="126"/>
      <c r="AH15" s="126"/>
      <c r="AI15" s="126"/>
      <c r="AJ15" s="126"/>
    </row>
    <row r="16">
      <c r="A16" s="126">
        <f>IFERROR(__xludf.DUMMYFUNCTION("""COMPUTED_VALUE"""),32.0)</f>
        <v>32</v>
      </c>
      <c r="B16" s="126" t="str">
        <f>IFERROR(__xludf.DUMMYFUNCTION("""COMPUTED_VALUE"""),"Energy efficient resource selection and allocation strategy for virtual machine consolidation in cloud datacenters")</f>
        <v>Energy efficient resource selection and allocation strategy for virtual machine consolidation in cloud datacenters</v>
      </c>
      <c r="C16" s="127" t="str">
        <f>IFERROR(__xludf.DUMMYFUNCTION("""COMPUTED_VALUE"""),"https://search.ieice.org/bin/summary.php?id=e101-d_7_1816")</f>
        <v>https://search.ieice.org/bin/summary.php?id=e101-d_7_1816</v>
      </c>
      <c r="D16" s="126" t="str">
        <f>IFERROR(__xludf.DUMMYFUNCTION("""COMPUTED_VALUE"""),"Y Chang, C Gu, F Luo, G Fan, W Fu")</f>
        <v>Y Chang, C Gu, F Luo, G Fan, W Fu</v>
      </c>
      <c r="E16" s="126" t="str">
        <f>IFERROR(__xludf.DUMMYFUNCTION("""COMPUTED_VALUE"""),"The Institute of Electronics, Information and Communication Engineers")</f>
        <v>The Institute of Electronics, Information and Communication Engineers</v>
      </c>
      <c r="F16" s="126" t="str">
        <f>IFERROR(__xludf.DUMMYFUNCTION("""COMPUTED_VALUE"""),"IEICE")</f>
        <v>IEICE</v>
      </c>
      <c r="G16" s="128" t="str">
        <f>IFERROR(__xludf.DUMMYFUNCTION("""COMPUTED_VALUE"""),"J")</f>
        <v>J</v>
      </c>
      <c r="H16" s="130">
        <f>IFERROR(__xludf.DUMMYFUNCTION("""COMPUTED_VALUE"""),2018.0)</f>
        <v>2018</v>
      </c>
      <c r="I16" s="130">
        <f>IFERROR(__xludf.DUMMYFUNCTION("""COMPUTED_VALUE"""),1.0)</f>
        <v>1</v>
      </c>
      <c r="J16" s="130">
        <f>IFERROR(__xludf.DUMMYFUNCTION("""COMPUTED_VALUE"""),1.0)</f>
        <v>1</v>
      </c>
      <c r="K16" s="130">
        <f>IFERROR(__xludf.DUMMYFUNCTION("""COMPUTED_VALUE"""),1.0)</f>
        <v>1</v>
      </c>
      <c r="L16" s="129">
        <f>IFERROR(__xludf.DUMMYFUNCTION("""COMPUTED_VALUE"""),1.0)</f>
        <v>1</v>
      </c>
      <c r="M16" s="130">
        <f>IFERROR(__xludf.DUMMYFUNCTION("""COMPUTED_VALUE"""),1.0)</f>
        <v>1</v>
      </c>
      <c r="N16" s="130">
        <f>IFERROR(__xludf.DUMMYFUNCTION("""COMPUTED_VALUE"""),0.0)</f>
        <v>0</v>
      </c>
      <c r="O16" s="130">
        <f>IFERROR(__xludf.DUMMYFUNCTION("""COMPUTED_VALUE"""),0.0)</f>
        <v>0</v>
      </c>
      <c r="P16" s="130">
        <f>IFERROR(__xludf.DUMMYFUNCTION("""COMPUTED_VALUE"""),0.0)</f>
        <v>0</v>
      </c>
      <c r="Q16" s="130">
        <f>IFERROR(__xludf.DUMMYFUNCTION("""COMPUTED_VALUE"""),0.0)</f>
        <v>0</v>
      </c>
      <c r="R16" s="130">
        <f>IFERROR(__xludf.DUMMYFUNCTION("""COMPUTED_VALUE"""),0.0)</f>
        <v>0</v>
      </c>
      <c r="S16" s="130">
        <f>IFERROR(__xludf.DUMMYFUNCTION("""COMPUTED_VALUE"""),0.0)</f>
        <v>0</v>
      </c>
      <c r="T16" s="130">
        <f>IFERROR(__xludf.DUMMYFUNCTION("""COMPUTED_VALUE"""),0.0)</f>
        <v>0</v>
      </c>
      <c r="U16" s="130">
        <f>IFERROR(__xludf.DUMMYFUNCTION("""COMPUTED_VALUE"""),0.0)</f>
        <v>0</v>
      </c>
      <c r="V16" s="130">
        <f>IFERROR(__xludf.DUMMYFUNCTION("""COMPUTED_VALUE"""),0.0)</f>
        <v>0</v>
      </c>
      <c r="W16" s="131" t="str">
        <f>IFERROR(__xludf.DUMMYFUNCTION("""COMPUTED_VALUE"""),"Yes")</f>
        <v>Yes</v>
      </c>
      <c r="X16" s="131" t="str">
        <f>IFERROR(__xludf.DUMMYFUNCTION("""COMPUTED_VALUE"""),"Yes")</f>
        <v>Yes</v>
      </c>
      <c r="Y16" s="131" t="str">
        <f>IFERROR(__xludf.DUMMYFUNCTION("""COMPUTED_VALUE"""),"S")</f>
        <v>S</v>
      </c>
      <c r="Z16" s="131"/>
      <c r="AA16" s="131"/>
      <c r="AB16" s="131"/>
      <c r="AC16" s="131"/>
      <c r="AD16" s="131"/>
      <c r="AE16" s="131"/>
      <c r="AF16" s="131"/>
      <c r="AG16" s="131"/>
      <c r="AH16" s="131"/>
      <c r="AI16" s="131"/>
      <c r="AJ16" s="131"/>
    </row>
    <row r="17">
      <c r="A17" s="126">
        <f>IFERROR(__xludf.DUMMYFUNCTION("""COMPUTED_VALUE"""),33.0)</f>
        <v>33</v>
      </c>
      <c r="B17" s="126" t="str">
        <f>IFERROR(__xludf.DUMMYFUNCTION("""COMPUTED_VALUE"""),"Energy-efficient task scheduling for data centers with unstable renewable energy: A robust optimization approach")</f>
        <v>Energy-efficient task scheduling for data centers with unstable renewable energy: A robust optimization approach</v>
      </c>
      <c r="C17" s="127" t="str">
        <f>IFERROR(__xludf.DUMMYFUNCTION("""COMPUTED_VALUE"""),"https://ieeexplore.ieee.org/abstract/document/8726577/")</f>
        <v>https://ieeexplore.ieee.org/abstract/document/8726577/</v>
      </c>
      <c r="D17" s="131" t="str">
        <f>IFERROR(__xludf.DUMMYFUNCTION("""COMPUTED_VALUE"""),"Y Lu, R Wang, P Wang, Y Cao, J Hao, K Zhu")</f>
        <v>Y Lu, R Wang, P Wang, Y Cao, J Hao, K Zhu</v>
      </c>
      <c r="E17" s="131" t="str">
        <f>IFERROR(__xludf.DUMMYFUNCTION("""COMPUTED_VALUE"""),"Institute of Electrical and Electronics Engineers")</f>
        <v>Institute of Electrical and Electronics Engineers</v>
      </c>
      <c r="F17" s="126" t="str">
        <f>IFERROR(__xludf.DUMMYFUNCTION("""COMPUTED_VALUE"""),"IEEE Xplore")</f>
        <v>IEEE Xplore</v>
      </c>
      <c r="G17" s="128" t="str">
        <f>IFERROR(__xludf.DUMMYFUNCTION("""COMPUTED_VALUE"""),"C")</f>
        <v>C</v>
      </c>
      <c r="H17" s="129">
        <f>IFERROR(__xludf.DUMMYFUNCTION("""COMPUTED_VALUE"""),2018.0)</f>
        <v>2018</v>
      </c>
      <c r="I17" s="129">
        <f>IFERROR(__xludf.DUMMYFUNCTION("""COMPUTED_VALUE"""),1.0)</f>
        <v>1</v>
      </c>
      <c r="J17" s="129">
        <f>IFERROR(__xludf.DUMMYFUNCTION("""COMPUTED_VALUE"""),1.0)</f>
        <v>1</v>
      </c>
      <c r="K17" s="130">
        <f>IFERROR(__xludf.DUMMYFUNCTION("""COMPUTED_VALUE"""),1.0)</f>
        <v>1</v>
      </c>
      <c r="L17" s="130">
        <f>IFERROR(__xludf.DUMMYFUNCTION("""COMPUTED_VALUE"""),1.0)</f>
        <v>1</v>
      </c>
      <c r="M17" s="130">
        <f>IFERROR(__xludf.DUMMYFUNCTION("""COMPUTED_VALUE"""),1.0)</f>
        <v>1</v>
      </c>
      <c r="N17" s="130">
        <f>IFERROR(__xludf.DUMMYFUNCTION("""COMPUTED_VALUE"""),0.0)</f>
        <v>0</v>
      </c>
      <c r="O17" s="130">
        <f>IFERROR(__xludf.DUMMYFUNCTION("""COMPUTED_VALUE"""),0.0)</f>
        <v>0</v>
      </c>
      <c r="P17" s="130">
        <f>IFERROR(__xludf.DUMMYFUNCTION("""COMPUTED_VALUE"""),0.0)</f>
        <v>0</v>
      </c>
      <c r="Q17" s="129">
        <f>IFERROR(__xludf.DUMMYFUNCTION("""COMPUTED_VALUE"""),0.0)</f>
        <v>0</v>
      </c>
      <c r="R17" s="129">
        <f>IFERROR(__xludf.DUMMYFUNCTION("""COMPUTED_VALUE"""),0.0)</f>
        <v>0</v>
      </c>
      <c r="S17" s="129">
        <f>IFERROR(__xludf.DUMMYFUNCTION("""COMPUTED_VALUE"""),0.0)</f>
        <v>0</v>
      </c>
      <c r="T17" s="129">
        <f>IFERROR(__xludf.DUMMYFUNCTION("""COMPUTED_VALUE"""),0.0)</f>
        <v>0</v>
      </c>
      <c r="U17" s="129">
        <f>IFERROR(__xludf.DUMMYFUNCTION("""COMPUTED_VALUE"""),0.0)</f>
        <v>0</v>
      </c>
      <c r="V17" s="129">
        <f>IFERROR(__xludf.DUMMYFUNCTION("""COMPUTED_VALUE"""),0.0)</f>
        <v>0</v>
      </c>
      <c r="W17" s="126" t="str">
        <f>IFERROR(__xludf.DUMMYFUNCTION("""COMPUTED_VALUE"""),"Yes")</f>
        <v>Yes</v>
      </c>
      <c r="X17" s="126" t="str">
        <f>IFERROR(__xludf.DUMMYFUNCTION("""COMPUTED_VALUE"""),"Yes")</f>
        <v>Yes</v>
      </c>
      <c r="Y17" s="126" t="str">
        <f>IFERROR(__xludf.DUMMYFUNCTION("""COMPUTED_VALUE"""),"S")</f>
        <v>S</v>
      </c>
      <c r="Z17" s="126"/>
      <c r="AA17" s="126"/>
      <c r="AB17" s="126"/>
      <c r="AC17" s="126"/>
      <c r="AD17" s="126"/>
      <c r="AE17" s="126"/>
      <c r="AF17" s="126"/>
      <c r="AG17" s="126"/>
      <c r="AH17" s="126"/>
      <c r="AI17" s="126"/>
      <c r="AJ17" s="126"/>
    </row>
    <row r="18">
      <c r="A18" s="126">
        <f>IFERROR(__xludf.DUMMYFUNCTION("""COMPUTED_VALUE"""),34.0)</f>
        <v>34</v>
      </c>
      <c r="B18" s="126" t="str">
        <f>IFERROR(__xludf.DUMMYFUNCTION("""COMPUTED_VALUE"""),"Variable neighborhood search-based symbiotic organisms search algorithm for energy-efficient scheduling of virtual machine in cloud data center")</f>
        <v>Variable neighborhood search-based symbiotic organisms search algorithm for energy-efficient scheduling of virtual machine in cloud data center</v>
      </c>
      <c r="C18" s="127" t="str">
        <f>IFERROR(__xludf.DUMMYFUNCTION("""COMPUTED_VALUE"""),"https://link.springer.com/chapter/10.1007/978-3-319-69889-2_5")</f>
        <v>https://link.springer.com/chapter/10.1007/978-3-319-69889-2_5</v>
      </c>
      <c r="D18" s="126" t="str">
        <f>IFERROR(__xludf.DUMMYFUNCTION("""COMPUTED_VALUE"""),"M Abdullahi, SI Dishing, MJ Usman")</f>
        <v>M Abdullahi, SI Dishing, MJ Usman</v>
      </c>
      <c r="E18" s="126" t="str">
        <f>IFERROR(__xludf.DUMMYFUNCTION("""COMPUTED_VALUE"""),"Springer")</f>
        <v>Springer</v>
      </c>
      <c r="F18" s="126" t="str">
        <f>IFERROR(__xludf.DUMMYFUNCTION("""COMPUTED_VALUE"""),"Springer")</f>
        <v>Springer</v>
      </c>
      <c r="G18" s="132" t="str">
        <f>IFERROR(__xludf.DUMMYFUNCTION("""COMPUTED_VALUE"""),"J")</f>
        <v>J</v>
      </c>
      <c r="H18" s="129">
        <f>IFERROR(__xludf.DUMMYFUNCTION("""COMPUTED_VALUE"""),2019.0)</f>
        <v>2019</v>
      </c>
      <c r="I18" s="129">
        <f>IFERROR(__xludf.DUMMYFUNCTION("""COMPUTED_VALUE"""),1.0)</f>
        <v>1</v>
      </c>
      <c r="J18" s="129">
        <f>IFERROR(__xludf.DUMMYFUNCTION("""COMPUTED_VALUE"""),1.0)</f>
        <v>1</v>
      </c>
      <c r="K18" s="129">
        <f>IFERROR(__xludf.DUMMYFUNCTION("""COMPUTED_VALUE"""),1.0)</f>
        <v>1</v>
      </c>
      <c r="L18" s="130">
        <f>IFERROR(__xludf.DUMMYFUNCTION("""COMPUTED_VALUE"""),1.0)</f>
        <v>1</v>
      </c>
      <c r="M18" s="130">
        <f>IFERROR(__xludf.DUMMYFUNCTION("""COMPUTED_VALUE"""),1.0)</f>
        <v>1</v>
      </c>
      <c r="N18" s="130">
        <f>IFERROR(__xludf.DUMMYFUNCTION("""COMPUTED_VALUE"""),0.0)</f>
        <v>0</v>
      </c>
      <c r="O18" s="130">
        <f>IFERROR(__xludf.DUMMYFUNCTION("""COMPUTED_VALUE"""),0.0)</f>
        <v>0</v>
      </c>
      <c r="P18" s="130">
        <f>IFERROR(__xludf.DUMMYFUNCTION("""COMPUTED_VALUE"""),0.0)</f>
        <v>0</v>
      </c>
      <c r="Q18" s="129">
        <f>IFERROR(__xludf.DUMMYFUNCTION("""COMPUTED_VALUE"""),0.0)</f>
        <v>0</v>
      </c>
      <c r="R18" s="129">
        <f>IFERROR(__xludf.DUMMYFUNCTION("""COMPUTED_VALUE"""),0.0)</f>
        <v>0</v>
      </c>
      <c r="S18" s="129">
        <f>IFERROR(__xludf.DUMMYFUNCTION("""COMPUTED_VALUE"""),0.0)</f>
        <v>0</v>
      </c>
      <c r="T18" s="129">
        <f>IFERROR(__xludf.DUMMYFUNCTION("""COMPUTED_VALUE"""),0.0)</f>
        <v>0</v>
      </c>
      <c r="U18" s="129">
        <f>IFERROR(__xludf.DUMMYFUNCTION("""COMPUTED_VALUE"""),0.0)</f>
        <v>0</v>
      </c>
      <c r="V18" s="129">
        <f>IFERROR(__xludf.DUMMYFUNCTION("""COMPUTED_VALUE"""),0.0)</f>
        <v>0</v>
      </c>
      <c r="W18" s="126" t="str">
        <f>IFERROR(__xludf.DUMMYFUNCTION("""COMPUTED_VALUE"""),"Yes")</f>
        <v>Yes</v>
      </c>
      <c r="X18" s="126" t="str">
        <f>IFERROR(__xludf.DUMMYFUNCTION("""COMPUTED_VALUE"""),"Yes")</f>
        <v>Yes</v>
      </c>
      <c r="Y18" s="126" t="str">
        <f>IFERROR(__xludf.DUMMYFUNCTION("""COMPUTED_VALUE"""),"S")</f>
        <v>S</v>
      </c>
      <c r="Z18" s="126"/>
      <c r="AA18" s="126"/>
      <c r="AB18" s="126"/>
      <c r="AC18" s="126"/>
      <c r="AD18" s="126"/>
      <c r="AE18" s="126"/>
      <c r="AF18" s="126"/>
      <c r="AG18" s="126"/>
      <c r="AH18" s="126"/>
      <c r="AI18" s="126"/>
      <c r="AJ18" s="126"/>
    </row>
    <row r="19">
      <c r="A19" s="126">
        <f>IFERROR(__xludf.DUMMYFUNCTION("""COMPUTED_VALUE"""),38.0)</f>
        <v>38</v>
      </c>
      <c r="B19" s="126" t="str">
        <f>IFERROR(__xludf.DUMMYFUNCTION("""COMPUTED_VALUE"""),"Optimized Renewable Energy Use in Green Cloud Data Centers")</f>
        <v>Optimized Renewable Energy Use in Green Cloud Data Centers</v>
      </c>
      <c r="C19" s="127" t="str">
        <f>IFERROR(__xludf.DUMMYFUNCTION("""COMPUTED_VALUE"""),"https://link.springer.com/chapter/10.1007/978-3-030-33702-5_24")</f>
        <v>https://link.springer.com/chapter/10.1007/978-3-030-33702-5_24</v>
      </c>
      <c r="D19" s="126" t="str">
        <f>IFERROR(__xludf.DUMMYFUNCTION("""COMPUTED_VALUE"""),"M Xu, AN Toosi, B Bahrani, R Razzaghi, M Singh")</f>
        <v>M Xu, AN Toosi, B Bahrani, R Razzaghi, M Singh</v>
      </c>
      <c r="E19" s="126" t="str">
        <f>IFERROR(__xludf.DUMMYFUNCTION("""COMPUTED_VALUE"""),"Springer")</f>
        <v>Springer</v>
      </c>
      <c r="F19" s="126" t="str">
        <f>IFERROR(__xludf.DUMMYFUNCTION("""COMPUTED_VALUE"""),"Springer")</f>
        <v>Springer</v>
      </c>
      <c r="G19" s="128" t="str">
        <f>IFERROR(__xludf.DUMMYFUNCTION("""COMPUTED_VALUE"""),"C")</f>
        <v>C</v>
      </c>
      <c r="H19" s="130">
        <f>IFERROR(__xludf.DUMMYFUNCTION("""COMPUTED_VALUE"""),2019.0)</f>
        <v>2019</v>
      </c>
      <c r="I19" s="130">
        <f>IFERROR(__xludf.DUMMYFUNCTION("""COMPUTED_VALUE"""),1.0)</f>
        <v>1</v>
      </c>
      <c r="J19" s="130">
        <f>IFERROR(__xludf.DUMMYFUNCTION("""COMPUTED_VALUE"""),1.0)</f>
        <v>1</v>
      </c>
      <c r="K19" s="129">
        <f>IFERROR(__xludf.DUMMYFUNCTION("""COMPUTED_VALUE"""),1.0)</f>
        <v>1</v>
      </c>
      <c r="L19" s="129">
        <f>IFERROR(__xludf.DUMMYFUNCTION("""COMPUTED_VALUE"""),1.0)</f>
        <v>1</v>
      </c>
      <c r="M19" s="130">
        <f>IFERROR(__xludf.DUMMYFUNCTION("""COMPUTED_VALUE"""),1.0)</f>
        <v>1</v>
      </c>
      <c r="N19" s="130">
        <f>IFERROR(__xludf.DUMMYFUNCTION("""COMPUTED_VALUE"""),0.0)</f>
        <v>0</v>
      </c>
      <c r="O19" s="130">
        <f>IFERROR(__xludf.DUMMYFUNCTION("""COMPUTED_VALUE"""),0.0)</f>
        <v>0</v>
      </c>
      <c r="P19" s="130">
        <f>IFERROR(__xludf.DUMMYFUNCTION("""COMPUTED_VALUE"""),0.0)</f>
        <v>0</v>
      </c>
      <c r="Q19" s="130">
        <f>IFERROR(__xludf.DUMMYFUNCTION("""COMPUTED_VALUE"""),0.0)</f>
        <v>0</v>
      </c>
      <c r="R19" s="130">
        <f>IFERROR(__xludf.DUMMYFUNCTION("""COMPUTED_VALUE"""),0.0)</f>
        <v>0</v>
      </c>
      <c r="S19" s="130">
        <f>IFERROR(__xludf.DUMMYFUNCTION("""COMPUTED_VALUE"""),0.0)</f>
        <v>0</v>
      </c>
      <c r="T19" s="130">
        <f>IFERROR(__xludf.DUMMYFUNCTION("""COMPUTED_VALUE"""),0.0)</f>
        <v>0</v>
      </c>
      <c r="U19" s="130">
        <f>IFERROR(__xludf.DUMMYFUNCTION("""COMPUTED_VALUE"""),0.0)</f>
        <v>0</v>
      </c>
      <c r="V19" s="130">
        <f>IFERROR(__xludf.DUMMYFUNCTION("""COMPUTED_VALUE"""),0.0)</f>
        <v>0</v>
      </c>
      <c r="W19" s="131" t="str">
        <f>IFERROR(__xludf.DUMMYFUNCTION("""COMPUTED_VALUE"""),"Yes")</f>
        <v>Yes</v>
      </c>
      <c r="X19" s="131" t="str">
        <f>IFERROR(__xludf.DUMMYFUNCTION("""COMPUTED_VALUE"""),"Yes")</f>
        <v>Yes</v>
      </c>
      <c r="Y19" s="131" t="str">
        <f>IFERROR(__xludf.DUMMYFUNCTION("""COMPUTED_VALUE"""),"S")</f>
        <v>S</v>
      </c>
      <c r="Z19" s="131"/>
      <c r="AA19" s="131"/>
      <c r="AB19" s="131"/>
      <c r="AC19" s="131"/>
      <c r="AD19" s="131"/>
      <c r="AE19" s="131"/>
      <c r="AF19" s="131"/>
      <c r="AG19" s="131"/>
      <c r="AH19" s="131"/>
      <c r="AI19" s="131"/>
      <c r="AJ19" s="131"/>
    </row>
    <row r="20">
      <c r="A20" s="126">
        <f>IFERROR(__xludf.DUMMYFUNCTION("""COMPUTED_VALUE"""),40.0)</f>
        <v>40</v>
      </c>
      <c r="B20" s="126" t="str">
        <f>IFERROR(__xludf.DUMMYFUNCTION("""COMPUTED_VALUE"""),"An Energy-aware Routing Mechanism based on MBOA for Data Center Network")</f>
        <v>An Energy-aware Routing Mechanism based on MBOA for Data Center Network</v>
      </c>
      <c r="C20" s="127" t="str">
        <f>IFERROR(__xludf.DUMMYFUNCTION("""COMPUTED_VALUE"""),"https://ieeexplore.ieee.org/abstract/document/8836768/")</f>
        <v>https://ieeexplore.ieee.org/abstract/document/8836768/</v>
      </c>
      <c r="D20" s="126" t="str">
        <f>IFERROR(__xludf.DUMMYFUNCTION("""COMPUTED_VALUE"""),"Z Jianzhe, S Qingyu, L Guangwei")</f>
        <v>Z Jianzhe, S Qingyu, L Guangwei</v>
      </c>
      <c r="E20" s="126" t="str">
        <f>IFERROR(__xludf.DUMMYFUNCTION("""COMPUTED_VALUE"""),"Institute of Electrical and Electronics Engineers")</f>
        <v>Institute of Electrical and Electronics Engineers</v>
      </c>
      <c r="F20" s="126" t="str">
        <f>IFERROR(__xludf.DUMMYFUNCTION("""COMPUTED_VALUE"""),"IEEE Xplore")</f>
        <v>IEEE Xplore</v>
      </c>
      <c r="G20" s="128" t="str">
        <f>IFERROR(__xludf.DUMMYFUNCTION("""COMPUTED_VALUE"""),"C")</f>
        <v>C</v>
      </c>
      <c r="H20" s="130">
        <f>IFERROR(__xludf.DUMMYFUNCTION("""COMPUTED_VALUE"""),2019.0)</f>
        <v>2019</v>
      </c>
      <c r="I20" s="129">
        <f>IFERROR(__xludf.DUMMYFUNCTION("""COMPUTED_VALUE"""),1.0)</f>
        <v>1</v>
      </c>
      <c r="J20" s="129">
        <f>IFERROR(__xludf.DUMMYFUNCTION("""COMPUTED_VALUE"""),1.0)</f>
        <v>1</v>
      </c>
      <c r="K20" s="130">
        <f>IFERROR(__xludf.DUMMYFUNCTION("""COMPUTED_VALUE"""),1.0)</f>
        <v>1</v>
      </c>
      <c r="L20" s="130">
        <f>IFERROR(__xludf.DUMMYFUNCTION("""COMPUTED_VALUE"""),1.0)</f>
        <v>1</v>
      </c>
      <c r="M20" s="130">
        <f>IFERROR(__xludf.DUMMYFUNCTION("""COMPUTED_VALUE"""),1.0)</f>
        <v>1</v>
      </c>
      <c r="N20" s="130">
        <f>IFERROR(__xludf.DUMMYFUNCTION("""COMPUTED_VALUE"""),0.0)</f>
        <v>0</v>
      </c>
      <c r="O20" s="130">
        <f>IFERROR(__xludf.DUMMYFUNCTION("""COMPUTED_VALUE"""),0.0)</f>
        <v>0</v>
      </c>
      <c r="P20" s="130">
        <f>IFERROR(__xludf.DUMMYFUNCTION("""COMPUTED_VALUE"""),0.0)</f>
        <v>0</v>
      </c>
      <c r="Q20" s="130">
        <f>IFERROR(__xludf.DUMMYFUNCTION("""COMPUTED_VALUE"""),0.0)</f>
        <v>0</v>
      </c>
      <c r="R20" s="129">
        <f>IFERROR(__xludf.DUMMYFUNCTION("""COMPUTED_VALUE"""),0.0)</f>
        <v>0</v>
      </c>
      <c r="S20" s="129">
        <f>IFERROR(__xludf.DUMMYFUNCTION("""COMPUTED_VALUE"""),0.0)</f>
        <v>0</v>
      </c>
      <c r="T20" s="129">
        <f>IFERROR(__xludf.DUMMYFUNCTION("""COMPUTED_VALUE"""),0.0)</f>
        <v>0</v>
      </c>
      <c r="U20" s="129">
        <f>IFERROR(__xludf.DUMMYFUNCTION("""COMPUTED_VALUE"""),0.0)</f>
        <v>0</v>
      </c>
      <c r="V20" s="129">
        <f>IFERROR(__xludf.DUMMYFUNCTION("""COMPUTED_VALUE"""),0.0)</f>
        <v>0</v>
      </c>
      <c r="W20" s="126" t="str">
        <f>IFERROR(__xludf.DUMMYFUNCTION("""COMPUTED_VALUE"""),"Yes")</f>
        <v>Yes</v>
      </c>
      <c r="X20" s="126" t="str">
        <f>IFERROR(__xludf.DUMMYFUNCTION("""COMPUTED_VALUE"""),"Yes")</f>
        <v>Yes</v>
      </c>
      <c r="Y20" s="126" t="str">
        <f>IFERROR(__xludf.DUMMYFUNCTION("""COMPUTED_VALUE"""),"S")</f>
        <v>S</v>
      </c>
      <c r="Z20" s="126"/>
      <c r="AA20" s="126"/>
      <c r="AB20" s="126"/>
      <c r="AC20" s="126"/>
      <c r="AD20" s="126"/>
      <c r="AE20" s="126"/>
      <c r="AF20" s="126"/>
      <c r="AG20" s="126"/>
      <c r="AH20" s="126"/>
      <c r="AI20" s="126"/>
      <c r="AJ20" s="126"/>
    </row>
    <row r="21">
      <c r="A21" s="126">
        <f>IFERROR(__xludf.DUMMYFUNCTION("""COMPUTED_VALUE"""),44.0)</f>
        <v>44</v>
      </c>
      <c r="B21" s="126" t="str">
        <f>IFERROR(__xludf.DUMMYFUNCTION("""COMPUTED_VALUE"""),"An Energy-Efficient VM migrations optimization in Cloud Data Centers")</f>
        <v>An Energy-Efficient VM migrations optimization in Cloud Data Centers</v>
      </c>
      <c r="C21" s="127" t="str">
        <f>IFERROR(__xludf.DUMMYFUNCTION("""COMPUTED_VALUE"""),"https://ieeexplore.ieee.org/abstract/document/9133776/")</f>
        <v>https://ieeexplore.ieee.org/abstract/document/9133776/</v>
      </c>
      <c r="D21" s="126" t="str">
        <f>IFERROR(__xludf.DUMMYFUNCTION("""COMPUTED_VALUE"""),"C Thiam, F Thiam")</f>
        <v>C Thiam, F Thiam</v>
      </c>
      <c r="E21" s="126" t="str">
        <f>IFERROR(__xludf.DUMMYFUNCTION("""COMPUTED_VALUE"""),"Institute of Electrical and Electronics Engineers")</f>
        <v>Institute of Electrical and Electronics Engineers</v>
      </c>
      <c r="F21" s="126" t="str">
        <f>IFERROR(__xludf.DUMMYFUNCTION("""COMPUTED_VALUE"""),"IEEE Xplore")</f>
        <v>IEEE Xplore</v>
      </c>
      <c r="G21" s="132" t="str">
        <f>IFERROR(__xludf.DUMMYFUNCTION("""COMPUTED_VALUE"""),"C")</f>
        <v>C</v>
      </c>
      <c r="H21" s="129">
        <f>IFERROR(__xludf.DUMMYFUNCTION("""COMPUTED_VALUE"""),2019.0)</f>
        <v>2019</v>
      </c>
      <c r="I21" s="129">
        <f>IFERROR(__xludf.DUMMYFUNCTION("""COMPUTED_VALUE"""),1.0)</f>
        <v>1</v>
      </c>
      <c r="J21" s="129">
        <f>IFERROR(__xludf.DUMMYFUNCTION("""COMPUTED_VALUE"""),1.0)</f>
        <v>1</v>
      </c>
      <c r="K21" s="130">
        <f>IFERROR(__xludf.DUMMYFUNCTION("""COMPUTED_VALUE"""),1.0)</f>
        <v>1</v>
      </c>
      <c r="L21" s="130">
        <f>IFERROR(__xludf.DUMMYFUNCTION("""COMPUTED_VALUE"""),1.0)</f>
        <v>1</v>
      </c>
      <c r="M21" s="130">
        <f>IFERROR(__xludf.DUMMYFUNCTION("""COMPUTED_VALUE"""),1.0)</f>
        <v>1</v>
      </c>
      <c r="N21" s="130">
        <f>IFERROR(__xludf.DUMMYFUNCTION("""COMPUTED_VALUE"""),0.0)</f>
        <v>0</v>
      </c>
      <c r="O21" s="130">
        <f>IFERROR(__xludf.DUMMYFUNCTION("""COMPUTED_VALUE"""),0.0)</f>
        <v>0</v>
      </c>
      <c r="P21" s="130">
        <f>IFERROR(__xludf.DUMMYFUNCTION("""COMPUTED_VALUE"""),0.0)</f>
        <v>0</v>
      </c>
      <c r="Q21" s="129">
        <f>IFERROR(__xludf.DUMMYFUNCTION("""COMPUTED_VALUE"""),0.0)</f>
        <v>0</v>
      </c>
      <c r="R21" s="129">
        <f>IFERROR(__xludf.DUMMYFUNCTION("""COMPUTED_VALUE"""),0.0)</f>
        <v>0</v>
      </c>
      <c r="S21" s="129">
        <f>IFERROR(__xludf.DUMMYFUNCTION("""COMPUTED_VALUE"""),0.0)</f>
        <v>0</v>
      </c>
      <c r="T21" s="129">
        <f>IFERROR(__xludf.DUMMYFUNCTION("""COMPUTED_VALUE"""),0.0)</f>
        <v>0</v>
      </c>
      <c r="U21" s="129">
        <f>IFERROR(__xludf.DUMMYFUNCTION("""COMPUTED_VALUE"""),0.0)</f>
        <v>0</v>
      </c>
      <c r="V21" s="129">
        <f>IFERROR(__xludf.DUMMYFUNCTION("""COMPUTED_VALUE"""),0.0)</f>
        <v>0</v>
      </c>
      <c r="W21" s="126" t="str">
        <f>IFERROR(__xludf.DUMMYFUNCTION("""COMPUTED_VALUE"""),"Yes")</f>
        <v>Yes</v>
      </c>
      <c r="X21" s="126" t="str">
        <f>IFERROR(__xludf.DUMMYFUNCTION("""COMPUTED_VALUE"""),"Yes")</f>
        <v>Yes</v>
      </c>
      <c r="Y21" s="126" t="str">
        <f>IFERROR(__xludf.DUMMYFUNCTION("""COMPUTED_VALUE"""),"S")</f>
        <v>S</v>
      </c>
      <c r="Z21" s="126"/>
      <c r="AA21" s="126"/>
      <c r="AB21" s="126"/>
      <c r="AC21" s="126"/>
      <c r="AD21" s="126"/>
      <c r="AE21" s="126"/>
      <c r="AF21" s="126"/>
      <c r="AG21" s="126"/>
      <c r="AH21" s="126"/>
      <c r="AI21" s="126"/>
      <c r="AJ21" s="126"/>
    </row>
    <row r="22">
      <c r="A22" s="126">
        <f>IFERROR(__xludf.DUMMYFUNCTION("""COMPUTED_VALUE"""),47.0)</f>
        <v>47</v>
      </c>
      <c r="B22" s="126" t="str">
        <f>IFERROR(__xludf.DUMMYFUNCTION("""COMPUTED_VALUE"""),"Design of energy efficient datacenter with optimized virtual infrastructure")</f>
        <v>Design of energy efficient datacenter with optimized virtual infrastructure</v>
      </c>
      <c r="C22" s="127" t="str">
        <f>IFERROR(__xludf.DUMMYFUNCTION("""COMPUTED_VALUE"""),"https://aip.scitation.org/doi/abs/10.1063/5.0024789")</f>
        <v>https://aip.scitation.org/doi/abs/10.1063/5.0024789</v>
      </c>
      <c r="D22" s="131" t="str">
        <f>IFERROR(__xludf.DUMMYFUNCTION("""COMPUTED_VALUE"""),"K MuthuPandi, K Somasundaram")</f>
        <v>K MuthuPandi, K Somasundaram</v>
      </c>
      <c r="E22" s="131" t="str">
        <f>IFERROR(__xludf.DUMMYFUNCTION("""COMPUTED_VALUE"""),"American Institute of Physics")</f>
        <v>American Institute of Physics</v>
      </c>
      <c r="F22" s="126" t="str">
        <f>IFERROR(__xludf.DUMMYFUNCTION("""COMPUTED_VALUE"""),"AIP")</f>
        <v>AIP</v>
      </c>
      <c r="G22" s="128" t="str">
        <f>IFERROR(__xludf.DUMMYFUNCTION("""COMPUTED_VALUE"""),"C")</f>
        <v>C</v>
      </c>
      <c r="H22" s="130">
        <f>IFERROR(__xludf.DUMMYFUNCTION("""COMPUTED_VALUE"""),2020.0)</f>
        <v>2020</v>
      </c>
      <c r="I22" s="130"/>
      <c r="J22" s="130"/>
      <c r="K22" s="130"/>
      <c r="L22" s="129"/>
      <c r="M22" s="130"/>
      <c r="N22" s="130"/>
      <c r="O22" s="130"/>
      <c r="P22" s="130"/>
      <c r="Q22" s="130"/>
      <c r="R22" s="130"/>
      <c r="S22" s="130"/>
      <c r="T22" s="130">
        <f>IFERROR(__xludf.DUMMYFUNCTION("""COMPUTED_VALUE"""),1.0)</f>
        <v>1</v>
      </c>
      <c r="U22" s="130"/>
      <c r="V22" s="130"/>
      <c r="W22" s="131" t="str">
        <f>IFERROR(__xludf.DUMMYFUNCTION("""COMPUTED_VALUE"""),"No")</f>
        <v>No</v>
      </c>
      <c r="X22" s="131" t="str">
        <f>IFERROR(__xludf.DUMMYFUNCTION("""COMPUTED_VALUE"""),"Yes")</f>
        <v>Yes</v>
      </c>
      <c r="Y22" s="131" t="str">
        <f>IFERROR(__xludf.DUMMYFUNCTION("""COMPUTED_VALUE"""),"S")</f>
        <v>S</v>
      </c>
      <c r="Z22" s="131"/>
      <c r="AA22" s="131"/>
      <c r="AB22" s="131"/>
      <c r="AC22" s="131"/>
      <c r="AD22" s="131"/>
      <c r="AE22" s="131"/>
      <c r="AF22" s="131"/>
      <c r="AG22" s="131"/>
      <c r="AH22" s="131"/>
      <c r="AI22" s="131"/>
      <c r="AJ22" s="131"/>
    </row>
    <row r="23">
      <c r="A23" s="126">
        <f>IFERROR(__xludf.DUMMYFUNCTION("""COMPUTED_VALUE"""),48.0)</f>
        <v>48</v>
      </c>
      <c r="B23" s="126" t="str">
        <f>IFERROR(__xludf.DUMMYFUNCTION("""COMPUTED_VALUE"""),"IDEMS: An Intelligent Dynamic Environment Monitoring System for Data Center of Energy Internet")</f>
        <v>IDEMS: An Intelligent Dynamic Environment Monitoring System for Data Center of Energy Internet</v>
      </c>
      <c r="C23" s="127" t="str">
        <f>IFERROR(__xludf.DUMMYFUNCTION("""COMPUTED_VALUE"""),"https://ieeexplore.ieee.org/abstract/document/8791437/")</f>
        <v>https://ieeexplore.ieee.org/abstract/document/8791437/</v>
      </c>
      <c r="D23" s="126" t="str">
        <f>IFERROR(__xludf.DUMMYFUNCTION("""COMPUTED_VALUE"""),"F Xiang, ZG Wang, Z Wang…")</f>
        <v>F Xiang, ZG Wang, Z Wang…</v>
      </c>
      <c r="E23" s="126" t="str">
        <f>IFERROR(__xludf.DUMMYFUNCTION("""COMPUTED_VALUE"""),"Institute of Electrical and Electronics Engineers")</f>
        <v>Institute of Electrical and Electronics Engineers</v>
      </c>
      <c r="F23" s="126" t="str">
        <f>IFERROR(__xludf.DUMMYFUNCTION("""COMPUTED_VALUE"""),"IEEE Xplore")</f>
        <v>IEEE Xplore</v>
      </c>
      <c r="G23" s="128" t="str">
        <f>IFERROR(__xludf.DUMMYFUNCTION("""COMPUTED_VALUE"""),"C")</f>
        <v>C</v>
      </c>
      <c r="H23" s="130">
        <f>IFERROR(__xludf.DUMMYFUNCTION("""COMPUTED_VALUE"""),2019.0)</f>
        <v>2019</v>
      </c>
      <c r="I23" s="129"/>
      <c r="J23" s="130"/>
      <c r="K23" s="130"/>
      <c r="L23" s="130"/>
      <c r="M23" s="130"/>
      <c r="N23" s="130"/>
      <c r="O23" s="130"/>
      <c r="P23" s="130">
        <f>IFERROR(__xludf.DUMMYFUNCTION("""COMPUTED_VALUE"""),1.0)</f>
        <v>1</v>
      </c>
      <c r="Q23" s="130"/>
      <c r="R23" s="129"/>
      <c r="S23" s="129"/>
      <c r="T23" s="129"/>
      <c r="U23" s="129"/>
      <c r="V23" s="129"/>
      <c r="W23" s="126" t="str">
        <f>IFERROR(__xludf.DUMMYFUNCTION("""COMPUTED_VALUE"""),"No")</f>
        <v>No</v>
      </c>
      <c r="X23" s="126" t="str">
        <f>IFERROR(__xludf.DUMMYFUNCTION("""COMPUTED_VALUE"""),"Yes")</f>
        <v>Yes</v>
      </c>
      <c r="Y23" s="126" t="str">
        <f>IFERROR(__xludf.DUMMYFUNCTION("""COMPUTED_VALUE"""),"S")</f>
        <v>S</v>
      </c>
      <c r="Z23" s="126" t="str">
        <f>IFERROR(__xludf.DUMMYFUNCTION("""COMPUTED_VALUE"""),"power equipment such as chillers and batteries")</f>
        <v>power equipment such as chillers and batteries</v>
      </c>
      <c r="AA23" s="126"/>
      <c r="AB23" s="126"/>
      <c r="AC23" s="126"/>
      <c r="AD23" s="126"/>
      <c r="AE23" s="126"/>
      <c r="AF23" s="126"/>
      <c r="AG23" s="126"/>
      <c r="AH23" s="126"/>
      <c r="AI23" s="126"/>
      <c r="AJ23" s="126"/>
    </row>
    <row r="24">
      <c r="A24" s="126">
        <f>IFERROR(__xludf.DUMMYFUNCTION("""COMPUTED_VALUE"""),49.0)</f>
        <v>49</v>
      </c>
      <c r="B24" s="126" t="str">
        <f>IFERROR(__xludf.DUMMYFUNCTION("""COMPUTED_VALUE"""),"Jointly optimizing the IT and cooling systems for data center energy efficiency based on multi-agent deep reinforcement learning")</f>
        <v>Jointly optimizing the IT and cooling systems for data center energy efficiency based on multi-agent deep reinforcement learning</v>
      </c>
      <c r="C24" s="127" t="str">
        <f>IFERROR(__xludf.DUMMYFUNCTION("""COMPUTED_VALUE"""),"https://dl.acm.org/doi/abs/10.1145/3396851.3402658")</f>
        <v>https://dl.acm.org/doi/abs/10.1145/3396851.3402658</v>
      </c>
      <c r="D24" s="126" t="str">
        <f>IFERROR(__xludf.DUMMYFUNCTION("""COMPUTED_VALUE"""),"C Chi, K Ji, A Marahatta, P Song, F Zhang…")</f>
        <v>C Chi, K Ji, A Marahatta, P Song, F Zhang…</v>
      </c>
      <c r="E24" s="126" t="str">
        <f>IFERROR(__xludf.DUMMYFUNCTION("""COMPUTED_VALUE"""),"Association for Computing Machinery")</f>
        <v>Association for Computing Machinery</v>
      </c>
      <c r="F24" s="126" t="str">
        <f>IFERROR(__xludf.DUMMYFUNCTION("""COMPUTED_VALUE"""),"ACM")</f>
        <v>ACM</v>
      </c>
      <c r="G24" s="128" t="str">
        <f>IFERROR(__xludf.DUMMYFUNCTION("""COMPUTED_VALUE"""),"C")</f>
        <v>C</v>
      </c>
      <c r="H24" s="130">
        <f>IFERROR(__xludf.DUMMYFUNCTION("""COMPUTED_VALUE"""),2020.0)</f>
        <v>2020</v>
      </c>
      <c r="I24" s="130">
        <f>IFERROR(__xludf.DUMMYFUNCTION("""COMPUTED_VALUE"""),1.0)</f>
        <v>1</v>
      </c>
      <c r="J24" s="130">
        <f>IFERROR(__xludf.DUMMYFUNCTION("""COMPUTED_VALUE"""),1.0)</f>
        <v>1</v>
      </c>
      <c r="K24" s="129">
        <f>IFERROR(__xludf.DUMMYFUNCTION("""COMPUTED_VALUE"""),1.0)</f>
        <v>1</v>
      </c>
      <c r="L24" s="129">
        <f>IFERROR(__xludf.DUMMYFUNCTION("""COMPUTED_VALUE"""),1.0)</f>
        <v>1</v>
      </c>
      <c r="M24" s="130">
        <f>IFERROR(__xludf.DUMMYFUNCTION("""COMPUTED_VALUE"""),1.0)</f>
        <v>1</v>
      </c>
      <c r="N24" s="130">
        <f>IFERROR(__xludf.DUMMYFUNCTION("""COMPUTED_VALUE"""),0.0)</f>
        <v>0</v>
      </c>
      <c r="O24" s="130">
        <f>IFERROR(__xludf.DUMMYFUNCTION("""COMPUTED_VALUE"""),0.0)</f>
        <v>0</v>
      </c>
      <c r="P24" s="130">
        <f>IFERROR(__xludf.DUMMYFUNCTION("""COMPUTED_VALUE"""),0.0)</f>
        <v>0</v>
      </c>
      <c r="Q24" s="130">
        <f>IFERROR(__xludf.DUMMYFUNCTION("""COMPUTED_VALUE"""),0.0)</f>
        <v>0</v>
      </c>
      <c r="R24" s="129">
        <f>IFERROR(__xludf.DUMMYFUNCTION("""COMPUTED_VALUE"""),0.0)</f>
        <v>0</v>
      </c>
      <c r="S24" s="129">
        <f>IFERROR(__xludf.DUMMYFUNCTION("""COMPUTED_VALUE"""),0.0)</f>
        <v>0</v>
      </c>
      <c r="T24" s="129">
        <f>IFERROR(__xludf.DUMMYFUNCTION("""COMPUTED_VALUE"""),0.0)</f>
        <v>0</v>
      </c>
      <c r="U24" s="129">
        <f>IFERROR(__xludf.DUMMYFUNCTION("""COMPUTED_VALUE"""),0.0)</f>
        <v>0</v>
      </c>
      <c r="V24" s="129">
        <f>IFERROR(__xludf.DUMMYFUNCTION("""COMPUTED_VALUE"""),0.0)</f>
        <v>0</v>
      </c>
      <c r="W24" s="126" t="str">
        <f>IFERROR(__xludf.DUMMYFUNCTION("""COMPUTED_VALUE"""),"Yes")</f>
        <v>Yes</v>
      </c>
      <c r="X24" s="126" t="str">
        <f>IFERROR(__xludf.DUMMYFUNCTION("""COMPUTED_VALUE"""),"Yes")</f>
        <v>Yes</v>
      </c>
      <c r="Y24" s="126" t="str">
        <f>IFERROR(__xludf.DUMMYFUNCTION("""COMPUTED_VALUE"""),"S")</f>
        <v>S</v>
      </c>
      <c r="Z24" s="126"/>
      <c r="AA24" s="126"/>
      <c r="AB24" s="126"/>
      <c r="AC24" s="126"/>
      <c r="AD24" s="126"/>
      <c r="AE24" s="126"/>
      <c r="AF24" s="126"/>
      <c r="AG24" s="126"/>
      <c r="AH24" s="126"/>
      <c r="AI24" s="126"/>
      <c r="AJ24" s="126"/>
    </row>
    <row r="25">
      <c r="A25" s="126">
        <f>IFERROR(__xludf.DUMMYFUNCTION("""COMPUTED_VALUE"""),51.0)</f>
        <v>51</v>
      </c>
      <c r="B25" s="126" t="str">
        <f>IFERROR(__xludf.DUMMYFUNCTION("""COMPUTED_VALUE"""),"A robust modeling framework for energy analysis of data centers")</f>
        <v>A robust modeling framework for energy analysis of data centers</v>
      </c>
      <c r="C25" s="127" t="str">
        <f>IFERROR(__xludf.DUMMYFUNCTION("""COMPUTED_VALUE"""),"https://dl.acm.org/doi/abs/10.1145/3401335.3401648")</f>
        <v>https://dl.acm.org/doi/abs/10.1145/3401335.3401648</v>
      </c>
      <c r="D25" s="126" t="str">
        <f>IFERROR(__xludf.DUMMYFUNCTION("""COMPUTED_VALUE"""),"N Lei")</f>
        <v>N Lei</v>
      </c>
      <c r="E25" s="126" t="str">
        <f>IFERROR(__xludf.DUMMYFUNCTION("""COMPUTED_VALUE"""),"Association for Computing Machinery")</f>
        <v>Association for Computing Machinery</v>
      </c>
      <c r="F25" s="126" t="str">
        <f>IFERROR(__xludf.DUMMYFUNCTION("""COMPUTED_VALUE"""),"ACM")</f>
        <v>ACM</v>
      </c>
      <c r="G25" s="128" t="str">
        <f>IFERROR(__xludf.DUMMYFUNCTION("""COMPUTED_VALUE"""),"C")</f>
        <v>C</v>
      </c>
      <c r="H25" s="129">
        <f>IFERROR(__xludf.DUMMYFUNCTION("""COMPUTED_VALUE"""),2020.0)</f>
        <v>2020</v>
      </c>
      <c r="I25" s="130">
        <f>IFERROR(__xludf.DUMMYFUNCTION("""COMPUTED_VALUE"""),1.0)</f>
        <v>1</v>
      </c>
      <c r="J25" s="129">
        <f>IFERROR(__xludf.DUMMYFUNCTION("""COMPUTED_VALUE"""),1.0)</f>
        <v>1</v>
      </c>
      <c r="K25" s="130">
        <f>IFERROR(__xludf.DUMMYFUNCTION("""COMPUTED_VALUE"""),1.0)</f>
        <v>1</v>
      </c>
      <c r="L25" s="130">
        <f>IFERROR(__xludf.DUMMYFUNCTION("""COMPUTED_VALUE"""),1.0)</f>
        <v>1</v>
      </c>
      <c r="M25" s="130">
        <f>IFERROR(__xludf.DUMMYFUNCTION("""COMPUTED_VALUE"""),1.0)</f>
        <v>1</v>
      </c>
      <c r="N25" s="130">
        <f>IFERROR(__xludf.DUMMYFUNCTION("""COMPUTED_VALUE"""),0.0)</f>
        <v>0</v>
      </c>
      <c r="O25" s="130">
        <f>IFERROR(__xludf.DUMMYFUNCTION("""COMPUTED_VALUE"""),0.0)</f>
        <v>0</v>
      </c>
      <c r="P25" s="130">
        <f>IFERROR(__xludf.DUMMYFUNCTION("""COMPUTED_VALUE"""),0.0)</f>
        <v>0</v>
      </c>
      <c r="Q25" s="130">
        <f>IFERROR(__xludf.DUMMYFUNCTION("""COMPUTED_VALUE"""),0.0)</f>
        <v>0</v>
      </c>
      <c r="R25" s="130">
        <f>IFERROR(__xludf.DUMMYFUNCTION("""COMPUTED_VALUE"""),0.0)</f>
        <v>0</v>
      </c>
      <c r="S25" s="130">
        <f>IFERROR(__xludf.DUMMYFUNCTION("""COMPUTED_VALUE"""),0.0)</f>
        <v>0</v>
      </c>
      <c r="T25" s="130">
        <f>IFERROR(__xludf.DUMMYFUNCTION("""COMPUTED_VALUE"""),0.0)</f>
        <v>0</v>
      </c>
      <c r="U25" s="130">
        <f>IFERROR(__xludf.DUMMYFUNCTION("""COMPUTED_VALUE"""),0.0)</f>
        <v>0</v>
      </c>
      <c r="V25" s="130">
        <f>IFERROR(__xludf.DUMMYFUNCTION("""COMPUTED_VALUE"""),0.0)</f>
        <v>0</v>
      </c>
      <c r="W25" s="131" t="str">
        <f>IFERROR(__xludf.DUMMYFUNCTION("""COMPUTED_VALUE"""),"Yes")</f>
        <v>Yes</v>
      </c>
      <c r="X25" s="131" t="str">
        <f>IFERROR(__xludf.DUMMYFUNCTION("""COMPUTED_VALUE"""),"Yes")</f>
        <v>Yes</v>
      </c>
      <c r="Y25" s="131" t="str">
        <f>IFERROR(__xludf.DUMMYFUNCTION("""COMPUTED_VALUE"""),"S")</f>
        <v>S</v>
      </c>
      <c r="Z25" s="131"/>
      <c r="AA25" s="131"/>
      <c r="AB25" s="131"/>
      <c r="AC25" s="131"/>
      <c r="AD25" s="131"/>
      <c r="AE25" s="131"/>
      <c r="AF25" s="131"/>
      <c r="AG25" s="131"/>
      <c r="AH25" s="131"/>
      <c r="AI25" s="131"/>
      <c r="AJ25" s="131"/>
    </row>
    <row r="26">
      <c r="A26" s="126">
        <f>IFERROR(__xludf.DUMMYFUNCTION("""COMPUTED_VALUE"""),53.0)</f>
        <v>53</v>
      </c>
      <c r="B26" s="126" t="str">
        <f>IFERROR(__xludf.DUMMYFUNCTION("""COMPUTED_VALUE"""),"Exploiting Traffic Correlation Towards Energy Saving in Data Centers")</f>
        <v>Exploiting Traffic Correlation Towards Energy Saving in Data Centers</v>
      </c>
      <c r="C26" s="127" t="str">
        <f>IFERROR(__xludf.DUMMYFUNCTION("""COMPUTED_VALUE"""),"https://ieeexplore.ieee.org/abstract/document/8580952/")</f>
        <v>https://ieeexplore.ieee.org/abstract/document/8580952/</v>
      </c>
      <c r="D26" s="126" t="str">
        <f>IFERROR(__xludf.DUMMYFUNCTION("""COMPUTED_VALUE"""),"Z Chkirbene, A Gouissem, R Hadjidj, R Hamila, S Foufou")</f>
        <v>Z Chkirbene, A Gouissem, R Hadjidj, R Hamila, S Foufou</v>
      </c>
      <c r="E26" s="126" t="str">
        <f>IFERROR(__xludf.DUMMYFUNCTION("""COMPUTED_VALUE"""),"Institute of Electrical and Electronics Engineers")</f>
        <v>Institute of Electrical and Electronics Engineers</v>
      </c>
      <c r="F26" s="126" t="str">
        <f>IFERROR(__xludf.DUMMYFUNCTION("""COMPUTED_VALUE"""),"IEEE Xplore")</f>
        <v>IEEE Xplore</v>
      </c>
      <c r="G26" s="128" t="str">
        <f>IFERROR(__xludf.DUMMYFUNCTION("""COMPUTED_VALUE"""),"J")</f>
        <v>J</v>
      </c>
      <c r="H26" s="129">
        <f>IFERROR(__xludf.DUMMYFUNCTION("""COMPUTED_VALUE"""),2018.0)</f>
        <v>2018</v>
      </c>
      <c r="I26" s="129">
        <f>IFERROR(__xludf.DUMMYFUNCTION("""COMPUTED_VALUE"""),1.0)</f>
        <v>1</v>
      </c>
      <c r="J26" s="129">
        <f>IFERROR(__xludf.DUMMYFUNCTION("""COMPUTED_VALUE"""),1.0)</f>
        <v>1</v>
      </c>
      <c r="K26" s="130">
        <f>IFERROR(__xludf.DUMMYFUNCTION("""COMPUTED_VALUE"""),1.0)</f>
        <v>1</v>
      </c>
      <c r="L26" s="130">
        <f>IFERROR(__xludf.DUMMYFUNCTION("""COMPUTED_VALUE"""),1.0)</f>
        <v>1</v>
      </c>
      <c r="M26" s="130">
        <f>IFERROR(__xludf.DUMMYFUNCTION("""COMPUTED_VALUE"""),1.0)</f>
        <v>1</v>
      </c>
      <c r="N26" s="130">
        <f>IFERROR(__xludf.DUMMYFUNCTION("""COMPUTED_VALUE"""),0.0)</f>
        <v>0</v>
      </c>
      <c r="O26" s="130">
        <f>IFERROR(__xludf.DUMMYFUNCTION("""COMPUTED_VALUE"""),0.0)</f>
        <v>0</v>
      </c>
      <c r="P26" s="130">
        <f>IFERROR(__xludf.DUMMYFUNCTION("""COMPUTED_VALUE"""),0.0)</f>
        <v>0</v>
      </c>
      <c r="Q26" s="129">
        <f>IFERROR(__xludf.DUMMYFUNCTION("""COMPUTED_VALUE"""),0.0)</f>
        <v>0</v>
      </c>
      <c r="R26" s="129">
        <f>IFERROR(__xludf.DUMMYFUNCTION("""COMPUTED_VALUE"""),0.0)</f>
        <v>0</v>
      </c>
      <c r="S26" s="129">
        <f>IFERROR(__xludf.DUMMYFUNCTION("""COMPUTED_VALUE"""),0.0)</f>
        <v>0</v>
      </c>
      <c r="T26" s="129">
        <f>IFERROR(__xludf.DUMMYFUNCTION("""COMPUTED_VALUE"""),0.0)</f>
        <v>0</v>
      </c>
      <c r="U26" s="129">
        <f>IFERROR(__xludf.DUMMYFUNCTION("""COMPUTED_VALUE"""),0.0)</f>
        <v>0</v>
      </c>
      <c r="V26" s="129">
        <f>IFERROR(__xludf.DUMMYFUNCTION("""COMPUTED_VALUE"""),0.0)</f>
        <v>0</v>
      </c>
      <c r="W26" s="126" t="str">
        <f>IFERROR(__xludf.DUMMYFUNCTION("""COMPUTED_VALUE"""),"Yes")</f>
        <v>Yes</v>
      </c>
      <c r="X26" s="126" t="str">
        <f>IFERROR(__xludf.DUMMYFUNCTION("""COMPUTED_VALUE"""),"Yes")</f>
        <v>Yes</v>
      </c>
      <c r="Y26" s="126" t="str">
        <f>IFERROR(__xludf.DUMMYFUNCTION("""COMPUTED_VALUE"""),"S")</f>
        <v>S</v>
      </c>
      <c r="Z26" s="126"/>
      <c r="AA26" s="126"/>
      <c r="AB26" s="126"/>
      <c r="AC26" s="126"/>
      <c r="AD26" s="126"/>
      <c r="AE26" s="126"/>
      <c r="AF26" s="126"/>
      <c r="AG26" s="126"/>
      <c r="AH26" s="126"/>
      <c r="AI26" s="126"/>
      <c r="AJ26" s="126"/>
    </row>
    <row r="27">
      <c r="A27" s="126">
        <f>IFERROR(__xludf.DUMMYFUNCTION("""COMPUTED_VALUE"""),54.0)</f>
        <v>54</v>
      </c>
      <c r="B27" s="126" t="str">
        <f>IFERROR(__xludf.DUMMYFUNCTION("""COMPUTED_VALUE"""),"Energy and quality of service-aware virtual machine consolidation in a cloud data center")</f>
        <v>Energy and quality of service-aware virtual machine consolidation in a cloud data center</v>
      </c>
      <c r="C27" s="127" t="str">
        <f>IFERROR(__xludf.DUMMYFUNCTION("""COMPUTED_VALUE"""),"https://link.springer.com/content/pdf/10.1007/s11227-020-03203-3.pdf")</f>
        <v>https://link.springer.com/content/pdf/10.1007/s11227-020-03203-3.pdf</v>
      </c>
      <c r="D27" s="126" t="str">
        <f>IFERROR(__xludf.DUMMYFUNCTION("""COMPUTED_VALUE"""),"A Tarafdar, M Debnath, S Khatua, RK Das")</f>
        <v>A Tarafdar, M Debnath, S Khatua, RK Das</v>
      </c>
      <c r="E27" s="126" t="str">
        <f>IFERROR(__xludf.DUMMYFUNCTION("""COMPUTED_VALUE"""),"Springer")</f>
        <v>Springer</v>
      </c>
      <c r="F27" s="126" t="str">
        <f>IFERROR(__xludf.DUMMYFUNCTION("""COMPUTED_VALUE"""),"Springer")</f>
        <v>Springer</v>
      </c>
      <c r="G27" s="128" t="str">
        <f>IFERROR(__xludf.DUMMYFUNCTION("""COMPUTED_VALUE"""),"J")</f>
        <v>J</v>
      </c>
      <c r="H27" s="129">
        <f>IFERROR(__xludf.DUMMYFUNCTION("""COMPUTED_VALUE"""),2020.0)</f>
        <v>2020</v>
      </c>
      <c r="I27" s="129">
        <f>IFERROR(__xludf.DUMMYFUNCTION("""COMPUTED_VALUE"""),1.0)</f>
        <v>1</v>
      </c>
      <c r="J27" s="129">
        <f>IFERROR(__xludf.DUMMYFUNCTION("""COMPUTED_VALUE"""),1.0)</f>
        <v>1</v>
      </c>
      <c r="K27" s="130">
        <f>IFERROR(__xludf.DUMMYFUNCTION("""COMPUTED_VALUE"""),1.0)</f>
        <v>1</v>
      </c>
      <c r="L27" s="130">
        <f>IFERROR(__xludf.DUMMYFUNCTION("""COMPUTED_VALUE"""),1.0)</f>
        <v>1</v>
      </c>
      <c r="M27" s="130">
        <f>IFERROR(__xludf.DUMMYFUNCTION("""COMPUTED_VALUE"""),1.0)</f>
        <v>1</v>
      </c>
      <c r="N27" s="130">
        <f>IFERROR(__xludf.DUMMYFUNCTION("""COMPUTED_VALUE"""),0.0)</f>
        <v>0</v>
      </c>
      <c r="O27" s="130">
        <f>IFERROR(__xludf.DUMMYFUNCTION("""COMPUTED_VALUE"""),0.0)</f>
        <v>0</v>
      </c>
      <c r="P27" s="130">
        <f>IFERROR(__xludf.DUMMYFUNCTION("""COMPUTED_VALUE"""),0.0)</f>
        <v>0</v>
      </c>
      <c r="Q27" s="129">
        <f>IFERROR(__xludf.DUMMYFUNCTION("""COMPUTED_VALUE"""),0.0)</f>
        <v>0</v>
      </c>
      <c r="R27" s="129">
        <f>IFERROR(__xludf.DUMMYFUNCTION("""COMPUTED_VALUE"""),0.0)</f>
        <v>0</v>
      </c>
      <c r="S27" s="129">
        <f>IFERROR(__xludf.DUMMYFUNCTION("""COMPUTED_VALUE"""),0.0)</f>
        <v>0</v>
      </c>
      <c r="T27" s="129">
        <f>IFERROR(__xludf.DUMMYFUNCTION("""COMPUTED_VALUE"""),0.0)</f>
        <v>0</v>
      </c>
      <c r="U27" s="129">
        <f>IFERROR(__xludf.DUMMYFUNCTION("""COMPUTED_VALUE"""),0.0)</f>
        <v>0</v>
      </c>
      <c r="V27" s="129">
        <f>IFERROR(__xludf.DUMMYFUNCTION("""COMPUTED_VALUE"""),0.0)</f>
        <v>0</v>
      </c>
      <c r="W27" s="126" t="str">
        <f>IFERROR(__xludf.DUMMYFUNCTION("""COMPUTED_VALUE"""),"Yes")</f>
        <v>Yes</v>
      </c>
      <c r="X27" s="126" t="str">
        <f>IFERROR(__xludf.DUMMYFUNCTION("""COMPUTED_VALUE"""),"Yes")</f>
        <v>Yes</v>
      </c>
      <c r="Y27" s="126" t="str">
        <f>IFERROR(__xludf.DUMMYFUNCTION("""COMPUTED_VALUE"""),"S")</f>
        <v>S</v>
      </c>
      <c r="Z27" s="126"/>
      <c r="AA27" s="126"/>
      <c r="AB27" s="126"/>
      <c r="AC27" s="126"/>
      <c r="AD27" s="126"/>
      <c r="AE27" s="126"/>
      <c r="AF27" s="126"/>
      <c r="AG27" s="126"/>
      <c r="AH27" s="126"/>
      <c r="AI27" s="126"/>
      <c r="AJ27" s="126"/>
    </row>
    <row r="28">
      <c r="A28" s="126">
        <f>IFERROR(__xludf.DUMMYFUNCTION("""COMPUTED_VALUE"""),56.0)</f>
        <v>56</v>
      </c>
      <c r="B28" s="126" t="str">
        <f>IFERROR(__xludf.DUMMYFUNCTION("""COMPUTED_VALUE"""),"A proactive autoscaling and energy-efficient VM allocation framework using online multi-resource neural network for cloud data center")</f>
        <v>A proactive autoscaling and energy-efficient VM allocation framework using online multi-resource neural network for cloud data center</v>
      </c>
      <c r="C28" s="127" t="str">
        <f>IFERROR(__xludf.DUMMYFUNCTION("""COMPUTED_VALUE"""),"https://www.sciencedirect.com/science/article/pii/S0925231220315873")</f>
        <v>https://www.sciencedirect.com/science/article/pii/S0925231220315873</v>
      </c>
      <c r="D28" s="126" t="str">
        <f>IFERROR(__xludf.DUMMYFUNCTION("""COMPUTED_VALUE"""),"D Saxena, AK Singh")</f>
        <v>D Saxena, AK Singh</v>
      </c>
      <c r="E28" s="126" t="str">
        <f>IFERROR(__xludf.DUMMYFUNCTION("""COMPUTED_VALUE"""),"Elsevier")</f>
        <v>Elsevier</v>
      </c>
      <c r="F28" s="126" t="str">
        <f>IFERROR(__xludf.DUMMYFUNCTION("""COMPUTED_VALUE"""),"Elsevier")</f>
        <v>Elsevier</v>
      </c>
      <c r="G28" s="128" t="str">
        <f>IFERROR(__xludf.DUMMYFUNCTION("""COMPUTED_VALUE"""),"J")</f>
        <v>J</v>
      </c>
      <c r="H28" s="129">
        <f>IFERROR(__xludf.DUMMYFUNCTION("""COMPUTED_VALUE"""),2020.0)</f>
        <v>2020</v>
      </c>
      <c r="I28" s="129">
        <f>IFERROR(__xludf.DUMMYFUNCTION("""COMPUTED_VALUE"""),1.0)</f>
        <v>1</v>
      </c>
      <c r="J28" s="129">
        <f>IFERROR(__xludf.DUMMYFUNCTION("""COMPUTED_VALUE"""),1.0)</f>
        <v>1</v>
      </c>
      <c r="K28" s="130">
        <f>IFERROR(__xludf.DUMMYFUNCTION("""COMPUTED_VALUE"""),1.0)</f>
        <v>1</v>
      </c>
      <c r="L28" s="130">
        <f>IFERROR(__xludf.DUMMYFUNCTION("""COMPUTED_VALUE"""),1.0)</f>
        <v>1</v>
      </c>
      <c r="M28" s="130">
        <f>IFERROR(__xludf.DUMMYFUNCTION("""COMPUTED_VALUE"""),1.0)</f>
        <v>1</v>
      </c>
      <c r="N28" s="130">
        <f>IFERROR(__xludf.DUMMYFUNCTION("""COMPUTED_VALUE"""),0.0)</f>
        <v>0</v>
      </c>
      <c r="O28" s="130">
        <f>IFERROR(__xludf.DUMMYFUNCTION("""COMPUTED_VALUE"""),0.0)</f>
        <v>0</v>
      </c>
      <c r="P28" s="130">
        <f>IFERROR(__xludf.DUMMYFUNCTION("""COMPUTED_VALUE"""),0.0)</f>
        <v>0</v>
      </c>
      <c r="Q28" s="129">
        <f>IFERROR(__xludf.DUMMYFUNCTION("""COMPUTED_VALUE"""),0.0)</f>
        <v>0</v>
      </c>
      <c r="R28" s="129">
        <f>IFERROR(__xludf.DUMMYFUNCTION("""COMPUTED_VALUE"""),0.0)</f>
        <v>0</v>
      </c>
      <c r="S28" s="129">
        <f>IFERROR(__xludf.DUMMYFUNCTION("""COMPUTED_VALUE"""),0.0)</f>
        <v>0</v>
      </c>
      <c r="T28" s="129">
        <f>IFERROR(__xludf.DUMMYFUNCTION("""COMPUTED_VALUE"""),0.0)</f>
        <v>0</v>
      </c>
      <c r="U28" s="129">
        <f>IFERROR(__xludf.DUMMYFUNCTION("""COMPUTED_VALUE"""),0.0)</f>
        <v>0</v>
      </c>
      <c r="V28" s="129">
        <f>IFERROR(__xludf.DUMMYFUNCTION("""COMPUTED_VALUE"""),0.0)</f>
        <v>0</v>
      </c>
      <c r="W28" s="126" t="str">
        <f>IFERROR(__xludf.DUMMYFUNCTION("""COMPUTED_VALUE"""),"Yes")</f>
        <v>Yes</v>
      </c>
      <c r="X28" s="126" t="str">
        <f>IFERROR(__xludf.DUMMYFUNCTION("""COMPUTED_VALUE"""),"Yes")</f>
        <v>Yes</v>
      </c>
      <c r="Y28" s="126" t="str">
        <f>IFERROR(__xludf.DUMMYFUNCTION("""COMPUTED_VALUE"""),"S")</f>
        <v>S</v>
      </c>
      <c r="Z28" s="126"/>
      <c r="AA28" s="126"/>
      <c r="AB28" s="126"/>
      <c r="AC28" s="126"/>
      <c r="AD28" s="126"/>
      <c r="AE28" s="126"/>
      <c r="AF28" s="126"/>
      <c r="AG28" s="126"/>
      <c r="AH28" s="126"/>
      <c r="AI28" s="126"/>
      <c r="AJ28" s="126"/>
    </row>
    <row r="29">
      <c r="A29" s="126">
        <f>IFERROR(__xludf.DUMMYFUNCTION("""COMPUTED_VALUE"""),57.0)</f>
        <v>57</v>
      </c>
      <c r="B29" s="126" t="str">
        <f>IFERROR(__xludf.DUMMYFUNCTION("""COMPUTED_VALUE"""),"A deep neural network based approach to energy efficiency analysis for cloud data center")</f>
        <v>A deep neural network based approach to energy efficiency analysis for cloud data center</v>
      </c>
      <c r="C29" s="127" t="str">
        <f>IFERROR(__xludf.DUMMYFUNCTION("""COMPUTED_VALUE"""),"https://ieeexplore.ieee.org/abstract/document/8972019/")</f>
        <v>https://ieeexplore.ieee.org/abstract/document/8972019/</v>
      </c>
      <c r="D29" s="126" t="str">
        <f>IFERROR(__xludf.DUMMYFUNCTION("""COMPUTED_VALUE"""),"HA Ounifi, A Gherbi, N Kara, W Li")</f>
        <v>HA Ounifi, A Gherbi, N Kara, W Li</v>
      </c>
      <c r="E29" s="126" t="str">
        <f>IFERROR(__xludf.DUMMYFUNCTION("""COMPUTED_VALUE"""),"Institute of Electrical and Electronics Engineers")</f>
        <v>Institute of Electrical and Electronics Engineers</v>
      </c>
      <c r="F29" s="126" t="str">
        <f>IFERROR(__xludf.DUMMYFUNCTION("""COMPUTED_VALUE"""),"IEEE Xplore")</f>
        <v>IEEE Xplore</v>
      </c>
      <c r="G29" s="128" t="str">
        <f>IFERROR(__xludf.DUMMYFUNCTION("""COMPUTED_VALUE"""),"C")</f>
        <v>C</v>
      </c>
      <c r="H29" s="130">
        <f>IFERROR(__xludf.DUMMYFUNCTION("""COMPUTED_VALUE"""),2019.0)</f>
        <v>2019</v>
      </c>
      <c r="I29" s="130">
        <f>IFERROR(__xludf.DUMMYFUNCTION("""COMPUTED_VALUE"""),1.0)</f>
        <v>1</v>
      </c>
      <c r="J29" s="130">
        <f>IFERROR(__xludf.DUMMYFUNCTION("""COMPUTED_VALUE"""),1.0)</f>
        <v>1</v>
      </c>
      <c r="K29" s="129">
        <f>IFERROR(__xludf.DUMMYFUNCTION("""COMPUTED_VALUE"""),1.0)</f>
        <v>1</v>
      </c>
      <c r="L29" s="129">
        <f>IFERROR(__xludf.DUMMYFUNCTION("""COMPUTED_VALUE"""),1.0)</f>
        <v>1</v>
      </c>
      <c r="M29" s="130">
        <f>IFERROR(__xludf.DUMMYFUNCTION("""COMPUTED_VALUE"""),1.0)</f>
        <v>1</v>
      </c>
      <c r="N29" s="130">
        <f>IFERROR(__xludf.DUMMYFUNCTION("""COMPUTED_VALUE"""),0.0)</f>
        <v>0</v>
      </c>
      <c r="O29" s="130">
        <f>IFERROR(__xludf.DUMMYFUNCTION("""COMPUTED_VALUE"""),0.0)</f>
        <v>0</v>
      </c>
      <c r="P29" s="130">
        <f>IFERROR(__xludf.DUMMYFUNCTION("""COMPUTED_VALUE"""),0.0)</f>
        <v>0</v>
      </c>
      <c r="Q29" s="130">
        <f>IFERROR(__xludf.DUMMYFUNCTION("""COMPUTED_VALUE"""),0.0)</f>
        <v>0</v>
      </c>
      <c r="R29" s="130">
        <f>IFERROR(__xludf.DUMMYFUNCTION("""COMPUTED_VALUE"""),0.0)</f>
        <v>0</v>
      </c>
      <c r="S29" s="130">
        <f>IFERROR(__xludf.DUMMYFUNCTION("""COMPUTED_VALUE"""),0.0)</f>
        <v>0</v>
      </c>
      <c r="T29" s="130">
        <f>IFERROR(__xludf.DUMMYFUNCTION("""COMPUTED_VALUE"""),0.0)</f>
        <v>0</v>
      </c>
      <c r="U29" s="130">
        <f>IFERROR(__xludf.DUMMYFUNCTION("""COMPUTED_VALUE"""),0.0)</f>
        <v>0</v>
      </c>
      <c r="V29" s="130">
        <f>IFERROR(__xludf.DUMMYFUNCTION("""COMPUTED_VALUE"""),0.0)</f>
        <v>0</v>
      </c>
      <c r="W29" s="131" t="str">
        <f>IFERROR(__xludf.DUMMYFUNCTION("""COMPUTED_VALUE"""),"Yes")</f>
        <v>Yes</v>
      </c>
      <c r="X29" s="131" t="str">
        <f>IFERROR(__xludf.DUMMYFUNCTION("""COMPUTED_VALUE"""),"Yes")</f>
        <v>Yes</v>
      </c>
      <c r="Y29" s="131" t="str">
        <f>IFERROR(__xludf.DUMMYFUNCTION("""COMPUTED_VALUE"""),"S")</f>
        <v>S</v>
      </c>
      <c r="Z29" s="131"/>
      <c r="AA29" s="131"/>
      <c r="AB29" s="131"/>
      <c r="AC29" s="131"/>
      <c r="AD29" s="131"/>
      <c r="AE29" s="131"/>
      <c r="AF29" s="131"/>
      <c r="AG29" s="131"/>
      <c r="AH29" s="131"/>
      <c r="AI29" s="131"/>
      <c r="AJ29" s="131"/>
    </row>
    <row r="30">
      <c r="A30" s="126">
        <f>IFERROR(__xludf.DUMMYFUNCTION("""COMPUTED_VALUE"""),58.0)</f>
        <v>58</v>
      </c>
      <c r="B30" s="126" t="str">
        <f>IFERROR(__xludf.DUMMYFUNCTION("""COMPUTED_VALUE"""),"Availability-Aware Multi-Objective Virtual Cluster Allocation Optimization in Energy-Efficient Datacenters")</f>
        <v>Availability-Aware Multi-Objective Virtual Cluster Allocation Optimization in Energy-Efficient Datacenters</v>
      </c>
      <c r="C30" s="127" t="str">
        <f>IFERROR(__xludf.DUMMYFUNCTION("""COMPUTED_VALUE"""),"https://ieeexplore.ieee.org/abstract/document/8855456/")</f>
        <v>https://ieeexplore.ieee.org/abstract/document/8855456/</v>
      </c>
      <c r="D30" s="126" t="str">
        <f>IFERROR(__xludf.DUMMYFUNCTION("""COMPUTED_VALUE"""),"X Liu, B Cheng, Y Li, J Chen")</f>
        <v>X Liu, B Cheng, Y Li, J Chen</v>
      </c>
      <c r="E30" s="126" t="str">
        <f>IFERROR(__xludf.DUMMYFUNCTION("""COMPUTED_VALUE"""),"Institute of Electrical and Electronics Engineers")</f>
        <v>Institute of Electrical and Electronics Engineers</v>
      </c>
      <c r="F30" s="126" t="str">
        <f>IFERROR(__xludf.DUMMYFUNCTION("""COMPUTED_VALUE"""),"IEEE Xplore")</f>
        <v>IEEE Xplore</v>
      </c>
      <c r="G30" s="128" t="str">
        <f>IFERROR(__xludf.DUMMYFUNCTION("""COMPUTED_VALUE"""),"C")</f>
        <v>C</v>
      </c>
      <c r="H30" s="129">
        <f>IFERROR(__xludf.DUMMYFUNCTION("""COMPUTED_VALUE"""),2019.0)</f>
        <v>2019</v>
      </c>
      <c r="I30" s="129">
        <f>IFERROR(__xludf.DUMMYFUNCTION("""COMPUTED_VALUE"""),1.0)</f>
        <v>1</v>
      </c>
      <c r="J30" s="129">
        <f>IFERROR(__xludf.DUMMYFUNCTION("""COMPUTED_VALUE"""),1.0)</f>
        <v>1</v>
      </c>
      <c r="K30" s="130">
        <f>IFERROR(__xludf.DUMMYFUNCTION("""COMPUTED_VALUE"""),1.0)</f>
        <v>1</v>
      </c>
      <c r="L30" s="130">
        <f>IFERROR(__xludf.DUMMYFUNCTION("""COMPUTED_VALUE"""),1.0)</f>
        <v>1</v>
      </c>
      <c r="M30" s="130">
        <f>IFERROR(__xludf.DUMMYFUNCTION("""COMPUTED_VALUE"""),1.0)</f>
        <v>1</v>
      </c>
      <c r="N30" s="130">
        <f>IFERROR(__xludf.DUMMYFUNCTION("""COMPUTED_VALUE"""),0.0)</f>
        <v>0</v>
      </c>
      <c r="O30" s="130">
        <f>IFERROR(__xludf.DUMMYFUNCTION("""COMPUTED_VALUE"""),0.0)</f>
        <v>0</v>
      </c>
      <c r="P30" s="130">
        <f>IFERROR(__xludf.DUMMYFUNCTION("""COMPUTED_VALUE"""),0.0)</f>
        <v>0</v>
      </c>
      <c r="Q30" s="129">
        <f>IFERROR(__xludf.DUMMYFUNCTION("""COMPUTED_VALUE"""),0.0)</f>
        <v>0</v>
      </c>
      <c r="R30" s="129">
        <f>IFERROR(__xludf.DUMMYFUNCTION("""COMPUTED_VALUE"""),0.0)</f>
        <v>0</v>
      </c>
      <c r="S30" s="129">
        <f>IFERROR(__xludf.DUMMYFUNCTION("""COMPUTED_VALUE"""),0.0)</f>
        <v>0</v>
      </c>
      <c r="T30" s="129">
        <f>IFERROR(__xludf.DUMMYFUNCTION("""COMPUTED_VALUE"""),0.0)</f>
        <v>0</v>
      </c>
      <c r="U30" s="129">
        <f>IFERROR(__xludf.DUMMYFUNCTION("""COMPUTED_VALUE"""),0.0)</f>
        <v>0</v>
      </c>
      <c r="V30" s="129">
        <f>IFERROR(__xludf.DUMMYFUNCTION("""COMPUTED_VALUE"""),0.0)</f>
        <v>0</v>
      </c>
      <c r="W30" s="126" t="str">
        <f>IFERROR(__xludf.DUMMYFUNCTION("""COMPUTED_VALUE"""),"Yes")</f>
        <v>Yes</v>
      </c>
      <c r="X30" s="126" t="str">
        <f>IFERROR(__xludf.DUMMYFUNCTION("""COMPUTED_VALUE"""),"Yes")</f>
        <v>Yes</v>
      </c>
      <c r="Y30" s="126" t="str">
        <f>IFERROR(__xludf.DUMMYFUNCTION("""COMPUTED_VALUE"""),"S")</f>
        <v>S</v>
      </c>
      <c r="Z30" s="126"/>
      <c r="AA30" s="126"/>
      <c r="AB30" s="126"/>
      <c r="AC30" s="126"/>
      <c r="AD30" s="126"/>
      <c r="AE30" s="126"/>
      <c r="AF30" s="126"/>
      <c r="AG30" s="126"/>
      <c r="AH30" s="126"/>
      <c r="AI30" s="126"/>
      <c r="AJ30" s="126"/>
    </row>
    <row r="31">
      <c r="A31" s="126">
        <f>IFERROR(__xludf.DUMMYFUNCTION("""COMPUTED_VALUE"""),59.0)</f>
        <v>59</v>
      </c>
      <c r="B31" s="126" t="str">
        <f>IFERROR(__xludf.DUMMYFUNCTION("""COMPUTED_VALUE"""),"Energy-Efficient Flow Routing and Scheduling in Hybrid Data Center Networks")</f>
        <v>Energy-Efficient Flow Routing and Scheduling in Hybrid Data Center Networks</v>
      </c>
      <c r="C31" s="127" t="str">
        <f>IFERROR(__xludf.DUMMYFUNCTION("""COMPUTED_VALUE"""),"https://ieeexplore.ieee.org/abstract/document/9014023/")</f>
        <v>https://ieeexplore.ieee.org/abstract/document/9014023/</v>
      </c>
      <c r="D31" s="126" t="str">
        <f>IFERROR(__xludf.DUMMYFUNCTION("""COMPUTED_VALUE"""),"M Luo, J Li, J Ma, H Li, M Sheng")</f>
        <v>M Luo, J Li, J Ma, H Li, M Sheng</v>
      </c>
      <c r="E31" s="126" t="str">
        <f>IFERROR(__xludf.DUMMYFUNCTION("""COMPUTED_VALUE"""),"Institute of Electrical and Electronics Engineers")</f>
        <v>Institute of Electrical and Electronics Engineers</v>
      </c>
      <c r="F31" s="126" t="str">
        <f>IFERROR(__xludf.DUMMYFUNCTION("""COMPUTED_VALUE"""),"IEEE Xplore")</f>
        <v>IEEE Xplore</v>
      </c>
      <c r="G31" s="132" t="str">
        <f>IFERROR(__xludf.DUMMYFUNCTION("""COMPUTED_VALUE"""),"C")</f>
        <v>C</v>
      </c>
      <c r="H31" s="129">
        <f>IFERROR(__xludf.DUMMYFUNCTION("""COMPUTED_VALUE"""),2019.0)</f>
        <v>2019</v>
      </c>
      <c r="I31" s="129">
        <f>IFERROR(__xludf.DUMMYFUNCTION("""COMPUTED_VALUE"""),1.0)</f>
        <v>1</v>
      </c>
      <c r="J31" s="129">
        <f>IFERROR(__xludf.DUMMYFUNCTION("""COMPUTED_VALUE"""),1.0)</f>
        <v>1</v>
      </c>
      <c r="K31" s="130">
        <f>IFERROR(__xludf.DUMMYFUNCTION("""COMPUTED_VALUE"""),1.0)</f>
        <v>1</v>
      </c>
      <c r="L31" s="130">
        <f>IFERROR(__xludf.DUMMYFUNCTION("""COMPUTED_VALUE"""),1.0)</f>
        <v>1</v>
      </c>
      <c r="M31" s="130">
        <f>IFERROR(__xludf.DUMMYFUNCTION("""COMPUTED_VALUE"""),1.0)</f>
        <v>1</v>
      </c>
      <c r="N31" s="130">
        <f>IFERROR(__xludf.DUMMYFUNCTION("""COMPUTED_VALUE"""),0.0)</f>
        <v>0</v>
      </c>
      <c r="O31" s="130">
        <f>IFERROR(__xludf.DUMMYFUNCTION("""COMPUTED_VALUE"""),0.0)</f>
        <v>0</v>
      </c>
      <c r="P31" s="130">
        <f>IFERROR(__xludf.DUMMYFUNCTION("""COMPUTED_VALUE"""),0.0)</f>
        <v>0</v>
      </c>
      <c r="Q31" s="129">
        <f>IFERROR(__xludf.DUMMYFUNCTION("""COMPUTED_VALUE"""),0.0)</f>
        <v>0</v>
      </c>
      <c r="R31" s="129">
        <f>IFERROR(__xludf.DUMMYFUNCTION("""COMPUTED_VALUE"""),0.0)</f>
        <v>0</v>
      </c>
      <c r="S31" s="129">
        <f>IFERROR(__xludf.DUMMYFUNCTION("""COMPUTED_VALUE"""),0.0)</f>
        <v>0</v>
      </c>
      <c r="T31" s="129">
        <f>IFERROR(__xludf.DUMMYFUNCTION("""COMPUTED_VALUE"""),0.0)</f>
        <v>0</v>
      </c>
      <c r="U31" s="129">
        <f>IFERROR(__xludf.DUMMYFUNCTION("""COMPUTED_VALUE"""),0.0)</f>
        <v>0</v>
      </c>
      <c r="V31" s="129">
        <f>IFERROR(__xludf.DUMMYFUNCTION("""COMPUTED_VALUE"""),0.0)</f>
        <v>0</v>
      </c>
      <c r="W31" s="126" t="str">
        <f>IFERROR(__xludf.DUMMYFUNCTION("""COMPUTED_VALUE"""),"Yes")</f>
        <v>Yes</v>
      </c>
      <c r="X31" s="126" t="str">
        <f>IFERROR(__xludf.DUMMYFUNCTION("""COMPUTED_VALUE"""),"Yes")</f>
        <v>Yes</v>
      </c>
      <c r="Y31" s="126" t="str">
        <f>IFERROR(__xludf.DUMMYFUNCTION("""COMPUTED_VALUE"""),"S")</f>
        <v>S</v>
      </c>
      <c r="Z31" s="126"/>
      <c r="AA31" s="126"/>
      <c r="AB31" s="126"/>
      <c r="AC31" s="126"/>
      <c r="AD31" s="126"/>
      <c r="AE31" s="126"/>
      <c r="AF31" s="126"/>
      <c r="AG31" s="126"/>
      <c r="AH31" s="126"/>
      <c r="AI31" s="126"/>
      <c r="AJ31" s="126"/>
    </row>
    <row r="32">
      <c r="A32" s="126">
        <f>IFERROR(__xludf.DUMMYFUNCTION("""COMPUTED_VALUE"""),68.0)</f>
        <v>68</v>
      </c>
      <c r="B32" s="126" t="str">
        <f>IFERROR(__xludf.DUMMYFUNCTION("""COMPUTED_VALUE"""),"Multi-criteria-Based Energy-Efficient Framework for VM Placement in Cloud Data Centers")</f>
        <v>Multi-criteria-Based Energy-Efficient Framework for VM Placement in Cloud Data Centers</v>
      </c>
      <c r="C32" s="127" t="str">
        <f>IFERROR(__xludf.DUMMYFUNCTION("""COMPUTED_VALUE"""),"https://link.springer.com/article/10.1007/s13369-019-04048-6")</f>
        <v>https://link.springer.com/article/10.1007/s13369-019-04048-6</v>
      </c>
      <c r="D32" s="131" t="str">
        <f>IFERROR(__xludf.DUMMYFUNCTION("""COMPUTED_VALUE"""),"N Khattar, J Singh, J Sidhu")</f>
        <v>N Khattar, J Singh, J Sidhu</v>
      </c>
      <c r="E32" s="131" t="str">
        <f>IFERROR(__xludf.DUMMYFUNCTION("""COMPUTED_VALUE"""),"Springer")</f>
        <v>Springer</v>
      </c>
      <c r="F32" s="126" t="str">
        <f>IFERROR(__xludf.DUMMYFUNCTION("""COMPUTED_VALUE"""),"Springer")</f>
        <v>Springer</v>
      </c>
      <c r="G32" s="128" t="str">
        <f>IFERROR(__xludf.DUMMYFUNCTION("""COMPUTED_VALUE"""),"J")</f>
        <v>J</v>
      </c>
      <c r="H32" s="130">
        <f>IFERROR(__xludf.DUMMYFUNCTION("""COMPUTED_VALUE"""),2019.0)</f>
        <v>2019</v>
      </c>
      <c r="I32" s="129">
        <f>IFERROR(__xludf.DUMMYFUNCTION("""COMPUTED_VALUE"""),1.0)</f>
        <v>1</v>
      </c>
      <c r="J32" s="130">
        <f>IFERROR(__xludf.DUMMYFUNCTION("""COMPUTED_VALUE"""),1.0)</f>
        <v>1</v>
      </c>
      <c r="K32" s="130">
        <f>IFERROR(__xludf.DUMMYFUNCTION("""COMPUTED_VALUE"""),1.0)</f>
        <v>1</v>
      </c>
      <c r="L32" s="130">
        <f>IFERROR(__xludf.DUMMYFUNCTION("""COMPUTED_VALUE"""),1.0)</f>
        <v>1</v>
      </c>
      <c r="M32" s="130">
        <f>IFERROR(__xludf.DUMMYFUNCTION("""COMPUTED_VALUE"""),1.0)</f>
        <v>1</v>
      </c>
      <c r="N32" s="130">
        <f>IFERROR(__xludf.DUMMYFUNCTION("""COMPUTED_VALUE"""),0.0)</f>
        <v>0</v>
      </c>
      <c r="O32" s="130">
        <f>IFERROR(__xludf.DUMMYFUNCTION("""COMPUTED_VALUE"""),0.0)</f>
        <v>0</v>
      </c>
      <c r="P32" s="130">
        <f>IFERROR(__xludf.DUMMYFUNCTION("""COMPUTED_VALUE"""),0.0)</f>
        <v>0</v>
      </c>
      <c r="Q32" s="130">
        <f>IFERROR(__xludf.DUMMYFUNCTION("""COMPUTED_VALUE"""),0.0)</f>
        <v>0</v>
      </c>
      <c r="R32" s="129">
        <f>IFERROR(__xludf.DUMMYFUNCTION("""COMPUTED_VALUE"""),0.0)</f>
        <v>0</v>
      </c>
      <c r="S32" s="129">
        <f>IFERROR(__xludf.DUMMYFUNCTION("""COMPUTED_VALUE"""),0.0)</f>
        <v>0</v>
      </c>
      <c r="T32" s="129">
        <f>IFERROR(__xludf.DUMMYFUNCTION("""COMPUTED_VALUE"""),0.0)</f>
        <v>0</v>
      </c>
      <c r="U32" s="129">
        <f>IFERROR(__xludf.DUMMYFUNCTION("""COMPUTED_VALUE"""),0.0)</f>
        <v>0</v>
      </c>
      <c r="V32" s="129">
        <f>IFERROR(__xludf.DUMMYFUNCTION("""COMPUTED_VALUE"""),0.0)</f>
        <v>0</v>
      </c>
      <c r="W32" s="126" t="str">
        <f>IFERROR(__xludf.DUMMYFUNCTION("""COMPUTED_VALUE"""),"Yes")</f>
        <v>Yes</v>
      </c>
      <c r="X32" s="126" t="str">
        <f>IFERROR(__xludf.DUMMYFUNCTION("""COMPUTED_VALUE"""),"Yes")</f>
        <v>Yes</v>
      </c>
      <c r="Y32" s="126" t="str">
        <f>IFERROR(__xludf.DUMMYFUNCTION("""COMPUTED_VALUE"""),"S")</f>
        <v>S</v>
      </c>
      <c r="Z32" s="126"/>
      <c r="AA32" s="126"/>
      <c r="AB32" s="126"/>
      <c r="AC32" s="126"/>
      <c r="AD32" s="126"/>
      <c r="AE32" s="126"/>
      <c r="AF32" s="126"/>
      <c r="AG32" s="126"/>
      <c r="AH32" s="126"/>
      <c r="AI32" s="126"/>
      <c r="AJ32" s="126"/>
    </row>
    <row r="33">
      <c r="A33" s="126">
        <f>IFERROR(__xludf.DUMMYFUNCTION("""COMPUTED_VALUE"""),73.0)</f>
        <v>73</v>
      </c>
      <c r="B33" s="126" t="str">
        <f>IFERROR(__xludf.DUMMYFUNCTION("""COMPUTED_VALUE"""),"Temperature-aware workload management for sustainable datacenters powered by renewable energy")</f>
        <v>Temperature-aware workload management for sustainable datacenters powered by renewable energy</v>
      </c>
      <c r="C33" s="127" t="str">
        <f>IFERROR(__xludf.DUMMYFUNCTION("""COMPUTED_VALUE"""),"https://dl.acm.org/doi/abs/10.1145/3318265.3318287")</f>
        <v>https://dl.acm.org/doi/abs/10.1145/3318265.3318287</v>
      </c>
      <c r="D33" s="126" t="str">
        <f>IFERROR(__xludf.DUMMYFUNCTION("""COMPUTED_VALUE"""),"Y Li, X Wang, P Luo, X Yang")</f>
        <v>Y Li, X Wang, P Luo, X Yang</v>
      </c>
      <c r="E33" s="126" t="str">
        <f>IFERROR(__xludf.DUMMYFUNCTION("""COMPUTED_VALUE"""),"Association for Computing Machinery")</f>
        <v>Association for Computing Machinery</v>
      </c>
      <c r="F33" s="126" t="str">
        <f>IFERROR(__xludf.DUMMYFUNCTION("""COMPUTED_VALUE"""),"ACM")</f>
        <v>ACM</v>
      </c>
      <c r="G33" s="128" t="str">
        <f>IFERROR(__xludf.DUMMYFUNCTION("""COMPUTED_VALUE"""),"C")</f>
        <v>C</v>
      </c>
      <c r="H33" s="130">
        <f>IFERROR(__xludf.DUMMYFUNCTION("""COMPUTED_VALUE"""),2019.0)</f>
        <v>2019</v>
      </c>
      <c r="I33" s="130">
        <f>IFERROR(__xludf.DUMMYFUNCTION("""COMPUTED_VALUE"""),1.0)</f>
        <v>1</v>
      </c>
      <c r="J33" s="130">
        <f>IFERROR(__xludf.DUMMYFUNCTION("""COMPUTED_VALUE"""),1.0)</f>
        <v>1</v>
      </c>
      <c r="K33" s="130">
        <f>IFERROR(__xludf.DUMMYFUNCTION("""COMPUTED_VALUE"""),1.0)</f>
        <v>1</v>
      </c>
      <c r="L33" s="130">
        <f>IFERROR(__xludf.DUMMYFUNCTION("""COMPUTED_VALUE"""),1.0)</f>
        <v>1</v>
      </c>
      <c r="M33" s="130">
        <f>IFERROR(__xludf.DUMMYFUNCTION("""COMPUTED_VALUE"""),1.0)</f>
        <v>1</v>
      </c>
      <c r="N33" s="130">
        <f>IFERROR(__xludf.DUMMYFUNCTION("""COMPUTED_VALUE"""),0.0)</f>
        <v>0</v>
      </c>
      <c r="O33" s="130">
        <f>IFERROR(__xludf.DUMMYFUNCTION("""COMPUTED_VALUE"""),0.0)</f>
        <v>0</v>
      </c>
      <c r="P33" s="130">
        <f>IFERROR(__xludf.DUMMYFUNCTION("""COMPUTED_VALUE"""),0.0)</f>
        <v>0</v>
      </c>
      <c r="Q33" s="130">
        <f>IFERROR(__xludf.DUMMYFUNCTION("""COMPUTED_VALUE"""),0.0)</f>
        <v>0</v>
      </c>
      <c r="R33" s="129">
        <f>IFERROR(__xludf.DUMMYFUNCTION("""COMPUTED_VALUE"""),0.0)</f>
        <v>0</v>
      </c>
      <c r="S33" s="129">
        <f>IFERROR(__xludf.DUMMYFUNCTION("""COMPUTED_VALUE"""),0.0)</f>
        <v>0</v>
      </c>
      <c r="T33" s="129">
        <f>IFERROR(__xludf.DUMMYFUNCTION("""COMPUTED_VALUE"""),0.0)</f>
        <v>0</v>
      </c>
      <c r="U33" s="129">
        <f>IFERROR(__xludf.DUMMYFUNCTION("""COMPUTED_VALUE"""),0.0)</f>
        <v>0</v>
      </c>
      <c r="V33" s="129">
        <f>IFERROR(__xludf.DUMMYFUNCTION("""COMPUTED_VALUE"""),0.0)</f>
        <v>0</v>
      </c>
      <c r="W33" s="126" t="str">
        <f>IFERROR(__xludf.DUMMYFUNCTION("""COMPUTED_VALUE"""),"Yes")</f>
        <v>Yes</v>
      </c>
      <c r="X33" s="126" t="str">
        <f>IFERROR(__xludf.DUMMYFUNCTION("""COMPUTED_VALUE"""),"Yes")</f>
        <v>Yes</v>
      </c>
      <c r="Y33" s="126" t="str">
        <f>IFERROR(__xludf.DUMMYFUNCTION("""COMPUTED_VALUE"""),"S")</f>
        <v>S</v>
      </c>
      <c r="Z33" s="126"/>
      <c r="AA33" s="126"/>
      <c r="AB33" s="126"/>
      <c r="AC33" s="126"/>
      <c r="AD33" s="126"/>
      <c r="AE33" s="126"/>
      <c r="AF33" s="126"/>
      <c r="AG33" s="126"/>
      <c r="AH33" s="126"/>
      <c r="AI33" s="126"/>
      <c r="AJ33" s="126"/>
    </row>
    <row r="34">
      <c r="A34" s="126">
        <f>IFERROR(__xludf.DUMMYFUNCTION("""COMPUTED_VALUE"""),74.0)</f>
        <v>74</v>
      </c>
      <c r="B34" s="126" t="str">
        <f>IFERROR(__xludf.DUMMYFUNCTION("""COMPUTED_VALUE"""),"Real-time energy-conserving VM-provisioning framework for cloud-data centers")</f>
        <v>Real-time energy-conserving VM-provisioning framework for cloud-data centers</v>
      </c>
      <c r="C34" s="127" t="str">
        <f>IFERROR(__xludf.DUMMYFUNCTION("""COMPUTED_VALUE"""),"https://ieeexplore.ieee.org/abstract/document/8666614/")</f>
        <v>https://ieeexplore.ieee.org/abstract/document/8666614/</v>
      </c>
      <c r="D34" s="131" t="str">
        <f>IFERROR(__xludf.DUMMYFUNCTION("""COMPUTED_VALUE"""),"S Ismaeel, A Miri")</f>
        <v>S Ismaeel, A Miri</v>
      </c>
      <c r="E34" s="131" t="str">
        <f>IFERROR(__xludf.DUMMYFUNCTION("""COMPUTED_VALUE"""),"Institute of Electrical and Electronics Engineers")</f>
        <v>Institute of Electrical and Electronics Engineers</v>
      </c>
      <c r="F34" s="126" t="str">
        <f>IFERROR(__xludf.DUMMYFUNCTION("""COMPUTED_VALUE"""),"IEEE Xplore")</f>
        <v>IEEE Xplore</v>
      </c>
      <c r="G34" s="128" t="str">
        <f>IFERROR(__xludf.DUMMYFUNCTION("""COMPUTED_VALUE"""),"C")</f>
        <v>C</v>
      </c>
      <c r="H34" s="130">
        <f>IFERROR(__xludf.DUMMYFUNCTION("""COMPUTED_VALUE"""),2019.0)</f>
        <v>2019</v>
      </c>
      <c r="I34" s="130">
        <f>IFERROR(__xludf.DUMMYFUNCTION("""COMPUTED_VALUE"""),1.0)</f>
        <v>1</v>
      </c>
      <c r="J34" s="130">
        <f>IFERROR(__xludf.DUMMYFUNCTION("""COMPUTED_VALUE"""),1.0)</f>
        <v>1</v>
      </c>
      <c r="K34" s="130">
        <f>IFERROR(__xludf.DUMMYFUNCTION("""COMPUTED_VALUE"""),1.0)</f>
        <v>1</v>
      </c>
      <c r="L34" s="129">
        <f>IFERROR(__xludf.DUMMYFUNCTION("""COMPUTED_VALUE"""),1.0)</f>
        <v>1</v>
      </c>
      <c r="M34" s="130">
        <f>IFERROR(__xludf.DUMMYFUNCTION("""COMPUTED_VALUE"""),1.0)</f>
        <v>1</v>
      </c>
      <c r="N34" s="130">
        <f>IFERROR(__xludf.DUMMYFUNCTION("""COMPUTED_VALUE"""),0.0)</f>
        <v>0</v>
      </c>
      <c r="O34" s="130">
        <f>IFERROR(__xludf.DUMMYFUNCTION("""COMPUTED_VALUE"""),0.0)</f>
        <v>0</v>
      </c>
      <c r="P34" s="130">
        <f>IFERROR(__xludf.DUMMYFUNCTION("""COMPUTED_VALUE"""),0.0)</f>
        <v>0</v>
      </c>
      <c r="Q34" s="130">
        <f>IFERROR(__xludf.DUMMYFUNCTION("""COMPUTED_VALUE"""),0.0)</f>
        <v>0</v>
      </c>
      <c r="R34" s="130">
        <f>IFERROR(__xludf.DUMMYFUNCTION("""COMPUTED_VALUE"""),0.0)</f>
        <v>0</v>
      </c>
      <c r="S34" s="130">
        <f>IFERROR(__xludf.DUMMYFUNCTION("""COMPUTED_VALUE"""),0.0)</f>
        <v>0</v>
      </c>
      <c r="T34" s="130">
        <f>IFERROR(__xludf.DUMMYFUNCTION("""COMPUTED_VALUE"""),0.0)</f>
        <v>0</v>
      </c>
      <c r="U34" s="130">
        <f>IFERROR(__xludf.DUMMYFUNCTION("""COMPUTED_VALUE"""),0.0)</f>
        <v>0</v>
      </c>
      <c r="V34" s="130">
        <f>IFERROR(__xludf.DUMMYFUNCTION("""COMPUTED_VALUE"""),0.0)</f>
        <v>0</v>
      </c>
      <c r="W34" s="131" t="str">
        <f>IFERROR(__xludf.DUMMYFUNCTION("""COMPUTED_VALUE"""),"Yes")</f>
        <v>Yes</v>
      </c>
      <c r="X34" s="131" t="str">
        <f>IFERROR(__xludf.DUMMYFUNCTION("""COMPUTED_VALUE"""),"Yes")</f>
        <v>Yes</v>
      </c>
      <c r="Y34" s="131" t="str">
        <f>IFERROR(__xludf.DUMMYFUNCTION("""COMPUTED_VALUE"""),"S")</f>
        <v>S</v>
      </c>
      <c r="Z34" s="131"/>
      <c r="AA34" s="131"/>
      <c r="AB34" s="131"/>
      <c r="AC34" s="131"/>
      <c r="AD34" s="131"/>
      <c r="AE34" s="131"/>
      <c r="AF34" s="131"/>
      <c r="AG34" s="131"/>
      <c r="AH34" s="131"/>
      <c r="AI34" s="131"/>
      <c r="AJ34" s="131"/>
    </row>
    <row r="35">
      <c r="A35" s="126">
        <f>IFERROR(__xludf.DUMMYFUNCTION("""COMPUTED_VALUE"""),77.0)</f>
        <v>77</v>
      </c>
      <c r="B35" s="126" t="str">
        <f>IFERROR(__xludf.DUMMYFUNCTION("""COMPUTED_VALUE"""),"Energy consumption optimization scheme of cloud data center based on SDN")</f>
        <v>Energy consumption optimization scheme of cloud data center based on SDN</v>
      </c>
      <c r="C35" s="127" t="str">
        <f>IFERROR(__xludf.DUMMYFUNCTION("""COMPUTED_VALUE"""),"https://www.sciencedirect.com/science/article/pii/S1877050918307075")</f>
        <v>https://www.sciencedirect.com/science/article/pii/S1877050918307075</v>
      </c>
      <c r="D35" s="131" t="str">
        <f>IFERROR(__xludf.DUMMYFUNCTION("""COMPUTED_VALUE"""),"Q Liao, Z Wang")</f>
        <v>Q Liao, Z Wang</v>
      </c>
      <c r="E35" s="131" t="str">
        <f>IFERROR(__xludf.DUMMYFUNCTION("""COMPUTED_VALUE"""),"Elsevier")</f>
        <v>Elsevier</v>
      </c>
      <c r="F35" s="126" t="str">
        <f>IFERROR(__xludf.DUMMYFUNCTION("""COMPUTED_VALUE"""),"Elsevier")</f>
        <v>Elsevier</v>
      </c>
      <c r="G35" s="128" t="str">
        <f>IFERROR(__xludf.DUMMYFUNCTION("""COMPUTED_VALUE"""),"J")</f>
        <v>J</v>
      </c>
      <c r="H35" s="130">
        <f>IFERROR(__xludf.DUMMYFUNCTION("""COMPUTED_VALUE"""),2018.0)</f>
        <v>2018</v>
      </c>
      <c r="I35" s="130">
        <f>IFERROR(__xludf.DUMMYFUNCTION("""COMPUTED_VALUE"""),1.0)</f>
        <v>1</v>
      </c>
      <c r="J35" s="130">
        <f>IFERROR(__xludf.DUMMYFUNCTION("""COMPUTED_VALUE"""),1.0)</f>
        <v>1</v>
      </c>
      <c r="K35" s="130">
        <f>IFERROR(__xludf.DUMMYFUNCTION("""COMPUTED_VALUE"""),1.0)</f>
        <v>1</v>
      </c>
      <c r="L35" s="129">
        <f>IFERROR(__xludf.DUMMYFUNCTION("""COMPUTED_VALUE"""),1.0)</f>
        <v>1</v>
      </c>
      <c r="M35" s="130">
        <f>IFERROR(__xludf.DUMMYFUNCTION("""COMPUTED_VALUE"""),1.0)</f>
        <v>1</v>
      </c>
      <c r="N35" s="130">
        <f>IFERROR(__xludf.DUMMYFUNCTION("""COMPUTED_VALUE"""),0.0)</f>
        <v>0</v>
      </c>
      <c r="O35" s="129">
        <f>IFERROR(__xludf.DUMMYFUNCTION("""COMPUTED_VALUE"""),0.0)</f>
        <v>0</v>
      </c>
      <c r="P35" s="130">
        <f>IFERROR(__xludf.DUMMYFUNCTION("""COMPUTED_VALUE"""),0.0)</f>
        <v>0</v>
      </c>
      <c r="Q35" s="130">
        <f>IFERROR(__xludf.DUMMYFUNCTION("""COMPUTED_VALUE"""),0.0)</f>
        <v>0</v>
      </c>
      <c r="R35" s="129">
        <f>IFERROR(__xludf.DUMMYFUNCTION("""COMPUTED_VALUE"""),0.0)</f>
        <v>0</v>
      </c>
      <c r="S35" s="129">
        <f>IFERROR(__xludf.DUMMYFUNCTION("""COMPUTED_VALUE"""),0.0)</f>
        <v>0</v>
      </c>
      <c r="T35" s="129">
        <f>IFERROR(__xludf.DUMMYFUNCTION("""COMPUTED_VALUE"""),0.0)</f>
        <v>0</v>
      </c>
      <c r="U35" s="129">
        <f>IFERROR(__xludf.DUMMYFUNCTION("""COMPUTED_VALUE"""),0.0)</f>
        <v>0</v>
      </c>
      <c r="V35" s="129">
        <f>IFERROR(__xludf.DUMMYFUNCTION("""COMPUTED_VALUE"""),0.0)</f>
        <v>0</v>
      </c>
      <c r="W35" s="126" t="str">
        <f>IFERROR(__xludf.DUMMYFUNCTION("""COMPUTED_VALUE"""),"Yes")</f>
        <v>Yes</v>
      </c>
      <c r="X35" s="126" t="str">
        <f>IFERROR(__xludf.DUMMYFUNCTION("""COMPUTED_VALUE"""),"Yes")</f>
        <v>Yes</v>
      </c>
      <c r="Y35" s="126" t="str">
        <f>IFERROR(__xludf.DUMMYFUNCTION("""COMPUTED_VALUE"""),"S")</f>
        <v>S</v>
      </c>
      <c r="Z35" s="126"/>
      <c r="AA35" s="126"/>
      <c r="AB35" s="126"/>
      <c r="AC35" s="126"/>
      <c r="AD35" s="126"/>
      <c r="AE35" s="126"/>
      <c r="AF35" s="126"/>
      <c r="AG35" s="126"/>
      <c r="AH35" s="126"/>
      <c r="AI35" s="126"/>
      <c r="AJ35" s="126"/>
    </row>
    <row r="36">
      <c r="A36" s="126">
        <f>IFERROR(__xludf.DUMMYFUNCTION("""COMPUTED_VALUE"""),78.0)</f>
        <v>78</v>
      </c>
      <c r="B36" s="126" t="str">
        <f>IFERROR(__xludf.DUMMYFUNCTION("""COMPUTED_VALUE"""),"Energy-Aware Virtual Data Center Migration")</f>
        <v>Energy-Aware Virtual Data Center Migration</v>
      </c>
      <c r="C36" s="127" t="str">
        <f>IFERROR(__xludf.DUMMYFUNCTION("""COMPUTED_VALUE"""),"https://www.jstage.jst.go.jp/article/jaciii/23/2/23_209/_article/-char/ja/")</f>
        <v>https://www.jstage.jst.go.jp/article/jaciii/23/2/23_209/_article/-char/ja/</v>
      </c>
      <c r="D36" s="126" t="str">
        <f>IFERROR(__xludf.DUMMYFUNCTION("""COMPUTED_VALUE"""),"X Ma, Z Zhang, S Su")</f>
        <v>X Ma, Z Zhang, S Su</v>
      </c>
      <c r="E36" s="126" t="str">
        <f>IFERROR(__xludf.DUMMYFUNCTION("""COMPUTED_VALUE"""),"Journal of Advanced Computational Intelligence and Intelligent Informatics")</f>
        <v>Journal of Advanced Computational Intelligence and Intelligent Informatics</v>
      </c>
      <c r="F36" s="126" t="str">
        <f>IFERROR(__xludf.DUMMYFUNCTION("""COMPUTED_VALUE"""),"JACIII")</f>
        <v>JACIII</v>
      </c>
      <c r="G36" s="128" t="str">
        <f>IFERROR(__xludf.DUMMYFUNCTION("""COMPUTED_VALUE"""),"J")</f>
        <v>J</v>
      </c>
      <c r="H36" s="129">
        <f>IFERROR(__xludf.DUMMYFUNCTION("""COMPUTED_VALUE"""),2019.0)</f>
        <v>2019</v>
      </c>
      <c r="I36" s="129">
        <f>IFERROR(__xludf.DUMMYFUNCTION("""COMPUTED_VALUE"""),1.0)</f>
        <v>1</v>
      </c>
      <c r="J36" s="129">
        <f>IFERROR(__xludf.DUMMYFUNCTION("""COMPUTED_VALUE"""),1.0)</f>
        <v>1</v>
      </c>
      <c r="K36" s="130">
        <f>IFERROR(__xludf.DUMMYFUNCTION("""COMPUTED_VALUE"""),1.0)</f>
        <v>1</v>
      </c>
      <c r="L36" s="130">
        <f>IFERROR(__xludf.DUMMYFUNCTION("""COMPUTED_VALUE"""),1.0)</f>
        <v>1</v>
      </c>
      <c r="M36" s="130">
        <f>IFERROR(__xludf.DUMMYFUNCTION("""COMPUTED_VALUE"""),1.0)</f>
        <v>1</v>
      </c>
      <c r="N36" s="130">
        <f>IFERROR(__xludf.DUMMYFUNCTION("""COMPUTED_VALUE"""),0.0)</f>
        <v>0</v>
      </c>
      <c r="O36" s="130">
        <f>IFERROR(__xludf.DUMMYFUNCTION("""COMPUTED_VALUE"""),0.0)</f>
        <v>0</v>
      </c>
      <c r="P36" s="130">
        <f>IFERROR(__xludf.DUMMYFUNCTION("""COMPUTED_VALUE"""),0.0)</f>
        <v>0</v>
      </c>
      <c r="Q36" s="130">
        <f>IFERROR(__xludf.DUMMYFUNCTION("""COMPUTED_VALUE"""),0.0)</f>
        <v>0</v>
      </c>
      <c r="R36" s="130">
        <f>IFERROR(__xludf.DUMMYFUNCTION("""COMPUTED_VALUE"""),0.0)</f>
        <v>0</v>
      </c>
      <c r="S36" s="130">
        <f>IFERROR(__xludf.DUMMYFUNCTION("""COMPUTED_VALUE"""),0.0)</f>
        <v>0</v>
      </c>
      <c r="T36" s="130">
        <f>IFERROR(__xludf.DUMMYFUNCTION("""COMPUTED_VALUE"""),0.0)</f>
        <v>0</v>
      </c>
      <c r="U36" s="130">
        <f>IFERROR(__xludf.DUMMYFUNCTION("""COMPUTED_VALUE"""),0.0)</f>
        <v>0</v>
      </c>
      <c r="V36" s="130">
        <f>IFERROR(__xludf.DUMMYFUNCTION("""COMPUTED_VALUE"""),0.0)</f>
        <v>0</v>
      </c>
      <c r="W36" s="131" t="str">
        <f>IFERROR(__xludf.DUMMYFUNCTION("""COMPUTED_VALUE"""),"Yes")</f>
        <v>Yes</v>
      </c>
      <c r="X36" s="131" t="str">
        <f>IFERROR(__xludf.DUMMYFUNCTION("""COMPUTED_VALUE"""),"Yes")</f>
        <v>Yes</v>
      </c>
      <c r="Y36" s="131" t="str">
        <f>IFERROR(__xludf.DUMMYFUNCTION("""COMPUTED_VALUE"""),"S")</f>
        <v>S</v>
      </c>
      <c r="Z36" s="131"/>
      <c r="AA36" s="131"/>
      <c r="AB36" s="131"/>
      <c r="AC36" s="131"/>
      <c r="AD36" s="131"/>
      <c r="AE36" s="131"/>
      <c r="AF36" s="131"/>
      <c r="AG36" s="131"/>
      <c r="AH36" s="131"/>
      <c r="AI36" s="131"/>
      <c r="AJ36" s="131"/>
    </row>
    <row r="37">
      <c r="A37" s="126">
        <f>IFERROR(__xludf.DUMMYFUNCTION("""COMPUTED_VALUE"""),79.0)</f>
        <v>79</v>
      </c>
      <c r="B37" s="126" t="str">
        <f>IFERROR(__xludf.DUMMYFUNCTION("""COMPUTED_VALUE"""),"Profile-guided three-phase virtual resource management for energy efficiency of data centers")</f>
        <v>Profile-guided three-phase virtual resource management for energy efficiency of data centers</v>
      </c>
      <c r="C37" s="127" t="str">
        <f>IFERROR(__xludf.DUMMYFUNCTION("""COMPUTED_VALUE"""),"https://ieeexplore.ieee.org/abstract/document/8663624/")</f>
        <v>https://ieeexplore.ieee.org/abstract/document/8663624/</v>
      </c>
      <c r="D37" s="131" t="str">
        <f>IFERROR(__xludf.DUMMYFUNCTION("""COMPUTED_VALUE"""),"Z Ding, YC Tian, M Tang, Y Li, Y Wang, C Zhou")</f>
        <v>Z Ding, YC Tian, M Tang, Y Li, Y Wang, C Zhou</v>
      </c>
      <c r="E37" s="131" t="str">
        <f>IFERROR(__xludf.DUMMYFUNCTION("""COMPUTED_VALUE"""),"Institute of Electrical and Electronics Engineers")</f>
        <v>Institute of Electrical and Electronics Engineers</v>
      </c>
      <c r="F37" s="126" t="str">
        <f>IFERROR(__xludf.DUMMYFUNCTION("""COMPUTED_VALUE"""),"IEEE Xplore")</f>
        <v>IEEE Xplore</v>
      </c>
      <c r="G37" s="132" t="str">
        <f>IFERROR(__xludf.DUMMYFUNCTION("""COMPUTED_VALUE"""),"J")</f>
        <v>J</v>
      </c>
      <c r="H37" s="130">
        <f>IFERROR(__xludf.DUMMYFUNCTION("""COMPUTED_VALUE"""),2019.0)</f>
        <v>2019</v>
      </c>
      <c r="I37" s="130">
        <f>IFERROR(__xludf.DUMMYFUNCTION("""COMPUTED_VALUE"""),1.0)</f>
        <v>1</v>
      </c>
      <c r="J37" s="130">
        <f>IFERROR(__xludf.DUMMYFUNCTION("""COMPUTED_VALUE"""),1.0)</f>
        <v>1</v>
      </c>
      <c r="K37" s="130">
        <f>IFERROR(__xludf.DUMMYFUNCTION("""COMPUTED_VALUE"""),1.0)</f>
        <v>1</v>
      </c>
      <c r="L37" s="129">
        <f>IFERROR(__xludf.DUMMYFUNCTION("""COMPUTED_VALUE"""),1.0)</f>
        <v>1</v>
      </c>
      <c r="M37" s="130">
        <f>IFERROR(__xludf.DUMMYFUNCTION("""COMPUTED_VALUE"""),1.0)</f>
        <v>1</v>
      </c>
      <c r="N37" s="130">
        <f>IFERROR(__xludf.DUMMYFUNCTION("""COMPUTED_VALUE"""),0.0)</f>
        <v>0</v>
      </c>
      <c r="O37" s="130">
        <f>IFERROR(__xludf.DUMMYFUNCTION("""COMPUTED_VALUE"""),0.0)</f>
        <v>0</v>
      </c>
      <c r="P37" s="130">
        <f>IFERROR(__xludf.DUMMYFUNCTION("""COMPUTED_VALUE"""),0.0)</f>
        <v>0</v>
      </c>
      <c r="Q37" s="130">
        <f>IFERROR(__xludf.DUMMYFUNCTION("""COMPUTED_VALUE"""),0.0)</f>
        <v>0</v>
      </c>
      <c r="R37" s="130">
        <f>IFERROR(__xludf.DUMMYFUNCTION("""COMPUTED_VALUE"""),0.0)</f>
        <v>0</v>
      </c>
      <c r="S37" s="130">
        <f>IFERROR(__xludf.DUMMYFUNCTION("""COMPUTED_VALUE"""),0.0)</f>
        <v>0</v>
      </c>
      <c r="T37" s="130">
        <f>IFERROR(__xludf.DUMMYFUNCTION("""COMPUTED_VALUE"""),0.0)</f>
        <v>0</v>
      </c>
      <c r="U37" s="130">
        <f>IFERROR(__xludf.DUMMYFUNCTION("""COMPUTED_VALUE"""),0.0)</f>
        <v>0</v>
      </c>
      <c r="V37" s="130">
        <f>IFERROR(__xludf.DUMMYFUNCTION("""COMPUTED_VALUE"""),0.0)</f>
        <v>0</v>
      </c>
      <c r="W37" s="131" t="str">
        <f>IFERROR(__xludf.DUMMYFUNCTION("""COMPUTED_VALUE"""),"Yes")</f>
        <v>Yes</v>
      </c>
      <c r="X37" s="131" t="str">
        <f>IFERROR(__xludf.DUMMYFUNCTION("""COMPUTED_VALUE"""),"Yes")</f>
        <v>Yes</v>
      </c>
      <c r="Y37" s="131" t="str">
        <f>IFERROR(__xludf.DUMMYFUNCTION("""COMPUTED_VALUE"""),"S")</f>
        <v>S</v>
      </c>
      <c r="Z37" s="131"/>
      <c r="AA37" s="131"/>
      <c r="AB37" s="131"/>
      <c r="AC37" s="131"/>
      <c r="AD37" s="131"/>
      <c r="AE37" s="131"/>
      <c r="AF37" s="131"/>
      <c r="AG37" s="131"/>
      <c r="AH37" s="131"/>
      <c r="AI37" s="131"/>
      <c r="AJ37" s="131"/>
    </row>
    <row r="38">
      <c r="A38" s="126">
        <f>IFERROR(__xludf.DUMMYFUNCTION("""COMPUTED_VALUE"""),80.0)</f>
        <v>80</v>
      </c>
      <c r="B38" s="126" t="str">
        <f>IFERROR(__xludf.DUMMYFUNCTION("""COMPUTED_VALUE"""),"How energy consumption in the cloud data center is calculated")</f>
        <v>How energy consumption in the cloud data center is calculated</v>
      </c>
      <c r="C38" s="127" t="str">
        <f>IFERROR(__xludf.DUMMYFUNCTION("""COMPUTED_VALUE"""),"https://ieeexplore.ieee.org/abstract/document/8807458/")</f>
        <v>https://ieeexplore.ieee.org/abstract/document/8807458/</v>
      </c>
      <c r="D38" s="126" t="str">
        <f>IFERROR(__xludf.DUMMYFUNCTION("""COMPUTED_VALUE"""),"S DIOUANI, H MEDROMI")</f>
        <v>S DIOUANI, H MEDROMI</v>
      </c>
      <c r="E38" s="126" t="str">
        <f>IFERROR(__xludf.DUMMYFUNCTION("""COMPUTED_VALUE"""),"Institute of Electrical and Electronics Engineers")</f>
        <v>Institute of Electrical and Electronics Engineers</v>
      </c>
      <c r="F38" s="126" t="str">
        <f>IFERROR(__xludf.DUMMYFUNCTION("""COMPUTED_VALUE"""),"IEEE Xplore")</f>
        <v>IEEE Xplore</v>
      </c>
      <c r="G38" s="128" t="str">
        <f>IFERROR(__xludf.DUMMYFUNCTION("""COMPUTED_VALUE"""),"C")</f>
        <v>C</v>
      </c>
      <c r="H38" s="129">
        <f>IFERROR(__xludf.DUMMYFUNCTION("""COMPUTED_VALUE"""),2019.0)</f>
        <v>2019</v>
      </c>
      <c r="I38" s="129"/>
      <c r="J38" s="129"/>
      <c r="K38" s="130"/>
      <c r="L38" s="129"/>
      <c r="M38" s="130"/>
      <c r="N38" s="130"/>
      <c r="O38" s="130"/>
      <c r="P38" s="130"/>
      <c r="Q38" s="130"/>
      <c r="R38" s="129"/>
      <c r="S38" s="129">
        <f>IFERROR(__xludf.DUMMYFUNCTION("""COMPUTED_VALUE"""),1.0)</f>
        <v>1</v>
      </c>
      <c r="T38" s="129"/>
      <c r="U38" s="129"/>
      <c r="V38" s="129"/>
      <c r="W38" s="126" t="str">
        <f>IFERROR(__xludf.DUMMYFUNCTION("""COMPUTED_VALUE"""),"No")</f>
        <v>No</v>
      </c>
      <c r="X38" s="126" t="str">
        <f>IFERROR(__xludf.DUMMYFUNCTION("""COMPUTED_VALUE"""),"Yes")</f>
        <v>Yes</v>
      </c>
      <c r="Y38" s="126" t="str">
        <f>IFERROR(__xludf.DUMMYFUNCTION("""COMPUTED_VALUE"""),"S")</f>
        <v>S</v>
      </c>
      <c r="Z38" s="126"/>
      <c r="AA38" s="126"/>
      <c r="AB38" s="126"/>
      <c r="AC38" s="126"/>
      <c r="AD38" s="126"/>
      <c r="AE38" s="126"/>
      <c r="AF38" s="126"/>
      <c r="AG38" s="126"/>
      <c r="AH38" s="126"/>
      <c r="AI38" s="126"/>
      <c r="AJ38" s="126"/>
    </row>
    <row r="39">
      <c r="A39" s="126">
        <f>IFERROR(__xludf.DUMMYFUNCTION("""COMPUTED_VALUE"""),81.0)</f>
        <v>81</v>
      </c>
      <c r="B39" s="126" t="str">
        <f>IFERROR(__xludf.DUMMYFUNCTION("""COMPUTED_VALUE"""),"Batch Arrival Multiserver Queue with State-Dependent Setup for Energy-Saving Data Center")</f>
        <v>Batch Arrival Multiserver Queue with State-Dependent Setup for Energy-Saving Data Center</v>
      </c>
      <c r="C39" s="127" t="str">
        <f>IFERROR(__xludf.DUMMYFUNCTION("""COMPUTED_VALUE"""),"https://link.springer.com/chapter/10.1007/978-981-15-5951-8_25")</f>
        <v>https://link.springer.com/chapter/10.1007/978-981-15-5951-8_25</v>
      </c>
      <c r="D39" s="126" t="str">
        <f>IFERROR(__xludf.DUMMYFUNCTION("""COMPUTED_VALUE"""),"T Phung-Duc")</f>
        <v>T Phung-Duc</v>
      </c>
      <c r="E39" s="126" t="str">
        <f>IFERROR(__xludf.DUMMYFUNCTION("""COMPUTED_VALUE"""),"Springer")</f>
        <v>Springer</v>
      </c>
      <c r="F39" s="126" t="str">
        <f>IFERROR(__xludf.DUMMYFUNCTION("""COMPUTED_VALUE"""),"Springer")</f>
        <v>Springer</v>
      </c>
      <c r="G39" s="128"/>
      <c r="H39" s="129">
        <f>IFERROR(__xludf.DUMMYFUNCTION("""COMPUTED_VALUE"""),2020.0)</f>
        <v>2020</v>
      </c>
      <c r="I39" s="129">
        <f>IFERROR(__xludf.DUMMYFUNCTION("""COMPUTED_VALUE"""),1.0)</f>
        <v>1</v>
      </c>
      <c r="J39" s="129">
        <f>IFERROR(__xludf.DUMMYFUNCTION("""COMPUTED_VALUE"""),1.0)</f>
        <v>1</v>
      </c>
      <c r="K39" s="130">
        <f>IFERROR(__xludf.DUMMYFUNCTION("""COMPUTED_VALUE"""),1.0)</f>
        <v>1</v>
      </c>
      <c r="L39" s="130">
        <f>IFERROR(__xludf.DUMMYFUNCTION("""COMPUTED_VALUE"""),1.0)</f>
        <v>1</v>
      </c>
      <c r="M39" s="130">
        <f>IFERROR(__xludf.DUMMYFUNCTION("""COMPUTED_VALUE"""),1.0)</f>
        <v>1</v>
      </c>
      <c r="N39" s="130">
        <f>IFERROR(__xludf.DUMMYFUNCTION("""COMPUTED_VALUE"""),0.0)</f>
        <v>0</v>
      </c>
      <c r="O39" s="130">
        <f>IFERROR(__xludf.DUMMYFUNCTION("""COMPUTED_VALUE"""),0.0)</f>
        <v>0</v>
      </c>
      <c r="P39" s="130">
        <f>IFERROR(__xludf.DUMMYFUNCTION("""COMPUTED_VALUE"""),0.0)</f>
        <v>0</v>
      </c>
      <c r="Q39" s="129">
        <f>IFERROR(__xludf.DUMMYFUNCTION("""COMPUTED_VALUE"""),0.0)</f>
        <v>0</v>
      </c>
      <c r="R39" s="129">
        <f>IFERROR(__xludf.DUMMYFUNCTION("""COMPUTED_VALUE"""),0.0)</f>
        <v>0</v>
      </c>
      <c r="S39" s="129">
        <f>IFERROR(__xludf.DUMMYFUNCTION("""COMPUTED_VALUE"""),0.0)</f>
        <v>0</v>
      </c>
      <c r="T39" s="129">
        <f>IFERROR(__xludf.DUMMYFUNCTION("""COMPUTED_VALUE"""),0.0)</f>
        <v>0</v>
      </c>
      <c r="U39" s="129">
        <f>IFERROR(__xludf.DUMMYFUNCTION("""COMPUTED_VALUE"""),0.0)</f>
        <v>0</v>
      </c>
      <c r="V39" s="129">
        <f>IFERROR(__xludf.DUMMYFUNCTION("""COMPUTED_VALUE"""),0.0)</f>
        <v>0</v>
      </c>
      <c r="W39" s="126" t="str">
        <f>IFERROR(__xludf.DUMMYFUNCTION("""COMPUTED_VALUE"""),"Yes")</f>
        <v>Yes</v>
      </c>
      <c r="X39" s="126" t="str">
        <f>IFERROR(__xludf.DUMMYFUNCTION("""COMPUTED_VALUE"""),"Yes")</f>
        <v>Yes</v>
      </c>
      <c r="Y39" s="126" t="str">
        <f>IFERROR(__xludf.DUMMYFUNCTION("""COMPUTED_VALUE"""),"S")</f>
        <v>S</v>
      </c>
      <c r="Z39" s="126"/>
      <c r="AA39" s="126"/>
      <c r="AB39" s="126"/>
      <c r="AC39" s="126"/>
      <c r="AD39" s="126"/>
      <c r="AE39" s="126"/>
      <c r="AF39" s="126"/>
      <c r="AG39" s="126"/>
      <c r="AH39" s="126"/>
      <c r="AI39" s="126"/>
      <c r="AJ39" s="126"/>
    </row>
    <row r="40">
      <c r="A40" s="126">
        <f>IFERROR(__xludf.DUMMYFUNCTION("""COMPUTED_VALUE"""),82.0)</f>
        <v>82</v>
      </c>
      <c r="B40" s="126" t="str">
        <f>IFERROR(__xludf.DUMMYFUNCTION("""COMPUTED_VALUE"""),"Energy efficient virtual machine placement with an improved ant colony optimization over data center networks")</f>
        <v>Energy efficient virtual machine placement with an improved ant colony optimization over data center networks</v>
      </c>
      <c r="C40" s="127" t="str">
        <f>IFERROR(__xludf.DUMMYFUNCTION("""COMPUTED_VALUE"""),"https://ieeexplore.ieee.org/abstract/document/8693725/")</f>
        <v>https://ieeexplore.ieee.org/abstract/document/8693725/</v>
      </c>
      <c r="D40" s="126" t="str">
        <f>IFERROR(__xludf.DUMMYFUNCTION("""COMPUTED_VALUE"""),"W Wei, H Gu, W Lu, T Zhou, X Liu")</f>
        <v>W Wei, H Gu, W Lu, T Zhou, X Liu</v>
      </c>
      <c r="E40" s="126" t="str">
        <f>IFERROR(__xludf.DUMMYFUNCTION("""COMPUTED_VALUE"""),"Institute of Electrical and Electronics Engineers")</f>
        <v>Institute of Electrical and Electronics Engineers</v>
      </c>
      <c r="F40" s="126" t="str">
        <f>IFERROR(__xludf.DUMMYFUNCTION("""COMPUTED_VALUE"""),"IEEE Xplore")</f>
        <v>IEEE Xplore</v>
      </c>
      <c r="G40" s="128" t="str">
        <f>IFERROR(__xludf.DUMMYFUNCTION("""COMPUTED_VALUE"""),"J")</f>
        <v>J</v>
      </c>
      <c r="H40" s="130">
        <f>IFERROR(__xludf.DUMMYFUNCTION("""COMPUTED_VALUE"""),2019.0)</f>
        <v>2019</v>
      </c>
      <c r="I40" s="130">
        <f>IFERROR(__xludf.DUMMYFUNCTION("""COMPUTED_VALUE"""),1.0)</f>
        <v>1</v>
      </c>
      <c r="J40" s="130">
        <f>IFERROR(__xludf.DUMMYFUNCTION("""COMPUTED_VALUE"""),1.0)</f>
        <v>1</v>
      </c>
      <c r="K40" s="129">
        <f>IFERROR(__xludf.DUMMYFUNCTION("""COMPUTED_VALUE"""),1.0)</f>
        <v>1</v>
      </c>
      <c r="L40" s="129">
        <f>IFERROR(__xludf.DUMMYFUNCTION("""COMPUTED_VALUE"""),1.0)</f>
        <v>1</v>
      </c>
      <c r="M40" s="130">
        <f>IFERROR(__xludf.DUMMYFUNCTION("""COMPUTED_VALUE"""),1.0)</f>
        <v>1</v>
      </c>
      <c r="N40" s="130">
        <f>IFERROR(__xludf.DUMMYFUNCTION("""COMPUTED_VALUE"""),0.0)</f>
        <v>0</v>
      </c>
      <c r="O40" s="130">
        <f>IFERROR(__xludf.DUMMYFUNCTION("""COMPUTED_VALUE"""),0.0)</f>
        <v>0</v>
      </c>
      <c r="P40" s="130">
        <f>IFERROR(__xludf.DUMMYFUNCTION("""COMPUTED_VALUE"""),0.0)</f>
        <v>0</v>
      </c>
      <c r="Q40" s="130">
        <f>IFERROR(__xludf.DUMMYFUNCTION("""COMPUTED_VALUE"""),0.0)</f>
        <v>0</v>
      </c>
      <c r="R40" s="130">
        <f>IFERROR(__xludf.DUMMYFUNCTION("""COMPUTED_VALUE"""),0.0)</f>
        <v>0</v>
      </c>
      <c r="S40" s="130">
        <f>IFERROR(__xludf.DUMMYFUNCTION("""COMPUTED_VALUE"""),0.0)</f>
        <v>0</v>
      </c>
      <c r="T40" s="130">
        <f>IFERROR(__xludf.DUMMYFUNCTION("""COMPUTED_VALUE"""),0.0)</f>
        <v>0</v>
      </c>
      <c r="U40" s="130">
        <f>IFERROR(__xludf.DUMMYFUNCTION("""COMPUTED_VALUE"""),0.0)</f>
        <v>0</v>
      </c>
      <c r="V40" s="130">
        <f>IFERROR(__xludf.DUMMYFUNCTION("""COMPUTED_VALUE"""),0.0)</f>
        <v>0</v>
      </c>
      <c r="W40" s="131" t="str">
        <f>IFERROR(__xludf.DUMMYFUNCTION("""COMPUTED_VALUE"""),"Yes")</f>
        <v>Yes</v>
      </c>
      <c r="X40" s="131" t="str">
        <f>IFERROR(__xludf.DUMMYFUNCTION("""COMPUTED_VALUE"""),"Yes")</f>
        <v>Yes</v>
      </c>
      <c r="Y40" s="131" t="str">
        <f>IFERROR(__xludf.DUMMYFUNCTION("""COMPUTED_VALUE"""),"S")</f>
        <v>S</v>
      </c>
      <c r="Z40" s="131"/>
      <c r="AA40" s="131"/>
      <c r="AB40" s="131"/>
      <c r="AC40" s="131"/>
      <c r="AD40" s="131"/>
      <c r="AE40" s="131"/>
      <c r="AF40" s="131"/>
      <c r="AG40" s="131"/>
      <c r="AH40" s="131"/>
      <c r="AI40" s="131"/>
      <c r="AJ40" s="131"/>
    </row>
    <row r="41">
      <c r="A41" s="126">
        <f>IFERROR(__xludf.DUMMYFUNCTION("""COMPUTED_VALUE"""),84.0)</f>
        <v>84</v>
      </c>
      <c r="B41" s="126" t="str">
        <f>IFERROR(__xludf.DUMMYFUNCTION("""COMPUTED_VALUE"""),"Reducing the operational cost of cloud data centers through renewable energy")</f>
        <v>Reducing the operational cost of cloud data centers through renewable energy</v>
      </c>
      <c r="C41" s="127" t="str">
        <f>IFERROR(__xludf.DUMMYFUNCTION("""COMPUTED_VALUE"""),"https://www.mdpi.com/1999-4893/11/10/145")</f>
        <v>https://www.mdpi.com/1999-4893/11/10/145</v>
      </c>
      <c r="D41" s="131" t="str">
        <f>IFERROR(__xludf.DUMMYFUNCTION("""COMPUTED_VALUE"""),"D Laganà, C Mastroianni, M Meo, D Renga")</f>
        <v>D Laganà, C Mastroianni, M Meo, D Renga</v>
      </c>
      <c r="E41" s="131" t="str">
        <f>IFERROR(__xludf.DUMMYFUNCTION("""COMPUTED_VALUE"""),"Multidisciplinary Digital Publishing Institute")</f>
        <v>Multidisciplinary Digital Publishing Institute</v>
      </c>
      <c r="F41" s="126" t="str">
        <f>IFERROR(__xludf.DUMMYFUNCTION("""COMPUTED_VALUE"""),"MDPI")</f>
        <v>MDPI</v>
      </c>
      <c r="G41" s="128" t="str">
        <f>IFERROR(__xludf.DUMMYFUNCTION("""COMPUTED_VALUE"""),"J")</f>
        <v>J</v>
      </c>
      <c r="H41" s="130">
        <f>IFERROR(__xludf.DUMMYFUNCTION("""COMPUTED_VALUE"""),2018.0)</f>
        <v>2018</v>
      </c>
      <c r="I41" s="130">
        <f>IFERROR(__xludf.DUMMYFUNCTION("""COMPUTED_VALUE"""),1.0)</f>
        <v>1</v>
      </c>
      <c r="J41" s="130">
        <f>IFERROR(__xludf.DUMMYFUNCTION("""COMPUTED_VALUE"""),1.0)</f>
        <v>1</v>
      </c>
      <c r="K41" s="130">
        <f>IFERROR(__xludf.DUMMYFUNCTION("""COMPUTED_VALUE"""),1.0)</f>
        <v>1</v>
      </c>
      <c r="L41" s="129">
        <f>IFERROR(__xludf.DUMMYFUNCTION("""COMPUTED_VALUE"""),1.0)</f>
        <v>1</v>
      </c>
      <c r="M41" s="130">
        <f>IFERROR(__xludf.DUMMYFUNCTION("""COMPUTED_VALUE"""),1.0)</f>
        <v>1</v>
      </c>
      <c r="N41" s="130">
        <f>IFERROR(__xludf.DUMMYFUNCTION("""COMPUTED_VALUE"""),0.0)</f>
        <v>0</v>
      </c>
      <c r="O41" s="130">
        <f>IFERROR(__xludf.DUMMYFUNCTION("""COMPUTED_VALUE"""),0.0)</f>
        <v>0</v>
      </c>
      <c r="P41" s="130">
        <f>IFERROR(__xludf.DUMMYFUNCTION("""COMPUTED_VALUE"""),0.0)</f>
        <v>0</v>
      </c>
      <c r="Q41" s="130">
        <f>IFERROR(__xludf.DUMMYFUNCTION("""COMPUTED_VALUE"""),0.0)</f>
        <v>0</v>
      </c>
      <c r="R41" s="129">
        <f>IFERROR(__xludf.DUMMYFUNCTION("""COMPUTED_VALUE"""),0.0)</f>
        <v>0</v>
      </c>
      <c r="S41" s="129">
        <f>IFERROR(__xludf.DUMMYFUNCTION("""COMPUTED_VALUE"""),0.0)</f>
        <v>0</v>
      </c>
      <c r="T41" s="129">
        <f>IFERROR(__xludf.DUMMYFUNCTION("""COMPUTED_VALUE"""),0.0)</f>
        <v>0</v>
      </c>
      <c r="U41" s="129">
        <f>IFERROR(__xludf.DUMMYFUNCTION("""COMPUTED_VALUE"""),0.0)</f>
        <v>0</v>
      </c>
      <c r="V41" s="129">
        <f>IFERROR(__xludf.DUMMYFUNCTION("""COMPUTED_VALUE"""),0.0)</f>
        <v>0</v>
      </c>
      <c r="W41" s="126" t="str">
        <f>IFERROR(__xludf.DUMMYFUNCTION("""COMPUTED_VALUE"""),"Yes")</f>
        <v>Yes</v>
      </c>
      <c r="X41" s="126" t="str">
        <f>IFERROR(__xludf.DUMMYFUNCTION("""COMPUTED_VALUE"""),"Yes")</f>
        <v>Yes</v>
      </c>
      <c r="Y41" s="126" t="str">
        <f>IFERROR(__xludf.DUMMYFUNCTION("""COMPUTED_VALUE"""),"S")</f>
        <v>S</v>
      </c>
      <c r="Z41" s="126"/>
      <c r="AA41" s="126"/>
      <c r="AB41" s="126"/>
      <c r="AC41" s="126"/>
      <c r="AD41" s="126"/>
      <c r="AE41" s="126"/>
      <c r="AF41" s="126"/>
      <c r="AG41" s="126"/>
      <c r="AH41" s="126"/>
      <c r="AI41" s="126"/>
      <c r="AJ41" s="126"/>
    </row>
    <row r="42">
      <c r="A42" s="126">
        <f>IFERROR(__xludf.DUMMYFUNCTION("""COMPUTED_VALUE"""),85.0)</f>
        <v>85</v>
      </c>
      <c r="B42" s="126" t="str">
        <f>IFERROR(__xludf.DUMMYFUNCTION("""COMPUTED_VALUE"""),"New approach for reducing energy consumption and load balancing in data centers of cloud computing")</f>
        <v>New approach for reducing energy consumption and load balancing in data centers of cloud computing</v>
      </c>
      <c r="C42" s="127" t="str">
        <f>IFERROR(__xludf.DUMMYFUNCTION("""COMPUTED_VALUE"""),"https://content.iospress.com/articles/journal-of-intelligent-and-fuzzy-systems/ifs181016")</f>
        <v>https://content.iospress.com/articles/journal-of-intelligent-and-fuzzy-systems/ifs181016</v>
      </c>
      <c r="D42" s="126" t="str">
        <f>IFERROR(__xludf.DUMMYFUNCTION("""COMPUTED_VALUE"""),"M Tarahomi, M Izadi")</f>
        <v>M Tarahomi, M Izadi</v>
      </c>
      <c r="E42" s="126" t="str">
        <f>IFERROR(__xludf.DUMMYFUNCTION("""COMPUTED_VALUE"""),"Journal of Intelligent &amp; Fuzzy Systems")</f>
        <v>Journal of Intelligent &amp; Fuzzy Systems</v>
      </c>
      <c r="F42" s="126" t="str">
        <f>IFERROR(__xludf.DUMMYFUNCTION("""COMPUTED_VALUE"""),"JIFS")</f>
        <v>JIFS</v>
      </c>
      <c r="G42" s="132" t="str">
        <f>IFERROR(__xludf.DUMMYFUNCTION("""COMPUTED_VALUE"""),"J")</f>
        <v>J</v>
      </c>
      <c r="H42" s="129">
        <f>IFERROR(__xludf.DUMMYFUNCTION("""COMPUTED_VALUE"""),2019.0)</f>
        <v>2019</v>
      </c>
      <c r="I42" s="129">
        <f>IFERROR(__xludf.DUMMYFUNCTION("""COMPUTED_VALUE"""),1.0)</f>
        <v>1</v>
      </c>
      <c r="J42" s="129">
        <f>IFERROR(__xludf.DUMMYFUNCTION("""COMPUTED_VALUE"""),1.0)</f>
        <v>1</v>
      </c>
      <c r="K42" s="130">
        <f>IFERROR(__xludf.DUMMYFUNCTION("""COMPUTED_VALUE"""),1.0)</f>
        <v>1</v>
      </c>
      <c r="L42" s="130">
        <f>IFERROR(__xludf.DUMMYFUNCTION("""COMPUTED_VALUE"""),1.0)</f>
        <v>1</v>
      </c>
      <c r="M42" s="130">
        <f>IFERROR(__xludf.DUMMYFUNCTION("""COMPUTED_VALUE"""),1.0)</f>
        <v>1</v>
      </c>
      <c r="N42" s="130">
        <f>IFERROR(__xludf.DUMMYFUNCTION("""COMPUTED_VALUE"""),0.0)</f>
        <v>0</v>
      </c>
      <c r="O42" s="130">
        <f>IFERROR(__xludf.DUMMYFUNCTION("""COMPUTED_VALUE"""),0.0)</f>
        <v>0</v>
      </c>
      <c r="P42" s="130">
        <f>IFERROR(__xludf.DUMMYFUNCTION("""COMPUTED_VALUE"""),0.0)</f>
        <v>0</v>
      </c>
      <c r="Q42" s="129">
        <f>IFERROR(__xludf.DUMMYFUNCTION("""COMPUTED_VALUE"""),0.0)</f>
        <v>0</v>
      </c>
      <c r="R42" s="129">
        <f>IFERROR(__xludf.DUMMYFUNCTION("""COMPUTED_VALUE"""),0.0)</f>
        <v>0</v>
      </c>
      <c r="S42" s="129">
        <f>IFERROR(__xludf.DUMMYFUNCTION("""COMPUTED_VALUE"""),0.0)</f>
        <v>0</v>
      </c>
      <c r="T42" s="129">
        <f>IFERROR(__xludf.DUMMYFUNCTION("""COMPUTED_VALUE"""),0.0)</f>
        <v>0</v>
      </c>
      <c r="U42" s="129">
        <f>IFERROR(__xludf.DUMMYFUNCTION("""COMPUTED_VALUE"""),0.0)</f>
        <v>0</v>
      </c>
      <c r="V42" s="129">
        <f>IFERROR(__xludf.DUMMYFUNCTION("""COMPUTED_VALUE"""),0.0)</f>
        <v>0</v>
      </c>
      <c r="W42" s="126" t="str">
        <f>IFERROR(__xludf.DUMMYFUNCTION("""COMPUTED_VALUE"""),"Yes")</f>
        <v>Yes</v>
      </c>
      <c r="X42" s="126" t="str">
        <f>IFERROR(__xludf.DUMMYFUNCTION("""COMPUTED_VALUE"""),"Yes")</f>
        <v>Yes</v>
      </c>
      <c r="Y42" s="126" t="str">
        <f>IFERROR(__xludf.DUMMYFUNCTION("""COMPUTED_VALUE"""),"S")</f>
        <v>S</v>
      </c>
      <c r="Z42" s="126"/>
      <c r="AA42" s="126"/>
      <c r="AB42" s="126"/>
      <c r="AC42" s="126"/>
      <c r="AD42" s="126"/>
      <c r="AE42" s="126"/>
      <c r="AF42" s="126"/>
      <c r="AG42" s="126"/>
      <c r="AH42" s="126"/>
      <c r="AI42" s="126"/>
      <c r="AJ42" s="126"/>
    </row>
    <row r="43">
      <c r="A43" s="126">
        <f>IFERROR(__xludf.DUMMYFUNCTION("""COMPUTED_VALUE"""),87.0)</f>
        <v>87</v>
      </c>
      <c r="B43" s="126" t="str">
        <f>IFERROR(__xludf.DUMMYFUNCTION("""COMPUTED_VALUE"""),"Towards Energy Efficient Servers' Utilization in Datacenters")</f>
        <v>Towards Energy Efficient Servers' Utilization in Datacenters</v>
      </c>
      <c r="C43" s="127" t="str">
        <f>IFERROR(__xludf.DUMMYFUNCTION("""COMPUTED_VALUE"""),"https://link.springer.com/chapter/10.1007/978-3-030-22871-2_19")</f>
        <v>https://link.springer.com/chapter/10.1007/978-3-030-22871-2_19</v>
      </c>
      <c r="D43" s="126" t="str">
        <f>IFERROR(__xludf.DUMMYFUNCTION("""COMPUTED_VALUE"""),"A Osman, A Sagahyroon, R Aburukba, F Aloul")</f>
        <v>A Osman, A Sagahyroon, R Aburukba, F Aloul</v>
      </c>
      <c r="E43" s="126" t="str">
        <f>IFERROR(__xludf.DUMMYFUNCTION("""COMPUTED_VALUE"""),"Springer")</f>
        <v>Springer</v>
      </c>
      <c r="F43" s="126" t="str">
        <f>IFERROR(__xludf.DUMMYFUNCTION("""COMPUTED_VALUE"""),"Springer")</f>
        <v>Springer</v>
      </c>
      <c r="G43" s="128" t="str">
        <f>IFERROR(__xludf.DUMMYFUNCTION("""COMPUTED_VALUE"""),"C")</f>
        <v>C</v>
      </c>
      <c r="H43" s="129">
        <f>IFERROR(__xludf.DUMMYFUNCTION("""COMPUTED_VALUE"""),2019.0)</f>
        <v>2019</v>
      </c>
      <c r="I43" s="130">
        <f>IFERROR(__xludf.DUMMYFUNCTION("""COMPUTED_VALUE"""),1.0)</f>
        <v>1</v>
      </c>
      <c r="J43" s="129">
        <f>IFERROR(__xludf.DUMMYFUNCTION("""COMPUTED_VALUE"""),1.0)</f>
        <v>1</v>
      </c>
      <c r="K43" s="130">
        <f>IFERROR(__xludf.DUMMYFUNCTION("""COMPUTED_VALUE"""),1.0)</f>
        <v>1</v>
      </c>
      <c r="L43" s="130">
        <f>IFERROR(__xludf.DUMMYFUNCTION("""COMPUTED_VALUE"""),1.0)</f>
        <v>1</v>
      </c>
      <c r="M43" s="130">
        <f>IFERROR(__xludf.DUMMYFUNCTION("""COMPUTED_VALUE"""),1.0)</f>
        <v>1</v>
      </c>
      <c r="N43" s="130">
        <f>IFERROR(__xludf.DUMMYFUNCTION("""COMPUTED_VALUE"""),0.0)</f>
        <v>0</v>
      </c>
      <c r="O43" s="130">
        <f>IFERROR(__xludf.DUMMYFUNCTION("""COMPUTED_VALUE"""),0.0)</f>
        <v>0</v>
      </c>
      <c r="P43" s="130">
        <f>IFERROR(__xludf.DUMMYFUNCTION("""COMPUTED_VALUE"""),0.0)</f>
        <v>0</v>
      </c>
      <c r="Q43" s="130">
        <f>IFERROR(__xludf.DUMMYFUNCTION("""COMPUTED_VALUE"""),0.0)</f>
        <v>0</v>
      </c>
      <c r="R43" s="130">
        <f>IFERROR(__xludf.DUMMYFUNCTION("""COMPUTED_VALUE"""),0.0)</f>
        <v>0</v>
      </c>
      <c r="S43" s="130">
        <f>IFERROR(__xludf.DUMMYFUNCTION("""COMPUTED_VALUE"""),0.0)</f>
        <v>0</v>
      </c>
      <c r="T43" s="130">
        <f>IFERROR(__xludf.DUMMYFUNCTION("""COMPUTED_VALUE"""),0.0)</f>
        <v>0</v>
      </c>
      <c r="U43" s="130">
        <f>IFERROR(__xludf.DUMMYFUNCTION("""COMPUTED_VALUE"""),0.0)</f>
        <v>0</v>
      </c>
      <c r="V43" s="130">
        <f>IFERROR(__xludf.DUMMYFUNCTION("""COMPUTED_VALUE"""),0.0)</f>
        <v>0</v>
      </c>
      <c r="W43" s="131" t="str">
        <f>IFERROR(__xludf.DUMMYFUNCTION("""COMPUTED_VALUE"""),"Yes")</f>
        <v>Yes</v>
      </c>
      <c r="X43" s="131" t="str">
        <f>IFERROR(__xludf.DUMMYFUNCTION("""COMPUTED_VALUE"""),"Yes")</f>
        <v>Yes</v>
      </c>
      <c r="Y43" s="131" t="str">
        <f>IFERROR(__xludf.DUMMYFUNCTION("""COMPUTED_VALUE"""),"S")</f>
        <v>S</v>
      </c>
      <c r="Z43" s="131"/>
      <c r="AA43" s="131"/>
      <c r="AB43" s="131"/>
      <c r="AC43" s="131"/>
      <c r="AD43" s="131"/>
      <c r="AE43" s="131"/>
      <c r="AF43" s="131"/>
      <c r="AG43" s="131"/>
      <c r="AH43" s="131"/>
      <c r="AI43" s="131"/>
      <c r="AJ43" s="131"/>
    </row>
    <row r="44">
      <c r="A44" s="126">
        <f>IFERROR(__xludf.DUMMYFUNCTION("""COMPUTED_VALUE"""),90.0)</f>
        <v>90</v>
      </c>
      <c r="B44" s="126" t="str">
        <f>IFERROR(__xludf.DUMMYFUNCTION("""COMPUTED_VALUE"""),"A Dynamic Energy-saving Deployment Algorithm for Virtual Data Centers")</f>
        <v>A Dynamic Energy-saving Deployment Algorithm for Virtual Data Centers</v>
      </c>
      <c r="C44" s="127" t="str">
        <f>IFERROR(__xludf.DUMMYFUNCTION("""COMPUTED_VALUE"""),"https://ieeexplore.ieee.org/abstract/document/9091377/")</f>
        <v>https://ieeexplore.ieee.org/abstract/document/9091377/</v>
      </c>
      <c r="D44" s="126" t="str">
        <f>IFERROR(__xludf.DUMMYFUNCTION("""COMPUTED_VALUE"""),"S Han, J Li, Y Ma, Q Dong, D Wu")</f>
        <v>S Han, J Li, Y Ma, Q Dong, D Wu</v>
      </c>
      <c r="E44" s="126" t="str">
        <f>IFERROR(__xludf.DUMMYFUNCTION("""COMPUTED_VALUE"""),"Institute of Electrical and Electronics Engineers")</f>
        <v>Institute of Electrical and Electronics Engineers</v>
      </c>
      <c r="F44" s="126" t="str">
        <f>IFERROR(__xludf.DUMMYFUNCTION("""COMPUTED_VALUE"""),"IEEE Xplore")</f>
        <v>IEEE Xplore</v>
      </c>
      <c r="G44" s="128" t="str">
        <f>IFERROR(__xludf.DUMMYFUNCTION("""COMPUTED_VALUE"""),"C")</f>
        <v>C</v>
      </c>
      <c r="H44" s="130">
        <f>IFERROR(__xludf.DUMMYFUNCTION("""COMPUTED_VALUE"""),2019.0)</f>
        <v>2019</v>
      </c>
      <c r="I44" s="130">
        <f>IFERROR(__xludf.DUMMYFUNCTION("""COMPUTED_VALUE"""),1.0)</f>
        <v>1</v>
      </c>
      <c r="J44" s="130">
        <f>IFERROR(__xludf.DUMMYFUNCTION("""COMPUTED_VALUE"""),1.0)</f>
        <v>1</v>
      </c>
      <c r="K44" s="129">
        <f>IFERROR(__xludf.DUMMYFUNCTION("""COMPUTED_VALUE"""),1.0)</f>
        <v>1</v>
      </c>
      <c r="L44" s="129">
        <f>IFERROR(__xludf.DUMMYFUNCTION("""COMPUTED_VALUE"""),1.0)</f>
        <v>1</v>
      </c>
      <c r="M44" s="130">
        <f>IFERROR(__xludf.DUMMYFUNCTION("""COMPUTED_VALUE"""),1.0)</f>
        <v>1</v>
      </c>
      <c r="N44" s="130">
        <f>IFERROR(__xludf.DUMMYFUNCTION("""COMPUTED_VALUE"""),0.0)</f>
        <v>0</v>
      </c>
      <c r="O44" s="130">
        <f>IFERROR(__xludf.DUMMYFUNCTION("""COMPUTED_VALUE"""),0.0)</f>
        <v>0</v>
      </c>
      <c r="P44" s="130">
        <f>IFERROR(__xludf.DUMMYFUNCTION("""COMPUTED_VALUE"""),0.0)</f>
        <v>0</v>
      </c>
      <c r="Q44" s="130">
        <f>IFERROR(__xludf.DUMMYFUNCTION("""COMPUTED_VALUE"""),0.0)</f>
        <v>0</v>
      </c>
      <c r="R44" s="130">
        <f>IFERROR(__xludf.DUMMYFUNCTION("""COMPUTED_VALUE"""),0.0)</f>
        <v>0</v>
      </c>
      <c r="S44" s="130">
        <f>IFERROR(__xludf.DUMMYFUNCTION("""COMPUTED_VALUE"""),0.0)</f>
        <v>0</v>
      </c>
      <c r="T44" s="130">
        <f>IFERROR(__xludf.DUMMYFUNCTION("""COMPUTED_VALUE"""),0.0)</f>
        <v>0</v>
      </c>
      <c r="U44" s="130">
        <f>IFERROR(__xludf.DUMMYFUNCTION("""COMPUTED_VALUE"""),0.0)</f>
        <v>0</v>
      </c>
      <c r="V44" s="130">
        <f>IFERROR(__xludf.DUMMYFUNCTION("""COMPUTED_VALUE"""),0.0)</f>
        <v>0</v>
      </c>
      <c r="W44" s="131" t="str">
        <f>IFERROR(__xludf.DUMMYFUNCTION("""COMPUTED_VALUE"""),"Yes")</f>
        <v>Yes</v>
      </c>
      <c r="X44" s="131" t="str">
        <f>IFERROR(__xludf.DUMMYFUNCTION("""COMPUTED_VALUE"""),"Yes")</f>
        <v>Yes</v>
      </c>
      <c r="Y44" s="131" t="str">
        <f>IFERROR(__xludf.DUMMYFUNCTION("""COMPUTED_VALUE"""),"S")</f>
        <v>S</v>
      </c>
      <c r="Z44" s="131"/>
      <c r="AA44" s="131"/>
      <c r="AB44" s="131"/>
      <c r="AC44" s="131"/>
      <c r="AD44" s="131"/>
      <c r="AE44" s="131"/>
      <c r="AF44" s="131"/>
      <c r="AG44" s="131"/>
      <c r="AH44" s="131"/>
      <c r="AI44" s="131"/>
      <c r="AJ44" s="131"/>
    </row>
    <row r="45">
      <c r="A45" s="126">
        <f>IFERROR(__xludf.DUMMYFUNCTION("""COMPUTED_VALUE"""),91.0)</f>
        <v>91</v>
      </c>
      <c r="B45" s="126" t="str">
        <f>IFERROR(__xludf.DUMMYFUNCTION("""COMPUTED_VALUE"""),"Energy consumption and emission mitigation prediction based on data center traffic and PUE for global data centers")</f>
        <v>Energy consumption and emission mitigation prediction based on data center traffic and PUE for global data centers</v>
      </c>
      <c r="C45" s="127" t="str">
        <f>IFERROR(__xludf.DUMMYFUNCTION("""COMPUTED_VALUE"""),"https://www.sciencedirect.com/science/article/pii/S2096511720300761")</f>
        <v>https://www.sciencedirect.com/science/article/pii/S2096511720300761</v>
      </c>
      <c r="D45" s="126" t="str">
        <f>IFERROR(__xludf.DUMMYFUNCTION("""COMPUTED_VALUE"""),"Y Liu, X Wei, J Xiao, Z Liu, Y Xu, Y Tian")</f>
        <v>Y Liu, X Wei, J Xiao, Z Liu, Y Xu, Y Tian</v>
      </c>
      <c r="E45" s="126" t="str">
        <f>IFERROR(__xludf.DUMMYFUNCTION("""COMPUTED_VALUE"""),"Elsevier")</f>
        <v>Elsevier</v>
      </c>
      <c r="F45" s="126" t="str">
        <f>IFERROR(__xludf.DUMMYFUNCTION("""COMPUTED_VALUE"""),"Elsevier")</f>
        <v>Elsevier</v>
      </c>
      <c r="G45" s="128" t="str">
        <f>IFERROR(__xludf.DUMMYFUNCTION("""COMPUTED_VALUE"""),"J")</f>
        <v>J</v>
      </c>
      <c r="H45" s="130">
        <f>IFERROR(__xludf.DUMMYFUNCTION("""COMPUTED_VALUE"""),2020.0)</f>
        <v>2020</v>
      </c>
      <c r="I45" s="130">
        <f>IFERROR(__xludf.DUMMYFUNCTION("""COMPUTED_VALUE"""),1.0)</f>
        <v>1</v>
      </c>
      <c r="J45" s="130">
        <f>IFERROR(__xludf.DUMMYFUNCTION("""COMPUTED_VALUE"""),1.0)</f>
        <v>1</v>
      </c>
      <c r="K45" s="129">
        <f>IFERROR(__xludf.DUMMYFUNCTION("""COMPUTED_VALUE"""),1.0)</f>
        <v>1</v>
      </c>
      <c r="L45" s="130">
        <f>IFERROR(__xludf.DUMMYFUNCTION("""COMPUTED_VALUE"""),1.0)</f>
        <v>1</v>
      </c>
      <c r="M45" s="130">
        <f>IFERROR(__xludf.DUMMYFUNCTION("""COMPUTED_VALUE"""),1.0)</f>
        <v>1</v>
      </c>
      <c r="N45" s="130">
        <f>IFERROR(__xludf.DUMMYFUNCTION("""COMPUTED_VALUE"""),0.0)</f>
        <v>0</v>
      </c>
      <c r="O45" s="130">
        <f>IFERROR(__xludf.DUMMYFUNCTION("""COMPUTED_VALUE"""),0.0)</f>
        <v>0</v>
      </c>
      <c r="P45" s="130">
        <f>IFERROR(__xludf.DUMMYFUNCTION("""COMPUTED_VALUE"""),0.0)</f>
        <v>0</v>
      </c>
      <c r="Q45" s="130">
        <f>IFERROR(__xludf.DUMMYFUNCTION("""COMPUTED_VALUE"""),0.0)</f>
        <v>0</v>
      </c>
      <c r="R45" s="130">
        <f>IFERROR(__xludf.DUMMYFUNCTION("""COMPUTED_VALUE"""),0.0)</f>
        <v>0</v>
      </c>
      <c r="S45" s="130">
        <f>IFERROR(__xludf.DUMMYFUNCTION("""COMPUTED_VALUE"""),0.0)</f>
        <v>0</v>
      </c>
      <c r="T45" s="130">
        <f>IFERROR(__xludf.DUMMYFUNCTION("""COMPUTED_VALUE"""),0.0)</f>
        <v>0</v>
      </c>
      <c r="U45" s="130">
        <f>IFERROR(__xludf.DUMMYFUNCTION("""COMPUTED_VALUE"""),0.0)</f>
        <v>0</v>
      </c>
      <c r="V45" s="130">
        <f>IFERROR(__xludf.DUMMYFUNCTION("""COMPUTED_VALUE"""),0.0)</f>
        <v>0</v>
      </c>
      <c r="W45" s="131" t="str">
        <f>IFERROR(__xludf.DUMMYFUNCTION("""COMPUTED_VALUE"""),"Yes")</f>
        <v>Yes</v>
      </c>
      <c r="X45" s="131" t="str">
        <f>IFERROR(__xludf.DUMMYFUNCTION("""COMPUTED_VALUE"""),"Yes")</f>
        <v>Yes</v>
      </c>
      <c r="Y45" s="131" t="str">
        <f>IFERROR(__xludf.DUMMYFUNCTION("""COMPUTED_VALUE"""),"S")</f>
        <v>S</v>
      </c>
      <c r="Z45" s="131"/>
      <c r="AA45" s="131"/>
      <c r="AB45" s="131"/>
      <c r="AC45" s="131"/>
      <c r="AD45" s="131"/>
      <c r="AE45" s="131"/>
      <c r="AF45" s="131"/>
      <c r="AG45" s="131"/>
      <c r="AH45" s="131"/>
      <c r="AI45" s="131"/>
      <c r="AJ45" s="131"/>
    </row>
    <row r="46">
      <c r="A46" s="126">
        <f>IFERROR(__xludf.DUMMYFUNCTION("""COMPUTED_VALUE"""),94.0)</f>
        <v>94</v>
      </c>
      <c r="B46" s="126" t="str">
        <f>IFERROR(__xludf.DUMMYFUNCTION("""COMPUTED_VALUE"""),"Energy efficient VM scheduling and routing in multi-tenant cloud data center")</f>
        <v>Energy efficient VM scheduling and routing in multi-tenant cloud data center</v>
      </c>
      <c r="C46" s="127" t="str">
        <f>IFERROR(__xludf.DUMMYFUNCTION("""COMPUTED_VALUE"""),"https://www.sciencedirect.com/science/article/pii/S2210537918303160")</f>
        <v>https://www.sciencedirect.com/science/article/pii/S2210537918303160</v>
      </c>
      <c r="D46" s="126" t="str">
        <f>IFERROR(__xludf.DUMMYFUNCTION("""COMPUTED_VALUE"""),"S Ch, T Ramesh")</f>
        <v>S Ch, T Ramesh</v>
      </c>
      <c r="E46" s="126" t="str">
        <f>IFERROR(__xludf.DUMMYFUNCTION("""COMPUTED_VALUE"""),"Elsevier")</f>
        <v>Elsevier</v>
      </c>
      <c r="F46" s="126" t="str">
        <f>IFERROR(__xludf.DUMMYFUNCTION("""COMPUTED_VALUE"""),"Elsevier")</f>
        <v>Elsevier</v>
      </c>
      <c r="G46" s="128" t="str">
        <f>IFERROR(__xludf.DUMMYFUNCTION("""COMPUTED_VALUE"""),"J")</f>
        <v>J</v>
      </c>
      <c r="H46" s="130">
        <f>IFERROR(__xludf.DUMMYFUNCTION("""COMPUTED_VALUE"""),2019.0)</f>
        <v>2019</v>
      </c>
      <c r="I46" s="130">
        <f>IFERROR(__xludf.DUMMYFUNCTION("""COMPUTED_VALUE"""),1.0)</f>
        <v>1</v>
      </c>
      <c r="J46" s="130">
        <f>IFERROR(__xludf.DUMMYFUNCTION("""COMPUTED_VALUE"""),1.0)</f>
        <v>1</v>
      </c>
      <c r="K46" s="129">
        <f>IFERROR(__xludf.DUMMYFUNCTION("""COMPUTED_VALUE"""),1.0)</f>
        <v>1</v>
      </c>
      <c r="L46" s="130">
        <f>IFERROR(__xludf.DUMMYFUNCTION("""COMPUTED_VALUE"""),1.0)</f>
        <v>1</v>
      </c>
      <c r="M46" s="130">
        <f>IFERROR(__xludf.DUMMYFUNCTION("""COMPUTED_VALUE"""),1.0)</f>
        <v>1</v>
      </c>
      <c r="N46" s="130">
        <f>IFERROR(__xludf.DUMMYFUNCTION("""COMPUTED_VALUE"""),0.0)</f>
        <v>0</v>
      </c>
      <c r="O46" s="130">
        <f>IFERROR(__xludf.DUMMYFUNCTION("""COMPUTED_VALUE"""),0.0)</f>
        <v>0</v>
      </c>
      <c r="P46" s="130">
        <f>IFERROR(__xludf.DUMMYFUNCTION("""COMPUTED_VALUE"""),0.0)</f>
        <v>0</v>
      </c>
      <c r="Q46" s="130">
        <f>IFERROR(__xludf.DUMMYFUNCTION("""COMPUTED_VALUE"""),0.0)</f>
        <v>0</v>
      </c>
      <c r="R46" s="130">
        <f>IFERROR(__xludf.DUMMYFUNCTION("""COMPUTED_VALUE"""),0.0)</f>
        <v>0</v>
      </c>
      <c r="S46" s="130">
        <f>IFERROR(__xludf.DUMMYFUNCTION("""COMPUTED_VALUE"""),0.0)</f>
        <v>0</v>
      </c>
      <c r="T46" s="130">
        <f>IFERROR(__xludf.DUMMYFUNCTION("""COMPUTED_VALUE"""),0.0)</f>
        <v>0</v>
      </c>
      <c r="U46" s="130">
        <f>IFERROR(__xludf.DUMMYFUNCTION("""COMPUTED_VALUE"""),0.0)</f>
        <v>0</v>
      </c>
      <c r="V46" s="130">
        <f>IFERROR(__xludf.DUMMYFUNCTION("""COMPUTED_VALUE"""),0.0)</f>
        <v>0</v>
      </c>
      <c r="W46" s="131" t="str">
        <f>IFERROR(__xludf.DUMMYFUNCTION("""COMPUTED_VALUE"""),"Yes")</f>
        <v>Yes</v>
      </c>
      <c r="X46" s="131" t="str">
        <f>IFERROR(__xludf.DUMMYFUNCTION("""COMPUTED_VALUE"""),"Yes")</f>
        <v>Yes</v>
      </c>
      <c r="Y46" s="131" t="str">
        <f>IFERROR(__xludf.DUMMYFUNCTION("""COMPUTED_VALUE"""),"S")</f>
        <v>S</v>
      </c>
      <c r="Z46" s="131"/>
      <c r="AA46" s="131"/>
      <c r="AB46" s="131"/>
      <c r="AC46" s="131"/>
      <c r="AD46" s="131"/>
      <c r="AE46" s="131"/>
      <c r="AF46" s="131"/>
      <c r="AG46" s="131"/>
      <c r="AH46" s="131"/>
      <c r="AI46" s="131"/>
      <c r="AJ46" s="131"/>
    </row>
    <row r="47">
      <c r="A47" s="126">
        <f>IFERROR(__xludf.DUMMYFUNCTION("""COMPUTED_VALUE"""),95.0)</f>
        <v>95</v>
      </c>
      <c r="B47" s="126" t="str">
        <f>IFERROR(__xludf.DUMMYFUNCTION("""COMPUTED_VALUE"""),"Architecture to Minimize Energy Consumption in Cloud Datacenter")</f>
        <v>Architecture to Minimize Energy Consumption in Cloud Datacenter</v>
      </c>
      <c r="C47" s="127" t="str">
        <f>IFERROR(__xludf.DUMMYFUNCTION("""COMPUTED_VALUE"""),"https://ieeexplore.ieee.org/abstract/document/9065682/")</f>
        <v>https://ieeexplore.ieee.org/abstract/document/9065682/</v>
      </c>
      <c r="D47" s="131" t="str">
        <f>IFERROR(__xludf.DUMMYFUNCTION("""COMPUTED_VALUE"""),"S Prathiba, S Sankar")</f>
        <v>S Prathiba, S Sankar</v>
      </c>
      <c r="E47" s="131" t="str">
        <f>IFERROR(__xludf.DUMMYFUNCTION("""COMPUTED_VALUE"""),"Institute of Electrical and Electronics Engineers")</f>
        <v>Institute of Electrical and Electronics Engineers</v>
      </c>
      <c r="F47" s="126" t="str">
        <f>IFERROR(__xludf.DUMMYFUNCTION("""COMPUTED_VALUE"""),"IEEE Xplore")</f>
        <v>IEEE Xplore</v>
      </c>
      <c r="G47" s="128" t="str">
        <f>IFERROR(__xludf.DUMMYFUNCTION("""COMPUTED_VALUE"""),"C")</f>
        <v>C</v>
      </c>
      <c r="H47" s="130">
        <f>IFERROR(__xludf.DUMMYFUNCTION("""COMPUTED_VALUE"""),2019.0)</f>
        <v>2019</v>
      </c>
      <c r="I47" s="130"/>
      <c r="J47" s="130"/>
      <c r="K47" s="129"/>
      <c r="L47" s="130">
        <f>IFERROR(__xludf.DUMMYFUNCTION("""COMPUTED_VALUE"""),0.0)</f>
        <v>0</v>
      </c>
      <c r="M47" s="130"/>
      <c r="N47" s="130"/>
      <c r="O47" s="130"/>
      <c r="P47" s="130"/>
      <c r="Q47" s="130"/>
      <c r="R47" s="130"/>
      <c r="S47" s="130"/>
      <c r="T47" s="130"/>
      <c r="U47" s="130"/>
      <c r="V47" s="130"/>
      <c r="W47" s="131" t="str">
        <f>IFERROR(__xludf.DUMMYFUNCTION("""COMPUTED_VALUE"""),"No")</f>
        <v>No</v>
      </c>
      <c r="X47" s="131" t="str">
        <f>IFERROR(__xludf.DUMMYFUNCTION("""COMPUTED_VALUE"""),"Yes")</f>
        <v>Yes</v>
      </c>
      <c r="Y47" s="131" t="str">
        <f>IFERROR(__xludf.DUMMYFUNCTION("""COMPUTED_VALUE"""),"S")</f>
        <v>S</v>
      </c>
      <c r="Z47" s="131"/>
      <c r="AA47" s="131"/>
      <c r="AB47" s="131"/>
      <c r="AC47" s="131"/>
      <c r="AD47" s="131"/>
      <c r="AE47" s="131"/>
      <c r="AF47" s="131"/>
      <c r="AG47" s="131"/>
      <c r="AH47" s="131"/>
      <c r="AI47" s="131"/>
      <c r="AJ47" s="131"/>
    </row>
    <row r="48">
      <c r="A48" s="126">
        <f>IFERROR(__xludf.DUMMYFUNCTION("""COMPUTED_VALUE"""),97.0)</f>
        <v>97</v>
      </c>
      <c r="B48" s="126" t="str">
        <f>IFERROR(__xludf.DUMMYFUNCTION("""COMPUTED_VALUE"""),"Smartly handling renewable energy instability in supporting a cloud datacenter")</f>
        <v>Smartly handling renewable energy instability in supporting a cloud datacenter</v>
      </c>
      <c r="C48" s="127" t="str">
        <f>IFERROR(__xludf.DUMMYFUNCTION("""COMPUTED_VALUE"""),"https://ieeexplore.ieee.org/abstract/document/9139872/")</f>
        <v>https://ieeexplore.ieee.org/abstract/document/9139872/</v>
      </c>
      <c r="D48" s="126" t="str">
        <f>IFERROR(__xludf.DUMMYFUNCTION("""COMPUTED_VALUE"""),"J Gao, H Wang, H Shen")</f>
        <v>J Gao, H Wang, H Shen</v>
      </c>
      <c r="E48" s="126" t="str">
        <f>IFERROR(__xludf.DUMMYFUNCTION("""COMPUTED_VALUE"""),"Institute of Electrical and Electronics Engineers")</f>
        <v>Institute of Electrical and Electronics Engineers</v>
      </c>
      <c r="F48" s="126" t="str">
        <f>IFERROR(__xludf.DUMMYFUNCTION("""COMPUTED_VALUE"""),"IEEE Xplore")</f>
        <v>IEEE Xplore</v>
      </c>
      <c r="G48" s="128" t="str">
        <f>IFERROR(__xludf.DUMMYFUNCTION("""COMPUTED_VALUE"""),"C")</f>
        <v>C</v>
      </c>
      <c r="H48" s="130">
        <f>IFERROR(__xludf.DUMMYFUNCTION("""COMPUTED_VALUE"""),2020.0)</f>
        <v>2020</v>
      </c>
      <c r="I48" s="130">
        <f>IFERROR(__xludf.DUMMYFUNCTION("""COMPUTED_VALUE"""),1.0)</f>
        <v>1</v>
      </c>
      <c r="J48" s="130">
        <f>IFERROR(__xludf.DUMMYFUNCTION("""COMPUTED_VALUE"""),1.0)</f>
        <v>1</v>
      </c>
      <c r="K48" s="129">
        <f>IFERROR(__xludf.DUMMYFUNCTION("""COMPUTED_VALUE"""),1.0)</f>
        <v>1</v>
      </c>
      <c r="L48" s="130">
        <f>IFERROR(__xludf.DUMMYFUNCTION("""COMPUTED_VALUE"""),1.0)</f>
        <v>1</v>
      </c>
      <c r="M48" s="130">
        <f>IFERROR(__xludf.DUMMYFUNCTION("""COMPUTED_VALUE"""),1.0)</f>
        <v>1</v>
      </c>
      <c r="N48" s="130">
        <f>IFERROR(__xludf.DUMMYFUNCTION("""COMPUTED_VALUE"""),0.0)</f>
        <v>0</v>
      </c>
      <c r="O48" s="130">
        <f>IFERROR(__xludf.DUMMYFUNCTION("""COMPUTED_VALUE"""),0.0)</f>
        <v>0</v>
      </c>
      <c r="P48" s="130">
        <f>IFERROR(__xludf.DUMMYFUNCTION("""COMPUTED_VALUE"""),0.0)</f>
        <v>0</v>
      </c>
      <c r="Q48" s="130">
        <f>IFERROR(__xludf.DUMMYFUNCTION("""COMPUTED_VALUE"""),0.0)</f>
        <v>0</v>
      </c>
      <c r="R48" s="130">
        <f>IFERROR(__xludf.DUMMYFUNCTION("""COMPUTED_VALUE"""),0.0)</f>
        <v>0</v>
      </c>
      <c r="S48" s="130">
        <f>IFERROR(__xludf.DUMMYFUNCTION("""COMPUTED_VALUE"""),0.0)</f>
        <v>0</v>
      </c>
      <c r="T48" s="130">
        <f>IFERROR(__xludf.DUMMYFUNCTION("""COMPUTED_VALUE"""),0.0)</f>
        <v>0</v>
      </c>
      <c r="U48" s="130">
        <f>IFERROR(__xludf.DUMMYFUNCTION("""COMPUTED_VALUE"""),0.0)</f>
        <v>0</v>
      </c>
      <c r="V48" s="130">
        <f>IFERROR(__xludf.DUMMYFUNCTION("""COMPUTED_VALUE"""),0.0)</f>
        <v>0</v>
      </c>
      <c r="W48" s="131" t="str">
        <f>IFERROR(__xludf.DUMMYFUNCTION("""COMPUTED_VALUE"""),"Yes")</f>
        <v>Yes</v>
      </c>
      <c r="X48" s="131" t="str">
        <f>IFERROR(__xludf.DUMMYFUNCTION("""COMPUTED_VALUE"""),"Yes")</f>
        <v>Yes</v>
      </c>
      <c r="Y48" s="131" t="str">
        <f>IFERROR(__xludf.DUMMYFUNCTION("""COMPUTED_VALUE"""),"S")</f>
        <v>S</v>
      </c>
      <c r="Z48" s="131"/>
      <c r="AA48" s="131"/>
      <c r="AB48" s="131"/>
      <c r="AC48" s="131"/>
      <c r="AD48" s="131"/>
      <c r="AE48" s="131"/>
      <c r="AF48" s="131"/>
      <c r="AG48" s="131"/>
      <c r="AH48" s="131"/>
      <c r="AI48" s="131"/>
      <c r="AJ48" s="131"/>
    </row>
    <row r="49">
      <c r="A49" s="126">
        <f>IFERROR(__xludf.DUMMYFUNCTION("""COMPUTED_VALUE"""),98.0)</f>
        <v>98</v>
      </c>
      <c r="B49" s="126" t="str">
        <f>IFERROR(__xludf.DUMMYFUNCTION("""COMPUTED_VALUE"""),"Probability Based Online Algorithm for Switch Operation of Energy Efficient Data Center")</f>
        <v>Probability Based Online Algorithm for Switch Operation of Energy Efficient Data Center</v>
      </c>
      <c r="C49" s="127" t="str">
        <f>IFERROR(__xludf.DUMMYFUNCTION("""COMPUTED_VALUE"""),"https://ieeexplore.ieee.org/abstract/document/8781752/")</f>
        <v>https://ieeexplore.ieee.org/abstract/document/8781752/</v>
      </c>
      <c r="D49" s="126" t="str">
        <f>IFERROR(__xludf.DUMMYFUNCTION("""COMPUTED_VALUE"""),"J Sun, Q Yang, Z Yang")</f>
        <v>J Sun, Q Yang, Z Yang</v>
      </c>
      <c r="E49" s="126" t="str">
        <f>IFERROR(__xludf.DUMMYFUNCTION("""COMPUTED_VALUE"""),"Institute of Electrical and Electronics Engineers")</f>
        <v>Institute of Electrical and Electronics Engineers</v>
      </c>
      <c r="F49" s="126" t="str">
        <f>IFERROR(__xludf.DUMMYFUNCTION("""COMPUTED_VALUE"""),"IEEE Xplore")</f>
        <v>IEEE Xplore</v>
      </c>
      <c r="G49" s="128" t="str">
        <f>IFERROR(__xludf.DUMMYFUNCTION("""COMPUTED_VALUE"""),"J")</f>
        <v>J</v>
      </c>
      <c r="H49" s="130">
        <f>IFERROR(__xludf.DUMMYFUNCTION("""COMPUTED_VALUE"""),2019.0)</f>
        <v>2019</v>
      </c>
      <c r="I49" s="129"/>
      <c r="J49" s="130"/>
      <c r="K49" s="130"/>
      <c r="L49" s="130"/>
      <c r="M49" s="130"/>
      <c r="N49" s="130"/>
      <c r="O49" s="130"/>
      <c r="P49" s="130"/>
      <c r="Q49" s="130"/>
      <c r="R49" s="129"/>
      <c r="S49" s="129"/>
      <c r="T49" s="129"/>
      <c r="U49" s="129"/>
      <c r="V49" s="129">
        <f>IFERROR(__xludf.DUMMYFUNCTION("""COMPUTED_VALUE"""),1.0)</f>
        <v>1</v>
      </c>
      <c r="W49" s="126"/>
      <c r="X49" s="126" t="str">
        <f>IFERROR(__xludf.DUMMYFUNCTION("""COMPUTED_VALUE"""),"Yes")</f>
        <v>Yes</v>
      </c>
      <c r="Y49" s="126" t="str">
        <f>IFERROR(__xludf.DUMMYFUNCTION("""COMPUTED_VALUE"""),"S")</f>
        <v>S</v>
      </c>
      <c r="Z49" s="126" t="str">
        <f>IFERROR(__xludf.DUMMYFUNCTION("""COMPUTED_VALUE"""),"Cannot access (IEEE)")</f>
        <v>Cannot access (IEEE)</v>
      </c>
      <c r="AA49" s="126"/>
      <c r="AB49" s="126"/>
      <c r="AC49" s="126"/>
      <c r="AD49" s="126"/>
      <c r="AE49" s="126"/>
      <c r="AF49" s="126"/>
      <c r="AG49" s="126"/>
      <c r="AH49" s="126"/>
      <c r="AI49" s="126"/>
      <c r="AJ49" s="126"/>
    </row>
    <row r="50">
      <c r="A50" s="126">
        <f>IFERROR(__xludf.DUMMYFUNCTION("""COMPUTED_VALUE"""),99.0)</f>
        <v>99</v>
      </c>
      <c r="B50" s="126" t="str">
        <f>IFERROR(__xludf.DUMMYFUNCTION("""COMPUTED_VALUE"""),"An experience-based scheme for energy-SLA balance in cloud data centers")</f>
        <v>An experience-based scheme for energy-SLA balance in cloud data centers</v>
      </c>
      <c r="C50" s="127" t="str">
        <f>IFERROR(__xludf.DUMMYFUNCTION("""COMPUTED_VALUE"""),"https://ieeexplore.ieee.org/abstract/document/8641327/")</f>
        <v>https://ieeexplore.ieee.org/abstract/document/8641327/</v>
      </c>
      <c r="D50" s="126" t="str">
        <f>IFERROR(__xludf.DUMMYFUNCTION("""COMPUTED_VALUE"""),"X Zhou, K Li, C Liu, K Li")</f>
        <v>X Zhou, K Li, C Liu, K Li</v>
      </c>
      <c r="E50" s="126" t="str">
        <f>IFERROR(__xludf.DUMMYFUNCTION("""COMPUTED_VALUE"""),"Institute of Electrical and Electronics Engineers")</f>
        <v>Institute of Electrical and Electronics Engineers</v>
      </c>
      <c r="F50" s="126" t="str">
        <f>IFERROR(__xludf.DUMMYFUNCTION("""COMPUTED_VALUE"""),"IEEE Xplore")</f>
        <v>IEEE Xplore</v>
      </c>
      <c r="G50" s="128" t="str">
        <f>IFERROR(__xludf.DUMMYFUNCTION("""COMPUTED_VALUE"""),"J")</f>
        <v>J</v>
      </c>
      <c r="H50" s="129">
        <f>IFERROR(__xludf.DUMMYFUNCTION("""COMPUTED_VALUE"""),2019.0)</f>
        <v>2019</v>
      </c>
      <c r="I50" s="130">
        <f>IFERROR(__xludf.DUMMYFUNCTION("""COMPUTED_VALUE"""),1.0)</f>
        <v>1</v>
      </c>
      <c r="J50" s="129">
        <f>IFERROR(__xludf.DUMMYFUNCTION("""COMPUTED_VALUE"""),1.0)</f>
        <v>1</v>
      </c>
      <c r="K50" s="130">
        <f>IFERROR(__xludf.DUMMYFUNCTION("""COMPUTED_VALUE"""),1.0)</f>
        <v>1</v>
      </c>
      <c r="L50" s="130">
        <f>IFERROR(__xludf.DUMMYFUNCTION("""COMPUTED_VALUE"""),1.0)</f>
        <v>1</v>
      </c>
      <c r="M50" s="130">
        <f>IFERROR(__xludf.DUMMYFUNCTION("""COMPUTED_VALUE"""),1.0)</f>
        <v>1</v>
      </c>
      <c r="N50" s="130">
        <f>IFERROR(__xludf.DUMMYFUNCTION("""COMPUTED_VALUE"""),0.0)</f>
        <v>0</v>
      </c>
      <c r="O50" s="130">
        <f>IFERROR(__xludf.DUMMYFUNCTION("""COMPUTED_VALUE"""),0.0)</f>
        <v>0</v>
      </c>
      <c r="P50" s="130">
        <f>IFERROR(__xludf.DUMMYFUNCTION("""COMPUTED_VALUE"""),0.0)</f>
        <v>0</v>
      </c>
      <c r="Q50" s="130">
        <f>IFERROR(__xludf.DUMMYFUNCTION("""COMPUTED_VALUE"""),0.0)</f>
        <v>0</v>
      </c>
      <c r="R50" s="129">
        <f>IFERROR(__xludf.DUMMYFUNCTION("""COMPUTED_VALUE"""),0.0)</f>
        <v>0</v>
      </c>
      <c r="S50" s="129">
        <f>IFERROR(__xludf.DUMMYFUNCTION("""COMPUTED_VALUE"""),0.0)</f>
        <v>0</v>
      </c>
      <c r="T50" s="129">
        <f>IFERROR(__xludf.DUMMYFUNCTION("""COMPUTED_VALUE"""),0.0)</f>
        <v>0</v>
      </c>
      <c r="U50" s="129">
        <f>IFERROR(__xludf.DUMMYFUNCTION("""COMPUTED_VALUE"""),0.0)</f>
        <v>0</v>
      </c>
      <c r="V50" s="129">
        <f>IFERROR(__xludf.DUMMYFUNCTION("""COMPUTED_VALUE"""),0.0)</f>
        <v>0</v>
      </c>
      <c r="W50" s="126" t="str">
        <f>IFERROR(__xludf.DUMMYFUNCTION("""COMPUTED_VALUE"""),"Yes")</f>
        <v>Yes</v>
      </c>
      <c r="X50" s="126" t="str">
        <f>IFERROR(__xludf.DUMMYFUNCTION("""COMPUTED_VALUE"""),"Yes")</f>
        <v>Yes</v>
      </c>
      <c r="Y50" s="126" t="str">
        <f>IFERROR(__xludf.DUMMYFUNCTION("""COMPUTED_VALUE"""),"S")</f>
        <v>S</v>
      </c>
      <c r="Z50" s="126"/>
      <c r="AA50" s="126"/>
      <c r="AB50" s="126"/>
      <c r="AC50" s="126"/>
      <c r="AD50" s="126"/>
      <c r="AE50" s="126"/>
      <c r="AF50" s="126"/>
      <c r="AG50" s="126"/>
      <c r="AH50" s="126"/>
      <c r="AI50" s="126"/>
      <c r="AJ50" s="126"/>
    </row>
    <row r="51">
      <c r="A51" s="126">
        <f>IFERROR(__xludf.DUMMYFUNCTION("""COMPUTED_VALUE"""),100.0)</f>
        <v>100</v>
      </c>
      <c r="B51" s="126" t="str">
        <f>IFERROR(__xludf.DUMMYFUNCTION("""COMPUTED_VALUE"""),"Optimizing energy consumption for a performance-aware cloud data center in the public sector")</f>
        <v>Optimizing energy consumption for a performance-aware cloud data center in the public sector</v>
      </c>
      <c r="C51" s="127" t="str">
        <f>IFERROR(__xludf.DUMMYFUNCTION("""COMPUTED_VALUE"""),"https://www.sciencedirect.com/science/article/pii/S2210537917304043")</f>
        <v>https://www.sciencedirect.com/science/article/pii/S2210537917304043</v>
      </c>
      <c r="D51" s="126" t="str">
        <f>IFERROR(__xludf.DUMMYFUNCTION("""COMPUTED_VALUE"""),"K Chang, S Park, H Kong, W Kim")</f>
        <v>K Chang, S Park, H Kong, W Kim</v>
      </c>
      <c r="E51" s="126" t="str">
        <f>IFERROR(__xludf.DUMMYFUNCTION("""COMPUTED_VALUE"""),"Elsevier")</f>
        <v>Elsevier</v>
      </c>
      <c r="F51" s="126" t="str">
        <f>IFERROR(__xludf.DUMMYFUNCTION("""COMPUTED_VALUE"""),"Elsevier")</f>
        <v>Elsevier</v>
      </c>
      <c r="G51" s="128" t="str">
        <f>IFERROR(__xludf.DUMMYFUNCTION("""COMPUTED_VALUE"""),"J")</f>
        <v>J</v>
      </c>
      <c r="H51" s="130">
        <f>IFERROR(__xludf.DUMMYFUNCTION("""COMPUTED_VALUE"""),2018.0)</f>
        <v>2018</v>
      </c>
      <c r="I51" s="129">
        <f>IFERROR(__xludf.DUMMYFUNCTION("""COMPUTED_VALUE"""),1.0)</f>
        <v>1</v>
      </c>
      <c r="J51" s="130">
        <f>IFERROR(__xludf.DUMMYFUNCTION("""COMPUTED_VALUE"""),1.0)</f>
        <v>1</v>
      </c>
      <c r="K51" s="130">
        <f>IFERROR(__xludf.DUMMYFUNCTION("""COMPUTED_VALUE"""),1.0)</f>
        <v>1</v>
      </c>
      <c r="L51" s="130">
        <f>IFERROR(__xludf.DUMMYFUNCTION("""COMPUTED_VALUE"""),1.0)</f>
        <v>1</v>
      </c>
      <c r="M51" s="130">
        <f>IFERROR(__xludf.DUMMYFUNCTION("""COMPUTED_VALUE"""),1.0)</f>
        <v>1</v>
      </c>
      <c r="N51" s="130">
        <f>IFERROR(__xludf.DUMMYFUNCTION("""COMPUTED_VALUE"""),0.0)</f>
        <v>0</v>
      </c>
      <c r="O51" s="130">
        <f>IFERROR(__xludf.DUMMYFUNCTION("""COMPUTED_VALUE"""),0.0)</f>
        <v>0</v>
      </c>
      <c r="P51" s="130">
        <f>IFERROR(__xludf.DUMMYFUNCTION("""COMPUTED_VALUE"""),0.0)</f>
        <v>0</v>
      </c>
      <c r="Q51" s="130">
        <f>IFERROR(__xludf.DUMMYFUNCTION("""COMPUTED_VALUE"""),0.0)</f>
        <v>0</v>
      </c>
      <c r="R51" s="130">
        <f>IFERROR(__xludf.DUMMYFUNCTION("""COMPUTED_VALUE"""),0.0)</f>
        <v>0</v>
      </c>
      <c r="S51" s="130">
        <f>IFERROR(__xludf.DUMMYFUNCTION("""COMPUTED_VALUE"""),0.0)</f>
        <v>0</v>
      </c>
      <c r="T51" s="130">
        <f>IFERROR(__xludf.DUMMYFUNCTION("""COMPUTED_VALUE"""),0.0)</f>
        <v>0</v>
      </c>
      <c r="U51" s="130">
        <f>IFERROR(__xludf.DUMMYFUNCTION("""COMPUTED_VALUE"""),0.0)</f>
        <v>0</v>
      </c>
      <c r="V51" s="130">
        <f>IFERROR(__xludf.DUMMYFUNCTION("""COMPUTED_VALUE"""),0.0)</f>
        <v>0</v>
      </c>
      <c r="W51" s="131" t="str">
        <f>IFERROR(__xludf.DUMMYFUNCTION("""COMPUTED_VALUE"""),"Yes")</f>
        <v>Yes</v>
      </c>
      <c r="X51" s="131" t="str">
        <f>IFERROR(__xludf.DUMMYFUNCTION("""COMPUTED_VALUE"""),"Yes")</f>
        <v>Yes</v>
      </c>
      <c r="Y51" s="131" t="str">
        <f>IFERROR(__xludf.DUMMYFUNCTION("""COMPUTED_VALUE"""),"S")</f>
        <v>S</v>
      </c>
      <c r="Z51" s="131"/>
      <c r="AA51" s="131"/>
      <c r="AB51" s="131"/>
      <c r="AC51" s="131"/>
      <c r="AD51" s="131"/>
      <c r="AE51" s="131"/>
      <c r="AF51" s="131"/>
      <c r="AG51" s="131"/>
      <c r="AH51" s="131"/>
      <c r="AI51" s="131"/>
      <c r="AJ51" s="131"/>
    </row>
    <row r="52">
      <c r="A52" s="126">
        <f>IFERROR(__xludf.DUMMYFUNCTION("""COMPUTED_VALUE"""),101.0)</f>
        <v>101</v>
      </c>
      <c r="B52" s="126" t="str">
        <f>IFERROR(__xludf.DUMMYFUNCTION("""COMPUTED_VALUE"""),"Integrated network and hosts energy management for cloud data centers")</f>
        <v>Integrated network and hosts energy management for cloud data centers</v>
      </c>
      <c r="C52" s="127" t="str">
        <f>IFERROR(__xludf.DUMMYFUNCTION("""COMPUTED_VALUE"""),"https://onlinelibrary.wiley.com/doi/abs/10.1002/ett.3641")</f>
        <v>https://onlinelibrary.wiley.com/doi/abs/10.1002/ett.3641</v>
      </c>
      <c r="D52" s="131" t="str">
        <f>IFERROR(__xludf.DUMMYFUNCTION("""COMPUTED_VALUE"""),"O Al‐Jarrah, Z Al‐Zoubi, Y Jararweh")</f>
        <v>O Al‐Jarrah, Z Al‐Zoubi, Y Jararweh</v>
      </c>
      <c r="E52" s="131" t="str">
        <f>IFERROR(__xludf.DUMMYFUNCTION("""COMPUTED_VALUE"""),"Wiley Online Library")</f>
        <v>Wiley Online Library</v>
      </c>
      <c r="F52" s="126" t="str">
        <f>IFERROR(__xludf.DUMMYFUNCTION("""COMPUTED_VALUE"""),"Wiley")</f>
        <v>Wiley</v>
      </c>
      <c r="G52" s="132" t="str">
        <f>IFERROR(__xludf.DUMMYFUNCTION("""COMPUTED_VALUE"""),"J")</f>
        <v>J</v>
      </c>
      <c r="H52" s="130">
        <f>IFERROR(__xludf.DUMMYFUNCTION("""COMPUTED_VALUE"""),2019.0)</f>
        <v>2019</v>
      </c>
      <c r="I52" s="130">
        <f>IFERROR(__xludf.DUMMYFUNCTION("""COMPUTED_VALUE"""),1.0)</f>
        <v>1</v>
      </c>
      <c r="J52" s="130">
        <f>IFERROR(__xludf.DUMMYFUNCTION("""COMPUTED_VALUE"""),1.0)</f>
        <v>1</v>
      </c>
      <c r="K52" s="130">
        <f>IFERROR(__xludf.DUMMYFUNCTION("""COMPUTED_VALUE"""),1.0)</f>
        <v>1</v>
      </c>
      <c r="L52" s="129">
        <f>IFERROR(__xludf.DUMMYFUNCTION("""COMPUTED_VALUE"""),1.0)</f>
        <v>1</v>
      </c>
      <c r="M52" s="130">
        <f>IFERROR(__xludf.DUMMYFUNCTION("""COMPUTED_VALUE"""),1.0)</f>
        <v>1</v>
      </c>
      <c r="N52" s="130">
        <f>IFERROR(__xludf.DUMMYFUNCTION("""COMPUTED_VALUE"""),0.0)</f>
        <v>0</v>
      </c>
      <c r="O52" s="130">
        <f>IFERROR(__xludf.DUMMYFUNCTION("""COMPUTED_VALUE"""),0.0)</f>
        <v>0</v>
      </c>
      <c r="P52" s="130">
        <f>IFERROR(__xludf.DUMMYFUNCTION("""COMPUTED_VALUE"""),0.0)</f>
        <v>0</v>
      </c>
      <c r="Q52" s="130">
        <f>IFERROR(__xludf.DUMMYFUNCTION("""COMPUTED_VALUE"""),0.0)</f>
        <v>0</v>
      </c>
      <c r="R52" s="130">
        <f>IFERROR(__xludf.DUMMYFUNCTION("""COMPUTED_VALUE"""),0.0)</f>
        <v>0</v>
      </c>
      <c r="S52" s="130">
        <f>IFERROR(__xludf.DUMMYFUNCTION("""COMPUTED_VALUE"""),0.0)</f>
        <v>0</v>
      </c>
      <c r="T52" s="130">
        <f>IFERROR(__xludf.DUMMYFUNCTION("""COMPUTED_VALUE"""),0.0)</f>
        <v>0</v>
      </c>
      <c r="U52" s="130">
        <f>IFERROR(__xludf.DUMMYFUNCTION("""COMPUTED_VALUE"""),0.0)</f>
        <v>0</v>
      </c>
      <c r="V52" s="130">
        <f>IFERROR(__xludf.DUMMYFUNCTION("""COMPUTED_VALUE"""),0.0)</f>
        <v>0</v>
      </c>
      <c r="W52" s="131" t="str">
        <f>IFERROR(__xludf.DUMMYFUNCTION("""COMPUTED_VALUE"""),"Yes")</f>
        <v>Yes</v>
      </c>
      <c r="X52" s="131" t="str">
        <f>IFERROR(__xludf.DUMMYFUNCTION("""COMPUTED_VALUE"""),"Yes")</f>
        <v>Yes</v>
      </c>
      <c r="Y52" s="131" t="str">
        <f>IFERROR(__xludf.DUMMYFUNCTION("""COMPUTED_VALUE"""),"S")</f>
        <v>S</v>
      </c>
      <c r="Z52" s="131"/>
      <c r="AA52" s="131"/>
      <c r="AB52" s="131"/>
      <c r="AC52" s="131"/>
      <c r="AD52" s="131"/>
      <c r="AE52" s="131"/>
      <c r="AF52" s="131"/>
      <c r="AG52" s="131"/>
      <c r="AH52" s="131"/>
      <c r="AI52" s="131"/>
      <c r="AJ52" s="131"/>
    </row>
    <row r="53">
      <c r="A53" s="126">
        <f>IFERROR(__xludf.DUMMYFUNCTION("""COMPUTED_VALUE"""),104.0)</f>
        <v>104</v>
      </c>
      <c r="B53" s="126" t="str">
        <f>IFERROR(__xludf.DUMMYFUNCTION("""COMPUTED_VALUE"""),"Energy-Efficient Stable and Balanced Task Scheduling in Data Centers")</f>
        <v>Energy-Efficient Stable and Balanced Task Scheduling in Data Centers</v>
      </c>
      <c r="C53" s="127" t="str">
        <f>IFERROR(__xludf.DUMMYFUNCTION("""COMPUTED_VALUE"""),"https://ieeexplore.ieee.org/abstract/document/9107482/")</f>
        <v>https://ieeexplore.ieee.org/abstract/document/9107482/</v>
      </c>
      <c r="D53" s="126" t="str">
        <f>IFERROR(__xludf.DUMMYFUNCTION("""COMPUTED_VALUE"""),"M Safavi, B Landfeldt")</f>
        <v>M Safavi, B Landfeldt</v>
      </c>
      <c r="E53" s="126" t="str">
        <f>IFERROR(__xludf.DUMMYFUNCTION("""COMPUTED_VALUE"""),"Institute of Electrical and Electronics Engineers")</f>
        <v>Institute of Electrical and Electronics Engineers</v>
      </c>
      <c r="F53" s="126" t="str">
        <f>IFERROR(__xludf.DUMMYFUNCTION("""COMPUTED_VALUE"""),"IEEE Xplore")</f>
        <v>IEEE Xplore</v>
      </c>
      <c r="G53" s="128" t="str">
        <f>IFERROR(__xludf.DUMMYFUNCTION("""COMPUTED_VALUE"""),"J")</f>
        <v>J</v>
      </c>
      <c r="H53" s="130">
        <f>IFERROR(__xludf.DUMMYFUNCTION("""COMPUTED_VALUE"""),2020.0)</f>
        <v>2020</v>
      </c>
      <c r="I53" s="129">
        <f>IFERROR(__xludf.DUMMYFUNCTION("""COMPUTED_VALUE"""),0.0)</f>
        <v>0</v>
      </c>
      <c r="J53" s="130"/>
      <c r="K53" s="130"/>
      <c r="L53" s="130"/>
      <c r="M53" s="130"/>
      <c r="N53" s="130"/>
      <c r="O53" s="130"/>
      <c r="P53" s="130"/>
      <c r="Q53" s="130"/>
      <c r="R53" s="129"/>
      <c r="S53" s="129"/>
      <c r="T53" s="129"/>
      <c r="U53" s="129"/>
      <c r="V53" s="129"/>
      <c r="W53" s="126" t="str">
        <f>IFERROR(__xludf.DUMMYFUNCTION("""COMPUTED_VALUE"""),"No")</f>
        <v>No</v>
      </c>
      <c r="X53" s="126" t="str">
        <f>IFERROR(__xludf.DUMMYFUNCTION("""COMPUTED_VALUE"""),"Yes")</f>
        <v>Yes</v>
      </c>
      <c r="Y53" s="126" t="str">
        <f>IFERROR(__xludf.DUMMYFUNCTION("""COMPUTED_VALUE"""),"S")</f>
        <v>S</v>
      </c>
      <c r="Z53" s="126" t="str">
        <f>IFERROR(__xludf.DUMMYFUNCTION("""COMPUTED_VALUE"""),"trade-off energy usage and server stability")</f>
        <v>trade-off energy usage and server stability</v>
      </c>
      <c r="AA53" s="126"/>
      <c r="AB53" s="126"/>
      <c r="AC53" s="126"/>
      <c r="AD53" s="126"/>
      <c r="AE53" s="126"/>
      <c r="AF53" s="126"/>
      <c r="AG53" s="126"/>
      <c r="AH53" s="126"/>
      <c r="AI53" s="126"/>
      <c r="AJ53" s="126"/>
    </row>
    <row r="54">
      <c r="A54" s="126">
        <f>IFERROR(__xludf.DUMMYFUNCTION("""COMPUTED_VALUE"""),105.0)</f>
        <v>105</v>
      </c>
      <c r="B54" s="126" t="str">
        <f>IFERROR(__xludf.DUMMYFUNCTION("""COMPUTED_VALUE"""),"EEUI: a new measure to monitor and manage energy efficiency in data centers")</f>
        <v>EEUI: a new measure to monitor and manage energy efficiency in data centers</v>
      </c>
      <c r="C54" s="127" t="str">
        <f>IFERROR(__xludf.DUMMYFUNCTION("""COMPUTED_VALUE"""),"https://www.emerald.com/insight/content/doi/10.1108/IJPPM-08-2016-0160/full/html")</f>
        <v>https://www.emerald.com/insight/content/doi/10.1108/IJPPM-08-2016-0160/full/html</v>
      </c>
      <c r="D54" s="131" t="str">
        <f>IFERROR(__xludf.DUMMYFUNCTION("""COMPUTED_VALUE"""),"F Abaunza, AP Hameri, T Niemi")</f>
        <v>F Abaunza, AP Hameri, T Niemi</v>
      </c>
      <c r="E54" s="131" t="str">
        <f>IFERROR(__xludf.DUMMYFUNCTION("""COMPUTED_VALUE"""),"International Journal of Productivity and Performance Management")</f>
        <v>International Journal of Productivity and Performance Management</v>
      </c>
      <c r="F54" s="126" t="str">
        <f>IFERROR(__xludf.DUMMYFUNCTION("""COMPUTED_VALUE"""),"IJPPM")</f>
        <v>IJPPM</v>
      </c>
      <c r="G54" s="128" t="str">
        <f>IFERROR(__xludf.DUMMYFUNCTION("""COMPUTED_VALUE"""),"J")</f>
        <v>J</v>
      </c>
      <c r="H54" s="130">
        <f>IFERROR(__xludf.DUMMYFUNCTION("""COMPUTED_VALUE"""),2018.0)</f>
        <v>2018</v>
      </c>
      <c r="I54" s="130">
        <f>IFERROR(__xludf.DUMMYFUNCTION("""COMPUTED_VALUE"""),1.0)</f>
        <v>1</v>
      </c>
      <c r="J54" s="130">
        <f>IFERROR(__xludf.DUMMYFUNCTION("""COMPUTED_VALUE"""),1.0)</f>
        <v>1</v>
      </c>
      <c r="K54" s="130">
        <f>IFERROR(__xludf.DUMMYFUNCTION("""COMPUTED_VALUE"""),1.0)</f>
        <v>1</v>
      </c>
      <c r="L54" s="129">
        <f>IFERROR(__xludf.DUMMYFUNCTION("""COMPUTED_VALUE"""),1.0)</f>
        <v>1</v>
      </c>
      <c r="M54" s="130">
        <f>IFERROR(__xludf.DUMMYFUNCTION("""COMPUTED_VALUE"""),1.0)</f>
        <v>1</v>
      </c>
      <c r="N54" s="130">
        <f>IFERROR(__xludf.DUMMYFUNCTION("""COMPUTED_VALUE"""),0.0)</f>
        <v>0</v>
      </c>
      <c r="O54" s="130">
        <f>IFERROR(__xludf.DUMMYFUNCTION("""COMPUTED_VALUE"""),0.0)</f>
        <v>0</v>
      </c>
      <c r="P54" s="130">
        <f>IFERROR(__xludf.DUMMYFUNCTION("""COMPUTED_VALUE"""),0.0)</f>
        <v>0</v>
      </c>
      <c r="Q54" s="130">
        <f>IFERROR(__xludf.DUMMYFUNCTION("""COMPUTED_VALUE"""),0.0)</f>
        <v>0</v>
      </c>
      <c r="R54" s="130">
        <f>IFERROR(__xludf.DUMMYFUNCTION("""COMPUTED_VALUE"""),0.0)</f>
        <v>0</v>
      </c>
      <c r="S54" s="130">
        <f>IFERROR(__xludf.DUMMYFUNCTION("""COMPUTED_VALUE"""),0.0)</f>
        <v>0</v>
      </c>
      <c r="T54" s="130">
        <f>IFERROR(__xludf.DUMMYFUNCTION("""COMPUTED_VALUE"""),0.0)</f>
        <v>0</v>
      </c>
      <c r="U54" s="130">
        <f>IFERROR(__xludf.DUMMYFUNCTION("""COMPUTED_VALUE"""),0.0)</f>
        <v>0</v>
      </c>
      <c r="V54" s="130">
        <f>IFERROR(__xludf.DUMMYFUNCTION("""COMPUTED_VALUE"""),0.0)</f>
        <v>0</v>
      </c>
      <c r="W54" s="131" t="str">
        <f>IFERROR(__xludf.DUMMYFUNCTION("""COMPUTED_VALUE"""),"Yes")</f>
        <v>Yes</v>
      </c>
      <c r="X54" s="131" t="str">
        <f>IFERROR(__xludf.DUMMYFUNCTION("""COMPUTED_VALUE"""),"Yes")</f>
        <v>Yes</v>
      </c>
      <c r="Y54" s="131" t="str">
        <f>IFERROR(__xludf.DUMMYFUNCTION("""COMPUTED_VALUE"""),"F")</f>
        <v>F</v>
      </c>
      <c r="Z54" s="131" t="str">
        <f>IFERROR(__xludf.DUMMYFUNCTION("""COMPUTED_VALUE"""),"relies on operations mgmt, but does present new measure")</f>
        <v>relies on operations mgmt, but does present new measure</v>
      </c>
      <c r="AA54" s="131"/>
      <c r="AB54" s="131"/>
      <c r="AC54" s="131"/>
      <c r="AD54" s="131"/>
      <c r="AE54" s="131"/>
      <c r="AF54" s="131"/>
      <c r="AG54" s="131"/>
      <c r="AH54" s="131"/>
      <c r="AI54" s="131"/>
      <c r="AJ54" s="131"/>
    </row>
    <row r="55">
      <c r="A55" s="126">
        <f>IFERROR(__xludf.DUMMYFUNCTION("""COMPUTED_VALUE"""),109.0)</f>
        <v>109</v>
      </c>
      <c r="B55" s="126" t="str">
        <f>IFERROR(__xludf.DUMMYFUNCTION("""COMPUTED_VALUE"""),"Reducing energy bill of data center via flexible partial execution")</f>
        <v>Reducing energy bill of data center via flexible partial execution</v>
      </c>
      <c r="C55" s="127" t="str">
        <f>IFERROR(__xludf.DUMMYFUNCTION("""COMPUTED_VALUE"""),"https://link.springer.com/article/10.1007/s12652-018-1157-9")</f>
        <v>https://link.springer.com/article/10.1007/s12652-018-1157-9</v>
      </c>
      <c r="D55" s="126" t="str">
        <f>IFERROR(__xludf.DUMMYFUNCTION("""COMPUTED_VALUE"""),"S Wang, X Liu, S Jiang, Y Zhan")</f>
        <v>S Wang, X Liu, S Jiang, Y Zhan</v>
      </c>
      <c r="E55" s="126" t="str">
        <f>IFERROR(__xludf.DUMMYFUNCTION("""COMPUTED_VALUE"""),"Springer")</f>
        <v>Springer</v>
      </c>
      <c r="F55" s="126" t="str">
        <f>IFERROR(__xludf.DUMMYFUNCTION("""COMPUTED_VALUE"""),"Springer")</f>
        <v>Springer</v>
      </c>
      <c r="G55" s="128"/>
      <c r="H55" s="130">
        <f>IFERROR(__xludf.DUMMYFUNCTION("""COMPUTED_VALUE"""),2018.0)</f>
        <v>2018</v>
      </c>
      <c r="I55" s="130">
        <f>IFERROR(__xludf.DUMMYFUNCTION("""COMPUTED_VALUE"""),0.0)</f>
        <v>0</v>
      </c>
      <c r="J55" s="130"/>
      <c r="K55" s="130"/>
      <c r="L55" s="129"/>
      <c r="M55" s="130"/>
      <c r="N55" s="130"/>
      <c r="O55" s="130"/>
      <c r="P55" s="130"/>
      <c r="Q55" s="130"/>
      <c r="R55" s="130"/>
      <c r="S55" s="130"/>
      <c r="T55" s="130"/>
      <c r="U55" s="130"/>
      <c r="V55" s="130"/>
      <c r="W55" s="131" t="str">
        <f>IFERROR(__xludf.DUMMYFUNCTION("""COMPUTED_VALUE"""),"No")</f>
        <v>No</v>
      </c>
      <c r="X55" s="131" t="str">
        <f>IFERROR(__xludf.DUMMYFUNCTION("""COMPUTED_VALUE"""),"Yes")</f>
        <v>Yes</v>
      </c>
      <c r="Y55" s="131" t="str">
        <f>IFERROR(__xludf.DUMMYFUNCTION("""COMPUTED_VALUE"""),"F")</f>
        <v>F</v>
      </c>
      <c r="Z55" s="131" t="str">
        <f>IFERROR(__xludf.DUMMYFUNCTION("""COMPUTED_VALUE"""),"financial incentive")</f>
        <v>financial incentive</v>
      </c>
      <c r="AA55" s="131"/>
      <c r="AB55" s="131"/>
      <c r="AC55" s="131"/>
      <c r="AD55" s="131"/>
      <c r="AE55" s="131"/>
      <c r="AF55" s="131"/>
      <c r="AG55" s="131"/>
      <c r="AH55" s="131"/>
      <c r="AI55" s="131"/>
      <c r="AJ55" s="131"/>
    </row>
    <row r="56">
      <c r="A56" s="126">
        <f>IFERROR(__xludf.DUMMYFUNCTION("""COMPUTED_VALUE"""),110.0)</f>
        <v>110</v>
      </c>
      <c r="B56" s="126" t="str">
        <f>IFERROR(__xludf.DUMMYFUNCTION("""COMPUTED_VALUE"""),"Improving accuracy of temperature distribution and energy-saving technology of air conditioners in data centers")</f>
        <v>Improving accuracy of temperature distribution and energy-saving technology of air conditioners in data centers</v>
      </c>
      <c r="C56" s="127" t="str">
        <f>IFERROR(__xludf.DUMMYFUNCTION("""COMPUTED_VALUE"""),"https://ieeexplore.ieee.org/abstract/document/8329460/")</f>
        <v>https://ieeexplore.ieee.org/abstract/document/8329460/</v>
      </c>
      <c r="D56" s="131" t="str">
        <f>IFERROR(__xludf.DUMMYFUNCTION("""COMPUTED_VALUE"""),"K Sano, H Shimizu, Y Kondo…")</f>
        <v>K Sano, H Shimizu, Y Kondo…</v>
      </c>
      <c r="E56" s="131" t="str">
        <f>IFERROR(__xludf.DUMMYFUNCTION("""COMPUTED_VALUE"""),"Institute of Electrical and Electronics Engineers")</f>
        <v>Institute of Electrical and Electronics Engineers</v>
      </c>
      <c r="F56" s="126" t="str">
        <f>IFERROR(__xludf.DUMMYFUNCTION("""COMPUTED_VALUE"""),"IEEE Xplore")</f>
        <v>IEEE Xplore</v>
      </c>
      <c r="G56" s="132"/>
      <c r="H56" s="130">
        <f>IFERROR(__xludf.DUMMYFUNCTION("""COMPUTED_VALUE"""),2018.0)</f>
        <v>2018</v>
      </c>
      <c r="I56" s="130">
        <f>IFERROR(__xludf.DUMMYFUNCTION("""COMPUTED_VALUE"""),1.0)</f>
        <v>1</v>
      </c>
      <c r="J56" s="130"/>
      <c r="K56" s="130"/>
      <c r="L56" s="129"/>
      <c r="M56" s="130">
        <f>IFERROR(__xludf.DUMMYFUNCTION("""COMPUTED_VALUE"""),1.0)</f>
        <v>1</v>
      </c>
      <c r="N56" s="130"/>
      <c r="O56" s="130">
        <f>IFERROR(__xludf.DUMMYFUNCTION("""COMPUTED_VALUE"""),1.0)</f>
        <v>1</v>
      </c>
      <c r="P56" s="130"/>
      <c r="Q56" s="130">
        <f>IFERROR(__xludf.DUMMYFUNCTION("""COMPUTED_VALUE"""),0.0)</f>
        <v>0</v>
      </c>
      <c r="R56" s="130">
        <f>IFERROR(__xludf.DUMMYFUNCTION("""COMPUTED_VALUE"""),0.0)</f>
        <v>0</v>
      </c>
      <c r="S56" s="130">
        <f>IFERROR(__xludf.DUMMYFUNCTION("""COMPUTED_VALUE"""),0.0)</f>
        <v>0</v>
      </c>
      <c r="T56" s="130">
        <f>IFERROR(__xludf.DUMMYFUNCTION("""COMPUTED_VALUE"""),0.0)</f>
        <v>0</v>
      </c>
      <c r="U56" s="130">
        <f>IFERROR(__xludf.DUMMYFUNCTION("""COMPUTED_VALUE"""),0.0)</f>
        <v>0</v>
      </c>
      <c r="V56" s="130">
        <f>IFERROR(__xludf.DUMMYFUNCTION("""COMPUTED_VALUE"""),0.0)</f>
        <v>0</v>
      </c>
      <c r="W56" s="131" t="str">
        <f>IFERROR(__xludf.DUMMYFUNCTION("""COMPUTED_VALUE"""),"No")</f>
        <v>No</v>
      </c>
      <c r="X56" s="131" t="str">
        <f>IFERROR(__xludf.DUMMYFUNCTION("""COMPUTED_VALUE"""),"Yes")</f>
        <v>Yes</v>
      </c>
      <c r="Y56" s="131" t="str">
        <f>IFERROR(__xludf.DUMMYFUNCTION("""COMPUTED_VALUE"""),"F")</f>
        <v>F</v>
      </c>
      <c r="Z56" s="131" t="str">
        <f>IFERROR(__xludf.DUMMYFUNCTION("""COMPUTED_VALUE"""),"air-conditioning")</f>
        <v>air-conditioning</v>
      </c>
      <c r="AA56" s="131"/>
      <c r="AB56" s="131"/>
      <c r="AC56" s="131"/>
      <c r="AD56" s="131"/>
      <c r="AE56" s="131"/>
      <c r="AF56" s="131"/>
      <c r="AG56" s="131"/>
      <c r="AH56" s="131"/>
      <c r="AI56" s="131"/>
      <c r="AJ56" s="131"/>
    </row>
    <row r="57">
      <c r="A57" s="126">
        <f>IFERROR(__xludf.DUMMYFUNCTION("""COMPUTED_VALUE"""),115.0)</f>
        <v>115</v>
      </c>
      <c r="B57" s="126" t="str">
        <f>IFERROR(__xludf.DUMMYFUNCTION("""COMPUTED_VALUE"""),"Energy Consumption Estimation Framework at Source Level for Data Centers")</f>
        <v>Energy Consumption Estimation Framework at Source Level for Data Centers</v>
      </c>
      <c r="C57" s="127" t="str">
        <f>IFERROR(__xludf.DUMMYFUNCTION("""COMPUTED_VALUE"""),"https://papers.ssrn.com/sol3/papers.cfm?abstract_id=3419260")</f>
        <v>https://papers.ssrn.com/sol3/papers.cfm?abstract_id=3419260</v>
      </c>
      <c r="D57" s="126" t="str">
        <f>IFERROR(__xludf.DUMMYFUNCTION("""COMPUTED_VALUE"""),"M Hingamire, R Vadali")</f>
        <v>M Hingamire, R Vadali</v>
      </c>
      <c r="E57" s="127" t="str">
        <f>IFERROR(__xludf.DUMMYFUNCTION("""COMPUTED_VALUE"""),"papers.ssrn.com")</f>
        <v>papers.ssrn.com</v>
      </c>
      <c r="F57" s="127" t="str">
        <f>IFERROR(__xludf.DUMMYFUNCTION("""COMPUTED_VALUE"""),"papers.ssrn.com")</f>
        <v>papers.ssrn.com</v>
      </c>
      <c r="G57" s="128"/>
      <c r="H57" s="130">
        <f>IFERROR(__xludf.DUMMYFUNCTION("""COMPUTED_VALUE"""),2019.0)</f>
        <v>2019</v>
      </c>
      <c r="I57" s="130"/>
      <c r="J57" s="130"/>
      <c r="K57" s="130"/>
      <c r="L57" s="129"/>
      <c r="M57" s="130"/>
      <c r="N57" s="130">
        <f>IFERROR(__xludf.DUMMYFUNCTION("""COMPUTED_VALUE"""),1.0)</f>
        <v>1</v>
      </c>
      <c r="O57" s="130"/>
      <c r="P57" s="130"/>
      <c r="Q57" s="130"/>
      <c r="R57" s="130"/>
      <c r="S57" s="130"/>
      <c r="T57" s="130"/>
      <c r="U57" s="130"/>
      <c r="V57" s="130"/>
      <c r="W57" s="131" t="str">
        <f>IFERROR(__xludf.DUMMYFUNCTION("""COMPUTED_VALUE"""),"No")</f>
        <v>No</v>
      </c>
      <c r="X57" s="131" t="str">
        <f>IFERROR(__xludf.DUMMYFUNCTION("""COMPUTED_VALUE"""),"Yes")</f>
        <v>Yes</v>
      </c>
      <c r="Y57" s="131" t="str">
        <f>IFERROR(__xludf.DUMMYFUNCTION("""COMPUTED_VALUE"""),"F")</f>
        <v>F</v>
      </c>
      <c r="Z57" s="131" t="str">
        <f>IFERROR(__xludf.DUMMYFUNCTION("""COMPUTED_VALUE"""),"comparing local machine &amp; cloud")</f>
        <v>comparing local machine &amp; cloud</v>
      </c>
      <c r="AA57" s="131"/>
      <c r="AB57" s="131"/>
      <c r="AC57" s="131"/>
      <c r="AD57" s="131"/>
      <c r="AE57" s="131"/>
      <c r="AF57" s="131"/>
      <c r="AG57" s="131"/>
      <c r="AH57" s="131"/>
      <c r="AI57" s="131"/>
      <c r="AJ57" s="131"/>
    </row>
    <row r="58">
      <c r="A58" s="126">
        <f>IFERROR(__xludf.DUMMYFUNCTION("""COMPUTED_VALUE"""),116.0)</f>
        <v>116</v>
      </c>
      <c r="B58" s="126" t="str">
        <f>IFERROR(__xludf.DUMMYFUNCTION("""COMPUTED_VALUE"""),"Energy Efficient Virtual Machine Consolidation using DynamicThreshold in Cloud Data Centers")</f>
        <v>Energy Efficient Virtual Machine Consolidation using DynamicThreshold in Cloud Data Centers</v>
      </c>
      <c r="C58" s="127" t="str">
        <f>IFERROR(__xludf.DUMMYFUNCTION("""COMPUTED_VALUE"""),"http://www.ijrad.com/docs/v2n3/ncet18-3.pdf")</f>
        <v>http://www.ijrad.com/docs/v2n3/ncet18-3.pdf</v>
      </c>
      <c r="D58" s="126" t="str">
        <f>IFERROR(__xludf.DUMMYFUNCTION("""COMPUTED_VALUE"""),"T Sureshkumar, P Saveetha, M Vijayakumar")</f>
        <v>T Sureshkumar, P Saveetha, M Vijayakumar</v>
      </c>
      <c r="E58" s="126" t="str">
        <f>IFERROR(__xludf.DUMMYFUNCTION("""COMPUTED_VALUE"""),"International Journal of Research and Advanced Development")</f>
        <v>International Journal of Research and Advanced Development</v>
      </c>
      <c r="F58" s="126" t="str">
        <f>IFERROR(__xludf.DUMMYFUNCTION("""COMPUTED_VALUE"""),"IJRAD")</f>
        <v>IJRAD</v>
      </c>
      <c r="G58" s="128" t="str">
        <f>IFERROR(__xludf.DUMMYFUNCTION("""COMPUTED_VALUE"""),"J")</f>
        <v>J</v>
      </c>
      <c r="H58" s="130">
        <f>IFERROR(__xludf.DUMMYFUNCTION("""COMPUTED_VALUE"""),2018.0)</f>
        <v>2018</v>
      </c>
      <c r="I58" s="129">
        <f>IFERROR(__xludf.DUMMYFUNCTION("""COMPUTED_VALUE"""),1.0)</f>
        <v>1</v>
      </c>
      <c r="J58" s="130"/>
      <c r="K58" s="130"/>
      <c r="L58" s="130"/>
      <c r="M58" s="130"/>
      <c r="N58" s="130"/>
      <c r="O58" s="130"/>
      <c r="P58" s="130"/>
      <c r="Q58" s="130"/>
      <c r="R58" s="130"/>
      <c r="S58" s="130"/>
      <c r="T58" s="130"/>
      <c r="U58" s="130"/>
      <c r="V58" s="130"/>
      <c r="W58" s="131" t="str">
        <f>IFERROR(__xludf.DUMMYFUNCTION("""COMPUTED_VALUE"""),"No")</f>
        <v>No</v>
      </c>
      <c r="X58" s="131" t="str">
        <f>IFERROR(__xludf.DUMMYFUNCTION("""COMPUTED_VALUE"""),"Yes")</f>
        <v>Yes</v>
      </c>
      <c r="Y58" s="131" t="str">
        <f>IFERROR(__xludf.DUMMYFUNCTION("""COMPUTED_VALUE"""),"F")</f>
        <v>F</v>
      </c>
      <c r="Z58" s="131" t="str">
        <f>IFERROR(__xludf.DUMMYFUNCTION("""COMPUTED_VALUE"""),"return on investment focus: ""similar level of en. consumption""")</f>
        <v>return on investment focus: "similar level of en. consumption"</v>
      </c>
      <c r="AA58" s="131"/>
      <c r="AB58" s="131"/>
      <c r="AC58" s="131"/>
      <c r="AD58" s="131"/>
      <c r="AE58" s="131"/>
      <c r="AF58" s="131"/>
      <c r="AG58" s="131"/>
      <c r="AH58" s="131"/>
      <c r="AI58" s="131"/>
      <c r="AJ58" s="131"/>
    </row>
    <row r="59">
      <c r="A59" s="126">
        <f>IFERROR(__xludf.DUMMYFUNCTION("""COMPUTED_VALUE"""),119.0)</f>
        <v>119</v>
      </c>
      <c r="B59" s="126" t="str">
        <f>IFERROR(__xludf.DUMMYFUNCTION("""COMPUTED_VALUE"""),"CPicker: Leveraging Performance-Equivalent Configurations to Improve Data Center Energy Efficiency")</f>
        <v>CPicker: Leveraging Performance-Equivalent Configurations to Improve Data Center Energy Efficiency</v>
      </c>
      <c r="C59" s="127" t="str">
        <f>IFERROR(__xludf.DUMMYFUNCTION("""COMPUTED_VALUE"""),"https://link.springer.com/article/10.1007/s11390-018-1811-x")</f>
        <v>https://link.springer.com/article/10.1007/s11390-018-1811-x</v>
      </c>
      <c r="D59" s="131" t="str">
        <f>IFERROR(__xludf.DUMMYFUNCTION("""COMPUTED_VALUE"""),"FQ Sun, GH Yan, X He, HW Li, YH Han")</f>
        <v>FQ Sun, GH Yan, X He, HW Li, YH Han</v>
      </c>
      <c r="E59" s="131" t="str">
        <f>IFERROR(__xludf.DUMMYFUNCTION("""COMPUTED_VALUE"""),"Springer")</f>
        <v>Springer</v>
      </c>
      <c r="F59" s="126" t="str">
        <f>IFERROR(__xludf.DUMMYFUNCTION("""COMPUTED_VALUE"""),"Springer")</f>
        <v>Springer</v>
      </c>
      <c r="G59" s="128" t="str">
        <f>IFERROR(__xludf.DUMMYFUNCTION("""COMPUTED_VALUE"""),"J")</f>
        <v>J</v>
      </c>
      <c r="H59" s="130">
        <f>IFERROR(__xludf.DUMMYFUNCTION("""COMPUTED_VALUE"""),2018.0)</f>
        <v>2018</v>
      </c>
      <c r="I59" s="130">
        <f>IFERROR(__xludf.DUMMYFUNCTION("""COMPUTED_VALUE"""),1.0)</f>
        <v>1</v>
      </c>
      <c r="J59" s="130">
        <f>IFERROR(__xludf.DUMMYFUNCTION("""COMPUTED_VALUE"""),1.0)</f>
        <v>1</v>
      </c>
      <c r="K59" s="130">
        <f>IFERROR(__xludf.DUMMYFUNCTION("""COMPUTED_VALUE"""),1.0)</f>
        <v>1</v>
      </c>
      <c r="L59" s="129">
        <f>IFERROR(__xludf.DUMMYFUNCTION("""COMPUTED_VALUE"""),1.0)</f>
        <v>1</v>
      </c>
      <c r="M59" s="130">
        <f>IFERROR(__xludf.DUMMYFUNCTION("""COMPUTED_VALUE"""),1.0)</f>
        <v>1</v>
      </c>
      <c r="N59" s="130">
        <f>IFERROR(__xludf.DUMMYFUNCTION("""COMPUTED_VALUE"""),0.0)</f>
        <v>0</v>
      </c>
      <c r="O59" s="130">
        <f>IFERROR(__xludf.DUMMYFUNCTION("""COMPUTED_VALUE"""),0.0)</f>
        <v>0</v>
      </c>
      <c r="P59" s="130">
        <f>IFERROR(__xludf.DUMMYFUNCTION("""COMPUTED_VALUE"""),0.0)</f>
        <v>0</v>
      </c>
      <c r="Q59" s="130">
        <f>IFERROR(__xludf.DUMMYFUNCTION("""COMPUTED_VALUE"""),0.0)</f>
        <v>0</v>
      </c>
      <c r="R59" s="130">
        <f>IFERROR(__xludf.DUMMYFUNCTION("""COMPUTED_VALUE"""),0.0)</f>
        <v>0</v>
      </c>
      <c r="S59" s="130">
        <f>IFERROR(__xludf.DUMMYFUNCTION("""COMPUTED_VALUE"""),0.0)</f>
        <v>0</v>
      </c>
      <c r="T59" s="130">
        <f>IFERROR(__xludf.DUMMYFUNCTION("""COMPUTED_VALUE"""),0.0)</f>
        <v>0</v>
      </c>
      <c r="U59" s="130">
        <f>IFERROR(__xludf.DUMMYFUNCTION("""COMPUTED_VALUE"""),0.0)</f>
        <v>0</v>
      </c>
      <c r="V59" s="130">
        <f>IFERROR(__xludf.DUMMYFUNCTION("""COMPUTED_VALUE"""),0.0)</f>
        <v>0</v>
      </c>
      <c r="W59" s="131" t="str">
        <f>IFERROR(__xludf.DUMMYFUNCTION("""COMPUTED_VALUE"""),"Yes")</f>
        <v>Yes</v>
      </c>
      <c r="X59" s="131" t="str">
        <f>IFERROR(__xludf.DUMMYFUNCTION("""COMPUTED_VALUE"""),"Yes")</f>
        <v>Yes</v>
      </c>
      <c r="Y59" s="131" t="str">
        <f>IFERROR(__xludf.DUMMYFUNCTION("""COMPUTED_VALUE"""),"F")</f>
        <v>F</v>
      </c>
      <c r="Z59" s="131" t="str">
        <f>IFERROR(__xludf.DUMMYFUNCTION("""COMPUTED_VALUE"""),"algorithm to improve EE")</f>
        <v>algorithm to improve EE</v>
      </c>
      <c r="AA59" s="131"/>
      <c r="AB59" s="131"/>
      <c r="AC59" s="131"/>
      <c r="AD59" s="131"/>
      <c r="AE59" s="131"/>
      <c r="AF59" s="131"/>
      <c r="AG59" s="131"/>
      <c r="AH59" s="131"/>
      <c r="AI59" s="131"/>
      <c r="AJ59" s="131"/>
    </row>
    <row r="60">
      <c r="A60" s="126">
        <f>IFERROR(__xludf.DUMMYFUNCTION("""COMPUTED_VALUE"""),120.0)</f>
        <v>120</v>
      </c>
      <c r="B60" s="126" t="str">
        <f>IFERROR(__xludf.DUMMYFUNCTION("""COMPUTED_VALUE"""),"A simplified power consumption model of information technology (IT) equipment in data centers for energy system real-time dynamic simulation")</f>
        <v>A simplified power consumption model of information technology (IT) equipment in data centers for energy system real-time dynamic simulation</v>
      </c>
      <c r="C60" s="127" t="str">
        <f>IFERROR(__xludf.DUMMYFUNCTION("""COMPUTED_VALUE"""),"https://www.sciencedirect.com/science/article/pii/S0306261918304768")</f>
        <v>https://www.sciencedirect.com/science/article/pii/S0306261918304768</v>
      </c>
      <c r="D60" s="131" t="str">
        <f>IFERROR(__xludf.DUMMYFUNCTION("""COMPUTED_VALUE"""),"H Cheung, S Wang, C Zhuang, J Gu")</f>
        <v>H Cheung, S Wang, C Zhuang, J Gu</v>
      </c>
      <c r="E60" s="131" t="str">
        <f>IFERROR(__xludf.DUMMYFUNCTION("""COMPUTED_VALUE"""),"Elsevier")</f>
        <v>Elsevier</v>
      </c>
      <c r="F60" s="126" t="str">
        <f>IFERROR(__xludf.DUMMYFUNCTION("""COMPUTED_VALUE"""),"Elsevier")</f>
        <v>Elsevier</v>
      </c>
      <c r="G60" s="128" t="str">
        <f>IFERROR(__xludf.DUMMYFUNCTION("""COMPUTED_VALUE"""),"J")</f>
        <v>J</v>
      </c>
      <c r="H60" s="130">
        <f>IFERROR(__xludf.DUMMYFUNCTION("""COMPUTED_VALUE"""),2018.0)</f>
        <v>2018</v>
      </c>
      <c r="I60" s="130">
        <f>IFERROR(__xludf.DUMMYFUNCTION("""COMPUTED_VALUE"""),1.0)</f>
        <v>1</v>
      </c>
      <c r="J60" s="130">
        <f>IFERROR(__xludf.DUMMYFUNCTION("""COMPUTED_VALUE"""),1.0)</f>
        <v>1</v>
      </c>
      <c r="K60" s="130">
        <f>IFERROR(__xludf.DUMMYFUNCTION("""COMPUTED_VALUE"""),1.0)</f>
        <v>1</v>
      </c>
      <c r="L60" s="129">
        <f>IFERROR(__xludf.DUMMYFUNCTION("""COMPUTED_VALUE"""),1.0)</f>
        <v>1</v>
      </c>
      <c r="M60" s="130">
        <f>IFERROR(__xludf.DUMMYFUNCTION("""COMPUTED_VALUE"""),1.0)</f>
        <v>1</v>
      </c>
      <c r="N60" s="130">
        <f>IFERROR(__xludf.DUMMYFUNCTION("""COMPUTED_VALUE"""),0.0)</f>
        <v>0</v>
      </c>
      <c r="O60" s="129">
        <f>IFERROR(__xludf.DUMMYFUNCTION("""COMPUTED_VALUE"""),1.0)</f>
        <v>1</v>
      </c>
      <c r="P60" s="130">
        <f>IFERROR(__xludf.DUMMYFUNCTION("""COMPUTED_VALUE"""),0.0)</f>
        <v>0</v>
      </c>
      <c r="Q60" s="130">
        <f>IFERROR(__xludf.DUMMYFUNCTION("""COMPUTED_VALUE"""),0.0)</f>
        <v>0</v>
      </c>
      <c r="R60" s="129">
        <f>IFERROR(__xludf.DUMMYFUNCTION("""COMPUTED_VALUE"""),0.0)</f>
        <v>0</v>
      </c>
      <c r="S60" s="129">
        <f>IFERROR(__xludf.DUMMYFUNCTION("""COMPUTED_VALUE"""),0.0)</f>
        <v>0</v>
      </c>
      <c r="T60" s="129">
        <f>IFERROR(__xludf.DUMMYFUNCTION("""COMPUTED_VALUE"""),0.0)</f>
        <v>0</v>
      </c>
      <c r="U60" s="129">
        <f>IFERROR(__xludf.DUMMYFUNCTION("""COMPUTED_VALUE"""),0.0)</f>
        <v>0</v>
      </c>
      <c r="V60" s="129">
        <f>IFERROR(__xludf.DUMMYFUNCTION("""COMPUTED_VALUE"""),0.0)</f>
        <v>0</v>
      </c>
      <c r="W60" s="126" t="str">
        <f>IFERROR(__xludf.DUMMYFUNCTION("""COMPUTED_VALUE"""),"No")</f>
        <v>No</v>
      </c>
      <c r="X60" s="126" t="str">
        <f>IFERROR(__xludf.DUMMYFUNCTION("""COMPUTED_VALUE"""),"Yes")</f>
        <v>Yes</v>
      </c>
      <c r="Y60" s="126" t="str">
        <f>IFERROR(__xludf.DUMMYFUNCTION("""COMPUTED_VALUE"""),"F")</f>
        <v>F</v>
      </c>
      <c r="Z60" s="126" t="str">
        <f>IFERROR(__xludf.DUMMYFUNCTION("""COMPUTED_VALUE"""),"takes cooling (COP) into account")</f>
        <v>takes cooling (COP) into account</v>
      </c>
      <c r="AA60" s="126"/>
      <c r="AB60" s="126"/>
      <c r="AC60" s="126"/>
      <c r="AD60" s="126"/>
      <c r="AE60" s="126"/>
      <c r="AF60" s="126"/>
      <c r="AG60" s="126"/>
      <c r="AH60" s="126"/>
      <c r="AI60" s="126"/>
      <c r="AJ60" s="126"/>
    </row>
    <row r="61">
      <c r="A61" s="126">
        <f>IFERROR(__xludf.DUMMYFUNCTION("""COMPUTED_VALUE"""),121.0)</f>
        <v>121</v>
      </c>
      <c r="B61" s="126" t="str">
        <f>IFERROR(__xludf.DUMMYFUNCTION("""COMPUTED_VALUE"""),"An energy and performance aware consolidation technique for containerized datacenters")</f>
        <v>An energy and performance aware consolidation technique for containerized datacenters</v>
      </c>
      <c r="C61" s="127" t="str">
        <f>IFERROR(__xludf.DUMMYFUNCTION("""COMPUTED_VALUE"""),"https://ieeexplore.ieee.org/abstract/document/8731726/")</f>
        <v>https://ieeexplore.ieee.org/abstract/document/8731726/</v>
      </c>
      <c r="D61" s="131" t="str">
        <f>IFERROR(__xludf.DUMMYFUNCTION("""COMPUTED_VALUE"""),"AA Khan, M Zakarya, R Buyya, R Khan, M Khan, O Rana")</f>
        <v>AA Khan, M Zakarya, R Buyya, R Khan, M Khan, O Rana</v>
      </c>
      <c r="E61" s="131" t="str">
        <f>IFERROR(__xludf.DUMMYFUNCTION("""COMPUTED_VALUE"""),"Institute of Electrical and Electronics Engineers")</f>
        <v>Institute of Electrical and Electronics Engineers</v>
      </c>
      <c r="F61" s="126" t="str">
        <f>IFERROR(__xludf.DUMMYFUNCTION("""COMPUTED_VALUE"""),"IEEE Xplore")</f>
        <v>IEEE Xplore</v>
      </c>
      <c r="G61" s="128" t="str">
        <f>IFERROR(__xludf.DUMMYFUNCTION("""COMPUTED_VALUE"""),"J")</f>
        <v>J</v>
      </c>
      <c r="H61" s="130">
        <f>IFERROR(__xludf.DUMMYFUNCTION("""COMPUTED_VALUE"""),2019.0)</f>
        <v>2019</v>
      </c>
      <c r="I61" s="130">
        <f>IFERROR(__xludf.DUMMYFUNCTION("""COMPUTED_VALUE"""),1.0)</f>
        <v>1</v>
      </c>
      <c r="J61" s="130">
        <f>IFERROR(__xludf.DUMMYFUNCTION("""COMPUTED_VALUE"""),1.0)</f>
        <v>1</v>
      </c>
      <c r="K61" s="130">
        <f>IFERROR(__xludf.DUMMYFUNCTION("""COMPUTED_VALUE"""),1.0)</f>
        <v>1</v>
      </c>
      <c r="L61" s="129">
        <f>IFERROR(__xludf.DUMMYFUNCTION("""COMPUTED_VALUE"""),1.0)</f>
        <v>1</v>
      </c>
      <c r="M61" s="130">
        <f>IFERROR(__xludf.DUMMYFUNCTION("""COMPUTED_VALUE"""),1.0)</f>
        <v>1</v>
      </c>
      <c r="N61" s="130">
        <f>IFERROR(__xludf.DUMMYFUNCTION("""COMPUTED_VALUE"""),0.0)</f>
        <v>0</v>
      </c>
      <c r="O61" s="130">
        <f>IFERROR(__xludf.DUMMYFUNCTION("""COMPUTED_VALUE"""),0.0)</f>
        <v>0</v>
      </c>
      <c r="P61" s="130">
        <f>IFERROR(__xludf.DUMMYFUNCTION("""COMPUTED_VALUE"""),0.0)</f>
        <v>0</v>
      </c>
      <c r="Q61" s="130">
        <f>IFERROR(__xludf.DUMMYFUNCTION("""COMPUTED_VALUE"""),0.0)</f>
        <v>0</v>
      </c>
      <c r="R61" s="130">
        <f>IFERROR(__xludf.DUMMYFUNCTION("""COMPUTED_VALUE"""),0.0)</f>
        <v>0</v>
      </c>
      <c r="S61" s="130">
        <f>IFERROR(__xludf.DUMMYFUNCTION("""COMPUTED_VALUE"""),0.0)</f>
        <v>0</v>
      </c>
      <c r="T61" s="130">
        <f>IFERROR(__xludf.DUMMYFUNCTION("""COMPUTED_VALUE"""),0.0)</f>
        <v>0</v>
      </c>
      <c r="U61" s="130">
        <f>IFERROR(__xludf.DUMMYFUNCTION("""COMPUTED_VALUE"""),0.0)</f>
        <v>0</v>
      </c>
      <c r="V61" s="130">
        <f>IFERROR(__xludf.DUMMYFUNCTION("""COMPUTED_VALUE"""),0.0)</f>
        <v>0</v>
      </c>
      <c r="W61" s="131" t="str">
        <f>IFERROR(__xludf.DUMMYFUNCTION("""COMPUTED_VALUE"""),"Yes")</f>
        <v>Yes</v>
      </c>
      <c r="X61" s="131" t="str">
        <f>IFERROR(__xludf.DUMMYFUNCTION("""COMPUTED_VALUE"""),"Yes")</f>
        <v>Yes</v>
      </c>
      <c r="Y61" s="131" t="str">
        <f>IFERROR(__xludf.DUMMYFUNCTION("""COMPUTED_VALUE"""),"F")</f>
        <v>F</v>
      </c>
      <c r="Z61" s="131" t="str">
        <f>IFERROR(__xludf.DUMMYFUNCTION("""COMPUTED_VALUE"""),"algorithm for container allocation")</f>
        <v>algorithm for container allocation</v>
      </c>
      <c r="AA61" s="131"/>
      <c r="AB61" s="131"/>
      <c r="AC61" s="131"/>
      <c r="AD61" s="131"/>
      <c r="AE61" s="131"/>
      <c r="AF61" s="131"/>
      <c r="AG61" s="131"/>
      <c r="AH61" s="131"/>
      <c r="AI61" s="131"/>
      <c r="AJ61" s="131"/>
    </row>
    <row r="62">
      <c r="A62" s="126">
        <f>IFERROR(__xludf.DUMMYFUNCTION("""COMPUTED_VALUE"""),122.0)</f>
        <v>122</v>
      </c>
      <c r="B62" s="126" t="str">
        <f>IFERROR(__xludf.DUMMYFUNCTION("""COMPUTED_VALUE"""),"Energy-aware coflow and antenna scheduling for hybrid server-centric data center networks")</f>
        <v>Energy-aware coflow and antenna scheduling for hybrid server-centric data center networks</v>
      </c>
      <c r="C62" s="127" t="str">
        <f>IFERROR(__xludf.DUMMYFUNCTION("""COMPUTED_VALUE"""),"https://ieeexplore.ieee.org/abstract/document/8631005/")</f>
        <v>https://ieeexplore.ieee.org/abstract/document/8631005/</v>
      </c>
      <c r="D62" s="131" t="str">
        <f>IFERROR(__xludf.DUMMYFUNCTION("""COMPUTED_VALUE"""),"T Li, S Santini")</f>
        <v>T Li, S Santini</v>
      </c>
      <c r="E62" s="131" t="str">
        <f>IFERROR(__xludf.DUMMYFUNCTION("""COMPUTED_VALUE"""),"Institute of Electrical and Electronics Engineers")</f>
        <v>Institute of Electrical and Electronics Engineers</v>
      </c>
      <c r="F62" s="126" t="str">
        <f>IFERROR(__xludf.DUMMYFUNCTION("""COMPUTED_VALUE"""),"IEEE Xplore")</f>
        <v>IEEE Xplore</v>
      </c>
      <c r="G62" s="128" t="str">
        <f>IFERROR(__xludf.DUMMYFUNCTION("""COMPUTED_VALUE"""),"J")</f>
        <v>J</v>
      </c>
      <c r="H62" s="130">
        <f>IFERROR(__xludf.DUMMYFUNCTION("""COMPUTED_VALUE"""),2019.0)</f>
        <v>2019</v>
      </c>
      <c r="I62" s="130">
        <f>IFERROR(__xludf.DUMMYFUNCTION("""COMPUTED_VALUE"""),1.0)</f>
        <v>1</v>
      </c>
      <c r="J62" s="130">
        <f>IFERROR(__xludf.DUMMYFUNCTION("""COMPUTED_VALUE"""),1.0)</f>
        <v>1</v>
      </c>
      <c r="K62" s="130">
        <f>IFERROR(__xludf.DUMMYFUNCTION("""COMPUTED_VALUE"""),1.0)</f>
        <v>1</v>
      </c>
      <c r="L62" s="129">
        <f>IFERROR(__xludf.DUMMYFUNCTION("""COMPUTED_VALUE"""),1.0)</f>
        <v>1</v>
      </c>
      <c r="M62" s="130">
        <f>IFERROR(__xludf.DUMMYFUNCTION("""COMPUTED_VALUE"""),1.0)</f>
        <v>1</v>
      </c>
      <c r="N62" s="130">
        <f>IFERROR(__xludf.DUMMYFUNCTION("""COMPUTED_VALUE"""),0.0)</f>
        <v>0</v>
      </c>
      <c r="O62" s="130">
        <f>IFERROR(__xludf.DUMMYFUNCTION("""COMPUTED_VALUE"""),0.0)</f>
        <v>0</v>
      </c>
      <c r="P62" s="130">
        <f>IFERROR(__xludf.DUMMYFUNCTION("""COMPUTED_VALUE"""),0.0)</f>
        <v>0</v>
      </c>
      <c r="Q62" s="130">
        <f>IFERROR(__xludf.DUMMYFUNCTION("""COMPUTED_VALUE"""),0.0)</f>
        <v>0</v>
      </c>
      <c r="R62" s="130">
        <f>IFERROR(__xludf.DUMMYFUNCTION("""COMPUTED_VALUE"""),0.0)</f>
        <v>0</v>
      </c>
      <c r="S62" s="130">
        <f>IFERROR(__xludf.DUMMYFUNCTION("""COMPUTED_VALUE"""),0.0)</f>
        <v>0</v>
      </c>
      <c r="T62" s="130">
        <f>IFERROR(__xludf.DUMMYFUNCTION("""COMPUTED_VALUE"""),0.0)</f>
        <v>0</v>
      </c>
      <c r="U62" s="130">
        <f>IFERROR(__xludf.DUMMYFUNCTION("""COMPUTED_VALUE"""),0.0)</f>
        <v>0</v>
      </c>
      <c r="V62" s="130">
        <f>IFERROR(__xludf.DUMMYFUNCTION("""COMPUTED_VALUE"""),0.0)</f>
        <v>0</v>
      </c>
      <c r="W62" s="131" t="str">
        <f>IFERROR(__xludf.DUMMYFUNCTION("""COMPUTED_VALUE"""),"Yes")</f>
        <v>Yes</v>
      </c>
      <c r="X62" s="131" t="str">
        <f>IFERROR(__xludf.DUMMYFUNCTION("""COMPUTED_VALUE"""),"Yes")</f>
        <v>Yes</v>
      </c>
      <c r="Y62" s="131" t="str">
        <f>IFERROR(__xludf.DUMMYFUNCTION("""COMPUTED_VALUE"""),"F")</f>
        <v>F</v>
      </c>
      <c r="Z62" s="131" t="str">
        <f>IFERROR(__xludf.DUMMYFUNCTION("""COMPUTED_VALUE"""),"algorithm to improve coflow in DC")</f>
        <v>algorithm to improve coflow in DC</v>
      </c>
      <c r="AA62" s="131"/>
      <c r="AB62" s="131"/>
      <c r="AC62" s="131"/>
      <c r="AD62" s="131"/>
      <c r="AE62" s="131"/>
      <c r="AF62" s="131"/>
      <c r="AG62" s="131"/>
      <c r="AH62" s="131"/>
      <c r="AI62" s="131"/>
      <c r="AJ62" s="131"/>
    </row>
    <row r="63">
      <c r="A63" s="126">
        <f>IFERROR(__xludf.DUMMYFUNCTION("""COMPUTED_VALUE"""),123.0)</f>
        <v>123</v>
      </c>
      <c r="B63" s="126" t="str">
        <f>IFERROR(__xludf.DUMMYFUNCTION("""COMPUTED_VALUE"""),"A whale optimization system for energy-efficient container placement in data centers")</f>
        <v>A whale optimization system for energy-efficient container placement in data centers</v>
      </c>
      <c r="C63" s="127" t="str">
        <f>IFERROR(__xludf.DUMMYFUNCTION("""COMPUTED_VALUE"""),"https://www.sciencedirect.com/science/article/pii/S0957417420305431")</f>
        <v>https://www.sciencedirect.com/science/article/pii/S0957417420305431</v>
      </c>
      <c r="D63" s="126" t="str">
        <f>IFERROR(__xludf.DUMMYFUNCTION("""COMPUTED_VALUE"""),"A Al-Moalmi, J Luo, A Salah, K Li, L Yin")</f>
        <v>A Al-Moalmi, J Luo, A Salah, K Li, L Yin</v>
      </c>
      <c r="E63" s="126" t="str">
        <f>IFERROR(__xludf.DUMMYFUNCTION("""COMPUTED_VALUE"""),"Elsevier")</f>
        <v>Elsevier</v>
      </c>
      <c r="F63" s="126" t="str">
        <f>IFERROR(__xludf.DUMMYFUNCTION("""COMPUTED_VALUE"""),"Elsevier")</f>
        <v>Elsevier</v>
      </c>
      <c r="G63" s="128" t="str">
        <f>IFERROR(__xludf.DUMMYFUNCTION("""COMPUTED_VALUE"""),"J")</f>
        <v>J</v>
      </c>
      <c r="H63" s="130">
        <f>IFERROR(__xludf.DUMMYFUNCTION("""COMPUTED_VALUE"""),2021.0)</f>
        <v>2021</v>
      </c>
      <c r="I63" s="129">
        <f>IFERROR(__xludf.DUMMYFUNCTION("""COMPUTED_VALUE"""),1.0)</f>
        <v>1</v>
      </c>
      <c r="J63" s="130">
        <f>IFERROR(__xludf.DUMMYFUNCTION("""COMPUTED_VALUE"""),1.0)</f>
        <v>1</v>
      </c>
      <c r="K63" s="130">
        <f>IFERROR(__xludf.DUMMYFUNCTION("""COMPUTED_VALUE"""),1.0)</f>
        <v>1</v>
      </c>
      <c r="L63" s="130">
        <f>IFERROR(__xludf.DUMMYFUNCTION("""COMPUTED_VALUE"""),1.0)</f>
        <v>1</v>
      </c>
      <c r="M63" s="130">
        <f>IFERROR(__xludf.DUMMYFUNCTION("""COMPUTED_VALUE"""),1.0)</f>
        <v>1</v>
      </c>
      <c r="N63" s="130">
        <f>IFERROR(__xludf.DUMMYFUNCTION("""COMPUTED_VALUE"""),0.0)</f>
        <v>0</v>
      </c>
      <c r="O63" s="130">
        <f>IFERROR(__xludf.DUMMYFUNCTION("""COMPUTED_VALUE"""),0.0)</f>
        <v>0</v>
      </c>
      <c r="P63" s="130">
        <f>IFERROR(__xludf.DUMMYFUNCTION("""COMPUTED_VALUE"""),0.0)</f>
        <v>0</v>
      </c>
      <c r="Q63" s="130">
        <f>IFERROR(__xludf.DUMMYFUNCTION("""COMPUTED_VALUE"""),0.0)</f>
        <v>0</v>
      </c>
      <c r="R63" s="130">
        <f>IFERROR(__xludf.DUMMYFUNCTION("""COMPUTED_VALUE"""),0.0)</f>
        <v>0</v>
      </c>
      <c r="S63" s="130">
        <f>IFERROR(__xludf.DUMMYFUNCTION("""COMPUTED_VALUE"""),0.0)</f>
        <v>0</v>
      </c>
      <c r="T63" s="130">
        <f>IFERROR(__xludf.DUMMYFUNCTION("""COMPUTED_VALUE"""),0.0)</f>
        <v>0</v>
      </c>
      <c r="U63" s="130">
        <f>IFERROR(__xludf.DUMMYFUNCTION("""COMPUTED_VALUE"""),0.0)</f>
        <v>0</v>
      </c>
      <c r="V63" s="130">
        <f>IFERROR(__xludf.DUMMYFUNCTION("""COMPUTED_VALUE"""),0.0)</f>
        <v>0</v>
      </c>
      <c r="W63" s="131" t="str">
        <f>IFERROR(__xludf.DUMMYFUNCTION("""COMPUTED_VALUE"""),"Yes")</f>
        <v>Yes</v>
      </c>
      <c r="X63" s="131" t="str">
        <f>IFERROR(__xludf.DUMMYFUNCTION("""COMPUTED_VALUE"""),"Yes")</f>
        <v>Yes</v>
      </c>
      <c r="Y63" s="131" t="str">
        <f>IFERROR(__xludf.DUMMYFUNCTION("""COMPUTED_VALUE"""),"F")</f>
        <v>F</v>
      </c>
      <c r="Z63" s="131" t="str">
        <f>IFERROR(__xludf.DUMMYFUNCTION("""COMPUTED_VALUE"""),"finds best balance VM/CM for PC")</f>
        <v>finds best balance VM/CM for PC</v>
      </c>
      <c r="AA63" s="131"/>
      <c r="AB63" s="131"/>
      <c r="AC63" s="131"/>
      <c r="AD63" s="131"/>
      <c r="AE63" s="131"/>
      <c r="AF63" s="131"/>
      <c r="AG63" s="131"/>
      <c r="AH63" s="131"/>
      <c r="AI63" s="131"/>
      <c r="AJ63" s="131"/>
    </row>
    <row r="64">
      <c r="A64" s="126">
        <f>IFERROR(__xludf.DUMMYFUNCTION("""COMPUTED_VALUE"""),126.0)</f>
        <v>126</v>
      </c>
      <c r="B64" s="126" t="str">
        <f>IFERROR(__xludf.DUMMYFUNCTION("""COMPUTED_VALUE"""),"Sustainable Energy Consumption Modeling for Cloud Data Centers")</f>
        <v>Sustainable Energy Consumption Modeling for Cloud Data Centers</v>
      </c>
      <c r="C64" s="127" t="str">
        <f>IFERROR(__xludf.DUMMYFUNCTION("""COMPUTED_VALUE"""),"https://ieeexplore.ieee.org/abstract/document/9033927/")</f>
        <v>https://ieeexplore.ieee.org/abstract/document/9033927/</v>
      </c>
      <c r="D64" s="126" t="str">
        <f>IFERROR(__xludf.DUMMYFUNCTION("""COMPUTED_VALUE"""),"P Nehra, A Nagaraju")</f>
        <v>P Nehra, A Nagaraju</v>
      </c>
      <c r="E64" s="126" t="str">
        <f>IFERROR(__xludf.DUMMYFUNCTION("""COMPUTED_VALUE"""),"Institute of Electrical and Electronics Engineers")</f>
        <v>Institute of Electrical and Electronics Engineers</v>
      </c>
      <c r="F64" s="126" t="str">
        <f>IFERROR(__xludf.DUMMYFUNCTION("""COMPUTED_VALUE"""),"IEEE Xplore")</f>
        <v>IEEE Xplore</v>
      </c>
      <c r="G64" s="128"/>
      <c r="H64" s="130">
        <f>IFERROR(__xludf.DUMMYFUNCTION("""COMPUTED_VALUE"""),2019.0)</f>
        <v>2019</v>
      </c>
      <c r="I64" s="129">
        <f>IFERROR(__xludf.DUMMYFUNCTION("""COMPUTED_VALUE"""),0.0)</f>
        <v>0</v>
      </c>
      <c r="J64" s="130">
        <f>IFERROR(__xludf.DUMMYFUNCTION("""COMPUTED_VALUE"""),0.0)</f>
        <v>0</v>
      </c>
      <c r="K64" s="130">
        <f>IFERROR(__xludf.DUMMYFUNCTION("""COMPUTED_VALUE"""),1.0)</f>
        <v>1</v>
      </c>
      <c r="L64" s="130">
        <f>IFERROR(__xludf.DUMMYFUNCTION("""COMPUTED_VALUE"""),0.0)</f>
        <v>0</v>
      </c>
      <c r="M64" s="130">
        <f>IFERROR(__xludf.DUMMYFUNCTION("""COMPUTED_VALUE"""),1.0)</f>
        <v>1</v>
      </c>
      <c r="N64" s="130">
        <f>IFERROR(__xludf.DUMMYFUNCTION("""COMPUTED_VALUE"""),0.0)</f>
        <v>0</v>
      </c>
      <c r="O64" s="130">
        <f>IFERROR(__xludf.DUMMYFUNCTION("""COMPUTED_VALUE"""),0.0)</f>
        <v>0</v>
      </c>
      <c r="P64" s="130">
        <f>IFERROR(__xludf.DUMMYFUNCTION("""COMPUTED_VALUE"""),0.0)</f>
        <v>0</v>
      </c>
      <c r="Q64" s="130">
        <f>IFERROR(__xludf.DUMMYFUNCTION("""COMPUTED_VALUE"""),0.0)</f>
        <v>0</v>
      </c>
      <c r="R64" s="130">
        <f>IFERROR(__xludf.DUMMYFUNCTION("""COMPUTED_VALUE"""),0.0)</f>
        <v>0</v>
      </c>
      <c r="S64" s="130">
        <f>IFERROR(__xludf.DUMMYFUNCTION("""COMPUTED_VALUE"""),0.0)</f>
        <v>0</v>
      </c>
      <c r="T64" s="130">
        <f>IFERROR(__xludf.DUMMYFUNCTION("""COMPUTED_VALUE"""),0.0)</f>
        <v>0</v>
      </c>
      <c r="U64" s="130">
        <f>IFERROR(__xludf.DUMMYFUNCTION("""COMPUTED_VALUE"""),0.0)</f>
        <v>0</v>
      </c>
      <c r="V64" s="130">
        <f>IFERROR(__xludf.DUMMYFUNCTION("""COMPUTED_VALUE"""),0.0)</f>
        <v>0</v>
      </c>
      <c r="W64" s="131" t="str">
        <f>IFERROR(__xludf.DUMMYFUNCTION("""COMPUTED_VALUE"""),"No")</f>
        <v>No</v>
      </c>
      <c r="X64" s="131" t="str">
        <f>IFERROR(__xludf.DUMMYFUNCTION("""COMPUTED_VALUE"""),"Yes")</f>
        <v>Yes</v>
      </c>
      <c r="Y64" s="131" t="str">
        <f>IFERROR(__xludf.DUMMYFUNCTION("""COMPUTED_VALUE"""),"F")</f>
        <v>F</v>
      </c>
      <c r="Z64" s="131" t="str">
        <f>IFERROR(__xludf.DUMMYFUNCTION("""COMPUTED_VALUE"""),"new formula power consumption")</f>
        <v>new formula power consumption</v>
      </c>
      <c r="AA64" s="131"/>
      <c r="AB64" s="131"/>
      <c r="AC64" s="131"/>
      <c r="AD64" s="131"/>
      <c r="AE64" s="131"/>
      <c r="AF64" s="131"/>
      <c r="AG64" s="131"/>
      <c r="AH64" s="131"/>
      <c r="AI64" s="131"/>
      <c r="AJ64" s="131"/>
    </row>
    <row r="65">
      <c r="A65" s="126">
        <f>IFERROR(__xludf.DUMMYFUNCTION("""COMPUTED_VALUE"""),128.0)</f>
        <v>128</v>
      </c>
      <c r="B65" s="126" t="str">
        <f>IFERROR(__xludf.DUMMYFUNCTION("""COMPUTED_VALUE"""),"Energy-efficient Virtual Machine Allocation Technique Using Flower Pollination Algorithm in Cloud Datacenter: A Panacea to Green Computing")</f>
        <v>Energy-efficient Virtual Machine Allocation Technique Using Flower Pollination Algorithm in Cloud Datacenter: A Panacea to Green Computing</v>
      </c>
      <c r="C65" s="127" t="str">
        <f>IFERROR(__xludf.DUMMYFUNCTION("""COMPUTED_VALUE"""),"https://link.springer.com/content/pdf/10.1007/s42235-019-0030-7.pdf")</f>
        <v>https://link.springer.com/content/pdf/10.1007/s42235-019-0030-7.pdf</v>
      </c>
      <c r="D65" s="126" t="str">
        <f>IFERROR(__xludf.DUMMYFUNCTION("""COMPUTED_VALUE"""),"MJ Usman, AS Ismail, H Chizari, G Abdul-Salaam, AM Usman, AY Gital, O Kaiwartya, A Aliyu ")</f>
        <v>MJ Usman, AS Ismail, H Chizari, G Abdul-Salaam, AM Usman, AY Gital, O Kaiwartya, A Aliyu </v>
      </c>
      <c r="E65" s="126" t="str">
        <f>IFERROR(__xludf.DUMMYFUNCTION("""COMPUTED_VALUE"""),"Springer")</f>
        <v>Springer</v>
      </c>
      <c r="F65" s="126" t="str">
        <f>IFERROR(__xludf.DUMMYFUNCTION("""COMPUTED_VALUE"""),"Springer")</f>
        <v>Springer</v>
      </c>
      <c r="G65" s="128" t="str">
        <f>IFERROR(__xludf.DUMMYFUNCTION("""COMPUTED_VALUE"""),"J")</f>
        <v>J</v>
      </c>
      <c r="H65" s="130">
        <f>IFERROR(__xludf.DUMMYFUNCTION("""COMPUTED_VALUE"""),2019.0)</f>
        <v>2019</v>
      </c>
      <c r="I65" s="129">
        <f>IFERROR(__xludf.DUMMYFUNCTION("""COMPUTED_VALUE"""),1.0)</f>
        <v>1</v>
      </c>
      <c r="J65" s="130">
        <f>IFERROR(__xludf.DUMMYFUNCTION("""COMPUTED_VALUE"""),1.0)</f>
        <v>1</v>
      </c>
      <c r="K65" s="130">
        <f>IFERROR(__xludf.DUMMYFUNCTION("""COMPUTED_VALUE"""),1.0)</f>
        <v>1</v>
      </c>
      <c r="L65" s="130">
        <f>IFERROR(__xludf.DUMMYFUNCTION("""COMPUTED_VALUE"""),1.0)</f>
        <v>1</v>
      </c>
      <c r="M65" s="130">
        <f>IFERROR(__xludf.DUMMYFUNCTION("""COMPUTED_VALUE"""),1.0)</f>
        <v>1</v>
      </c>
      <c r="N65" s="130">
        <f>IFERROR(__xludf.DUMMYFUNCTION("""COMPUTED_VALUE"""),0.0)</f>
        <v>0</v>
      </c>
      <c r="O65" s="130">
        <f>IFERROR(__xludf.DUMMYFUNCTION("""COMPUTED_VALUE"""),0.0)</f>
        <v>0</v>
      </c>
      <c r="P65" s="130">
        <f>IFERROR(__xludf.DUMMYFUNCTION("""COMPUTED_VALUE"""),0.0)</f>
        <v>0</v>
      </c>
      <c r="Q65" s="130">
        <f>IFERROR(__xludf.DUMMYFUNCTION("""COMPUTED_VALUE"""),0.0)</f>
        <v>0</v>
      </c>
      <c r="R65" s="130">
        <f>IFERROR(__xludf.DUMMYFUNCTION("""COMPUTED_VALUE"""),0.0)</f>
        <v>0</v>
      </c>
      <c r="S65" s="130">
        <f>IFERROR(__xludf.DUMMYFUNCTION("""COMPUTED_VALUE"""),0.0)</f>
        <v>0</v>
      </c>
      <c r="T65" s="130">
        <f>IFERROR(__xludf.DUMMYFUNCTION("""COMPUTED_VALUE"""),0.0)</f>
        <v>0</v>
      </c>
      <c r="U65" s="130">
        <f>IFERROR(__xludf.DUMMYFUNCTION("""COMPUTED_VALUE"""),0.0)</f>
        <v>0</v>
      </c>
      <c r="V65" s="130">
        <f>IFERROR(__xludf.DUMMYFUNCTION("""COMPUTED_VALUE"""),0.0)</f>
        <v>0</v>
      </c>
      <c r="W65" s="131" t="str">
        <f>IFERROR(__xludf.DUMMYFUNCTION("""COMPUTED_VALUE"""),"Yes")</f>
        <v>Yes</v>
      </c>
      <c r="X65" s="131" t="str">
        <f>IFERROR(__xludf.DUMMYFUNCTION("""COMPUTED_VALUE"""),"Yes")</f>
        <v>Yes</v>
      </c>
      <c r="Y65" s="131" t="str">
        <f>IFERROR(__xludf.DUMMYFUNCTION("""COMPUTED_VALUE"""),"F")</f>
        <v>F</v>
      </c>
      <c r="Z65" s="131" t="str">
        <f>IFERROR(__xludf.DUMMYFUNCTION("""COMPUTED_VALUE"""),"Flower Pollination algorithm")</f>
        <v>Flower Pollination algorithm</v>
      </c>
      <c r="AA65" s="131"/>
      <c r="AB65" s="131"/>
      <c r="AC65" s="131"/>
      <c r="AD65" s="131"/>
      <c r="AE65" s="131"/>
      <c r="AF65" s="131"/>
      <c r="AG65" s="131"/>
      <c r="AH65" s="131"/>
      <c r="AI65" s="131"/>
      <c r="AJ65" s="131"/>
    </row>
    <row r="66">
      <c r="A66" s="126">
        <f>IFERROR(__xludf.DUMMYFUNCTION("""COMPUTED_VALUE"""),131.0)</f>
        <v>131</v>
      </c>
      <c r="B66" s="126" t="str">
        <f>IFERROR(__xludf.DUMMYFUNCTION("""COMPUTED_VALUE"""),"Heuristic attribute reduction and resource-saving algorithm for energy data of data centers")</f>
        <v>Heuristic attribute reduction and resource-saving algorithm for energy data of data centers</v>
      </c>
      <c r="C66" s="127" t="str">
        <f>IFERROR(__xludf.DUMMYFUNCTION("""COMPUTED_VALUE"""),"https://link.springer.com/article/10.1007/s10115-018-1288-5")</f>
        <v>https://link.springer.com/article/10.1007/s10115-018-1288-5</v>
      </c>
      <c r="D66" s="131" t="str">
        <f>IFERROR(__xludf.DUMMYFUNCTION("""COMPUTED_VALUE"""),"M Chen, J Yuan, L Li, D Liu, Y He")</f>
        <v>M Chen, J Yuan, L Li, D Liu, Y He</v>
      </c>
      <c r="E66" s="131" t="str">
        <f>IFERROR(__xludf.DUMMYFUNCTION("""COMPUTED_VALUE"""),"Springer")</f>
        <v>Springer</v>
      </c>
      <c r="F66" s="126" t="str">
        <f>IFERROR(__xludf.DUMMYFUNCTION("""COMPUTED_VALUE"""),"Springer")</f>
        <v>Springer</v>
      </c>
      <c r="G66" s="128" t="str">
        <f>IFERROR(__xludf.DUMMYFUNCTION("""COMPUTED_VALUE"""),"J")</f>
        <v>J</v>
      </c>
      <c r="H66" s="130">
        <f>IFERROR(__xludf.DUMMYFUNCTION("""COMPUTED_VALUE"""),2019.0)</f>
        <v>2019</v>
      </c>
      <c r="I66" s="129">
        <f>IFERROR(__xludf.DUMMYFUNCTION("""COMPUTED_VALUE"""),1.0)</f>
        <v>1</v>
      </c>
      <c r="J66" s="130">
        <f>IFERROR(__xludf.DUMMYFUNCTION("""COMPUTED_VALUE"""),1.0)</f>
        <v>1</v>
      </c>
      <c r="K66" s="130">
        <f>IFERROR(__xludf.DUMMYFUNCTION("""COMPUTED_VALUE"""),1.0)</f>
        <v>1</v>
      </c>
      <c r="L66" s="129">
        <f>IFERROR(__xludf.DUMMYFUNCTION("""COMPUTED_VALUE"""),1.0)</f>
        <v>1</v>
      </c>
      <c r="M66" s="130">
        <f>IFERROR(__xludf.DUMMYFUNCTION("""COMPUTED_VALUE"""),1.0)</f>
        <v>1</v>
      </c>
      <c r="N66" s="130">
        <f>IFERROR(__xludf.DUMMYFUNCTION("""COMPUTED_VALUE"""),0.0)</f>
        <v>0</v>
      </c>
      <c r="O66" s="130">
        <f>IFERROR(__xludf.DUMMYFUNCTION("""COMPUTED_VALUE"""),0.0)</f>
        <v>0</v>
      </c>
      <c r="P66" s="130">
        <f>IFERROR(__xludf.DUMMYFUNCTION("""COMPUTED_VALUE"""),0.0)</f>
        <v>0</v>
      </c>
      <c r="Q66" s="130">
        <f>IFERROR(__xludf.DUMMYFUNCTION("""COMPUTED_VALUE"""),0.0)</f>
        <v>0</v>
      </c>
      <c r="R66" s="130">
        <f>IFERROR(__xludf.DUMMYFUNCTION("""COMPUTED_VALUE"""),0.0)</f>
        <v>0</v>
      </c>
      <c r="S66" s="130">
        <f>IFERROR(__xludf.DUMMYFUNCTION("""COMPUTED_VALUE"""),0.0)</f>
        <v>0</v>
      </c>
      <c r="T66" s="130">
        <f>IFERROR(__xludf.DUMMYFUNCTION("""COMPUTED_VALUE"""),0.0)</f>
        <v>0</v>
      </c>
      <c r="U66" s="130">
        <f>IFERROR(__xludf.DUMMYFUNCTION("""COMPUTED_VALUE"""),0.0)</f>
        <v>0</v>
      </c>
      <c r="V66" s="130">
        <f>IFERROR(__xludf.DUMMYFUNCTION("""COMPUTED_VALUE"""),0.0)</f>
        <v>0</v>
      </c>
      <c r="W66" s="131" t="str">
        <f>IFERROR(__xludf.DUMMYFUNCTION("""COMPUTED_VALUE"""),"No")</f>
        <v>No</v>
      </c>
      <c r="X66" s="131" t="str">
        <f>IFERROR(__xludf.DUMMYFUNCTION("""COMPUTED_VALUE"""),"Yes")</f>
        <v>Yes</v>
      </c>
      <c r="Y66" s="131" t="str">
        <f>IFERROR(__xludf.DUMMYFUNCTION("""COMPUTED_VALUE"""),"F")</f>
        <v>F</v>
      </c>
      <c r="Z66" s="131" t="str">
        <f>IFERROR(__xludf.DUMMYFUNCTION("""COMPUTED_VALUE"""),"improves computational speed ")</f>
        <v>improves computational speed </v>
      </c>
      <c r="AA66" s="131"/>
      <c r="AB66" s="131"/>
      <c r="AC66" s="131"/>
      <c r="AD66" s="131"/>
      <c r="AE66" s="131"/>
      <c r="AF66" s="131"/>
      <c r="AG66" s="131"/>
      <c r="AH66" s="131"/>
      <c r="AI66" s="131"/>
      <c r="AJ66" s="131"/>
    </row>
    <row r="67">
      <c r="A67" s="126">
        <f>IFERROR(__xludf.DUMMYFUNCTION("""COMPUTED_VALUE"""),135.0)</f>
        <v>135</v>
      </c>
      <c r="B67" s="126" t="str">
        <f>IFERROR(__xludf.DUMMYFUNCTION("""COMPUTED_VALUE"""),"Energy Efficient Approach using Server Virtualization in Cloud Data Center")</f>
        <v>Energy Efficient Approach using Server Virtualization in Cloud Data Center</v>
      </c>
      <c r="C67" s="127" t="str">
        <f>IFERROR(__xludf.DUMMYFUNCTION("""COMPUTED_VALUE"""),"https://ieeexplore.ieee.org/abstract/document/8986732/")</f>
        <v>https://ieeexplore.ieee.org/abstract/document/8986732/</v>
      </c>
      <c r="D67" s="131" t="str">
        <f>IFERROR(__xludf.DUMMYFUNCTION("""COMPUTED_VALUE"""),"MSBM Desa, J Samuel, S Elango…")</f>
        <v>MSBM Desa, J Samuel, S Elango…</v>
      </c>
      <c r="E67" s="131" t="str">
        <f>IFERROR(__xludf.DUMMYFUNCTION("""COMPUTED_VALUE"""),"Institute of Electrical and Electronics Engineers")</f>
        <v>Institute of Electrical and Electronics Engineers</v>
      </c>
      <c r="F67" s="126" t="str">
        <f>IFERROR(__xludf.DUMMYFUNCTION("""COMPUTED_VALUE"""),"IEEE Xplore")</f>
        <v>IEEE Xplore</v>
      </c>
      <c r="G67" s="128" t="str">
        <f>IFERROR(__xludf.DUMMYFUNCTION("""COMPUTED_VALUE"""),"C")</f>
        <v>C</v>
      </c>
      <c r="H67" s="130">
        <f>IFERROR(__xludf.DUMMYFUNCTION("""COMPUTED_VALUE"""),2018.0)</f>
        <v>2018</v>
      </c>
      <c r="I67" s="130">
        <f>IFERROR(__xludf.DUMMYFUNCTION("""COMPUTED_VALUE"""),0.0)</f>
        <v>0</v>
      </c>
      <c r="J67" s="130"/>
      <c r="K67" s="130"/>
      <c r="L67" s="129"/>
      <c r="M67" s="130">
        <f>IFERROR(__xludf.DUMMYFUNCTION("""COMPUTED_VALUE"""),1.0)</f>
        <v>1</v>
      </c>
      <c r="N67" s="130">
        <f>IFERROR(__xludf.DUMMYFUNCTION("""COMPUTED_VALUE"""),0.0)</f>
        <v>0</v>
      </c>
      <c r="O67" s="130">
        <f>IFERROR(__xludf.DUMMYFUNCTION("""COMPUTED_VALUE"""),0.0)</f>
        <v>0</v>
      </c>
      <c r="P67" s="130">
        <f>IFERROR(__xludf.DUMMYFUNCTION("""COMPUTED_VALUE"""),0.0)</f>
        <v>0</v>
      </c>
      <c r="Q67" s="130">
        <f>IFERROR(__xludf.DUMMYFUNCTION("""COMPUTED_VALUE"""),0.0)</f>
        <v>0</v>
      </c>
      <c r="R67" s="129">
        <f>IFERROR(__xludf.DUMMYFUNCTION("""COMPUTED_VALUE"""),0.0)</f>
        <v>0</v>
      </c>
      <c r="S67" s="129">
        <f>IFERROR(__xludf.DUMMYFUNCTION("""COMPUTED_VALUE"""),0.0)</f>
        <v>0</v>
      </c>
      <c r="T67" s="129">
        <f>IFERROR(__xludf.DUMMYFUNCTION("""COMPUTED_VALUE"""),0.0)</f>
        <v>0</v>
      </c>
      <c r="U67" s="129">
        <f>IFERROR(__xludf.DUMMYFUNCTION("""COMPUTED_VALUE"""),0.0)</f>
        <v>0</v>
      </c>
      <c r="V67" s="129">
        <f>IFERROR(__xludf.DUMMYFUNCTION("""COMPUTED_VALUE"""),0.0)</f>
        <v>0</v>
      </c>
      <c r="W67" s="126" t="str">
        <f>IFERROR(__xludf.DUMMYFUNCTION("""COMPUTED_VALUE"""),"No")</f>
        <v>No</v>
      </c>
      <c r="X67" s="126" t="str">
        <f>IFERROR(__xludf.DUMMYFUNCTION("""COMPUTED_VALUE"""),"Yes")</f>
        <v>Yes</v>
      </c>
      <c r="Y67" s="126" t="str">
        <f>IFERROR(__xludf.DUMMYFUNCTION("""COMPUTED_VALUE"""),"F")</f>
        <v>F</v>
      </c>
      <c r="Z67" s="126" t="str">
        <f>IFERROR(__xludf.DUMMYFUNCTION("""COMPUTED_VALUE"""),"only identifies VM impacts on EE")</f>
        <v>only identifies VM impacts on EE</v>
      </c>
      <c r="AA67" s="126"/>
      <c r="AB67" s="126"/>
      <c r="AC67" s="126"/>
      <c r="AD67" s="126"/>
      <c r="AE67" s="126"/>
      <c r="AF67" s="126"/>
      <c r="AG67" s="126"/>
      <c r="AH67" s="126"/>
      <c r="AI67" s="126"/>
      <c r="AJ67" s="126"/>
    </row>
    <row r="68">
      <c r="A68" s="126">
        <f>IFERROR(__xludf.DUMMYFUNCTION("""COMPUTED_VALUE"""),136.0)</f>
        <v>136</v>
      </c>
      <c r="B68" s="126" t="str">
        <f>IFERROR(__xludf.DUMMYFUNCTION("""COMPUTED_VALUE"""),"Energy-efficient application assignment in profile-based data center management through a Repairing Genetic Algorithm")</f>
        <v>Energy-efficient application assignment in profile-based data center management through a Repairing Genetic Algorithm</v>
      </c>
      <c r="C68" s="127" t="str">
        <f>IFERROR(__xludf.DUMMYFUNCTION("""COMPUTED_VALUE"""),"https://www.sciencedirect.com/science/article/pii/S1568494618301327")</f>
        <v>https://www.sciencedirect.com/science/article/pii/S1568494618301327</v>
      </c>
      <c r="D68" s="131" t="str">
        <f>IFERROR(__xludf.DUMMYFUNCTION("""COMPUTED_VALUE"""),"M Vasudevan, YC Tian, M Tang, E Kozan, X Zhang")</f>
        <v>M Vasudevan, YC Tian, M Tang, E Kozan, X Zhang</v>
      </c>
      <c r="E68" s="131" t="str">
        <f>IFERROR(__xludf.DUMMYFUNCTION("""COMPUTED_VALUE"""),"Elsevier")</f>
        <v>Elsevier</v>
      </c>
      <c r="F68" s="126" t="str">
        <f>IFERROR(__xludf.DUMMYFUNCTION("""COMPUTED_VALUE"""),"Elsevier")</f>
        <v>Elsevier</v>
      </c>
      <c r="G68" s="128" t="str">
        <f>IFERROR(__xludf.DUMMYFUNCTION("""COMPUTED_VALUE"""),"J")</f>
        <v>J</v>
      </c>
      <c r="H68" s="130">
        <f>IFERROR(__xludf.DUMMYFUNCTION("""COMPUTED_VALUE"""),2018.0)</f>
        <v>2018</v>
      </c>
      <c r="I68" s="130">
        <f>IFERROR(__xludf.DUMMYFUNCTION("""COMPUTED_VALUE"""),1.0)</f>
        <v>1</v>
      </c>
      <c r="J68" s="130">
        <f>IFERROR(__xludf.DUMMYFUNCTION("""COMPUTED_VALUE"""),1.0)</f>
        <v>1</v>
      </c>
      <c r="K68" s="130">
        <f>IFERROR(__xludf.DUMMYFUNCTION("""COMPUTED_VALUE"""),1.0)</f>
        <v>1</v>
      </c>
      <c r="L68" s="129">
        <f>IFERROR(__xludf.DUMMYFUNCTION("""COMPUTED_VALUE"""),1.0)</f>
        <v>1</v>
      </c>
      <c r="M68" s="130">
        <f>IFERROR(__xludf.DUMMYFUNCTION("""COMPUTED_VALUE"""),1.0)</f>
        <v>1</v>
      </c>
      <c r="N68" s="130">
        <f>IFERROR(__xludf.DUMMYFUNCTION("""COMPUTED_VALUE"""),0.0)</f>
        <v>0</v>
      </c>
      <c r="O68" s="130">
        <f>IFERROR(__xludf.DUMMYFUNCTION("""COMPUTED_VALUE"""),0.0)</f>
        <v>0</v>
      </c>
      <c r="P68" s="130">
        <f>IFERROR(__xludf.DUMMYFUNCTION("""COMPUTED_VALUE"""),0.0)</f>
        <v>0</v>
      </c>
      <c r="Q68" s="130">
        <f>IFERROR(__xludf.DUMMYFUNCTION("""COMPUTED_VALUE"""),0.0)</f>
        <v>0</v>
      </c>
      <c r="R68" s="129">
        <f>IFERROR(__xludf.DUMMYFUNCTION("""COMPUTED_VALUE"""),0.0)</f>
        <v>0</v>
      </c>
      <c r="S68" s="129">
        <f>IFERROR(__xludf.DUMMYFUNCTION("""COMPUTED_VALUE"""),0.0)</f>
        <v>0</v>
      </c>
      <c r="T68" s="129">
        <f>IFERROR(__xludf.DUMMYFUNCTION("""COMPUTED_VALUE"""),0.0)</f>
        <v>0</v>
      </c>
      <c r="U68" s="129">
        <f>IFERROR(__xludf.DUMMYFUNCTION("""COMPUTED_VALUE"""),0.0)</f>
        <v>0</v>
      </c>
      <c r="V68" s="129">
        <f>IFERROR(__xludf.DUMMYFUNCTION("""COMPUTED_VALUE"""),0.0)</f>
        <v>0</v>
      </c>
      <c r="W68" s="126" t="str">
        <f>IFERROR(__xludf.DUMMYFUNCTION("""COMPUTED_VALUE"""),"Yes")</f>
        <v>Yes</v>
      </c>
      <c r="X68" s="126" t="str">
        <f>IFERROR(__xludf.DUMMYFUNCTION("""COMPUTED_VALUE"""),"Yes")</f>
        <v>Yes</v>
      </c>
      <c r="Y68" s="126" t="str">
        <f>IFERROR(__xludf.DUMMYFUNCTION("""COMPUTED_VALUE"""),"F")</f>
        <v>F</v>
      </c>
      <c r="Z68" s="126" t="str">
        <f>IFERROR(__xludf.DUMMYFUNCTION("""COMPUTED_VALUE"""),"app. assignment architecture ")</f>
        <v>app. assignment architecture </v>
      </c>
      <c r="AA68" s="126"/>
      <c r="AB68" s="126"/>
      <c r="AC68" s="126"/>
      <c r="AD68" s="126"/>
      <c r="AE68" s="126"/>
      <c r="AF68" s="126"/>
      <c r="AG68" s="126"/>
      <c r="AH68" s="126"/>
      <c r="AI68" s="126"/>
      <c r="AJ68" s="126"/>
    </row>
    <row r="69">
      <c r="A69" s="126">
        <f>IFERROR(__xludf.DUMMYFUNCTION("""COMPUTED_VALUE"""),137.0)</f>
        <v>137</v>
      </c>
      <c r="B69" s="126" t="str">
        <f>IFERROR(__xludf.DUMMYFUNCTION("""COMPUTED_VALUE"""),"Multi-objective optimization of energy saving control for air conditioning system in data center")</f>
        <v>Multi-objective optimization of energy saving control for air conditioning system in data center</v>
      </c>
      <c r="C69" s="127" t="str">
        <f>IFERROR(__xludf.DUMMYFUNCTION("""COMPUTED_VALUE"""),"https://www.mdpi.com/1996-1073/12/8/1474")</f>
        <v>https://www.mdpi.com/1996-1073/12/8/1474</v>
      </c>
      <c r="D69" s="126" t="str">
        <f>IFERROR(__xludf.DUMMYFUNCTION("""COMPUTED_VALUE"""),"L Yao, JH Huang")</f>
        <v>L Yao, JH Huang</v>
      </c>
      <c r="E69" s="126" t="str">
        <f>IFERROR(__xludf.DUMMYFUNCTION("""COMPUTED_VALUE"""),"Multidisciplinary Digital Publishing Institute")</f>
        <v>Multidisciplinary Digital Publishing Institute</v>
      </c>
      <c r="F69" s="126" t="str">
        <f>IFERROR(__xludf.DUMMYFUNCTION("""COMPUTED_VALUE"""),"MDPI")</f>
        <v>MDPI</v>
      </c>
      <c r="G69" s="128"/>
      <c r="H69" s="130">
        <f>IFERROR(__xludf.DUMMYFUNCTION("""COMPUTED_VALUE"""),2019.0)</f>
        <v>2019</v>
      </c>
      <c r="I69" s="130"/>
      <c r="J69" s="130"/>
      <c r="K69" s="130"/>
      <c r="L69" s="129"/>
      <c r="M69" s="130"/>
      <c r="N69" s="130"/>
      <c r="O69" s="130">
        <f>IFERROR(__xludf.DUMMYFUNCTION("""COMPUTED_VALUE"""),1.0)</f>
        <v>1</v>
      </c>
      <c r="P69" s="130"/>
      <c r="Q69" s="130"/>
      <c r="R69" s="130"/>
      <c r="S69" s="130"/>
      <c r="T69" s="130"/>
      <c r="U69" s="130"/>
      <c r="V69" s="130"/>
      <c r="W69" s="131" t="str">
        <f>IFERROR(__xludf.DUMMYFUNCTION("""COMPUTED_VALUE"""),"No")</f>
        <v>No</v>
      </c>
      <c r="X69" s="131" t="str">
        <f>IFERROR(__xludf.DUMMYFUNCTION("""COMPUTED_VALUE"""),"Yes")</f>
        <v>Yes</v>
      </c>
      <c r="Y69" s="131" t="str">
        <f>IFERROR(__xludf.DUMMYFUNCTION("""COMPUTED_VALUE"""),"F")</f>
        <v>F</v>
      </c>
      <c r="Z69" s="131" t="str">
        <f>IFERROR(__xludf.DUMMYFUNCTION("""COMPUTED_VALUE"""),"air-conditioning")</f>
        <v>air-conditioning</v>
      </c>
      <c r="AA69" s="131"/>
      <c r="AB69" s="131"/>
      <c r="AC69" s="131"/>
      <c r="AD69" s="131"/>
      <c r="AE69" s="131"/>
      <c r="AF69" s="131"/>
      <c r="AG69" s="131"/>
      <c r="AH69" s="131"/>
      <c r="AI69" s="131"/>
      <c r="AJ69" s="131"/>
    </row>
    <row r="70">
      <c r="A70" s="126">
        <f>IFERROR(__xludf.DUMMYFUNCTION("""COMPUTED_VALUE"""),140.0)</f>
        <v>140</v>
      </c>
      <c r="B70" s="126" t="str">
        <f>IFERROR(__xludf.DUMMYFUNCTION("""COMPUTED_VALUE"""),"An energy‐aware resource provisioning scheme for real‐time applications in a cloud data center")</f>
        <v>An energy‐aware resource provisioning scheme for real‐time applications in a cloud data center</v>
      </c>
      <c r="C70" s="127" t="str">
        <f>IFERROR(__xludf.DUMMYFUNCTION("""COMPUTED_VALUE"""),"https://onlinelibrary.wiley.com/doi/abs/10.1002/spe.2592")</f>
        <v>https://onlinelibrary.wiley.com/doi/abs/10.1002/spe.2592</v>
      </c>
      <c r="D70" s="126" t="str">
        <f>IFERROR(__xludf.DUMMYFUNCTION("""COMPUTED_VALUE"""),"HR Faragardi, S Dehnavi, T Nolte…")</f>
        <v>HR Faragardi, S Dehnavi, T Nolte…</v>
      </c>
      <c r="E70" s="126" t="str">
        <f>IFERROR(__xludf.DUMMYFUNCTION("""COMPUTED_VALUE"""),"Wiley Online Library")</f>
        <v>Wiley Online Library</v>
      </c>
      <c r="F70" s="126" t="str">
        <f>IFERROR(__xludf.DUMMYFUNCTION("""COMPUTED_VALUE"""),"Wiley")</f>
        <v>Wiley</v>
      </c>
      <c r="G70" s="128" t="str">
        <f>IFERROR(__xludf.DUMMYFUNCTION("""COMPUTED_VALUE"""),"J")</f>
        <v>J</v>
      </c>
      <c r="H70" s="130">
        <f>IFERROR(__xludf.DUMMYFUNCTION("""COMPUTED_VALUE"""),2018.0)</f>
        <v>2018</v>
      </c>
      <c r="I70" s="130">
        <f>IFERROR(__xludf.DUMMYFUNCTION("""COMPUTED_VALUE"""),1.0)</f>
        <v>1</v>
      </c>
      <c r="J70" s="130">
        <f>IFERROR(__xludf.DUMMYFUNCTION("""COMPUTED_VALUE"""),1.0)</f>
        <v>1</v>
      </c>
      <c r="K70" s="130">
        <f>IFERROR(__xludf.DUMMYFUNCTION("""COMPUTED_VALUE"""),1.0)</f>
        <v>1</v>
      </c>
      <c r="L70" s="129">
        <f>IFERROR(__xludf.DUMMYFUNCTION("""COMPUTED_VALUE"""),1.0)</f>
        <v>1</v>
      </c>
      <c r="M70" s="130">
        <f>IFERROR(__xludf.DUMMYFUNCTION("""COMPUTED_VALUE"""),1.0)</f>
        <v>1</v>
      </c>
      <c r="N70" s="130">
        <f>IFERROR(__xludf.DUMMYFUNCTION("""COMPUTED_VALUE"""),0.0)</f>
        <v>0</v>
      </c>
      <c r="O70" s="130">
        <f>IFERROR(__xludf.DUMMYFUNCTION("""COMPUTED_VALUE"""),1.0)</f>
        <v>1</v>
      </c>
      <c r="P70" s="130">
        <f>IFERROR(__xludf.DUMMYFUNCTION("""COMPUTED_VALUE"""),0.0)</f>
        <v>0</v>
      </c>
      <c r="Q70" s="130">
        <f>IFERROR(__xludf.DUMMYFUNCTION("""COMPUTED_VALUE"""),0.0)</f>
        <v>0</v>
      </c>
      <c r="R70" s="130">
        <f>IFERROR(__xludf.DUMMYFUNCTION("""COMPUTED_VALUE"""),0.0)</f>
        <v>0</v>
      </c>
      <c r="S70" s="130">
        <f>IFERROR(__xludf.DUMMYFUNCTION("""COMPUTED_VALUE"""),0.0)</f>
        <v>0</v>
      </c>
      <c r="T70" s="130">
        <f>IFERROR(__xludf.DUMMYFUNCTION("""COMPUTED_VALUE"""),0.0)</f>
        <v>0</v>
      </c>
      <c r="U70" s="130">
        <f>IFERROR(__xludf.DUMMYFUNCTION("""COMPUTED_VALUE"""),0.0)</f>
        <v>0</v>
      </c>
      <c r="V70" s="130">
        <f>IFERROR(__xludf.DUMMYFUNCTION("""COMPUTED_VALUE"""),0.0)</f>
        <v>0</v>
      </c>
      <c r="W70" s="131" t="str">
        <f>IFERROR(__xludf.DUMMYFUNCTION("""COMPUTED_VALUE"""),"No")</f>
        <v>No</v>
      </c>
      <c r="X70" s="131" t="str">
        <f>IFERROR(__xludf.DUMMYFUNCTION("""COMPUTED_VALUE"""),"Yes")</f>
        <v>Yes</v>
      </c>
      <c r="Y70" s="131" t="str">
        <f>IFERROR(__xludf.DUMMYFUNCTION("""COMPUTED_VALUE"""),"F")</f>
        <v>F</v>
      </c>
      <c r="Z70" s="131" t="str">
        <f>IFERROR(__xludf.DUMMYFUNCTION("""COMPUTED_VALUE"""),"cooling factor param. in algorithm")</f>
        <v>cooling factor param. in algorithm</v>
      </c>
      <c r="AA70" s="131"/>
      <c r="AB70" s="131"/>
      <c r="AC70" s="131"/>
      <c r="AD70" s="131"/>
      <c r="AE70" s="131"/>
      <c r="AF70" s="131"/>
      <c r="AG70" s="131"/>
      <c r="AH70" s="131"/>
      <c r="AI70" s="131"/>
      <c r="AJ70" s="131"/>
    </row>
    <row r="71">
      <c r="A71" s="126">
        <f>IFERROR(__xludf.DUMMYFUNCTION("""COMPUTED_VALUE"""),141.0)</f>
        <v>141</v>
      </c>
      <c r="B71" s="126" t="str">
        <f>IFERROR(__xludf.DUMMYFUNCTION("""COMPUTED_VALUE"""),"Joint minimization of the energy costs from computing, data transmission, and migrations in cloud data centers")</f>
        <v>Joint minimization of the energy costs from computing, data transmission, and migrations in cloud data centers</v>
      </c>
      <c r="C71" s="127" t="str">
        <f>IFERROR(__xludf.DUMMYFUNCTION("""COMPUTED_VALUE"""),"https://ieeexplore.ieee.org/abstract/document/8267099/")</f>
        <v>https://ieeexplore.ieee.org/abstract/document/8267099/</v>
      </c>
      <c r="D71" s="126" t="str">
        <f>IFERROR(__xludf.DUMMYFUNCTION("""COMPUTED_VALUE"""),"C Canali, L Chiaraviglio, R Lancellotti,  M Shojafar")</f>
        <v>C Canali, L Chiaraviglio, R Lancellotti,  M Shojafar</v>
      </c>
      <c r="E71" s="126" t="str">
        <f>IFERROR(__xludf.DUMMYFUNCTION("""COMPUTED_VALUE"""),"Institute of Electrical and Electronics Engineers")</f>
        <v>Institute of Electrical and Electronics Engineers</v>
      </c>
      <c r="F71" s="126" t="str">
        <f>IFERROR(__xludf.DUMMYFUNCTION("""COMPUTED_VALUE"""),"IEEE Xplore")</f>
        <v>IEEE Xplore</v>
      </c>
      <c r="G71" s="128" t="str">
        <f>IFERROR(__xludf.DUMMYFUNCTION("""COMPUTED_VALUE"""),"J")</f>
        <v>J</v>
      </c>
      <c r="H71" s="130">
        <f>IFERROR(__xludf.DUMMYFUNCTION("""COMPUTED_VALUE"""),2018.0)</f>
        <v>2018</v>
      </c>
      <c r="I71" s="130">
        <f>IFERROR(__xludf.DUMMYFUNCTION("""COMPUTED_VALUE"""),1.0)</f>
        <v>1</v>
      </c>
      <c r="J71" s="130">
        <f>IFERROR(__xludf.DUMMYFUNCTION("""COMPUTED_VALUE"""),1.0)</f>
        <v>1</v>
      </c>
      <c r="K71" s="130">
        <f>IFERROR(__xludf.DUMMYFUNCTION("""COMPUTED_VALUE"""),1.0)</f>
        <v>1</v>
      </c>
      <c r="L71" s="129">
        <f>IFERROR(__xludf.DUMMYFUNCTION("""COMPUTED_VALUE"""),1.0)</f>
        <v>1</v>
      </c>
      <c r="M71" s="130">
        <f>IFERROR(__xludf.DUMMYFUNCTION("""COMPUTED_VALUE"""),1.0)</f>
        <v>1</v>
      </c>
      <c r="N71" s="130">
        <f>IFERROR(__xludf.DUMMYFUNCTION("""COMPUTED_VALUE"""),0.0)</f>
        <v>0</v>
      </c>
      <c r="O71" s="130">
        <f>IFERROR(__xludf.DUMMYFUNCTION("""COMPUTED_VALUE"""),0.0)</f>
        <v>0</v>
      </c>
      <c r="P71" s="130">
        <f>IFERROR(__xludf.DUMMYFUNCTION("""COMPUTED_VALUE"""),0.0)</f>
        <v>0</v>
      </c>
      <c r="Q71" s="130">
        <f>IFERROR(__xludf.DUMMYFUNCTION("""COMPUTED_VALUE"""),0.0)</f>
        <v>0</v>
      </c>
      <c r="R71" s="130">
        <f>IFERROR(__xludf.DUMMYFUNCTION("""COMPUTED_VALUE"""),0.0)</f>
        <v>0</v>
      </c>
      <c r="S71" s="130">
        <f>IFERROR(__xludf.DUMMYFUNCTION("""COMPUTED_VALUE"""),0.0)</f>
        <v>0</v>
      </c>
      <c r="T71" s="130">
        <f>IFERROR(__xludf.DUMMYFUNCTION("""COMPUTED_VALUE"""),0.0)</f>
        <v>0</v>
      </c>
      <c r="U71" s="130">
        <f>IFERROR(__xludf.DUMMYFUNCTION("""COMPUTED_VALUE"""),0.0)</f>
        <v>0</v>
      </c>
      <c r="V71" s="130">
        <f>IFERROR(__xludf.DUMMYFUNCTION("""COMPUTED_VALUE"""),0.0)</f>
        <v>0</v>
      </c>
      <c r="W71" s="131" t="str">
        <f>IFERROR(__xludf.DUMMYFUNCTION("""COMPUTED_VALUE"""),"Yes")</f>
        <v>Yes</v>
      </c>
      <c r="X71" s="131" t="str">
        <f>IFERROR(__xludf.DUMMYFUNCTION("""COMPUTED_VALUE"""),"Yes")</f>
        <v>Yes</v>
      </c>
      <c r="Y71" s="131" t="str">
        <f>IFERROR(__xludf.DUMMYFUNCTION("""COMPUTED_VALUE"""),"F")</f>
        <v>F</v>
      </c>
      <c r="Z71" s="131" t="str">
        <f>IFERROR(__xludf.DUMMYFUNCTION("""COMPUTED_VALUE"""),"algorithm to improve EE")</f>
        <v>algorithm to improve EE</v>
      </c>
      <c r="AA71" s="131"/>
      <c r="AB71" s="131"/>
      <c r="AC71" s="131"/>
      <c r="AD71" s="131"/>
      <c r="AE71" s="131"/>
      <c r="AF71" s="131"/>
      <c r="AG71" s="131"/>
      <c r="AH71" s="131"/>
      <c r="AI71" s="131"/>
      <c r="AJ71" s="131"/>
    </row>
    <row r="72">
      <c r="A72" s="126">
        <f>IFERROR(__xludf.DUMMYFUNCTION("""COMPUTED_VALUE"""),144.0)</f>
        <v>144</v>
      </c>
      <c r="B72" s="126" t="str">
        <f>IFERROR(__xludf.DUMMYFUNCTION("""COMPUTED_VALUE"""),"QoS aware energy efficient VM consolidation techniques for a virtualized data center")</f>
        <v>QoS aware energy efficient VM consolidation techniques for a virtualized data center</v>
      </c>
      <c r="C72" s="127" t="str">
        <f>IFERROR(__xludf.DUMMYFUNCTION("""COMPUTED_VALUE"""),"https://ieeexplore.ieee.org/abstract/document/8603158/")</f>
        <v>https://ieeexplore.ieee.org/abstract/document/8603158/</v>
      </c>
      <c r="D72" s="126" t="str">
        <f>IFERROR(__xludf.DUMMYFUNCTION("""COMPUTED_VALUE"""),"A Tarafdar, S Khatua, RK Das")</f>
        <v>A Tarafdar, S Khatua, RK Das</v>
      </c>
      <c r="E72" s="126" t="str">
        <f>IFERROR(__xludf.DUMMYFUNCTION("""COMPUTED_VALUE"""),"Institute of Electrical and Electronics Engineers")</f>
        <v>Institute of Electrical and Electronics Engineers</v>
      </c>
      <c r="F72" s="126" t="str">
        <f>IFERROR(__xludf.DUMMYFUNCTION("""COMPUTED_VALUE"""),"IEEE Xplore")</f>
        <v>IEEE Xplore</v>
      </c>
      <c r="G72" s="128" t="str">
        <f>IFERROR(__xludf.DUMMYFUNCTION("""COMPUTED_VALUE"""),"C")</f>
        <v>C</v>
      </c>
      <c r="H72" s="130">
        <f>IFERROR(__xludf.DUMMYFUNCTION("""COMPUTED_VALUE"""),2018.0)</f>
        <v>2018</v>
      </c>
      <c r="I72" s="129">
        <f>IFERROR(__xludf.DUMMYFUNCTION("""COMPUTED_VALUE"""),0.0)</f>
        <v>0</v>
      </c>
      <c r="J72" s="130">
        <f>IFERROR(__xludf.DUMMYFUNCTION("""COMPUTED_VALUE"""),1.0)</f>
        <v>1</v>
      </c>
      <c r="K72" s="130">
        <f>IFERROR(__xludf.DUMMYFUNCTION("""COMPUTED_VALUE"""),1.0)</f>
        <v>1</v>
      </c>
      <c r="L72" s="130">
        <f>IFERROR(__xludf.DUMMYFUNCTION("""COMPUTED_VALUE"""),1.0)</f>
        <v>1</v>
      </c>
      <c r="M72" s="130">
        <f>IFERROR(__xludf.DUMMYFUNCTION("""COMPUTED_VALUE"""),1.0)</f>
        <v>1</v>
      </c>
      <c r="N72" s="130">
        <f>IFERROR(__xludf.DUMMYFUNCTION("""COMPUTED_VALUE"""),0.0)</f>
        <v>0</v>
      </c>
      <c r="O72" s="130">
        <f>IFERROR(__xludf.DUMMYFUNCTION("""COMPUTED_VALUE"""),0.0)</f>
        <v>0</v>
      </c>
      <c r="P72" s="130">
        <f>IFERROR(__xludf.DUMMYFUNCTION("""COMPUTED_VALUE"""),0.0)</f>
        <v>0</v>
      </c>
      <c r="Q72" s="130">
        <f>IFERROR(__xludf.DUMMYFUNCTION("""COMPUTED_VALUE"""),0.0)</f>
        <v>0</v>
      </c>
      <c r="R72" s="130">
        <f>IFERROR(__xludf.DUMMYFUNCTION("""COMPUTED_VALUE"""),0.0)</f>
        <v>0</v>
      </c>
      <c r="S72" s="130">
        <f>IFERROR(__xludf.DUMMYFUNCTION("""COMPUTED_VALUE"""),0.0)</f>
        <v>0</v>
      </c>
      <c r="T72" s="130">
        <f>IFERROR(__xludf.DUMMYFUNCTION("""COMPUTED_VALUE"""),0.0)</f>
        <v>0</v>
      </c>
      <c r="U72" s="130">
        <f>IFERROR(__xludf.DUMMYFUNCTION("""COMPUTED_VALUE"""),0.0)</f>
        <v>0</v>
      </c>
      <c r="V72" s="130">
        <f>IFERROR(__xludf.DUMMYFUNCTION("""COMPUTED_VALUE"""),0.0)</f>
        <v>0</v>
      </c>
      <c r="W72" s="131" t="str">
        <f>IFERROR(__xludf.DUMMYFUNCTION("""COMPUTED_VALUE"""),"No")</f>
        <v>No</v>
      </c>
      <c r="X72" s="131" t="str">
        <f>IFERROR(__xludf.DUMMYFUNCTION("""COMPUTED_VALUE"""),"Yes")</f>
        <v>Yes</v>
      </c>
      <c r="Y72" s="131" t="str">
        <f>IFERROR(__xludf.DUMMYFUNCTION("""COMPUTED_VALUE"""),"F")</f>
        <v>F</v>
      </c>
      <c r="Z72" s="131" t="str">
        <f>IFERROR(__xludf.DUMMYFUNCTION("""COMPUTED_VALUE"""),"balance trade-off QoS(focus) /EC")</f>
        <v>balance trade-off QoS(focus) /EC</v>
      </c>
      <c r="AA72" s="131"/>
      <c r="AB72" s="131"/>
      <c r="AC72" s="131"/>
      <c r="AD72" s="131"/>
      <c r="AE72" s="131"/>
      <c r="AF72" s="131"/>
      <c r="AG72" s="131"/>
      <c r="AH72" s="131"/>
      <c r="AI72" s="131"/>
      <c r="AJ72" s="131"/>
    </row>
    <row r="73">
      <c r="A73" s="126">
        <f>IFERROR(__xludf.DUMMYFUNCTION("""COMPUTED_VALUE"""),147.0)</f>
        <v>147</v>
      </c>
      <c r="B73" s="126" t="str">
        <f>IFERROR(__xludf.DUMMYFUNCTION("""COMPUTED_VALUE"""),"Energy-efficient dynamic virtual machine management in data centers")</f>
        <v>Energy-efficient dynamic virtual machine management in data centers</v>
      </c>
      <c r="C73" s="127" t="str">
        <f>IFERROR(__xludf.DUMMYFUNCTION("""COMPUTED_VALUE"""),"https://ieeexplore.ieee.org/abstract/document/8626500/")</f>
        <v>https://ieeexplore.ieee.org/abstract/document/8626500/</v>
      </c>
      <c r="D73" s="131" t="str">
        <f>IFERROR(__xludf.DUMMYFUNCTION("""COMPUTED_VALUE"""),"Z Han, H Tan, R Wang, G Chen, Y Li, FCM Lau")</f>
        <v>Z Han, H Tan, R Wang, G Chen, Y Li, FCM Lau</v>
      </c>
      <c r="E73" s="131" t="str">
        <f>IFERROR(__xludf.DUMMYFUNCTION("""COMPUTED_VALUE"""),"Institute of Electrical and Electronics Engineers")</f>
        <v>Institute of Electrical and Electronics Engineers</v>
      </c>
      <c r="F73" s="126" t="str">
        <f>IFERROR(__xludf.DUMMYFUNCTION("""COMPUTED_VALUE"""),"IEEE Xplore")</f>
        <v>IEEE Xplore</v>
      </c>
      <c r="G73" s="128" t="str">
        <f>IFERROR(__xludf.DUMMYFUNCTION("""COMPUTED_VALUE"""),"J")</f>
        <v>J</v>
      </c>
      <c r="H73" s="130">
        <f>IFERROR(__xludf.DUMMYFUNCTION("""COMPUTED_VALUE"""),2019.0)</f>
        <v>2019</v>
      </c>
      <c r="I73" s="130">
        <f>IFERROR(__xludf.DUMMYFUNCTION("""COMPUTED_VALUE"""),1.0)</f>
        <v>1</v>
      </c>
      <c r="J73" s="130">
        <f>IFERROR(__xludf.DUMMYFUNCTION("""COMPUTED_VALUE"""),1.0)</f>
        <v>1</v>
      </c>
      <c r="K73" s="130">
        <f>IFERROR(__xludf.DUMMYFUNCTION("""COMPUTED_VALUE"""),1.0)</f>
        <v>1</v>
      </c>
      <c r="L73" s="129">
        <f>IFERROR(__xludf.DUMMYFUNCTION("""COMPUTED_VALUE"""),1.0)</f>
        <v>1</v>
      </c>
      <c r="M73" s="130">
        <f>IFERROR(__xludf.DUMMYFUNCTION("""COMPUTED_VALUE"""),1.0)</f>
        <v>1</v>
      </c>
      <c r="N73" s="130">
        <f>IFERROR(__xludf.DUMMYFUNCTION("""COMPUTED_VALUE"""),0.0)</f>
        <v>0</v>
      </c>
      <c r="O73" s="130">
        <f>IFERROR(__xludf.DUMMYFUNCTION("""COMPUTED_VALUE"""),0.0)</f>
        <v>0</v>
      </c>
      <c r="P73" s="130">
        <f>IFERROR(__xludf.DUMMYFUNCTION("""COMPUTED_VALUE"""),0.0)</f>
        <v>0</v>
      </c>
      <c r="Q73" s="130">
        <f>IFERROR(__xludf.DUMMYFUNCTION("""COMPUTED_VALUE"""),0.0)</f>
        <v>0</v>
      </c>
      <c r="R73" s="130">
        <f>IFERROR(__xludf.DUMMYFUNCTION("""COMPUTED_VALUE"""),0.0)</f>
        <v>0</v>
      </c>
      <c r="S73" s="130">
        <f>IFERROR(__xludf.DUMMYFUNCTION("""COMPUTED_VALUE"""),0.0)</f>
        <v>0</v>
      </c>
      <c r="T73" s="130">
        <f>IFERROR(__xludf.DUMMYFUNCTION("""COMPUTED_VALUE"""),0.0)</f>
        <v>0</v>
      </c>
      <c r="U73" s="130">
        <f>IFERROR(__xludf.DUMMYFUNCTION("""COMPUTED_VALUE"""),0.0)</f>
        <v>0</v>
      </c>
      <c r="V73" s="130">
        <f>IFERROR(__xludf.DUMMYFUNCTION("""COMPUTED_VALUE"""),0.0)</f>
        <v>0</v>
      </c>
      <c r="W73" s="131" t="str">
        <f>IFERROR(__xludf.DUMMYFUNCTION("""COMPUTED_VALUE"""),"Yes")</f>
        <v>Yes</v>
      </c>
      <c r="X73" s="131" t="str">
        <f>IFERROR(__xludf.DUMMYFUNCTION("""COMPUTED_VALUE"""),"Yes")</f>
        <v>Yes</v>
      </c>
      <c r="Y73" s="131" t="str">
        <f>IFERROR(__xludf.DUMMYFUNCTION("""COMPUTED_VALUE"""),"F")</f>
        <v>F</v>
      </c>
      <c r="Z73" s="131" t="str">
        <f>IFERROR(__xludf.DUMMYFUNCTION("""COMPUTED_VALUE"""),"algorithm for VM management")</f>
        <v>algorithm for VM management</v>
      </c>
      <c r="AA73" s="131"/>
      <c r="AB73" s="131"/>
      <c r="AC73" s="131"/>
      <c r="AD73" s="131"/>
      <c r="AE73" s="131"/>
      <c r="AF73" s="131"/>
      <c r="AG73" s="131"/>
      <c r="AH73" s="131"/>
      <c r="AI73" s="131"/>
      <c r="AJ73" s="131"/>
    </row>
    <row r="74">
      <c r="A74" s="126">
        <f>IFERROR(__xludf.DUMMYFUNCTION("""COMPUTED_VALUE"""),150.0)</f>
        <v>150</v>
      </c>
      <c r="B74" s="126" t="str">
        <f>IFERROR(__xludf.DUMMYFUNCTION("""COMPUTED_VALUE"""),"An Apriori-based energy-efficient Algorithm for SDN data center")</f>
        <v>An Apriori-based energy-efficient Algorithm for SDN data center</v>
      </c>
      <c r="C74" s="127" t="str">
        <f>IFERROR(__xludf.DUMMYFUNCTION("""COMPUTED_VALUE"""),"https://ieeexplore.ieee.org/abstract/document/8982573/")</f>
        <v>https://ieeexplore.ieee.org/abstract/document/8982573/</v>
      </c>
      <c r="D74" s="126" t="str">
        <f>IFERROR(__xludf.DUMMYFUNCTION("""COMPUTED_VALUE"""),"P HongYu, H TianLu")</f>
        <v>P HongYu, H TianLu</v>
      </c>
      <c r="E74" s="126" t="str">
        <f>IFERROR(__xludf.DUMMYFUNCTION("""COMPUTED_VALUE"""),"Institute of Electrical and Electronics Engineers")</f>
        <v>Institute of Electrical and Electronics Engineers</v>
      </c>
      <c r="F74" s="126" t="str">
        <f>IFERROR(__xludf.DUMMYFUNCTION("""COMPUTED_VALUE"""),"IEEE Xplore")</f>
        <v>IEEE Xplore</v>
      </c>
      <c r="G74" s="128" t="str">
        <f>IFERROR(__xludf.DUMMYFUNCTION("""COMPUTED_VALUE"""),"C")</f>
        <v>C</v>
      </c>
      <c r="H74" s="130">
        <f>IFERROR(__xludf.DUMMYFUNCTION("""COMPUTED_VALUE"""),2019.0)</f>
        <v>2019</v>
      </c>
      <c r="I74" s="129">
        <f>IFERROR(__xludf.DUMMYFUNCTION("""COMPUTED_VALUE"""),1.0)</f>
        <v>1</v>
      </c>
      <c r="J74" s="130">
        <f>IFERROR(__xludf.DUMMYFUNCTION("""COMPUTED_VALUE"""),1.0)</f>
        <v>1</v>
      </c>
      <c r="K74" s="130">
        <f>IFERROR(__xludf.DUMMYFUNCTION("""COMPUTED_VALUE"""),1.0)</f>
        <v>1</v>
      </c>
      <c r="L74" s="130">
        <f>IFERROR(__xludf.DUMMYFUNCTION("""COMPUTED_VALUE"""),1.0)</f>
        <v>1</v>
      </c>
      <c r="M74" s="130">
        <f>IFERROR(__xludf.DUMMYFUNCTION("""COMPUTED_VALUE"""),1.0)</f>
        <v>1</v>
      </c>
      <c r="N74" s="130">
        <f>IFERROR(__xludf.DUMMYFUNCTION("""COMPUTED_VALUE"""),0.0)</f>
        <v>0</v>
      </c>
      <c r="O74" s="130">
        <f>IFERROR(__xludf.DUMMYFUNCTION("""COMPUTED_VALUE"""),0.0)</f>
        <v>0</v>
      </c>
      <c r="P74" s="130">
        <f>IFERROR(__xludf.DUMMYFUNCTION("""COMPUTED_VALUE"""),0.0)</f>
        <v>0</v>
      </c>
      <c r="Q74" s="130">
        <f>IFERROR(__xludf.DUMMYFUNCTION("""COMPUTED_VALUE"""),0.0)</f>
        <v>0</v>
      </c>
      <c r="R74" s="130">
        <f>IFERROR(__xludf.DUMMYFUNCTION("""COMPUTED_VALUE"""),0.0)</f>
        <v>0</v>
      </c>
      <c r="S74" s="130">
        <f>IFERROR(__xludf.DUMMYFUNCTION("""COMPUTED_VALUE"""),0.0)</f>
        <v>0</v>
      </c>
      <c r="T74" s="130">
        <f>IFERROR(__xludf.DUMMYFUNCTION("""COMPUTED_VALUE"""),0.0)</f>
        <v>0</v>
      </c>
      <c r="U74" s="130">
        <f>IFERROR(__xludf.DUMMYFUNCTION("""COMPUTED_VALUE"""),0.0)</f>
        <v>0</v>
      </c>
      <c r="V74" s="130">
        <f>IFERROR(__xludf.DUMMYFUNCTION("""COMPUTED_VALUE"""),0.0)</f>
        <v>0</v>
      </c>
      <c r="W74" s="131" t="str">
        <f>IFERROR(__xludf.DUMMYFUNCTION("""COMPUTED_VALUE"""),"Yes")</f>
        <v>Yes</v>
      </c>
      <c r="X74" s="131" t="str">
        <f>IFERROR(__xludf.DUMMYFUNCTION("""COMPUTED_VALUE"""),"Yes")</f>
        <v>Yes</v>
      </c>
      <c r="Y74" s="131" t="str">
        <f>IFERROR(__xludf.DUMMYFUNCTION("""COMPUTED_VALUE"""),"F")</f>
        <v>F</v>
      </c>
      <c r="Z74" s="131" t="str">
        <f>IFERROR(__xludf.DUMMYFUNCTION("""COMPUTED_VALUE"""),"energy saving algorithm ")</f>
        <v>energy saving algorithm </v>
      </c>
      <c r="AA74" s="131"/>
      <c r="AB74" s="131"/>
      <c r="AC74" s="131"/>
      <c r="AD74" s="131"/>
      <c r="AE74" s="131"/>
      <c r="AF74" s="131"/>
      <c r="AG74" s="131"/>
      <c r="AH74" s="131"/>
      <c r="AI74" s="131"/>
      <c r="AJ74" s="131"/>
    </row>
    <row r="75">
      <c r="A75" s="126">
        <f>IFERROR(__xludf.DUMMYFUNCTION("""COMPUTED_VALUE"""),152.0)</f>
        <v>152</v>
      </c>
      <c r="B75" s="126" t="str">
        <f>IFERROR(__xludf.DUMMYFUNCTION("""COMPUTED_VALUE"""),"A Novel Approach to Adaptive Flow Scheduling for Energy Efficient Data Center Network")</f>
        <v>A Novel Approach to Adaptive Flow Scheduling for Energy Efficient Data Center Network</v>
      </c>
      <c r="C75" s="127" t="str">
        <f>IFERROR(__xludf.DUMMYFUNCTION("""COMPUTED_VALUE"""),"https://jit.ndhu.edu.tw/article/view/2085")</f>
        <v>https://jit.ndhu.edu.tw/article/view/2085</v>
      </c>
      <c r="D75" s="126" t="str">
        <f>IFERROR(__xludf.DUMMYFUNCTION("""COMPUTED_VALUE"""),"R Ranjana, S Radha, J Raja")</f>
        <v>R Ranjana, S Radha, J Raja</v>
      </c>
      <c r="E75" s="126" t="str">
        <f>IFERROR(__xludf.DUMMYFUNCTION("""COMPUTED_VALUE"""),"Journal of Internet Technology")</f>
        <v>Journal of Internet Technology</v>
      </c>
      <c r="F75" s="126" t="str">
        <f>IFERROR(__xludf.DUMMYFUNCTION("""COMPUTED_VALUE"""),"JIT")</f>
        <v>JIT</v>
      </c>
      <c r="G75" s="128" t="str">
        <f>IFERROR(__xludf.DUMMYFUNCTION("""COMPUTED_VALUE"""),"J")</f>
        <v>J</v>
      </c>
      <c r="H75" s="129">
        <f>IFERROR(__xludf.DUMMYFUNCTION("""COMPUTED_VALUE"""),2019.0)</f>
        <v>2019</v>
      </c>
      <c r="I75" s="130">
        <f>IFERROR(__xludf.DUMMYFUNCTION("""COMPUTED_VALUE"""),1.0)</f>
        <v>1</v>
      </c>
      <c r="J75" s="129">
        <f>IFERROR(__xludf.DUMMYFUNCTION("""COMPUTED_VALUE"""),1.0)</f>
        <v>1</v>
      </c>
      <c r="K75" s="130">
        <f>IFERROR(__xludf.DUMMYFUNCTION("""COMPUTED_VALUE"""),1.0)</f>
        <v>1</v>
      </c>
      <c r="L75" s="130">
        <f>IFERROR(__xludf.DUMMYFUNCTION("""COMPUTED_VALUE"""),1.0)</f>
        <v>1</v>
      </c>
      <c r="M75" s="130">
        <f>IFERROR(__xludf.DUMMYFUNCTION("""COMPUTED_VALUE"""),1.0)</f>
        <v>1</v>
      </c>
      <c r="N75" s="130">
        <f>IFERROR(__xludf.DUMMYFUNCTION("""COMPUTED_VALUE"""),0.0)</f>
        <v>0</v>
      </c>
      <c r="O75" s="130">
        <f>IFERROR(__xludf.DUMMYFUNCTION("""COMPUTED_VALUE"""),0.0)</f>
        <v>0</v>
      </c>
      <c r="P75" s="130">
        <f>IFERROR(__xludf.DUMMYFUNCTION("""COMPUTED_VALUE"""),0.0)</f>
        <v>0</v>
      </c>
      <c r="Q75" s="130">
        <f>IFERROR(__xludf.DUMMYFUNCTION("""COMPUTED_VALUE"""),0.0)</f>
        <v>0</v>
      </c>
      <c r="R75" s="130">
        <f>IFERROR(__xludf.DUMMYFUNCTION("""COMPUTED_VALUE"""),0.0)</f>
        <v>0</v>
      </c>
      <c r="S75" s="130">
        <f>IFERROR(__xludf.DUMMYFUNCTION("""COMPUTED_VALUE"""),0.0)</f>
        <v>0</v>
      </c>
      <c r="T75" s="130">
        <f>IFERROR(__xludf.DUMMYFUNCTION("""COMPUTED_VALUE"""),0.0)</f>
        <v>0</v>
      </c>
      <c r="U75" s="130">
        <f>IFERROR(__xludf.DUMMYFUNCTION("""COMPUTED_VALUE"""),0.0)</f>
        <v>0</v>
      </c>
      <c r="V75" s="130">
        <f>IFERROR(__xludf.DUMMYFUNCTION("""COMPUTED_VALUE"""),0.0)</f>
        <v>0</v>
      </c>
      <c r="W75" s="131" t="str">
        <f>IFERROR(__xludf.DUMMYFUNCTION("""COMPUTED_VALUE"""),"Yes")</f>
        <v>Yes</v>
      </c>
      <c r="X75" s="131" t="str">
        <f>IFERROR(__xludf.DUMMYFUNCTION("""COMPUTED_VALUE"""),"Yes")</f>
        <v>Yes</v>
      </c>
      <c r="Y75" s="131" t="str">
        <f>IFERROR(__xludf.DUMMYFUNCTION("""COMPUTED_VALUE"""),"F")</f>
        <v>F</v>
      </c>
      <c r="Z75" s="131" t="str">
        <f>IFERROR(__xludf.DUMMYFUNCTION("""COMPUTED_VALUE"""),"adaptive flow scheduling model")</f>
        <v>adaptive flow scheduling model</v>
      </c>
      <c r="AA75" s="131"/>
      <c r="AB75" s="131"/>
      <c r="AC75" s="131"/>
      <c r="AD75" s="131"/>
      <c r="AE75" s="131"/>
      <c r="AF75" s="131"/>
      <c r="AG75" s="131"/>
      <c r="AH75" s="131"/>
      <c r="AI75" s="131"/>
      <c r="AJ75" s="131"/>
    </row>
    <row r="76">
      <c r="A76" s="126">
        <f>IFERROR(__xludf.DUMMYFUNCTION("""COMPUTED_VALUE"""),154.0)</f>
        <v>154</v>
      </c>
      <c r="B76" s="126" t="str">
        <f>IFERROR(__xludf.DUMMYFUNCTION("""COMPUTED_VALUE"""),"CLOUD DATA CENTER BASED ENERGY EFFICIENT SCHEDULING OF SERVERS WITH MULTI-SLEEP MODES")</f>
        <v>CLOUD DATA CENTER BASED ENERGY EFFICIENT SCHEDULING OF SERVERS WITH MULTI-SLEEP MODES</v>
      </c>
      <c r="C76" s="127" t="str">
        <f>IFERROR(__xludf.DUMMYFUNCTION("""COMPUTED_VALUE"""),"https://jespublication.com/upload/2019-V10-I12-10.pdf")</f>
        <v>https://jespublication.com/upload/2019-V10-I12-10.pdf</v>
      </c>
      <c r="D76" s="126" t="str">
        <f>IFERROR(__xludf.DUMMYFUNCTION("""COMPUTED_VALUE"""),"PS JYOTHI, BH BABU")</f>
        <v>PS JYOTHI, BH BABU</v>
      </c>
      <c r="E76" s="126" t="str">
        <f>IFERROR(__xludf.DUMMYFUNCTION("""COMPUTED_VALUE"""),"Journal of Engineering Sciences")</f>
        <v>Journal of Engineering Sciences</v>
      </c>
      <c r="F76" s="126" t="str">
        <f>IFERROR(__xludf.DUMMYFUNCTION("""COMPUTED_VALUE"""),"JES")</f>
        <v>JES</v>
      </c>
      <c r="G76" s="128" t="str">
        <f>IFERROR(__xludf.DUMMYFUNCTION("""COMPUTED_VALUE"""),"J")</f>
        <v>J</v>
      </c>
      <c r="H76" s="130">
        <f>IFERROR(__xludf.DUMMYFUNCTION("""COMPUTED_VALUE"""),2019.0)</f>
        <v>2019</v>
      </c>
      <c r="I76" s="130">
        <f>IFERROR(__xludf.DUMMYFUNCTION("""COMPUTED_VALUE"""),1.0)</f>
        <v>1</v>
      </c>
      <c r="J76" s="130">
        <f>IFERROR(__xludf.DUMMYFUNCTION("""COMPUTED_VALUE"""),1.0)</f>
        <v>1</v>
      </c>
      <c r="K76" s="129">
        <f>IFERROR(__xludf.DUMMYFUNCTION("""COMPUTED_VALUE"""),1.0)</f>
        <v>1</v>
      </c>
      <c r="L76" s="129">
        <f>IFERROR(__xludf.DUMMYFUNCTION("""COMPUTED_VALUE"""),1.0)</f>
        <v>1</v>
      </c>
      <c r="M76" s="130">
        <f>IFERROR(__xludf.DUMMYFUNCTION("""COMPUTED_VALUE"""),1.0)</f>
        <v>1</v>
      </c>
      <c r="N76" s="130">
        <f>IFERROR(__xludf.DUMMYFUNCTION("""COMPUTED_VALUE"""),0.0)</f>
        <v>0</v>
      </c>
      <c r="O76" s="130">
        <f>IFERROR(__xludf.DUMMYFUNCTION("""COMPUTED_VALUE"""),0.0)</f>
        <v>0</v>
      </c>
      <c r="P76" s="130">
        <f>IFERROR(__xludf.DUMMYFUNCTION("""COMPUTED_VALUE"""),0.0)</f>
        <v>0</v>
      </c>
      <c r="Q76" s="130">
        <f>IFERROR(__xludf.DUMMYFUNCTION("""COMPUTED_VALUE"""),0.0)</f>
        <v>0</v>
      </c>
      <c r="R76" s="130">
        <f>IFERROR(__xludf.DUMMYFUNCTION("""COMPUTED_VALUE"""),0.0)</f>
        <v>0</v>
      </c>
      <c r="S76" s="130">
        <f>IFERROR(__xludf.DUMMYFUNCTION("""COMPUTED_VALUE"""),0.0)</f>
        <v>0</v>
      </c>
      <c r="T76" s="130">
        <f>IFERROR(__xludf.DUMMYFUNCTION("""COMPUTED_VALUE"""),0.0)</f>
        <v>0</v>
      </c>
      <c r="U76" s="130">
        <f>IFERROR(__xludf.DUMMYFUNCTION("""COMPUTED_VALUE"""),0.0)</f>
        <v>0</v>
      </c>
      <c r="V76" s="130">
        <f>IFERROR(__xludf.DUMMYFUNCTION("""COMPUTED_VALUE"""),0.0)</f>
        <v>0</v>
      </c>
      <c r="W76" s="131" t="str">
        <f>IFERROR(__xludf.DUMMYFUNCTION("""COMPUTED_VALUE"""),"Yes")</f>
        <v>Yes</v>
      </c>
      <c r="X76" s="131" t="str">
        <f>IFERROR(__xludf.DUMMYFUNCTION("""COMPUTED_VALUE"""),"Yes")</f>
        <v>Yes</v>
      </c>
      <c r="Y76" s="131" t="str">
        <f>IFERROR(__xludf.DUMMYFUNCTION("""COMPUTED_VALUE"""),"F")</f>
        <v>F</v>
      </c>
      <c r="Z76" s="131" t="str">
        <f>IFERROR(__xludf.DUMMYFUNCTION("""COMPUTED_VALUE"""),"server scheduling algorithm ")</f>
        <v>server scheduling algorithm </v>
      </c>
      <c r="AA76" s="131"/>
      <c r="AB76" s="131"/>
      <c r="AC76" s="131"/>
      <c r="AD76" s="131"/>
      <c r="AE76" s="131"/>
      <c r="AF76" s="131"/>
      <c r="AG76" s="131"/>
      <c r="AH76" s="131"/>
      <c r="AI76" s="131"/>
      <c r="AJ76" s="131"/>
    </row>
    <row r="77">
      <c r="A77" s="126">
        <f>IFERROR(__xludf.DUMMYFUNCTION("""COMPUTED_VALUE"""),156.0)</f>
        <v>156</v>
      </c>
      <c r="B77" s="126" t="str">
        <f>IFERROR(__xludf.DUMMYFUNCTION("""COMPUTED_VALUE"""),"Short-term prediction model to maximize renewable energy usage in cloud data centers")</f>
        <v>Short-term prediction model to maximize renewable energy usage in cloud data centers</v>
      </c>
      <c r="C77" s="127" t="str">
        <f>IFERROR(__xludf.DUMMYFUNCTION("""COMPUTED_VALUE"""),"https://link.springer.com/chapter/10.1007/978-3-319-62238-5_8")</f>
        <v>https://link.springer.com/chapter/10.1007/978-3-319-62238-5_8</v>
      </c>
      <c r="D77" s="131" t="str">
        <f>IFERROR(__xludf.DUMMYFUNCTION("""COMPUTED_VALUE"""),"A Khosravi, R Buyya")</f>
        <v>A Khosravi, R Buyya</v>
      </c>
      <c r="E77" s="131" t="str">
        <f>IFERROR(__xludf.DUMMYFUNCTION("""COMPUTED_VALUE"""),"Springer")</f>
        <v>Springer</v>
      </c>
      <c r="F77" s="126" t="str">
        <f>IFERROR(__xludf.DUMMYFUNCTION("""COMPUTED_VALUE"""),"Springer")</f>
        <v>Springer</v>
      </c>
      <c r="G77" s="128" t="str">
        <f>IFERROR(__xludf.DUMMYFUNCTION("""COMPUTED_VALUE"""),"J")</f>
        <v>J</v>
      </c>
      <c r="H77" s="130">
        <f>IFERROR(__xludf.DUMMYFUNCTION("""COMPUTED_VALUE"""),2018.0)</f>
        <v>2018</v>
      </c>
      <c r="I77" s="130">
        <f>IFERROR(__xludf.DUMMYFUNCTION("""COMPUTED_VALUE"""),1.0)</f>
        <v>1</v>
      </c>
      <c r="J77" s="130">
        <f>IFERROR(__xludf.DUMMYFUNCTION("""COMPUTED_VALUE"""),1.0)</f>
        <v>1</v>
      </c>
      <c r="K77" s="130">
        <f>IFERROR(__xludf.DUMMYFUNCTION("""COMPUTED_VALUE"""),1.0)</f>
        <v>1</v>
      </c>
      <c r="L77" s="129">
        <f>IFERROR(__xludf.DUMMYFUNCTION("""COMPUTED_VALUE"""),1.0)</f>
        <v>1</v>
      </c>
      <c r="M77" s="130">
        <f>IFERROR(__xludf.DUMMYFUNCTION("""COMPUTED_VALUE"""),1.0)</f>
        <v>1</v>
      </c>
      <c r="N77" s="130">
        <f>IFERROR(__xludf.DUMMYFUNCTION("""COMPUTED_VALUE"""),0.0)</f>
        <v>0</v>
      </c>
      <c r="O77" s="130">
        <f>IFERROR(__xludf.DUMMYFUNCTION("""COMPUTED_VALUE"""),0.0)</f>
        <v>0</v>
      </c>
      <c r="P77" s="130">
        <f>IFERROR(__xludf.DUMMYFUNCTION("""COMPUTED_VALUE"""),0.0)</f>
        <v>0</v>
      </c>
      <c r="Q77" s="130">
        <f>IFERROR(__xludf.DUMMYFUNCTION("""COMPUTED_VALUE"""),0.0)</f>
        <v>0</v>
      </c>
      <c r="R77" s="130">
        <f>IFERROR(__xludf.DUMMYFUNCTION("""COMPUTED_VALUE"""),0.0)</f>
        <v>0</v>
      </c>
      <c r="S77" s="130">
        <f>IFERROR(__xludf.DUMMYFUNCTION("""COMPUTED_VALUE"""),0.0)</f>
        <v>0</v>
      </c>
      <c r="T77" s="130">
        <f>IFERROR(__xludf.DUMMYFUNCTION("""COMPUTED_VALUE"""),0.0)</f>
        <v>0</v>
      </c>
      <c r="U77" s="130">
        <f>IFERROR(__xludf.DUMMYFUNCTION("""COMPUTED_VALUE"""),0.0)</f>
        <v>0</v>
      </c>
      <c r="V77" s="130">
        <f>IFERROR(__xludf.DUMMYFUNCTION("""COMPUTED_VALUE"""),0.0)</f>
        <v>0</v>
      </c>
      <c r="W77" s="131" t="str">
        <f>IFERROR(__xludf.DUMMYFUNCTION("""COMPUTED_VALUE"""),"Yes")</f>
        <v>Yes</v>
      </c>
      <c r="X77" s="131" t="str">
        <f>IFERROR(__xludf.DUMMYFUNCTION("""COMPUTED_VALUE"""),"Yes")</f>
        <v>Yes</v>
      </c>
      <c r="Y77" s="131"/>
      <c r="Z77" s="131"/>
      <c r="AA77" s="131"/>
      <c r="AB77" s="131"/>
      <c r="AC77" s="131"/>
      <c r="AD77" s="131"/>
      <c r="AE77" s="131"/>
      <c r="AF77" s="131"/>
      <c r="AG77" s="131"/>
      <c r="AH77" s="131"/>
      <c r="AI77" s="131"/>
      <c r="AJ77" s="131"/>
    </row>
    <row r="78">
      <c r="A78" s="126">
        <f>IFERROR(__xludf.DUMMYFUNCTION("""COMPUTED_VALUE"""),160.0)</f>
        <v>160</v>
      </c>
      <c r="B78" s="126" t="str">
        <f>IFERROR(__xludf.DUMMYFUNCTION("""COMPUTED_VALUE"""),"Phase-based tasks scheduling in data centers powered exclusively by renewable energy")</f>
        <v>Phase-based tasks scheduling in data centers powered exclusively by renewable energy</v>
      </c>
      <c r="C78" s="127" t="str">
        <f>IFERROR(__xludf.DUMMYFUNCTION("""COMPUTED_VALUE"""),"https://ieeexplore.ieee.org/abstract/document/8924180/")</f>
        <v>https://ieeexplore.ieee.org/abstract/document/8924180/</v>
      </c>
      <c r="D78" s="126" t="str">
        <f>IFERROR(__xludf.DUMMYFUNCTION("""COMPUTED_VALUE"""),"S Caux, P Renaud-Goud, G Rostirolla…")</f>
        <v>S Caux, P Renaud-Goud, G Rostirolla…</v>
      </c>
      <c r="E78" s="126" t="str">
        <f>IFERROR(__xludf.DUMMYFUNCTION("""COMPUTED_VALUE"""),"Institute of Electrical and Electronics Engineers")</f>
        <v>Institute of Electrical and Electronics Engineers</v>
      </c>
      <c r="F78" s="126" t="str">
        <f>IFERROR(__xludf.DUMMYFUNCTION("""COMPUTED_VALUE"""),"IEEE Xplore")</f>
        <v>IEEE Xplore</v>
      </c>
      <c r="G78" s="128" t="str">
        <f>IFERROR(__xludf.DUMMYFUNCTION("""COMPUTED_VALUE"""),"C")</f>
        <v>C</v>
      </c>
      <c r="H78" s="130">
        <f>IFERROR(__xludf.DUMMYFUNCTION("""COMPUTED_VALUE"""),2019.0)</f>
        <v>2019</v>
      </c>
      <c r="I78" s="130">
        <f>IFERROR(__xludf.DUMMYFUNCTION("""COMPUTED_VALUE"""),0.0)</f>
        <v>0</v>
      </c>
      <c r="J78" s="130">
        <f>IFERROR(__xludf.DUMMYFUNCTION("""COMPUTED_VALUE"""),1.0)</f>
        <v>1</v>
      </c>
      <c r="K78" s="130">
        <f>IFERROR(__xludf.DUMMYFUNCTION("""COMPUTED_VALUE"""),1.0)</f>
        <v>1</v>
      </c>
      <c r="L78" s="130">
        <f>IFERROR(__xludf.DUMMYFUNCTION("""COMPUTED_VALUE"""),1.0)</f>
        <v>1</v>
      </c>
      <c r="M78" s="130">
        <f>IFERROR(__xludf.DUMMYFUNCTION("""COMPUTED_VALUE"""),1.0)</f>
        <v>1</v>
      </c>
      <c r="N78" s="130">
        <f>IFERROR(__xludf.DUMMYFUNCTION("""COMPUTED_VALUE"""),0.0)</f>
        <v>0</v>
      </c>
      <c r="O78" s="130">
        <f>IFERROR(__xludf.DUMMYFUNCTION("""COMPUTED_VALUE"""),0.0)</f>
        <v>0</v>
      </c>
      <c r="P78" s="130">
        <f>IFERROR(__xludf.DUMMYFUNCTION("""COMPUTED_VALUE"""),0.0)</f>
        <v>0</v>
      </c>
      <c r="Q78" s="130">
        <f>IFERROR(__xludf.DUMMYFUNCTION("""COMPUTED_VALUE"""),0.0)</f>
        <v>0</v>
      </c>
      <c r="R78" s="129">
        <f>IFERROR(__xludf.DUMMYFUNCTION("""COMPUTED_VALUE"""),0.0)</f>
        <v>0</v>
      </c>
      <c r="S78" s="129">
        <f>IFERROR(__xludf.DUMMYFUNCTION("""COMPUTED_VALUE"""),0.0)</f>
        <v>0</v>
      </c>
      <c r="T78" s="129">
        <f>IFERROR(__xludf.DUMMYFUNCTION("""COMPUTED_VALUE"""),0.0)</f>
        <v>0</v>
      </c>
      <c r="U78" s="129">
        <f>IFERROR(__xludf.DUMMYFUNCTION("""COMPUTED_VALUE"""),0.0)</f>
        <v>0</v>
      </c>
      <c r="V78" s="129">
        <f>IFERROR(__xludf.DUMMYFUNCTION("""COMPUTED_VALUE"""),0.0)</f>
        <v>0</v>
      </c>
      <c r="W78" s="126" t="str">
        <f>IFERROR(__xludf.DUMMYFUNCTION("""COMPUTED_VALUE"""),"No")</f>
        <v>No</v>
      </c>
      <c r="X78" s="126" t="str">
        <f>IFERROR(__xludf.DUMMYFUNCTION("""COMPUTED_VALUE"""),"Yes")</f>
        <v>Yes</v>
      </c>
      <c r="Y78" s="126" t="str">
        <f>IFERROR(__xludf.DUMMYFUNCTION("""COMPUTED_VALUE"""),"F")</f>
        <v>F</v>
      </c>
      <c r="Z78" s="126" t="str">
        <f>IFERROR(__xludf.DUMMYFUNCTION("""COMPUTED_VALUE"""),"reduce profit degradation")</f>
        <v>reduce profit degradation</v>
      </c>
      <c r="AA78" s="126"/>
      <c r="AB78" s="126"/>
      <c r="AC78" s="126"/>
      <c r="AD78" s="126"/>
      <c r="AE78" s="126"/>
      <c r="AF78" s="126"/>
      <c r="AG78" s="126"/>
      <c r="AH78" s="126"/>
      <c r="AI78" s="126"/>
      <c r="AJ78" s="126"/>
    </row>
    <row r="79">
      <c r="A79" s="126">
        <f>IFERROR(__xludf.DUMMYFUNCTION("""COMPUTED_VALUE"""),161.0)</f>
        <v>161</v>
      </c>
      <c r="B79" s="126" t="str">
        <f>IFERROR(__xludf.DUMMYFUNCTION("""COMPUTED_VALUE"""),"Parallel Investigation of Different Task Schedulers at Greencloud for Energy Consumption in Datacenters")</f>
        <v>Parallel Investigation of Different Task Schedulers at Greencloud for Energy Consumption in Datacenters</v>
      </c>
      <c r="C79" s="127" t="str">
        <f>IFERROR(__xludf.DUMMYFUNCTION("""COMPUTED_VALUE"""),"https://link.springer.com/chapter/10.1007/978-981-10-4394-9_60")</f>
        <v>https://link.springer.com/chapter/10.1007/978-981-10-4394-9_60</v>
      </c>
      <c r="D79" s="131" t="str">
        <f>IFERROR(__xludf.DUMMYFUNCTION("""COMPUTED_VALUE"""),"S Aarthee, R Prabakaran")</f>
        <v>S Aarthee, R Prabakaran</v>
      </c>
      <c r="E79" s="131" t="str">
        <f>IFERROR(__xludf.DUMMYFUNCTION("""COMPUTED_VALUE"""),"Springer")</f>
        <v>Springer</v>
      </c>
      <c r="F79" s="126" t="str">
        <f>IFERROR(__xludf.DUMMYFUNCTION("""COMPUTED_VALUE"""),"Springer")</f>
        <v>Springer</v>
      </c>
      <c r="G79" s="128" t="str">
        <f>IFERROR(__xludf.DUMMYFUNCTION("""COMPUTED_VALUE"""),"J")</f>
        <v>J</v>
      </c>
      <c r="H79" s="129">
        <f>IFERROR(__xludf.DUMMYFUNCTION("""COMPUTED_VALUE"""),2018.0)</f>
        <v>2018</v>
      </c>
      <c r="I79" s="129">
        <f>IFERROR(__xludf.DUMMYFUNCTION("""COMPUTED_VALUE"""),1.0)</f>
        <v>1</v>
      </c>
      <c r="J79" s="129">
        <f>IFERROR(__xludf.DUMMYFUNCTION("""COMPUTED_VALUE"""),1.0)</f>
        <v>1</v>
      </c>
      <c r="K79" s="130">
        <f>IFERROR(__xludf.DUMMYFUNCTION("""COMPUTED_VALUE"""),1.0)</f>
        <v>1</v>
      </c>
      <c r="L79" s="129">
        <f>IFERROR(__xludf.DUMMYFUNCTION("""COMPUTED_VALUE"""),1.0)</f>
        <v>1</v>
      </c>
      <c r="M79" s="130">
        <f>IFERROR(__xludf.DUMMYFUNCTION("""COMPUTED_VALUE"""),1.0)</f>
        <v>1</v>
      </c>
      <c r="N79" s="130">
        <f>IFERROR(__xludf.DUMMYFUNCTION("""COMPUTED_VALUE"""),0.0)</f>
        <v>0</v>
      </c>
      <c r="O79" s="130">
        <f>IFERROR(__xludf.DUMMYFUNCTION("""COMPUTED_VALUE"""),0.0)</f>
        <v>0</v>
      </c>
      <c r="P79" s="130">
        <f>IFERROR(__xludf.DUMMYFUNCTION("""COMPUTED_VALUE"""),0.0)</f>
        <v>0</v>
      </c>
      <c r="Q79" s="129">
        <f>IFERROR(__xludf.DUMMYFUNCTION("""COMPUTED_VALUE"""),0.0)</f>
        <v>0</v>
      </c>
      <c r="R79" s="129">
        <f>IFERROR(__xludf.DUMMYFUNCTION("""COMPUTED_VALUE"""),0.0)</f>
        <v>0</v>
      </c>
      <c r="S79" s="129">
        <f>IFERROR(__xludf.DUMMYFUNCTION("""COMPUTED_VALUE"""),1.0)</f>
        <v>1</v>
      </c>
      <c r="T79" s="129">
        <f>IFERROR(__xludf.DUMMYFUNCTION("""COMPUTED_VALUE"""),0.0)</f>
        <v>0</v>
      </c>
      <c r="U79" s="129">
        <f>IFERROR(__xludf.DUMMYFUNCTION("""COMPUTED_VALUE"""),0.0)</f>
        <v>0</v>
      </c>
      <c r="V79" s="129">
        <f>IFERROR(__xludf.DUMMYFUNCTION("""COMPUTED_VALUE"""),0.0)</f>
        <v>0</v>
      </c>
      <c r="W79" s="126" t="str">
        <f>IFERROR(__xludf.DUMMYFUNCTION("""COMPUTED_VALUE"""),"No")</f>
        <v>No</v>
      </c>
      <c r="X79" s="126" t="str">
        <f>IFERROR(__xludf.DUMMYFUNCTION("""COMPUTED_VALUE"""),"Yes")</f>
        <v>Yes</v>
      </c>
      <c r="Y79" s="126" t="str">
        <f>IFERROR(__xludf.DUMMYFUNCTION("""COMPUTED_VALUE"""),"F")</f>
        <v>F</v>
      </c>
      <c r="Z79" s="126" t="str">
        <f>IFERROR(__xludf.DUMMYFUNCTION("""COMPUTED_VALUE"""),"comparison of task schedulers")</f>
        <v>comparison of task schedulers</v>
      </c>
      <c r="AA79" s="126"/>
      <c r="AB79" s="126"/>
      <c r="AC79" s="126"/>
      <c r="AD79" s="126"/>
      <c r="AE79" s="126"/>
      <c r="AF79" s="126"/>
      <c r="AG79" s="126"/>
      <c r="AH79" s="126"/>
      <c r="AI79" s="126"/>
      <c r="AJ79" s="126"/>
    </row>
    <row r="80">
      <c r="A80" s="126">
        <f>IFERROR(__xludf.DUMMYFUNCTION("""COMPUTED_VALUE"""),168.0)</f>
        <v>168</v>
      </c>
      <c r="B80" s="126" t="str">
        <f>IFERROR(__xludf.DUMMYFUNCTION("""COMPUTED_VALUE"""),"Hybrid Best-Fit Heuristic for Energy Efficient Virtual Machine Placement in Cloud Data Centers")</f>
        <v>Hybrid Best-Fit Heuristic for Energy Efficient Virtual Machine Placement in Cloud Data Centers</v>
      </c>
      <c r="C80" s="127" t="str">
        <f>IFERROR(__xludf.DUMMYFUNCTION("""COMPUTED_VALUE"""),"http://search.proquest.com/openview/21c57e9527878ff9b6c8a99d58d1bdb0/1?pq-origsite=gscholar&amp;cbl=4477230")</f>
        <v>http://search.proquest.com/openview/21c57e9527878ff9b6c8a99d58d1bdb0/1?pq-origsite=gscholar&amp;cbl=4477230</v>
      </c>
      <c r="D80" s="126" t="str">
        <f>IFERROR(__xludf.DUMMYFUNCTION("""COMPUTED_VALUE"""),"S Jangiti, V Vijayakumar, V Subramaniyaswamy")</f>
        <v>S Jangiti, V Vijayakumar, V Subramaniyaswamy</v>
      </c>
      <c r="E80" s="126" t="str">
        <f>IFERROR(__xludf.DUMMYFUNCTION("""COMPUTED_VALUE"""),"EAI Endorsed Transactions on Energy Web")</f>
        <v>EAI Endorsed Transactions on Energy Web</v>
      </c>
      <c r="F80" s="126" t="str">
        <f>IFERROR(__xludf.DUMMYFUNCTION("""COMPUTED_VALUE"""),"EAI ")</f>
        <v>EAI </v>
      </c>
      <c r="G80" s="126" t="str">
        <f>IFERROR(__xludf.DUMMYFUNCTION("""COMPUTED_VALUE"""),"J")</f>
        <v>J</v>
      </c>
      <c r="H80" s="129">
        <f>IFERROR(__xludf.DUMMYFUNCTION("""COMPUTED_VALUE"""),2020.0)</f>
        <v>2020</v>
      </c>
      <c r="I80" s="129">
        <f>IFERROR(__xludf.DUMMYFUNCTION("""COMPUTED_VALUE"""),1.0)</f>
        <v>1</v>
      </c>
      <c r="J80" s="129">
        <f>IFERROR(__xludf.DUMMYFUNCTION("""COMPUTED_VALUE"""),1.0)</f>
        <v>1</v>
      </c>
      <c r="K80" s="129">
        <f>IFERROR(__xludf.DUMMYFUNCTION("""COMPUTED_VALUE"""),1.0)</f>
        <v>1</v>
      </c>
      <c r="L80" s="129">
        <f>IFERROR(__xludf.DUMMYFUNCTION("""COMPUTED_VALUE"""),1.0)</f>
        <v>1</v>
      </c>
      <c r="M80" s="129">
        <f>IFERROR(__xludf.DUMMYFUNCTION("""COMPUTED_VALUE"""),1.0)</f>
        <v>1</v>
      </c>
      <c r="N80" s="129">
        <f>IFERROR(__xludf.DUMMYFUNCTION("""COMPUTED_VALUE"""),0.0)</f>
        <v>0</v>
      </c>
      <c r="O80" s="129">
        <f>IFERROR(__xludf.DUMMYFUNCTION("""COMPUTED_VALUE"""),0.0)</f>
        <v>0</v>
      </c>
      <c r="P80" s="129">
        <f>IFERROR(__xludf.DUMMYFUNCTION("""COMPUTED_VALUE"""),0.0)</f>
        <v>0</v>
      </c>
      <c r="Q80" s="129">
        <f>IFERROR(__xludf.DUMMYFUNCTION("""COMPUTED_VALUE"""),0.0)</f>
        <v>0</v>
      </c>
      <c r="R80" s="129">
        <f>IFERROR(__xludf.DUMMYFUNCTION("""COMPUTED_VALUE"""),0.0)</f>
        <v>0</v>
      </c>
      <c r="S80" s="129">
        <f>IFERROR(__xludf.DUMMYFUNCTION("""COMPUTED_VALUE"""),0.0)</f>
        <v>0</v>
      </c>
      <c r="T80" s="129">
        <f>IFERROR(__xludf.DUMMYFUNCTION("""COMPUTED_VALUE"""),0.0)</f>
        <v>0</v>
      </c>
      <c r="U80" s="129">
        <f>IFERROR(__xludf.DUMMYFUNCTION("""COMPUTED_VALUE"""),0.0)</f>
        <v>0</v>
      </c>
      <c r="V80" s="129">
        <f>IFERROR(__xludf.DUMMYFUNCTION("""COMPUTED_VALUE"""),0.0)</f>
        <v>0</v>
      </c>
      <c r="W80" s="126" t="str">
        <f>IFERROR(__xludf.DUMMYFUNCTION("""COMPUTED_VALUE"""),"Yes")</f>
        <v>Yes</v>
      </c>
      <c r="X80" s="126" t="str">
        <f>IFERROR(__xludf.DUMMYFUNCTION("""COMPUTED_VALUE"""),"Yes")</f>
        <v>Yes</v>
      </c>
      <c r="Y80" s="126" t="str">
        <f>IFERROR(__xludf.DUMMYFUNCTION("""COMPUTED_VALUE"""),"F")</f>
        <v>F</v>
      </c>
      <c r="Z80" s="126" t="str">
        <f>IFERROR(__xludf.DUMMYFUNCTION("""COMPUTED_VALUE"""),"heuristic for VM placement")</f>
        <v>heuristic for VM placement</v>
      </c>
      <c r="AA80" s="126"/>
      <c r="AB80" s="126"/>
      <c r="AC80" s="126"/>
      <c r="AD80" s="126"/>
      <c r="AE80" s="126"/>
      <c r="AF80" s="126"/>
      <c r="AG80" s="126"/>
      <c r="AH80" s="126"/>
      <c r="AI80" s="126"/>
      <c r="AJ80" s="126"/>
    </row>
    <row r="81">
      <c r="A81" s="126">
        <f>IFERROR(__xludf.DUMMYFUNCTION("""COMPUTED_VALUE"""),169.0)</f>
        <v>169</v>
      </c>
      <c r="B81" s="126" t="str">
        <f>IFERROR(__xludf.DUMMYFUNCTION("""COMPUTED_VALUE"""),"An SDN Focused Approach for Energy Aware Traffic Engineering in Data Centers")</f>
        <v>An SDN Focused Approach for Energy Aware Traffic Engineering in Data Centers</v>
      </c>
      <c r="C81" s="127" t="str">
        <f>IFERROR(__xludf.DUMMYFUNCTION("""COMPUTED_VALUE"""),"https://www.mdpi.com/1424-8220/19/18/3980")</f>
        <v>https://www.mdpi.com/1424-8220/19/18/3980</v>
      </c>
      <c r="D81" s="126" t="str">
        <f>IFERROR(__xludf.DUMMYFUNCTION("""COMPUTED_VALUE"""),"P Charalampou, ED Sykas")</f>
        <v>P Charalampou, ED Sykas</v>
      </c>
      <c r="E81" s="126" t="str">
        <f>IFERROR(__xludf.DUMMYFUNCTION("""COMPUTED_VALUE"""),"Multidisciplinary Digital Publishing Institute")</f>
        <v>Multidisciplinary Digital Publishing Institute</v>
      </c>
      <c r="F81" s="126" t="str">
        <f>IFERROR(__xludf.DUMMYFUNCTION("""COMPUTED_VALUE"""),"MDPI")</f>
        <v>MDPI</v>
      </c>
      <c r="G81" s="132" t="str">
        <f>IFERROR(__xludf.DUMMYFUNCTION("""COMPUTED_VALUE"""),"J")</f>
        <v>J</v>
      </c>
      <c r="H81" s="129">
        <f>IFERROR(__xludf.DUMMYFUNCTION("""COMPUTED_VALUE"""),2019.0)</f>
        <v>2019</v>
      </c>
      <c r="I81" s="129">
        <f>IFERROR(__xludf.DUMMYFUNCTION("""COMPUTED_VALUE"""),1.0)</f>
        <v>1</v>
      </c>
      <c r="J81" s="129">
        <f>IFERROR(__xludf.DUMMYFUNCTION("""COMPUTED_VALUE"""),1.0)</f>
        <v>1</v>
      </c>
      <c r="K81" s="130">
        <f>IFERROR(__xludf.DUMMYFUNCTION("""COMPUTED_VALUE"""),1.0)</f>
        <v>1</v>
      </c>
      <c r="L81" s="130">
        <f>IFERROR(__xludf.DUMMYFUNCTION("""COMPUTED_VALUE"""),1.0)</f>
        <v>1</v>
      </c>
      <c r="M81" s="130">
        <f>IFERROR(__xludf.DUMMYFUNCTION("""COMPUTED_VALUE"""),1.0)</f>
        <v>1</v>
      </c>
      <c r="N81" s="130">
        <f>IFERROR(__xludf.DUMMYFUNCTION("""COMPUTED_VALUE"""),0.0)</f>
        <v>0</v>
      </c>
      <c r="O81" s="130">
        <f>IFERROR(__xludf.DUMMYFUNCTION("""COMPUTED_VALUE"""),0.0)</f>
        <v>0</v>
      </c>
      <c r="P81" s="130">
        <f>IFERROR(__xludf.DUMMYFUNCTION("""COMPUTED_VALUE"""),0.0)</f>
        <v>0</v>
      </c>
      <c r="Q81" s="129">
        <f>IFERROR(__xludf.DUMMYFUNCTION("""COMPUTED_VALUE"""),0.0)</f>
        <v>0</v>
      </c>
      <c r="R81" s="129">
        <f>IFERROR(__xludf.DUMMYFUNCTION("""COMPUTED_VALUE"""),0.0)</f>
        <v>0</v>
      </c>
      <c r="S81" s="129">
        <f>IFERROR(__xludf.DUMMYFUNCTION("""COMPUTED_VALUE"""),0.0)</f>
        <v>0</v>
      </c>
      <c r="T81" s="129">
        <f>IFERROR(__xludf.DUMMYFUNCTION("""COMPUTED_VALUE"""),0.0)</f>
        <v>0</v>
      </c>
      <c r="U81" s="129">
        <f>IFERROR(__xludf.DUMMYFUNCTION("""COMPUTED_VALUE"""),0.0)</f>
        <v>0</v>
      </c>
      <c r="V81" s="129">
        <f>IFERROR(__xludf.DUMMYFUNCTION("""COMPUTED_VALUE"""),0.0)</f>
        <v>0</v>
      </c>
      <c r="W81" s="126" t="str">
        <f>IFERROR(__xludf.DUMMYFUNCTION("""COMPUTED_VALUE"""),"Yes")</f>
        <v>Yes</v>
      </c>
      <c r="X81" s="126" t="str">
        <f>IFERROR(__xludf.DUMMYFUNCTION("""COMPUTED_VALUE"""),"Yes")</f>
        <v>Yes</v>
      </c>
      <c r="Y81" s="126" t="str">
        <f>IFERROR(__xludf.DUMMYFUNCTION("""COMPUTED_VALUE"""),"F")</f>
        <v>F</v>
      </c>
      <c r="Z81" s="126" t="str">
        <f>IFERROR(__xludf.DUMMYFUNCTION("""COMPUTED_VALUE"""),"MIP algorithm to optimize EC")</f>
        <v>MIP algorithm to optimize EC</v>
      </c>
      <c r="AA81" s="126"/>
      <c r="AB81" s="126"/>
      <c r="AC81" s="126"/>
      <c r="AD81" s="126"/>
      <c r="AE81" s="126"/>
      <c r="AF81" s="126"/>
      <c r="AG81" s="126"/>
      <c r="AH81" s="126"/>
      <c r="AI81" s="126"/>
      <c r="AJ81" s="126"/>
    </row>
    <row r="82">
      <c r="A82" s="126">
        <f>IFERROR(__xludf.DUMMYFUNCTION("""COMPUTED_VALUE"""),170.0)</f>
        <v>170</v>
      </c>
      <c r="B82" s="126" t="str">
        <f>IFERROR(__xludf.DUMMYFUNCTION("""COMPUTED_VALUE"""),"Exploiting user provided information in dynamic consolidation of virtual machines to minimize energy consumption of cloud data centers")</f>
        <v>Exploiting user provided information in dynamic consolidation of virtual machines to minimize energy consumption of cloud data centers</v>
      </c>
      <c r="C82" s="127" t="str">
        <f>IFERROR(__xludf.DUMMYFUNCTION("""COMPUTED_VALUE"""),"https://ieeexplore.ieee.org/abstract/document/8364052/")</f>
        <v>https://ieeexplore.ieee.org/abstract/document/8364052/</v>
      </c>
      <c r="D82" s="131" t="str">
        <f>IFERROR(__xludf.DUMMYFUNCTION("""COMPUTED_VALUE"""),"MA Khan, AP Paplinski, AM Khan, M Murshed, R Buyya")</f>
        <v>MA Khan, AP Paplinski, AM Khan, M Murshed, R Buyya</v>
      </c>
      <c r="E82" s="131" t="str">
        <f>IFERROR(__xludf.DUMMYFUNCTION("""COMPUTED_VALUE"""),"Institute of Electrical and Electronics Engineers")</f>
        <v>Institute of Electrical and Electronics Engineers</v>
      </c>
      <c r="F82" s="126" t="str">
        <f>IFERROR(__xludf.DUMMYFUNCTION("""COMPUTED_VALUE"""),"IEEE Xplore")</f>
        <v>IEEE Xplore</v>
      </c>
      <c r="G82" s="128" t="str">
        <f>IFERROR(__xludf.DUMMYFUNCTION("""COMPUTED_VALUE"""),"C")</f>
        <v>C</v>
      </c>
      <c r="H82" s="130">
        <f>IFERROR(__xludf.DUMMYFUNCTION("""COMPUTED_VALUE"""),2018.0)</f>
        <v>2018</v>
      </c>
      <c r="I82" s="130">
        <f>IFERROR(__xludf.DUMMYFUNCTION("""COMPUTED_VALUE"""),1.0)</f>
        <v>1</v>
      </c>
      <c r="J82" s="130">
        <f>IFERROR(__xludf.DUMMYFUNCTION("""COMPUTED_VALUE"""),1.0)</f>
        <v>1</v>
      </c>
      <c r="K82" s="130">
        <f>IFERROR(__xludf.DUMMYFUNCTION("""COMPUTED_VALUE"""),1.0)</f>
        <v>1</v>
      </c>
      <c r="L82" s="129">
        <f>IFERROR(__xludf.DUMMYFUNCTION("""COMPUTED_VALUE"""),1.0)</f>
        <v>1</v>
      </c>
      <c r="M82" s="130">
        <f>IFERROR(__xludf.DUMMYFUNCTION("""COMPUTED_VALUE"""),1.0)</f>
        <v>1</v>
      </c>
      <c r="N82" s="130">
        <f>IFERROR(__xludf.DUMMYFUNCTION("""COMPUTED_VALUE"""),0.0)</f>
        <v>0</v>
      </c>
      <c r="O82" s="130">
        <f>IFERROR(__xludf.DUMMYFUNCTION("""COMPUTED_VALUE"""),0.0)</f>
        <v>0</v>
      </c>
      <c r="P82" s="130">
        <f>IFERROR(__xludf.DUMMYFUNCTION("""COMPUTED_VALUE"""),0.0)</f>
        <v>0</v>
      </c>
      <c r="Q82" s="130">
        <f>IFERROR(__xludf.DUMMYFUNCTION("""COMPUTED_VALUE"""),0.0)</f>
        <v>0</v>
      </c>
      <c r="R82" s="129">
        <f>IFERROR(__xludf.DUMMYFUNCTION("""COMPUTED_VALUE"""),0.0)</f>
        <v>0</v>
      </c>
      <c r="S82" s="129">
        <f>IFERROR(__xludf.DUMMYFUNCTION("""COMPUTED_VALUE"""),0.0)</f>
        <v>0</v>
      </c>
      <c r="T82" s="129">
        <f>IFERROR(__xludf.DUMMYFUNCTION("""COMPUTED_VALUE"""),0.0)</f>
        <v>0</v>
      </c>
      <c r="U82" s="129">
        <f>IFERROR(__xludf.DUMMYFUNCTION("""COMPUTED_VALUE"""),0.0)</f>
        <v>0</v>
      </c>
      <c r="V82" s="129">
        <f>IFERROR(__xludf.DUMMYFUNCTION("""COMPUTED_VALUE"""),0.0)</f>
        <v>0</v>
      </c>
      <c r="W82" s="126" t="str">
        <f>IFERROR(__xludf.DUMMYFUNCTION("""COMPUTED_VALUE"""),"Yes")</f>
        <v>Yes</v>
      </c>
      <c r="X82" s="126" t="str">
        <f>IFERROR(__xludf.DUMMYFUNCTION("""COMPUTED_VALUE"""),"Yes")</f>
        <v>Yes</v>
      </c>
      <c r="Y82" s="126" t="str">
        <f>IFERROR(__xludf.DUMMYFUNCTION("""COMPUTED_VALUE"""),"F")</f>
        <v>F</v>
      </c>
      <c r="Z82" s="126" t="str">
        <f>IFERROR(__xludf.DUMMYFUNCTION("""COMPUTED_VALUE"""),"VM consolidation (dynamic)")</f>
        <v>VM consolidation (dynamic)</v>
      </c>
      <c r="AA82" s="126"/>
      <c r="AB82" s="126"/>
      <c r="AC82" s="126"/>
      <c r="AD82" s="126"/>
      <c r="AE82" s="126"/>
      <c r="AF82" s="126"/>
      <c r="AG82" s="126"/>
      <c r="AH82" s="126"/>
      <c r="AI82" s="126"/>
      <c r="AJ82" s="126"/>
    </row>
    <row r="83">
      <c r="A83" s="126">
        <f>IFERROR(__xludf.DUMMYFUNCTION("""COMPUTED_VALUE"""),171.0)</f>
        <v>171</v>
      </c>
      <c r="B83" s="126" t="str">
        <f>IFERROR(__xludf.DUMMYFUNCTION("""COMPUTED_VALUE"""),"DREAM: Distributed energy-aware traffic management for data center networks")</f>
        <v>DREAM: Distributed energy-aware traffic management for data center networks</v>
      </c>
      <c r="C83" s="127" t="str">
        <f>IFERROR(__xludf.DUMMYFUNCTION("""COMPUTED_VALUE"""),"https://dl.acm.org/doi/abs/10.1145/3307772.3328291")</f>
        <v>https://dl.acm.org/doi/abs/10.1145/3307772.3328291</v>
      </c>
      <c r="D83" s="126" t="str">
        <f>IFERROR(__xludf.DUMMYFUNCTION("""COMPUTED_VALUE"""),"L Zhou, LN Bhuyan, KK Ramakrishnan")</f>
        <v>L Zhou, LN Bhuyan, KK Ramakrishnan</v>
      </c>
      <c r="E83" s="126" t="str">
        <f>IFERROR(__xludf.DUMMYFUNCTION("""COMPUTED_VALUE"""),"Association for Computing Machinery")</f>
        <v>Association for Computing Machinery</v>
      </c>
      <c r="F83" s="126" t="str">
        <f>IFERROR(__xludf.DUMMYFUNCTION("""COMPUTED_VALUE"""),"ACM")</f>
        <v>ACM</v>
      </c>
      <c r="G83" s="128" t="str">
        <f>IFERROR(__xludf.DUMMYFUNCTION("""COMPUTED_VALUE"""),"C")</f>
        <v>C</v>
      </c>
      <c r="H83" s="129">
        <f>IFERROR(__xludf.DUMMYFUNCTION("""COMPUTED_VALUE"""),2019.0)</f>
        <v>2019</v>
      </c>
      <c r="I83" s="129">
        <f>IFERROR(__xludf.DUMMYFUNCTION("""COMPUTED_VALUE"""),1.0)</f>
        <v>1</v>
      </c>
      <c r="J83" s="129">
        <f>IFERROR(__xludf.DUMMYFUNCTION("""COMPUTED_VALUE"""),1.0)</f>
        <v>1</v>
      </c>
      <c r="K83" s="130">
        <f>IFERROR(__xludf.DUMMYFUNCTION("""COMPUTED_VALUE"""),1.0)</f>
        <v>1</v>
      </c>
      <c r="L83" s="130">
        <f>IFERROR(__xludf.DUMMYFUNCTION("""COMPUTED_VALUE"""),1.0)</f>
        <v>1</v>
      </c>
      <c r="M83" s="130">
        <f>IFERROR(__xludf.DUMMYFUNCTION("""COMPUTED_VALUE"""),1.0)</f>
        <v>1</v>
      </c>
      <c r="N83" s="130">
        <f>IFERROR(__xludf.DUMMYFUNCTION("""COMPUTED_VALUE"""),0.0)</f>
        <v>0</v>
      </c>
      <c r="O83" s="130">
        <f>IFERROR(__xludf.DUMMYFUNCTION("""COMPUTED_VALUE"""),0.0)</f>
        <v>0</v>
      </c>
      <c r="P83" s="130">
        <f>IFERROR(__xludf.DUMMYFUNCTION("""COMPUTED_VALUE"""),0.0)</f>
        <v>0</v>
      </c>
      <c r="Q83" s="130">
        <f>IFERROR(__xludf.DUMMYFUNCTION("""COMPUTED_VALUE"""),0.0)</f>
        <v>0</v>
      </c>
      <c r="R83" s="130">
        <f>IFERROR(__xludf.DUMMYFUNCTION("""COMPUTED_VALUE"""),0.0)</f>
        <v>0</v>
      </c>
      <c r="S83" s="130">
        <f>IFERROR(__xludf.DUMMYFUNCTION("""COMPUTED_VALUE"""),0.0)</f>
        <v>0</v>
      </c>
      <c r="T83" s="130">
        <f>IFERROR(__xludf.DUMMYFUNCTION("""COMPUTED_VALUE"""),0.0)</f>
        <v>0</v>
      </c>
      <c r="U83" s="130">
        <f>IFERROR(__xludf.DUMMYFUNCTION("""COMPUTED_VALUE"""),0.0)</f>
        <v>0</v>
      </c>
      <c r="V83" s="130">
        <f>IFERROR(__xludf.DUMMYFUNCTION("""COMPUTED_VALUE"""),0.0)</f>
        <v>0</v>
      </c>
      <c r="W83" s="131" t="str">
        <f>IFERROR(__xludf.DUMMYFUNCTION("""COMPUTED_VALUE"""),"Yes")</f>
        <v>Yes</v>
      </c>
      <c r="X83" s="131" t="str">
        <f>IFERROR(__xludf.DUMMYFUNCTION("""COMPUTED_VALUE"""),"Yes")</f>
        <v>Yes</v>
      </c>
      <c r="Y83" s="131" t="str">
        <f>IFERROR(__xludf.DUMMYFUNCTION("""COMPUTED_VALUE"""),"F")</f>
        <v>F</v>
      </c>
      <c r="Z83" s="131" t="str">
        <f>IFERROR(__xludf.DUMMYFUNCTION("""COMPUTED_VALUE"""),"traffic management framework")</f>
        <v>traffic management framework</v>
      </c>
      <c r="AA83" s="131"/>
      <c r="AB83" s="131"/>
      <c r="AC83" s="131"/>
      <c r="AD83" s="131"/>
      <c r="AE83" s="131"/>
      <c r="AF83" s="131"/>
      <c r="AG83" s="131"/>
      <c r="AH83" s="131"/>
      <c r="AI83" s="131"/>
      <c r="AJ83" s="131"/>
    </row>
    <row r="84">
      <c r="A84" s="126">
        <f>IFERROR(__xludf.DUMMYFUNCTION("""COMPUTED_VALUE"""),174.0)</f>
        <v>174</v>
      </c>
      <c r="B84" s="126" t="str">
        <f>IFERROR(__xludf.DUMMYFUNCTION("""COMPUTED_VALUE"""),"Energy-oriented analysis of HPC cluster queues: emerging metrics for sustainable data center")</f>
        <v>Energy-oriented analysis of HPC cluster queues: emerging metrics for sustainable data center</v>
      </c>
      <c r="C84" s="127" t="str">
        <f>IFERROR(__xludf.DUMMYFUNCTION("""COMPUTED_VALUE"""),"https://link.springer.com/chapter/10.1007/978-3-030-21507-1_41")</f>
        <v>https://link.springer.com/chapter/10.1007/978-3-030-21507-1_41</v>
      </c>
      <c r="D84" s="126" t="str">
        <f>IFERROR(__xludf.DUMMYFUNCTION("""COMPUTED_VALUE"""),"A Grishina, M Chinnici, D De Chiara, E Rondeau, AL Kor")</f>
        <v>A Grishina, M Chinnici, D De Chiara, E Rondeau, AL Kor</v>
      </c>
      <c r="E84" s="126" t="str">
        <f>IFERROR(__xludf.DUMMYFUNCTION("""COMPUTED_VALUE"""),"Springer")</f>
        <v>Springer</v>
      </c>
      <c r="F84" s="126" t="str">
        <f>IFERROR(__xludf.DUMMYFUNCTION("""COMPUTED_VALUE"""),"Springer")</f>
        <v>Springer</v>
      </c>
      <c r="G84" s="128" t="str">
        <f>IFERROR(__xludf.DUMMYFUNCTION("""COMPUTED_VALUE"""),"C")</f>
        <v>C</v>
      </c>
      <c r="H84" s="129">
        <f>IFERROR(__xludf.DUMMYFUNCTION("""COMPUTED_VALUE"""),2018.0)</f>
        <v>2018</v>
      </c>
      <c r="I84" s="129">
        <f>IFERROR(__xludf.DUMMYFUNCTION("""COMPUTED_VALUE"""),1.0)</f>
        <v>1</v>
      </c>
      <c r="J84" s="129">
        <f>IFERROR(__xludf.DUMMYFUNCTION("""COMPUTED_VALUE"""),1.0)</f>
        <v>1</v>
      </c>
      <c r="K84" s="130">
        <f>IFERROR(__xludf.DUMMYFUNCTION("""COMPUTED_VALUE"""),1.0)</f>
        <v>1</v>
      </c>
      <c r="L84" s="130">
        <f>IFERROR(__xludf.DUMMYFUNCTION("""COMPUTED_VALUE"""),1.0)</f>
        <v>1</v>
      </c>
      <c r="M84" s="130">
        <f>IFERROR(__xludf.DUMMYFUNCTION("""COMPUTED_VALUE"""),1.0)</f>
        <v>1</v>
      </c>
      <c r="N84" s="130">
        <f>IFERROR(__xludf.DUMMYFUNCTION("""COMPUTED_VALUE"""),0.0)</f>
        <v>0</v>
      </c>
      <c r="O84" s="130">
        <f>IFERROR(__xludf.DUMMYFUNCTION("""COMPUTED_VALUE"""),0.0)</f>
        <v>0</v>
      </c>
      <c r="P84" s="130">
        <f>IFERROR(__xludf.DUMMYFUNCTION("""COMPUTED_VALUE"""),0.0)</f>
        <v>0</v>
      </c>
      <c r="Q84" s="129">
        <f>IFERROR(__xludf.DUMMYFUNCTION("""COMPUTED_VALUE"""),0.0)</f>
        <v>0</v>
      </c>
      <c r="R84" s="129">
        <f>IFERROR(__xludf.DUMMYFUNCTION("""COMPUTED_VALUE"""),0.0)</f>
        <v>0</v>
      </c>
      <c r="S84" s="129">
        <f>IFERROR(__xludf.DUMMYFUNCTION("""COMPUTED_VALUE"""),0.0)</f>
        <v>0</v>
      </c>
      <c r="T84" s="129">
        <f>IFERROR(__xludf.DUMMYFUNCTION("""COMPUTED_VALUE"""),0.0)</f>
        <v>0</v>
      </c>
      <c r="U84" s="129">
        <f>IFERROR(__xludf.DUMMYFUNCTION("""COMPUTED_VALUE"""),0.0)</f>
        <v>0</v>
      </c>
      <c r="V84" s="129">
        <f>IFERROR(__xludf.DUMMYFUNCTION("""COMPUTED_VALUE"""),0.0)</f>
        <v>0</v>
      </c>
      <c r="W84" s="126" t="str">
        <f>IFERROR(__xludf.DUMMYFUNCTION("""COMPUTED_VALUE"""),"Yes")</f>
        <v>Yes</v>
      </c>
      <c r="X84" s="126" t="str">
        <f>IFERROR(__xludf.DUMMYFUNCTION("""COMPUTED_VALUE"""),"Yes")</f>
        <v>Yes</v>
      </c>
      <c r="Y84" s="126" t="str">
        <f>IFERROR(__xludf.DUMMYFUNCTION("""COMPUTED_VALUE"""),"F")</f>
        <v>F</v>
      </c>
      <c r="Z84" s="126" t="str">
        <f>IFERROR(__xludf.DUMMYFUNCTION("""COMPUTED_VALUE"""),"analysis productivity EE metrics")</f>
        <v>analysis productivity EE metrics</v>
      </c>
      <c r="AA84" s="126"/>
      <c r="AB84" s="126"/>
      <c r="AC84" s="126"/>
      <c r="AD84" s="126"/>
      <c r="AE84" s="126"/>
      <c r="AF84" s="126"/>
      <c r="AG84" s="126"/>
      <c r="AH84" s="126"/>
      <c r="AI84" s="126"/>
      <c r="AJ84" s="126"/>
    </row>
    <row r="85">
      <c r="A85" s="126">
        <f>IFERROR(__xludf.DUMMYFUNCTION("""COMPUTED_VALUE"""),175.0)</f>
        <v>175</v>
      </c>
      <c r="B85" s="126" t="str">
        <f>IFERROR(__xludf.DUMMYFUNCTION("""COMPUTED_VALUE"""),"SDN-based traffic scheduling scheme for energy storage data center based on differential algorithm and congestion degree")</f>
        <v>SDN-based traffic scheduling scheme for energy storage data center based on differential algorithm and congestion degree</v>
      </c>
      <c r="C85" s="127" t="str">
        <f>IFERROR(__xludf.DUMMYFUNCTION("""COMPUTED_VALUE"""),"https://ieeexplore.ieee.org/abstract/document/9213653/")</f>
        <v>https://ieeexplore.ieee.org/abstract/document/9213653/</v>
      </c>
      <c r="D85" s="126" t="str">
        <f>IFERROR(__xludf.DUMMYFUNCTION("""COMPUTED_VALUE"""),"L Peizhe, L Chaoqun, Y Kai, Z Mingjie…")</f>
        <v>L Peizhe, L Chaoqun, Y Kai, Z Mingjie…</v>
      </c>
      <c r="E85" s="126" t="str">
        <f>IFERROR(__xludf.DUMMYFUNCTION("""COMPUTED_VALUE"""),"Institute of Electrical and Electronics Engineers")</f>
        <v>Institute of Electrical and Electronics Engineers</v>
      </c>
      <c r="F85" s="126" t="str">
        <f>IFERROR(__xludf.DUMMYFUNCTION("""COMPUTED_VALUE"""),"IEEE Xplore")</f>
        <v>IEEE Xplore</v>
      </c>
      <c r="G85" s="128"/>
      <c r="H85" s="130">
        <f>IFERROR(__xludf.DUMMYFUNCTION("""COMPUTED_VALUE"""),2020.0)</f>
        <v>2020</v>
      </c>
      <c r="I85" s="129">
        <f>IFERROR(__xludf.DUMMYFUNCTION("""COMPUTED_VALUE"""),0.0)</f>
        <v>0</v>
      </c>
      <c r="J85" s="130">
        <f>IFERROR(__xludf.DUMMYFUNCTION("""COMPUTED_VALUE"""),1.0)</f>
        <v>1</v>
      </c>
      <c r="K85" s="130">
        <f>IFERROR(__xludf.DUMMYFUNCTION("""COMPUTED_VALUE"""),1.0)</f>
        <v>1</v>
      </c>
      <c r="L85" s="129"/>
      <c r="M85" s="130"/>
      <c r="N85" s="130"/>
      <c r="O85" s="130"/>
      <c r="P85" s="130"/>
      <c r="Q85" s="130"/>
      <c r="R85" s="130"/>
      <c r="S85" s="130"/>
      <c r="T85" s="130"/>
      <c r="U85" s="130"/>
      <c r="V85" s="130"/>
      <c r="W85" s="131" t="str">
        <f>IFERROR(__xludf.DUMMYFUNCTION("""COMPUTED_VALUE"""),"No")</f>
        <v>No</v>
      </c>
      <c r="X85" s="131" t="str">
        <f>IFERROR(__xludf.DUMMYFUNCTION("""COMPUTED_VALUE"""),"Yes")</f>
        <v>Yes</v>
      </c>
      <c r="Y85" s="131" t="str">
        <f>IFERROR(__xludf.DUMMYFUNCTION("""COMPUTED_VALUE"""),"F")</f>
        <v>F</v>
      </c>
      <c r="Z85" s="131" t="str">
        <f>IFERROR(__xludf.DUMMYFUNCTION("""COMPUTED_VALUE"""),"improve network performance")</f>
        <v>improve network performance</v>
      </c>
      <c r="AA85" s="131"/>
      <c r="AB85" s="131"/>
      <c r="AC85" s="131"/>
      <c r="AD85" s="131"/>
      <c r="AE85" s="131"/>
      <c r="AF85" s="131"/>
      <c r="AG85" s="131"/>
      <c r="AH85" s="131"/>
      <c r="AI85" s="131"/>
      <c r="AJ85" s="131"/>
    </row>
    <row r="86">
      <c r="A86" s="126">
        <f>IFERROR(__xludf.DUMMYFUNCTION("""COMPUTED_VALUE"""),177.0)</f>
        <v>177</v>
      </c>
      <c r="B86" s="126" t="str">
        <f>IFERROR(__xludf.DUMMYFUNCTION("""COMPUTED_VALUE"""),"Energy efficiency of data center operating practices: Server clustering, powering on/off, and bang–bang control")</f>
        <v>Energy efficiency of data center operating practices: Server clustering, powering on/off, and bang–bang control</v>
      </c>
      <c r="C86" s="127" t="str">
        <f>IFERROR(__xludf.DUMMYFUNCTION("""COMPUTED_VALUE"""),"https://onlinelibrary.wiley.com/doi/abs/10.1002/net.21752")</f>
        <v>https://onlinelibrary.wiley.com/doi/abs/10.1002/net.21752</v>
      </c>
      <c r="D86" s="126" t="str">
        <f>IFERROR(__xludf.DUMMYFUNCTION("""COMPUTED_VALUE"""),"Y Cho, YM Ko")</f>
        <v>Y Cho, YM Ko</v>
      </c>
      <c r="E86" s="126" t="str">
        <f>IFERROR(__xludf.DUMMYFUNCTION("""COMPUTED_VALUE"""),"Wiley Online Library")</f>
        <v>Wiley Online Library</v>
      </c>
      <c r="F86" s="126" t="str">
        <f>IFERROR(__xludf.DUMMYFUNCTION("""COMPUTED_VALUE"""),"Wiley")</f>
        <v>Wiley</v>
      </c>
      <c r="G86" s="128" t="str">
        <f>IFERROR(__xludf.DUMMYFUNCTION("""COMPUTED_VALUE"""),"J")</f>
        <v>J</v>
      </c>
      <c r="H86" s="129">
        <f>IFERROR(__xludf.DUMMYFUNCTION("""COMPUTED_VALUE"""),2018.0)</f>
        <v>2018</v>
      </c>
      <c r="I86" s="129">
        <f>IFERROR(__xludf.DUMMYFUNCTION("""COMPUTED_VALUE"""),1.0)</f>
        <v>1</v>
      </c>
      <c r="J86" s="129">
        <f>IFERROR(__xludf.DUMMYFUNCTION("""COMPUTED_VALUE"""),1.0)</f>
        <v>1</v>
      </c>
      <c r="K86" s="130">
        <f>IFERROR(__xludf.DUMMYFUNCTION("""COMPUTED_VALUE"""),1.0)</f>
        <v>1</v>
      </c>
      <c r="L86" s="130">
        <f>IFERROR(__xludf.DUMMYFUNCTION("""COMPUTED_VALUE"""),1.0)</f>
        <v>1</v>
      </c>
      <c r="M86" s="130">
        <f>IFERROR(__xludf.DUMMYFUNCTION("""COMPUTED_VALUE"""),1.0)</f>
        <v>1</v>
      </c>
      <c r="N86" s="130">
        <f>IFERROR(__xludf.DUMMYFUNCTION("""COMPUTED_VALUE"""),0.0)</f>
        <v>0</v>
      </c>
      <c r="O86" s="130">
        <f>IFERROR(__xludf.DUMMYFUNCTION("""COMPUTED_VALUE"""),0.0)</f>
        <v>0</v>
      </c>
      <c r="P86" s="130">
        <f>IFERROR(__xludf.DUMMYFUNCTION("""COMPUTED_VALUE"""),0.0)</f>
        <v>0</v>
      </c>
      <c r="Q86" s="129">
        <f>IFERROR(__xludf.DUMMYFUNCTION("""COMPUTED_VALUE"""),0.0)</f>
        <v>0</v>
      </c>
      <c r="R86" s="129">
        <f>IFERROR(__xludf.DUMMYFUNCTION("""COMPUTED_VALUE"""),0.0)</f>
        <v>0</v>
      </c>
      <c r="S86" s="129">
        <f>IFERROR(__xludf.DUMMYFUNCTION("""COMPUTED_VALUE"""),0.0)</f>
        <v>0</v>
      </c>
      <c r="T86" s="129">
        <f>IFERROR(__xludf.DUMMYFUNCTION("""COMPUTED_VALUE"""),0.0)</f>
        <v>0</v>
      </c>
      <c r="U86" s="129">
        <f>IFERROR(__xludf.DUMMYFUNCTION("""COMPUTED_VALUE"""),0.0)</f>
        <v>0</v>
      </c>
      <c r="V86" s="129">
        <f>IFERROR(__xludf.DUMMYFUNCTION("""COMPUTED_VALUE"""),0.0)</f>
        <v>0</v>
      </c>
      <c r="W86" s="126" t="str">
        <f>IFERROR(__xludf.DUMMYFUNCTION("""COMPUTED_VALUE"""),"Yes")</f>
        <v>Yes</v>
      </c>
      <c r="X86" s="126" t="str">
        <f>IFERROR(__xludf.DUMMYFUNCTION("""COMPUTED_VALUE"""),"Yes")</f>
        <v>Yes</v>
      </c>
      <c r="Y86" s="126" t="str">
        <f>IFERROR(__xludf.DUMMYFUNCTION("""COMPUTED_VALUE"""),"F")</f>
        <v>F</v>
      </c>
      <c r="Z86" s="126" t="str">
        <f>IFERROR(__xludf.DUMMYFUNCTION("""COMPUTED_VALUE"""),"adaptive load management ")</f>
        <v>adaptive load management </v>
      </c>
      <c r="AA86" s="126"/>
      <c r="AB86" s="126"/>
      <c r="AC86" s="126"/>
      <c r="AD86" s="126"/>
      <c r="AE86" s="126"/>
      <c r="AF86" s="126"/>
      <c r="AG86" s="126"/>
      <c r="AH86" s="126"/>
      <c r="AI86" s="126"/>
      <c r="AJ86" s="126"/>
    </row>
    <row r="87">
      <c r="A87" s="126">
        <f>IFERROR(__xludf.DUMMYFUNCTION("""COMPUTED_VALUE"""),179.0)</f>
        <v>179</v>
      </c>
      <c r="B87" s="126" t="str">
        <f>IFERROR(__xludf.DUMMYFUNCTION("""COMPUTED_VALUE"""),"Toward an Autonomic and Adaptive Load Management Strategy for Reducing Energy Consumption under Performance Constraints in Data Centers.")</f>
        <v>Toward an Autonomic and Adaptive Load Management Strategy for Reducing Energy Consumption under Performance Constraints in Data Centers.</v>
      </c>
      <c r="C87" s="127" t="str">
        <f>IFERROR(__xludf.DUMMYFUNCTION("""COMPUTED_VALUE"""),"https://www.researchgate.net/profile/Abdulrahman_Nahhas/publication/333335432_Toward_an_Autonomic_and_Adaptive_Load_Management_Strategy_for_Reducing_Energy_Consumption_under_Performance_Constraints_in_Data_Centers/links/5d1b96fa92851cf440600900/Toward-an-"&amp;"Autonomic-and-Adaptive-Load-Management-Strategy-for-Reducing-Energy-Consumption-under-Performance-Constraints-in-Data-Centers.pdf")</f>
        <v>https://www.researchgate.net/profile/Abdulrahman_Nahhas/publication/333335432_Toward_an_Autonomic_and_Adaptive_Load_Management_Strategy_for_Reducing_Energy_Consumption_under_Performance_Constraints_in_Data_Centers/links/5d1b96fa92851cf440600900/Toward-an-Autonomic-and-Adaptive-Load-Management-Strategy-for-Reducing-Energy-Consumption-under-Performance-Constraints-in-Data-Centers.pdf</v>
      </c>
      <c r="D87" s="126" t="str">
        <f>IFERROR(__xludf.DUMMYFUNCTION("""COMPUTED_VALUE"""),"A Nahhas, S Bosse, M Pohl, K Turowski")</f>
        <v>A Nahhas, S Bosse, M Pohl, K Turowski</v>
      </c>
      <c r="E87" s="127" t="str">
        <f>IFERROR(__xludf.DUMMYFUNCTION("""COMPUTED_VALUE"""),"researchgate.net")</f>
        <v>researchgate.net</v>
      </c>
      <c r="F87" s="127" t="str">
        <f>IFERROR(__xludf.DUMMYFUNCTION("""COMPUTED_VALUE"""),"researchgate.net")</f>
        <v>researchgate.net</v>
      </c>
      <c r="G87" s="128" t="str">
        <f>IFERROR(__xludf.DUMMYFUNCTION("""COMPUTED_VALUE"""),"C")</f>
        <v>C</v>
      </c>
      <c r="H87" s="129">
        <f>IFERROR(__xludf.DUMMYFUNCTION("""COMPUTED_VALUE"""),2019.0)</f>
        <v>2019</v>
      </c>
      <c r="I87" s="129">
        <f>IFERROR(__xludf.DUMMYFUNCTION("""COMPUTED_VALUE"""),1.0)</f>
        <v>1</v>
      </c>
      <c r="J87" s="129">
        <f>IFERROR(__xludf.DUMMYFUNCTION("""COMPUTED_VALUE"""),1.0)</f>
        <v>1</v>
      </c>
      <c r="K87" s="130">
        <f>IFERROR(__xludf.DUMMYFUNCTION("""COMPUTED_VALUE"""),1.0)</f>
        <v>1</v>
      </c>
      <c r="L87" s="130">
        <f>IFERROR(__xludf.DUMMYFUNCTION("""COMPUTED_VALUE"""),1.0)</f>
        <v>1</v>
      </c>
      <c r="M87" s="130">
        <f>IFERROR(__xludf.DUMMYFUNCTION("""COMPUTED_VALUE"""),1.0)</f>
        <v>1</v>
      </c>
      <c r="N87" s="130">
        <f>IFERROR(__xludf.DUMMYFUNCTION("""COMPUTED_VALUE"""),0.0)</f>
        <v>0</v>
      </c>
      <c r="O87" s="130">
        <f>IFERROR(__xludf.DUMMYFUNCTION("""COMPUTED_VALUE"""),0.0)</f>
        <v>0</v>
      </c>
      <c r="P87" s="130">
        <f>IFERROR(__xludf.DUMMYFUNCTION("""COMPUTED_VALUE"""),0.0)</f>
        <v>0</v>
      </c>
      <c r="Q87" s="129">
        <f>IFERROR(__xludf.DUMMYFUNCTION("""COMPUTED_VALUE"""),0.0)</f>
        <v>0</v>
      </c>
      <c r="R87" s="129">
        <f>IFERROR(__xludf.DUMMYFUNCTION("""COMPUTED_VALUE"""),0.0)</f>
        <v>0</v>
      </c>
      <c r="S87" s="129">
        <f>IFERROR(__xludf.DUMMYFUNCTION("""COMPUTED_VALUE"""),0.0)</f>
        <v>0</v>
      </c>
      <c r="T87" s="129">
        <f>IFERROR(__xludf.DUMMYFUNCTION("""COMPUTED_VALUE"""),0.0)</f>
        <v>0</v>
      </c>
      <c r="U87" s="129">
        <f>IFERROR(__xludf.DUMMYFUNCTION("""COMPUTED_VALUE"""),0.0)</f>
        <v>0</v>
      </c>
      <c r="V87" s="129">
        <f>IFERROR(__xludf.DUMMYFUNCTION("""COMPUTED_VALUE"""),0.0)</f>
        <v>0</v>
      </c>
      <c r="W87" s="126" t="str">
        <f>IFERROR(__xludf.DUMMYFUNCTION("""COMPUTED_VALUE"""),"Yes")</f>
        <v>Yes</v>
      </c>
      <c r="X87" s="126" t="str">
        <f>IFERROR(__xludf.DUMMYFUNCTION("""COMPUTED_VALUE"""),"Yes")</f>
        <v>Yes</v>
      </c>
      <c r="Y87" s="126" t="str">
        <f>IFERROR(__xludf.DUMMYFUNCTION("""COMPUTED_VALUE"""),"F")</f>
        <v>F</v>
      </c>
      <c r="Z87" s="126" t="str">
        <f>IFERROR(__xludf.DUMMYFUNCTION("""COMPUTED_VALUE"""),"load management strategy")</f>
        <v>load management strategy</v>
      </c>
      <c r="AA87" s="126"/>
      <c r="AB87" s="126"/>
      <c r="AC87" s="126"/>
      <c r="AD87" s="126"/>
      <c r="AE87" s="126"/>
      <c r="AF87" s="126"/>
      <c r="AG87" s="126"/>
      <c r="AH87" s="126"/>
      <c r="AI87" s="126"/>
      <c r="AJ87" s="126"/>
    </row>
    <row r="88">
      <c r="A88" s="126">
        <f>IFERROR(__xludf.DUMMYFUNCTION("""COMPUTED_VALUE"""),180.0)</f>
        <v>180</v>
      </c>
      <c r="B88" s="126" t="str">
        <f>IFERROR(__xludf.DUMMYFUNCTION("""COMPUTED_VALUE"""),"Quantifying the impact of shutdown techniques for energy‐efficient data centers")</f>
        <v>Quantifying the impact of shutdown techniques for energy‐efficient data centers</v>
      </c>
      <c r="C88" s="127" t="str">
        <f>IFERROR(__xludf.DUMMYFUNCTION("""COMPUTED_VALUE"""),"https://onlinelibrary.wiley.com/doi/abs/10.1002/cpe.4471")</f>
        <v>https://onlinelibrary.wiley.com/doi/abs/10.1002/cpe.4471</v>
      </c>
      <c r="D88" s="126" t="str">
        <f>IFERROR(__xludf.DUMMYFUNCTION("""COMPUTED_VALUE"""),"I Raïs, AC Orgerie, M Quinson…")</f>
        <v>I Raïs, AC Orgerie, M Quinson…</v>
      </c>
      <c r="E88" s="126" t="str">
        <f>IFERROR(__xludf.DUMMYFUNCTION("""COMPUTED_VALUE"""),"Wiley Online Library")</f>
        <v>Wiley Online Library</v>
      </c>
      <c r="F88" s="126" t="str">
        <f>IFERROR(__xludf.DUMMYFUNCTION("""COMPUTED_VALUE"""),"Wiley")</f>
        <v>Wiley</v>
      </c>
      <c r="G88" s="128"/>
      <c r="H88" s="130">
        <f>IFERROR(__xludf.DUMMYFUNCTION("""COMPUTED_VALUE"""),2018.0)</f>
        <v>2018</v>
      </c>
      <c r="I88" s="130">
        <f>IFERROR(__xludf.DUMMYFUNCTION("""COMPUTED_VALUE"""),1.0)</f>
        <v>1</v>
      </c>
      <c r="J88" s="130">
        <f>IFERROR(__xludf.DUMMYFUNCTION("""COMPUTED_VALUE"""),0.0)</f>
        <v>0</v>
      </c>
      <c r="K88" s="129"/>
      <c r="L88" s="129"/>
      <c r="M88" s="130"/>
      <c r="N88" s="130">
        <f>IFERROR(__xludf.DUMMYFUNCTION("""COMPUTED_VALUE"""),1.0)</f>
        <v>1</v>
      </c>
      <c r="O88" s="130"/>
      <c r="P88" s="130"/>
      <c r="Q88" s="130"/>
      <c r="R88" s="130"/>
      <c r="S88" s="130"/>
      <c r="T88" s="130"/>
      <c r="U88" s="130"/>
      <c r="V88" s="130"/>
      <c r="W88" s="131" t="str">
        <f>IFERROR(__xludf.DUMMYFUNCTION("""COMPUTED_VALUE"""),"No")</f>
        <v>No</v>
      </c>
      <c r="X88" s="131" t="str">
        <f>IFERROR(__xludf.DUMMYFUNCTION("""COMPUTED_VALUE"""),"Yes")</f>
        <v>Yes</v>
      </c>
      <c r="Y88" s="131" t="str">
        <f>IFERROR(__xludf.DUMMYFUNCTION("""COMPUTED_VALUE"""),"F")</f>
        <v>F</v>
      </c>
      <c r="Z88" s="131" t="str">
        <f>IFERROR(__xludf.DUMMYFUNCTION("""COMPUTED_VALUE"""),"shut-down policies EE hardware")</f>
        <v>shut-down policies EE hardware</v>
      </c>
      <c r="AA88" s="131"/>
      <c r="AB88" s="131"/>
      <c r="AC88" s="131"/>
      <c r="AD88" s="131"/>
      <c r="AE88" s="131"/>
      <c r="AF88" s="131"/>
      <c r="AG88" s="131"/>
      <c r="AH88" s="131"/>
      <c r="AI88" s="131"/>
      <c r="AJ88" s="131"/>
    </row>
    <row r="89">
      <c r="A89" s="126">
        <f>IFERROR(__xludf.DUMMYFUNCTION("""COMPUTED_VALUE"""),181.0)</f>
        <v>181</v>
      </c>
      <c r="B89" s="126" t="str">
        <f>IFERROR(__xludf.DUMMYFUNCTION("""COMPUTED_VALUE"""),"Utilization-prediction-aware virtual machine consolidation approach for energy-efficient cloud data centers")</f>
        <v>Utilization-prediction-aware virtual machine consolidation approach for energy-efficient cloud data centers</v>
      </c>
      <c r="C89" s="127" t="str">
        <f>IFERROR(__xludf.DUMMYFUNCTION("""COMPUTED_VALUE"""),"https://www.sciencedirect.com/science/article/pii/S074373151930190X")</f>
        <v>https://www.sciencedirect.com/science/article/pii/S074373151930190X</v>
      </c>
      <c r="D89" s="126" t="str">
        <f>IFERROR(__xludf.DUMMYFUNCTION("""COMPUTED_VALUE"""),"SY Hsieh, CS Liu, R Buyya, AY Zomaya")</f>
        <v>SY Hsieh, CS Liu, R Buyya, AY Zomaya</v>
      </c>
      <c r="E89" s="126" t="str">
        <f>IFERROR(__xludf.DUMMYFUNCTION("""COMPUTED_VALUE"""),"Elsevier")</f>
        <v>Elsevier</v>
      </c>
      <c r="F89" s="126" t="str">
        <f>IFERROR(__xludf.DUMMYFUNCTION("""COMPUTED_VALUE"""),"Elsevier")</f>
        <v>Elsevier</v>
      </c>
      <c r="G89" s="128" t="str">
        <f>IFERROR(__xludf.DUMMYFUNCTION("""COMPUTED_VALUE"""),"J")</f>
        <v>J</v>
      </c>
      <c r="H89" s="130">
        <f>IFERROR(__xludf.DUMMYFUNCTION("""COMPUTED_VALUE"""),2020.0)</f>
        <v>2020</v>
      </c>
      <c r="I89" s="129">
        <f>IFERROR(__xludf.DUMMYFUNCTION("""COMPUTED_VALUE"""),1.0)</f>
        <v>1</v>
      </c>
      <c r="J89" s="129">
        <f>IFERROR(__xludf.DUMMYFUNCTION("""COMPUTED_VALUE"""),1.0)</f>
        <v>1</v>
      </c>
      <c r="K89" s="130">
        <f>IFERROR(__xludf.DUMMYFUNCTION("""COMPUTED_VALUE"""),1.0)</f>
        <v>1</v>
      </c>
      <c r="L89" s="130">
        <f>IFERROR(__xludf.DUMMYFUNCTION("""COMPUTED_VALUE"""),1.0)</f>
        <v>1</v>
      </c>
      <c r="M89" s="130">
        <f>IFERROR(__xludf.DUMMYFUNCTION("""COMPUTED_VALUE"""),1.0)</f>
        <v>1</v>
      </c>
      <c r="N89" s="130">
        <f>IFERROR(__xludf.DUMMYFUNCTION("""COMPUTED_VALUE"""),0.0)</f>
        <v>0</v>
      </c>
      <c r="O89" s="130">
        <f>IFERROR(__xludf.DUMMYFUNCTION("""COMPUTED_VALUE"""),0.0)</f>
        <v>0</v>
      </c>
      <c r="P89" s="130">
        <f>IFERROR(__xludf.DUMMYFUNCTION("""COMPUTED_VALUE"""),0.0)</f>
        <v>0</v>
      </c>
      <c r="Q89" s="130">
        <f>IFERROR(__xludf.DUMMYFUNCTION("""COMPUTED_VALUE"""),0.0)</f>
        <v>0</v>
      </c>
      <c r="R89" s="130">
        <f>IFERROR(__xludf.DUMMYFUNCTION("""COMPUTED_VALUE"""),0.0)</f>
        <v>0</v>
      </c>
      <c r="S89" s="130">
        <f>IFERROR(__xludf.DUMMYFUNCTION("""COMPUTED_VALUE"""),0.0)</f>
        <v>0</v>
      </c>
      <c r="T89" s="130">
        <f>IFERROR(__xludf.DUMMYFUNCTION("""COMPUTED_VALUE"""),0.0)</f>
        <v>0</v>
      </c>
      <c r="U89" s="130">
        <f>IFERROR(__xludf.DUMMYFUNCTION("""COMPUTED_VALUE"""),0.0)</f>
        <v>0</v>
      </c>
      <c r="V89" s="130">
        <f>IFERROR(__xludf.DUMMYFUNCTION("""COMPUTED_VALUE"""),0.0)</f>
        <v>0</v>
      </c>
      <c r="W89" s="131" t="str">
        <f>IFERROR(__xludf.DUMMYFUNCTION("""COMPUTED_VALUE"""),"Yes")</f>
        <v>Yes</v>
      </c>
      <c r="X89" s="131" t="str">
        <f>IFERROR(__xludf.DUMMYFUNCTION("""COMPUTED_VALUE"""),"Yes")</f>
        <v>Yes</v>
      </c>
      <c r="Y89" s="131"/>
      <c r="Z89" s="131" t="str">
        <f>IFERROR(__xludf.DUMMYFUNCTION("""COMPUTED_VALUE"""),"VM consolidation")</f>
        <v>VM consolidation</v>
      </c>
      <c r="AA89" s="131"/>
      <c r="AB89" s="131"/>
      <c r="AC89" s="131"/>
      <c r="AD89" s="131"/>
      <c r="AE89" s="131"/>
      <c r="AF89" s="131"/>
      <c r="AG89" s="131"/>
      <c r="AH89" s="131"/>
      <c r="AI89" s="131"/>
      <c r="AJ89" s="131"/>
    </row>
    <row r="90">
      <c r="A90" s="126">
        <f>IFERROR(__xludf.DUMMYFUNCTION("""COMPUTED_VALUE"""),183.0)</f>
        <v>183</v>
      </c>
      <c r="B90" s="126" t="str">
        <f>IFERROR(__xludf.DUMMYFUNCTION("""COMPUTED_VALUE"""),"Reducing energy consumption in SDN-based data center networks through flow consolidation strategies")</f>
        <v>Reducing energy consumption in SDN-based data center networks through flow consolidation strategies</v>
      </c>
      <c r="C90" s="127" t="str">
        <f>IFERROR(__xludf.DUMMYFUNCTION("""COMPUTED_VALUE"""),"https://dl.acm.org/doi/abs/10.1145/3297280.3297420")</f>
        <v>https://dl.acm.org/doi/abs/10.1145/3297280.3297420</v>
      </c>
      <c r="D90" s="126" t="str">
        <f>IFERROR(__xludf.DUMMYFUNCTION("""COMPUTED_VALUE"""),"MS Conterato, TC Ferreto, F Rossi, WS Marques, PSS Souza")</f>
        <v>MS Conterato, TC Ferreto, F Rossi, WS Marques, PSS Souza</v>
      </c>
      <c r="E90" s="126" t="str">
        <f>IFERROR(__xludf.DUMMYFUNCTION("""COMPUTED_VALUE"""),"Association for Computing Machinery")</f>
        <v>Association for Computing Machinery</v>
      </c>
      <c r="F90" s="126" t="str">
        <f>IFERROR(__xludf.DUMMYFUNCTION("""COMPUTED_VALUE"""),"ACM")</f>
        <v>ACM</v>
      </c>
      <c r="G90" s="132" t="str">
        <f>IFERROR(__xludf.DUMMYFUNCTION("""COMPUTED_VALUE"""),"C")</f>
        <v>C</v>
      </c>
      <c r="H90" s="129">
        <f>IFERROR(__xludf.DUMMYFUNCTION("""COMPUTED_VALUE"""),2019.0)</f>
        <v>2019</v>
      </c>
      <c r="I90" s="129">
        <f>IFERROR(__xludf.DUMMYFUNCTION("""COMPUTED_VALUE"""),1.0)</f>
        <v>1</v>
      </c>
      <c r="J90" s="129">
        <f>IFERROR(__xludf.DUMMYFUNCTION("""COMPUTED_VALUE"""),1.0)</f>
        <v>1</v>
      </c>
      <c r="K90" s="130">
        <f>IFERROR(__xludf.DUMMYFUNCTION("""COMPUTED_VALUE"""),1.0)</f>
        <v>1</v>
      </c>
      <c r="L90" s="130">
        <f>IFERROR(__xludf.DUMMYFUNCTION("""COMPUTED_VALUE"""),1.0)</f>
        <v>1</v>
      </c>
      <c r="M90" s="130">
        <f>IFERROR(__xludf.DUMMYFUNCTION("""COMPUTED_VALUE"""),1.0)</f>
        <v>1</v>
      </c>
      <c r="N90" s="130">
        <f>IFERROR(__xludf.DUMMYFUNCTION("""COMPUTED_VALUE"""),0.0)</f>
        <v>0</v>
      </c>
      <c r="O90" s="130">
        <f>IFERROR(__xludf.DUMMYFUNCTION("""COMPUTED_VALUE"""),0.0)</f>
        <v>0</v>
      </c>
      <c r="P90" s="130">
        <f>IFERROR(__xludf.DUMMYFUNCTION("""COMPUTED_VALUE"""),0.0)</f>
        <v>0</v>
      </c>
      <c r="Q90" s="129">
        <f>IFERROR(__xludf.DUMMYFUNCTION("""COMPUTED_VALUE"""),0.0)</f>
        <v>0</v>
      </c>
      <c r="R90" s="129">
        <f>IFERROR(__xludf.DUMMYFUNCTION("""COMPUTED_VALUE"""),0.0)</f>
        <v>0</v>
      </c>
      <c r="S90" s="129">
        <f>IFERROR(__xludf.DUMMYFUNCTION("""COMPUTED_VALUE"""),0.0)</f>
        <v>0</v>
      </c>
      <c r="T90" s="129">
        <f>IFERROR(__xludf.DUMMYFUNCTION("""COMPUTED_VALUE"""),0.0)</f>
        <v>0</v>
      </c>
      <c r="U90" s="129">
        <f>IFERROR(__xludf.DUMMYFUNCTION("""COMPUTED_VALUE"""),0.0)</f>
        <v>0</v>
      </c>
      <c r="V90" s="129">
        <f>IFERROR(__xludf.DUMMYFUNCTION("""COMPUTED_VALUE"""),0.0)</f>
        <v>0</v>
      </c>
      <c r="W90" s="126" t="str">
        <f>IFERROR(__xludf.DUMMYFUNCTION("""COMPUTED_VALUE"""),"Yes")</f>
        <v>Yes</v>
      </c>
      <c r="X90" s="126" t="str">
        <f>IFERROR(__xludf.DUMMYFUNCTION("""COMPUTED_VALUE"""),"Yes")</f>
        <v>Yes</v>
      </c>
      <c r="Y90" s="126" t="str">
        <f>IFERROR(__xludf.DUMMYFUNCTION("""COMPUTED_VALUE"""),"F")</f>
        <v>F</v>
      </c>
      <c r="Z90" s="126" t="str">
        <f>IFERROR(__xludf.DUMMYFUNCTION("""COMPUTED_VALUE"""),"flow paths in DCN")</f>
        <v>flow paths in DCN</v>
      </c>
      <c r="AA90" s="126"/>
      <c r="AB90" s="126"/>
      <c r="AC90" s="126"/>
      <c r="AD90" s="126"/>
      <c r="AE90" s="126"/>
      <c r="AF90" s="126"/>
      <c r="AG90" s="126"/>
      <c r="AH90" s="126"/>
      <c r="AI90" s="126"/>
      <c r="AJ90" s="126"/>
    </row>
    <row r="91">
      <c r="A91" s="126">
        <f>IFERROR(__xludf.DUMMYFUNCTION("""COMPUTED_VALUE"""),184.0)</f>
        <v>184</v>
      </c>
      <c r="B91" s="126" t="str">
        <f>IFERROR(__xludf.DUMMYFUNCTION("""COMPUTED_VALUE"""),"An energy-saving strategy based on multi-server vacation queuing theory in cloud data center")</f>
        <v>An energy-saving strategy based on multi-server vacation queuing theory in cloud data center</v>
      </c>
      <c r="C91" s="127" t="str">
        <f>IFERROR(__xludf.DUMMYFUNCTION("""COMPUTED_VALUE"""),"https://link.springer.com/article/10.1007/s11227-018-2513-4")</f>
        <v>https://link.springer.com/article/10.1007/s11227-018-2513-4</v>
      </c>
      <c r="D91" s="126" t="str">
        <f>IFERROR(__xludf.DUMMYFUNCTION("""COMPUTED_VALUE"""),"Y Chunxia, J Shunfu")</f>
        <v>Y Chunxia, J Shunfu</v>
      </c>
      <c r="E91" s="126" t="str">
        <f>IFERROR(__xludf.DUMMYFUNCTION("""COMPUTED_VALUE"""),"Springer")</f>
        <v>Springer</v>
      </c>
      <c r="F91" s="126" t="str">
        <f>IFERROR(__xludf.DUMMYFUNCTION("""COMPUTED_VALUE"""),"Springer")</f>
        <v>Springer</v>
      </c>
      <c r="G91" s="128" t="str">
        <f>IFERROR(__xludf.DUMMYFUNCTION("""COMPUTED_VALUE"""),"J")</f>
        <v>J</v>
      </c>
      <c r="H91" s="130">
        <f>IFERROR(__xludf.DUMMYFUNCTION("""COMPUTED_VALUE"""),2018.0)</f>
        <v>2018</v>
      </c>
      <c r="I91" s="129">
        <f>IFERROR(__xludf.DUMMYFUNCTION("""COMPUTED_VALUE"""),1.0)</f>
        <v>1</v>
      </c>
      <c r="J91" s="130">
        <f>IFERROR(__xludf.DUMMYFUNCTION("""COMPUTED_VALUE"""),1.0)</f>
        <v>1</v>
      </c>
      <c r="K91" s="130">
        <f>IFERROR(__xludf.DUMMYFUNCTION("""COMPUTED_VALUE"""),1.0)</f>
        <v>1</v>
      </c>
      <c r="L91" s="130">
        <f>IFERROR(__xludf.DUMMYFUNCTION("""COMPUTED_VALUE"""),1.0)</f>
        <v>1</v>
      </c>
      <c r="M91" s="130">
        <f>IFERROR(__xludf.DUMMYFUNCTION("""COMPUTED_VALUE"""),1.0)</f>
        <v>1</v>
      </c>
      <c r="N91" s="130">
        <f>IFERROR(__xludf.DUMMYFUNCTION("""COMPUTED_VALUE"""),0.0)</f>
        <v>0</v>
      </c>
      <c r="O91" s="130">
        <f>IFERROR(__xludf.DUMMYFUNCTION("""COMPUTED_VALUE"""),0.0)</f>
        <v>0</v>
      </c>
      <c r="P91" s="130">
        <f>IFERROR(__xludf.DUMMYFUNCTION("""COMPUTED_VALUE"""),0.0)</f>
        <v>0</v>
      </c>
      <c r="Q91" s="130">
        <f>IFERROR(__xludf.DUMMYFUNCTION("""COMPUTED_VALUE"""),0.0)</f>
        <v>0</v>
      </c>
      <c r="R91" s="130">
        <f>IFERROR(__xludf.DUMMYFUNCTION("""COMPUTED_VALUE"""),0.0)</f>
        <v>0</v>
      </c>
      <c r="S91" s="130">
        <f>IFERROR(__xludf.DUMMYFUNCTION("""COMPUTED_VALUE"""),0.0)</f>
        <v>0</v>
      </c>
      <c r="T91" s="130">
        <f>IFERROR(__xludf.DUMMYFUNCTION("""COMPUTED_VALUE"""),0.0)</f>
        <v>0</v>
      </c>
      <c r="U91" s="130">
        <f>IFERROR(__xludf.DUMMYFUNCTION("""COMPUTED_VALUE"""),0.0)</f>
        <v>0</v>
      </c>
      <c r="V91" s="130">
        <f>IFERROR(__xludf.DUMMYFUNCTION("""COMPUTED_VALUE"""),0.0)</f>
        <v>0</v>
      </c>
      <c r="W91" s="131" t="str">
        <f>IFERROR(__xludf.DUMMYFUNCTION("""COMPUTED_VALUE"""),"Yes")</f>
        <v>Yes</v>
      </c>
      <c r="X91" s="131" t="str">
        <f>IFERROR(__xludf.DUMMYFUNCTION("""COMPUTED_VALUE"""),"Yes")</f>
        <v>Yes</v>
      </c>
      <c r="Y91" s="131" t="str">
        <f>IFERROR(__xludf.DUMMYFUNCTION("""COMPUTED_VALUE"""),"F")</f>
        <v>F</v>
      </c>
      <c r="Z91" s="131" t="str">
        <f>IFERROR(__xludf.DUMMYFUNCTION("""COMPUTED_VALUE"""),"server vacation queuing system")</f>
        <v>server vacation queuing system</v>
      </c>
      <c r="AA91" s="131"/>
      <c r="AB91" s="131"/>
      <c r="AC91" s="131"/>
      <c r="AD91" s="131"/>
      <c r="AE91" s="131"/>
      <c r="AF91" s="131"/>
      <c r="AG91" s="131"/>
      <c r="AH91" s="131"/>
      <c r="AI91" s="131"/>
      <c r="AJ91" s="131"/>
    </row>
    <row r="92">
      <c r="A92" s="126">
        <f>IFERROR(__xludf.DUMMYFUNCTION("""COMPUTED_VALUE"""),186.0)</f>
        <v>186</v>
      </c>
      <c r="B92" s="126" t="str">
        <f>IFERROR(__xludf.DUMMYFUNCTION("""COMPUTED_VALUE"""),"Energy aware resource efficient-(eare) server consolidation framework for cloud datacenter")</f>
        <v>Energy aware resource efficient-(eare) server consolidation framework for cloud datacenter</v>
      </c>
      <c r="C92" s="127" t="str">
        <f>IFERROR(__xludf.DUMMYFUNCTION("""COMPUTED_VALUE"""),"https://link.springer.com/chapter/10.1007/978-981-15-5341-7_111")</f>
        <v>https://link.springer.com/chapter/10.1007/978-981-15-5341-7_111</v>
      </c>
      <c r="D92" s="126" t="str">
        <f>IFERROR(__xludf.DUMMYFUNCTION("""COMPUTED_VALUE"""),"D Saxena, AK Singh")</f>
        <v>D Saxena, AK Singh</v>
      </c>
      <c r="E92" s="126" t="str">
        <f>IFERROR(__xludf.DUMMYFUNCTION("""COMPUTED_VALUE"""),"Springer")</f>
        <v>Springer</v>
      </c>
      <c r="F92" s="126" t="str">
        <f>IFERROR(__xludf.DUMMYFUNCTION("""COMPUTED_VALUE"""),"Springer")</f>
        <v>Springer</v>
      </c>
      <c r="G92" s="128" t="str">
        <f>IFERROR(__xludf.DUMMYFUNCTION("""COMPUTED_VALUE"""),"J")</f>
        <v>J</v>
      </c>
      <c r="H92" s="129">
        <f>IFERROR(__xludf.DUMMYFUNCTION("""COMPUTED_VALUE"""),2020.0)</f>
        <v>2020</v>
      </c>
      <c r="I92" s="129">
        <f>IFERROR(__xludf.DUMMYFUNCTION("""COMPUTED_VALUE"""),1.0)</f>
        <v>1</v>
      </c>
      <c r="J92" s="129">
        <f>IFERROR(__xludf.DUMMYFUNCTION("""COMPUTED_VALUE"""),1.0)</f>
        <v>1</v>
      </c>
      <c r="K92" s="129">
        <f>IFERROR(__xludf.DUMMYFUNCTION("""COMPUTED_VALUE"""),1.0)</f>
        <v>1</v>
      </c>
      <c r="L92" s="130">
        <f>IFERROR(__xludf.DUMMYFUNCTION("""COMPUTED_VALUE"""),1.0)</f>
        <v>1</v>
      </c>
      <c r="M92" s="130">
        <f>IFERROR(__xludf.DUMMYFUNCTION("""COMPUTED_VALUE"""),1.0)</f>
        <v>1</v>
      </c>
      <c r="N92" s="130">
        <f>IFERROR(__xludf.DUMMYFUNCTION("""COMPUTED_VALUE"""),0.0)</f>
        <v>0</v>
      </c>
      <c r="O92" s="130">
        <f>IFERROR(__xludf.DUMMYFUNCTION("""COMPUTED_VALUE"""),0.0)</f>
        <v>0</v>
      </c>
      <c r="P92" s="130">
        <f>IFERROR(__xludf.DUMMYFUNCTION("""COMPUTED_VALUE"""),0.0)</f>
        <v>0</v>
      </c>
      <c r="Q92" s="129">
        <f>IFERROR(__xludf.DUMMYFUNCTION("""COMPUTED_VALUE"""),0.0)</f>
        <v>0</v>
      </c>
      <c r="R92" s="129">
        <f>IFERROR(__xludf.DUMMYFUNCTION("""COMPUTED_VALUE"""),0.0)</f>
        <v>0</v>
      </c>
      <c r="S92" s="129">
        <f>IFERROR(__xludf.DUMMYFUNCTION("""COMPUTED_VALUE"""),0.0)</f>
        <v>0</v>
      </c>
      <c r="T92" s="129">
        <f>IFERROR(__xludf.DUMMYFUNCTION("""COMPUTED_VALUE"""),0.0)</f>
        <v>0</v>
      </c>
      <c r="U92" s="129">
        <f>IFERROR(__xludf.DUMMYFUNCTION("""COMPUTED_VALUE"""),0.0)</f>
        <v>0</v>
      </c>
      <c r="V92" s="129">
        <f>IFERROR(__xludf.DUMMYFUNCTION("""COMPUTED_VALUE"""),0.0)</f>
        <v>0</v>
      </c>
      <c r="W92" s="126" t="str">
        <f>IFERROR(__xludf.DUMMYFUNCTION("""COMPUTED_VALUE"""),"Yes")</f>
        <v>Yes</v>
      </c>
      <c r="X92" s="126" t="str">
        <f>IFERROR(__xludf.DUMMYFUNCTION("""COMPUTED_VALUE"""),"Yes")</f>
        <v>Yes</v>
      </c>
      <c r="Y92" s="126" t="str">
        <f>IFERROR(__xludf.DUMMYFUNCTION("""COMPUTED_VALUE"""),"F")</f>
        <v>F</v>
      </c>
      <c r="Z92" s="126" t="str">
        <f>IFERROR(__xludf.DUMMYFUNCTION("""COMPUTED_VALUE"""),"VM consolidation framework")</f>
        <v>VM consolidation framework</v>
      </c>
      <c r="AA92" s="126"/>
      <c r="AB92" s="126"/>
      <c r="AC92" s="126"/>
      <c r="AD92" s="126"/>
      <c r="AE92" s="126"/>
      <c r="AF92" s="126"/>
      <c r="AG92" s="126"/>
      <c r="AH92" s="126"/>
      <c r="AI92" s="126"/>
      <c r="AJ92" s="126"/>
    </row>
    <row r="93">
      <c r="A93" s="126">
        <f>IFERROR(__xludf.DUMMYFUNCTION("""COMPUTED_VALUE"""),188.0)</f>
        <v>188</v>
      </c>
      <c r="B93" s="126" t="str">
        <f>IFERROR(__xludf.DUMMYFUNCTION("""COMPUTED_VALUE"""),"ESP-VDCE: Energy, SLA, and price-driven virtual data center embedding")</f>
        <v>ESP-VDCE: Energy, SLA, and price-driven virtual data center embedding</v>
      </c>
      <c r="C93" s="127" t="str">
        <f>IFERROR(__xludf.DUMMYFUNCTION("""COMPUTED_VALUE"""),"https://ieeexplore.ieee.org/abstract/document/9148838/")</f>
        <v>https://ieeexplore.ieee.org/abstract/document/9148838/</v>
      </c>
      <c r="D93" s="126" t="str">
        <f>IFERROR(__xludf.DUMMYFUNCTION("""COMPUTED_VALUE"""),"K Kaur, S Garg, G Kaddoum, S Guo")</f>
        <v>K Kaur, S Garg, G Kaddoum, S Guo</v>
      </c>
      <c r="E93" s="126" t="str">
        <f>IFERROR(__xludf.DUMMYFUNCTION("""COMPUTED_VALUE"""),"Institute of Electrical and Electronics Engineers")</f>
        <v>Institute of Electrical and Electronics Engineers</v>
      </c>
      <c r="F93" s="126" t="str">
        <f>IFERROR(__xludf.DUMMYFUNCTION("""COMPUTED_VALUE"""),"IEEE Xplore")</f>
        <v>IEEE Xplore</v>
      </c>
      <c r="G93" s="128" t="str">
        <f>IFERROR(__xludf.DUMMYFUNCTION("""COMPUTED_VALUE"""),"C")</f>
        <v>C</v>
      </c>
      <c r="H93" s="129">
        <f>IFERROR(__xludf.DUMMYFUNCTION("""COMPUTED_VALUE"""),2020.0)</f>
        <v>2020</v>
      </c>
      <c r="I93" s="129">
        <f>IFERROR(__xludf.DUMMYFUNCTION("""COMPUTED_VALUE"""),1.0)</f>
        <v>1</v>
      </c>
      <c r="J93" s="129">
        <f>IFERROR(__xludf.DUMMYFUNCTION("""COMPUTED_VALUE"""),1.0)</f>
        <v>1</v>
      </c>
      <c r="K93" s="130">
        <f>IFERROR(__xludf.DUMMYFUNCTION("""COMPUTED_VALUE"""),1.0)</f>
        <v>1</v>
      </c>
      <c r="L93" s="130">
        <f>IFERROR(__xludf.DUMMYFUNCTION("""COMPUTED_VALUE"""),1.0)</f>
        <v>1</v>
      </c>
      <c r="M93" s="130">
        <f>IFERROR(__xludf.DUMMYFUNCTION("""COMPUTED_VALUE"""),1.0)</f>
        <v>1</v>
      </c>
      <c r="N93" s="130">
        <f>IFERROR(__xludf.DUMMYFUNCTION("""COMPUTED_VALUE"""),0.0)</f>
        <v>0</v>
      </c>
      <c r="O93" s="130">
        <f>IFERROR(__xludf.DUMMYFUNCTION("""COMPUTED_VALUE"""),0.0)</f>
        <v>0</v>
      </c>
      <c r="P93" s="130">
        <f>IFERROR(__xludf.DUMMYFUNCTION("""COMPUTED_VALUE"""),0.0)</f>
        <v>0</v>
      </c>
      <c r="Q93" s="129">
        <f>IFERROR(__xludf.DUMMYFUNCTION("""COMPUTED_VALUE"""),0.0)</f>
        <v>0</v>
      </c>
      <c r="R93" s="129">
        <f>IFERROR(__xludf.DUMMYFUNCTION("""COMPUTED_VALUE"""),0.0)</f>
        <v>0</v>
      </c>
      <c r="S93" s="129">
        <f>IFERROR(__xludf.DUMMYFUNCTION("""COMPUTED_VALUE"""),0.0)</f>
        <v>0</v>
      </c>
      <c r="T93" s="129">
        <f>IFERROR(__xludf.DUMMYFUNCTION("""COMPUTED_VALUE"""),0.0)</f>
        <v>0</v>
      </c>
      <c r="U93" s="129">
        <f>IFERROR(__xludf.DUMMYFUNCTION("""COMPUTED_VALUE"""),0.0)</f>
        <v>0</v>
      </c>
      <c r="V93" s="129">
        <f>IFERROR(__xludf.DUMMYFUNCTION("""COMPUTED_VALUE"""),0.0)</f>
        <v>0</v>
      </c>
      <c r="W93" s="126" t="str">
        <f>IFERROR(__xludf.DUMMYFUNCTION("""COMPUTED_VALUE"""),"Yes")</f>
        <v>Yes</v>
      </c>
      <c r="X93" s="126" t="str">
        <f>IFERROR(__xludf.DUMMYFUNCTION("""COMPUTED_VALUE"""),"Yes")</f>
        <v>Yes</v>
      </c>
      <c r="Y93" s="126" t="str">
        <f>IFERROR(__xludf.DUMMYFUNCTION("""COMPUTED_VALUE"""),"F")</f>
        <v>F</v>
      </c>
      <c r="Z93" s="126" t="str">
        <f>IFERROR(__xludf.DUMMYFUNCTION("""COMPUTED_VALUE"""),"cloud computing")</f>
        <v>cloud computing</v>
      </c>
      <c r="AA93" s="126"/>
      <c r="AB93" s="126"/>
      <c r="AC93" s="126"/>
      <c r="AD93" s="126"/>
      <c r="AE93" s="126"/>
      <c r="AF93" s="126"/>
      <c r="AG93" s="126"/>
      <c r="AH93" s="126"/>
      <c r="AI93" s="126"/>
      <c r="AJ93" s="126"/>
    </row>
    <row r="94">
      <c r="A94" s="126">
        <f>IFERROR(__xludf.DUMMYFUNCTION("""COMPUTED_VALUE"""),189.0)</f>
        <v>189</v>
      </c>
      <c r="B94" s="126" t="str">
        <f>IFERROR(__xludf.DUMMYFUNCTION("""COMPUTED_VALUE"""),"Virtual Machine Migration and Rack Consolidation for Energy Management in Cloud Data Centers")</f>
        <v>Virtual Machine Migration and Rack Consolidation for Energy Management in Cloud Data Centers</v>
      </c>
      <c r="C94" s="127" t="str">
        <f>IFERROR(__xludf.DUMMYFUNCTION("""COMPUTED_VALUE"""),"https://link.springer.com/chapter/10.1007/978-3-030-47560-4_22")</f>
        <v>https://link.springer.com/chapter/10.1007/978-3-030-47560-4_22</v>
      </c>
      <c r="D94" s="126" t="str">
        <f>IFERROR(__xludf.DUMMYFUNCTION("""COMPUTED_VALUE"""),"IG Hemanandhini, R Pavithra, P Sugantha Priyadharshini")</f>
        <v>IG Hemanandhini, R Pavithra, P Sugantha Priyadharshini</v>
      </c>
      <c r="E94" s="126" t="str">
        <f>IFERROR(__xludf.DUMMYFUNCTION("""COMPUTED_VALUE"""),"Springer")</f>
        <v>Springer</v>
      </c>
      <c r="F94" s="126" t="str">
        <f>IFERROR(__xludf.DUMMYFUNCTION("""COMPUTED_VALUE"""),"Springer")</f>
        <v>Springer</v>
      </c>
      <c r="G94" s="128" t="str">
        <f>IFERROR(__xludf.DUMMYFUNCTION("""COMPUTED_VALUE"""),"C")</f>
        <v>C</v>
      </c>
      <c r="H94" s="129">
        <f>IFERROR(__xludf.DUMMYFUNCTION("""COMPUTED_VALUE"""),2020.0)</f>
        <v>2020</v>
      </c>
      <c r="I94" s="129">
        <f>IFERROR(__xludf.DUMMYFUNCTION("""COMPUTED_VALUE"""),1.0)</f>
        <v>1</v>
      </c>
      <c r="J94" s="130">
        <f>IFERROR(__xludf.DUMMYFUNCTION("""COMPUTED_VALUE"""),1.0)</f>
        <v>1</v>
      </c>
      <c r="K94" s="130">
        <f>IFERROR(__xludf.DUMMYFUNCTION("""COMPUTED_VALUE"""),1.0)</f>
        <v>1</v>
      </c>
      <c r="L94" s="130">
        <f>IFERROR(__xludf.DUMMYFUNCTION("""COMPUTED_VALUE"""),1.0)</f>
        <v>1</v>
      </c>
      <c r="M94" s="130">
        <f>IFERROR(__xludf.DUMMYFUNCTION("""COMPUTED_VALUE"""),1.0)</f>
        <v>1</v>
      </c>
      <c r="N94" s="130">
        <f>IFERROR(__xludf.DUMMYFUNCTION("""COMPUTED_VALUE"""),0.0)</f>
        <v>0</v>
      </c>
      <c r="O94" s="130">
        <f>IFERROR(__xludf.DUMMYFUNCTION("""COMPUTED_VALUE"""),0.0)</f>
        <v>0</v>
      </c>
      <c r="P94" s="130">
        <f>IFERROR(__xludf.DUMMYFUNCTION("""COMPUTED_VALUE"""),0.0)</f>
        <v>0</v>
      </c>
      <c r="Q94" s="130">
        <f>IFERROR(__xludf.DUMMYFUNCTION("""COMPUTED_VALUE"""),0.0)</f>
        <v>0</v>
      </c>
      <c r="R94" s="130">
        <f>IFERROR(__xludf.DUMMYFUNCTION("""COMPUTED_VALUE"""),0.0)</f>
        <v>0</v>
      </c>
      <c r="S94" s="130">
        <f>IFERROR(__xludf.DUMMYFUNCTION("""COMPUTED_VALUE"""),0.0)</f>
        <v>0</v>
      </c>
      <c r="T94" s="130">
        <f>IFERROR(__xludf.DUMMYFUNCTION("""COMPUTED_VALUE"""),0.0)</f>
        <v>0</v>
      </c>
      <c r="U94" s="130">
        <f>IFERROR(__xludf.DUMMYFUNCTION("""COMPUTED_VALUE"""),0.0)</f>
        <v>0</v>
      </c>
      <c r="V94" s="130">
        <f>IFERROR(__xludf.DUMMYFUNCTION("""COMPUTED_VALUE"""),0.0)</f>
        <v>0</v>
      </c>
      <c r="W94" s="131" t="str">
        <f>IFERROR(__xludf.DUMMYFUNCTION("""COMPUTED_VALUE"""),"Yes")</f>
        <v>Yes</v>
      </c>
      <c r="X94" s="131" t="str">
        <f>IFERROR(__xludf.DUMMYFUNCTION("""COMPUTED_VALUE"""),"Yes")</f>
        <v>Yes</v>
      </c>
      <c r="Y94" s="131" t="str">
        <f>IFERROR(__xludf.DUMMYFUNCTION("""COMPUTED_VALUE"""),"F")</f>
        <v>F</v>
      </c>
      <c r="Z94" s="131" t="str">
        <f>IFERROR(__xludf.DUMMYFUNCTION("""COMPUTED_VALUE"""),"VM / rack consolidation")</f>
        <v>VM / rack consolidation</v>
      </c>
      <c r="AA94" s="131"/>
      <c r="AB94" s="131"/>
      <c r="AC94" s="131"/>
      <c r="AD94" s="131"/>
      <c r="AE94" s="131"/>
      <c r="AF94" s="131"/>
      <c r="AG94" s="131"/>
      <c r="AH94" s="131"/>
      <c r="AI94" s="131"/>
      <c r="AJ94" s="131"/>
    </row>
    <row r="95">
      <c r="A95" s="126">
        <f>IFERROR(__xludf.DUMMYFUNCTION("""COMPUTED_VALUE"""),190.0)</f>
        <v>190</v>
      </c>
      <c r="B95" s="126" t="str">
        <f>IFERROR(__xludf.DUMMYFUNCTION("""COMPUTED_VALUE"""),"GreenPOD: Leveraging queuing networks for reducing energy consumption in data centers")</f>
        <v>GreenPOD: Leveraging queuing networks for reducing energy consumption in data centers</v>
      </c>
      <c r="C95" s="127" t="str">
        <f>IFERROR(__xludf.DUMMYFUNCTION("""COMPUTED_VALUE"""),"https://ieeexplore.ieee.org/abstract/document/8401602/")</f>
        <v>https://ieeexplore.ieee.org/abstract/document/8401602/</v>
      </c>
      <c r="D95" s="126" t="str">
        <f>IFERROR(__xludf.DUMMYFUNCTION("""COMPUTED_VALUE"""),"F Balde, H Elbiaze, B Gueye")</f>
        <v>F Balde, H Elbiaze, B Gueye</v>
      </c>
      <c r="E95" s="126" t="str">
        <f>IFERROR(__xludf.DUMMYFUNCTION("""COMPUTED_VALUE"""),"Institute of Electrical and Electronics Engineers")</f>
        <v>Institute of Electrical and Electronics Engineers</v>
      </c>
      <c r="F95" s="126" t="str">
        <f>IFERROR(__xludf.DUMMYFUNCTION("""COMPUTED_VALUE"""),"IEEE Xplore")</f>
        <v>IEEE Xplore</v>
      </c>
      <c r="G95" s="128" t="str">
        <f>IFERROR(__xludf.DUMMYFUNCTION("""COMPUTED_VALUE"""),"C")</f>
        <v>C</v>
      </c>
      <c r="H95" s="130">
        <f>IFERROR(__xludf.DUMMYFUNCTION("""COMPUTED_VALUE"""),2018.0)</f>
        <v>2018</v>
      </c>
      <c r="I95" s="130">
        <f>IFERROR(__xludf.DUMMYFUNCTION("""COMPUTED_VALUE"""),1.0)</f>
        <v>1</v>
      </c>
      <c r="J95" s="130">
        <f>IFERROR(__xludf.DUMMYFUNCTION("""COMPUTED_VALUE"""),1.0)</f>
        <v>1</v>
      </c>
      <c r="K95" s="129">
        <f>IFERROR(__xludf.DUMMYFUNCTION("""COMPUTED_VALUE"""),1.0)</f>
        <v>1</v>
      </c>
      <c r="L95" s="130">
        <f>IFERROR(__xludf.DUMMYFUNCTION("""COMPUTED_VALUE"""),1.0)</f>
        <v>1</v>
      </c>
      <c r="M95" s="130">
        <f>IFERROR(__xludf.DUMMYFUNCTION("""COMPUTED_VALUE"""),1.0)</f>
        <v>1</v>
      </c>
      <c r="N95" s="130">
        <f>IFERROR(__xludf.DUMMYFUNCTION("""COMPUTED_VALUE"""),0.0)</f>
        <v>0</v>
      </c>
      <c r="O95" s="130">
        <f>IFERROR(__xludf.DUMMYFUNCTION("""COMPUTED_VALUE"""),0.0)</f>
        <v>0</v>
      </c>
      <c r="P95" s="130">
        <f>IFERROR(__xludf.DUMMYFUNCTION("""COMPUTED_VALUE"""),0.0)</f>
        <v>0</v>
      </c>
      <c r="Q95" s="130">
        <f>IFERROR(__xludf.DUMMYFUNCTION("""COMPUTED_VALUE"""),0.0)</f>
        <v>0</v>
      </c>
      <c r="R95" s="130">
        <f>IFERROR(__xludf.DUMMYFUNCTION("""COMPUTED_VALUE"""),0.0)</f>
        <v>0</v>
      </c>
      <c r="S95" s="130">
        <f>IFERROR(__xludf.DUMMYFUNCTION("""COMPUTED_VALUE"""),0.0)</f>
        <v>0</v>
      </c>
      <c r="T95" s="130">
        <f>IFERROR(__xludf.DUMMYFUNCTION("""COMPUTED_VALUE"""),0.0)</f>
        <v>0</v>
      </c>
      <c r="U95" s="130">
        <f>IFERROR(__xludf.DUMMYFUNCTION("""COMPUTED_VALUE"""),0.0)</f>
        <v>0</v>
      </c>
      <c r="V95" s="130">
        <f>IFERROR(__xludf.DUMMYFUNCTION("""COMPUTED_VALUE"""),0.0)</f>
        <v>0</v>
      </c>
      <c r="W95" s="131" t="str">
        <f>IFERROR(__xludf.DUMMYFUNCTION("""COMPUTED_VALUE"""),"Yes")</f>
        <v>Yes</v>
      </c>
      <c r="X95" s="131" t="str">
        <f>IFERROR(__xludf.DUMMYFUNCTION("""COMPUTED_VALUE"""),"Yes")</f>
        <v>Yes</v>
      </c>
      <c r="Y95" s="131" t="str">
        <f>IFERROR(__xludf.DUMMYFUNCTION("""COMPUTED_VALUE"""),"F")</f>
        <v>F</v>
      </c>
      <c r="Z95" s="131"/>
      <c r="AA95" s="131"/>
      <c r="AB95" s="131"/>
      <c r="AC95" s="131"/>
      <c r="AD95" s="131"/>
      <c r="AE95" s="131"/>
      <c r="AF95" s="131"/>
      <c r="AG95" s="131"/>
      <c r="AH95" s="131"/>
      <c r="AI95" s="131"/>
      <c r="AJ95" s="131"/>
    </row>
    <row r="96">
      <c r="A96" s="126">
        <f>IFERROR(__xludf.DUMMYFUNCTION("""COMPUTED_VALUE"""),192.0)</f>
        <v>192</v>
      </c>
      <c r="B96" s="126" t="str">
        <f>IFERROR(__xludf.DUMMYFUNCTION("""COMPUTED_VALUE"""),"Optimization of energy consumption of green data center in e-commerce")</f>
        <v>Optimization of energy consumption of green data center in e-commerce</v>
      </c>
      <c r="C96" s="127" t="str">
        <f>IFERROR(__xludf.DUMMYFUNCTION("""COMPUTED_VALUE"""),"https://www.sciencedirect.com/science/article/pii/S2210537918302907")</f>
        <v>https://www.sciencedirect.com/science/article/pii/S2210537918302907</v>
      </c>
      <c r="D96" s="126" t="str">
        <f>IFERROR(__xludf.DUMMYFUNCTION("""COMPUTED_VALUE"""),"Q Zhou, J Lou, Y Jiang")</f>
        <v>Q Zhou, J Lou, Y Jiang</v>
      </c>
      <c r="E96" s="126" t="str">
        <f>IFERROR(__xludf.DUMMYFUNCTION("""COMPUTED_VALUE"""),"Elsevier")</f>
        <v>Elsevier</v>
      </c>
      <c r="F96" s="126" t="str">
        <f>IFERROR(__xludf.DUMMYFUNCTION("""COMPUTED_VALUE"""),"Elsevier")</f>
        <v>Elsevier</v>
      </c>
      <c r="G96" s="128" t="str">
        <f>IFERROR(__xludf.DUMMYFUNCTION("""COMPUTED_VALUE"""),"J")</f>
        <v>J</v>
      </c>
      <c r="H96" s="129">
        <f>IFERROR(__xludf.DUMMYFUNCTION("""COMPUTED_VALUE"""),2019.0)</f>
        <v>2019</v>
      </c>
      <c r="I96" s="129">
        <f>IFERROR(__xludf.DUMMYFUNCTION("""COMPUTED_VALUE"""),1.0)</f>
        <v>1</v>
      </c>
      <c r="J96" s="130">
        <f>IFERROR(__xludf.DUMMYFUNCTION("""COMPUTED_VALUE"""),1.0)</f>
        <v>1</v>
      </c>
      <c r="K96" s="130">
        <f>IFERROR(__xludf.DUMMYFUNCTION("""COMPUTED_VALUE"""),1.0)</f>
        <v>1</v>
      </c>
      <c r="L96" s="130">
        <f>IFERROR(__xludf.DUMMYFUNCTION("""COMPUTED_VALUE"""),1.0)</f>
        <v>1</v>
      </c>
      <c r="M96" s="130">
        <f>IFERROR(__xludf.DUMMYFUNCTION("""COMPUTED_VALUE"""),1.0)</f>
        <v>1</v>
      </c>
      <c r="N96" s="130">
        <f>IFERROR(__xludf.DUMMYFUNCTION("""COMPUTED_VALUE"""),0.0)</f>
        <v>0</v>
      </c>
      <c r="O96" s="130">
        <f>IFERROR(__xludf.DUMMYFUNCTION("""COMPUTED_VALUE"""),0.0)</f>
        <v>0</v>
      </c>
      <c r="P96" s="129">
        <f>IFERROR(__xludf.DUMMYFUNCTION("""COMPUTED_VALUE"""),0.0)</f>
        <v>0</v>
      </c>
      <c r="Q96" s="130">
        <f>IFERROR(__xludf.DUMMYFUNCTION("""COMPUTED_VALUE"""),0.0)</f>
        <v>0</v>
      </c>
      <c r="R96" s="130">
        <f>IFERROR(__xludf.DUMMYFUNCTION("""COMPUTED_VALUE"""),0.0)</f>
        <v>0</v>
      </c>
      <c r="S96" s="130">
        <f>IFERROR(__xludf.DUMMYFUNCTION("""COMPUTED_VALUE"""),0.0)</f>
        <v>0</v>
      </c>
      <c r="T96" s="130">
        <f>IFERROR(__xludf.DUMMYFUNCTION("""COMPUTED_VALUE"""),0.0)</f>
        <v>0</v>
      </c>
      <c r="U96" s="130">
        <f>IFERROR(__xludf.DUMMYFUNCTION("""COMPUTED_VALUE"""),0.0)</f>
        <v>0</v>
      </c>
      <c r="V96" s="130">
        <f>IFERROR(__xludf.DUMMYFUNCTION("""COMPUTED_VALUE"""),0.0)</f>
        <v>0</v>
      </c>
      <c r="W96" s="131" t="str">
        <f>IFERROR(__xludf.DUMMYFUNCTION("""COMPUTED_VALUE"""),"Yes")</f>
        <v>Yes</v>
      </c>
      <c r="X96" s="131" t="str">
        <f>IFERROR(__xludf.DUMMYFUNCTION("""COMPUTED_VALUE"""),"Yes")</f>
        <v>Yes</v>
      </c>
      <c r="Y96" s="131" t="str">
        <f>IFERROR(__xludf.DUMMYFUNCTION("""COMPUTED_VALUE"""),"F")</f>
        <v>F</v>
      </c>
      <c r="Z96" s="131" t="str">
        <f>IFERROR(__xludf.DUMMYFUNCTION("""COMPUTED_VALUE"""),"energy consumption of switches")</f>
        <v>energy consumption of switches</v>
      </c>
      <c r="AA96" s="131"/>
      <c r="AB96" s="131"/>
      <c r="AC96" s="131"/>
      <c r="AD96" s="131"/>
      <c r="AE96" s="131"/>
      <c r="AF96" s="131"/>
      <c r="AG96" s="131"/>
      <c r="AH96" s="131"/>
      <c r="AI96" s="131"/>
      <c r="AJ96" s="131"/>
    </row>
    <row r="97">
      <c r="A97" s="126">
        <f>IFERROR(__xludf.DUMMYFUNCTION("""COMPUTED_VALUE"""),193.0)</f>
        <v>193</v>
      </c>
      <c r="B97" s="126" t="str">
        <f>IFERROR(__xludf.DUMMYFUNCTION("""COMPUTED_VALUE"""),"Energy-aware dynamic resource management in elastic cloud datacenters")</f>
        <v>Energy-aware dynamic resource management in elastic cloud datacenters</v>
      </c>
      <c r="C97" s="127" t="str">
        <f>IFERROR(__xludf.DUMMYFUNCTION("""COMPUTED_VALUE"""),"https://www.sciencedirect.com/science/article/pii/S1569190X18301825")</f>
        <v>https://www.sciencedirect.com/science/article/pii/S1569190X18301825</v>
      </c>
      <c r="D97" s="126" t="str">
        <f>IFERROR(__xludf.DUMMYFUNCTION("""COMPUTED_VALUE"""),"AA Khan, M Zakarya, R Khan")</f>
        <v>AA Khan, M Zakarya, R Khan</v>
      </c>
      <c r="E97" s="126" t="str">
        <f>IFERROR(__xludf.DUMMYFUNCTION("""COMPUTED_VALUE"""),"Elsevier")</f>
        <v>Elsevier</v>
      </c>
      <c r="F97" s="126" t="str">
        <f>IFERROR(__xludf.DUMMYFUNCTION("""COMPUTED_VALUE"""),"Elsevier")</f>
        <v>Elsevier</v>
      </c>
      <c r="G97" s="128" t="str">
        <f>IFERROR(__xludf.DUMMYFUNCTION("""COMPUTED_VALUE"""),"J")</f>
        <v>J</v>
      </c>
      <c r="H97" s="129">
        <f>IFERROR(__xludf.DUMMYFUNCTION("""COMPUTED_VALUE"""),2019.0)</f>
        <v>2019</v>
      </c>
      <c r="I97" s="129">
        <f>IFERROR(__xludf.DUMMYFUNCTION("""COMPUTED_VALUE"""),1.0)</f>
        <v>1</v>
      </c>
      <c r="J97" s="130">
        <f>IFERROR(__xludf.DUMMYFUNCTION("""COMPUTED_VALUE"""),1.0)</f>
        <v>1</v>
      </c>
      <c r="K97" s="130">
        <f>IFERROR(__xludf.DUMMYFUNCTION("""COMPUTED_VALUE"""),1.0)</f>
        <v>1</v>
      </c>
      <c r="L97" s="130">
        <f>IFERROR(__xludf.DUMMYFUNCTION("""COMPUTED_VALUE"""),1.0)</f>
        <v>1</v>
      </c>
      <c r="M97" s="130">
        <f>IFERROR(__xludf.DUMMYFUNCTION("""COMPUTED_VALUE"""),1.0)</f>
        <v>1</v>
      </c>
      <c r="N97" s="130">
        <f>IFERROR(__xludf.DUMMYFUNCTION("""COMPUTED_VALUE"""),0.0)</f>
        <v>0</v>
      </c>
      <c r="O97" s="130">
        <f>IFERROR(__xludf.DUMMYFUNCTION("""COMPUTED_VALUE"""),0.0)</f>
        <v>0</v>
      </c>
      <c r="P97" s="130">
        <f>IFERROR(__xludf.DUMMYFUNCTION("""COMPUTED_VALUE"""),0.0)</f>
        <v>0</v>
      </c>
      <c r="Q97" s="130">
        <f>IFERROR(__xludf.DUMMYFUNCTION("""COMPUTED_VALUE"""),0.0)</f>
        <v>0</v>
      </c>
      <c r="R97" s="129">
        <f>IFERROR(__xludf.DUMMYFUNCTION("""COMPUTED_VALUE"""),0.0)</f>
        <v>0</v>
      </c>
      <c r="S97" s="129">
        <f>IFERROR(__xludf.DUMMYFUNCTION("""COMPUTED_VALUE"""),0.0)</f>
        <v>0</v>
      </c>
      <c r="T97" s="129">
        <f>IFERROR(__xludf.DUMMYFUNCTION("""COMPUTED_VALUE"""),0.0)</f>
        <v>0</v>
      </c>
      <c r="U97" s="129">
        <f>IFERROR(__xludf.DUMMYFUNCTION("""COMPUTED_VALUE"""),0.0)</f>
        <v>0</v>
      </c>
      <c r="V97" s="129">
        <f>IFERROR(__xludf.DUMMYFUNCTION("""COMPUTED_VALUE"""),0.0)</f>
        <v>0</v>
      </c>
      <c r="W97" s="126" t="str">
        <f>IFERROR(__xludf.DUMMYFUNCTION("""COMPUTED_VALUE"""),"Yes")</f>
        <v>Yes</v>
      </c>
      <c r="X97" s="126" t="str">
        <f>IFERROR(__xludf.DUMMYFUNCTION("""COMPUTED_VALUE"""),"Yes")</f>
        <v>Yes</v>
      </c>
      <c r="Y97" s="126" t="str">
        <f>IFERROR(__xludf.DUMMYFUNCTION("""COMPUTED_VALUE"""),"F")</f>
        <v>F</v>
      </c>
      <c r="Z97" s="126" t="str">
        <f>IFERROR(__xludf.DUMMYFUNCTION("""COMPUTED_VALUE"""),"VM allocation and consolidation")</f>
        <v>VM allocation and consolidation</v>
      </c>
      <c r="AA97" s="126"/>
      <c r="AB97" s="126"/>
      <c r="AC97" s="126"/>
      <c r="AD97" s="126"/>
      <c r="AE97" s="126"/>
      <c r="AF97" s="126"/>
      <c r="AG97" s="126"/>
      <c r="AH97" s="126"/>
      <c r="AI97" s="126"/>
      <c r="AJ97" s="126"/>
    </row>
    <row r="98">
      <c r="A98" s="126">
        <f>IFERROR(__xludf.DUMMYFUNCTION("""COMPUTED_VALUE"""),194.0)</f>
        <v>194</v>
      </c>
      <c r="B98" s="126" t="str">
        <f>IFERROR(__xludf.DUMMYFUNCTION("""COMPUTED_VALUE"""),"EPBLA: energy-efficient consolidation of virtual machines using learning automata in cloud data centers")</f>
        <v>EPBLA: energy-efficient consolidation of virtual machines using learning automata in cloud data centers</v>
      </c>
      <c r="C98" s="127" t="str">
        <f>IFERROR(__xludf.DUMMYFUNCTION("""COMPUTED_VALUE"""),"https://link.springer.com/content/pdf/10.1007/s10586-020-03066-6.pdf")</f>
        <v>https://link.springer.com/content/pdf/10.1007/s10586-020-03066-6.pdf</v>
      </c>
      <c r="D98" s="126" t="str">
        <f>IFERROR(__xludf.DUMMYFUNCTION("""COMPUTED_VALUE"""),"N Rasouli, R Razavi, HR Faragardi")</f>
        <v>N Rasouli, R Razavi, HR Faragardi</v>
      </c>
      <c r="E98" s="126" t="str">
        <f>IFERROR(__xludf.DUMMYFUNCTION("""COMPUTED_VALUE"""),"Springer")</f>
        <v>Springer</v>
      </c>
      <c r="F98" s="126" t="str">
        <f>IFERROR(__xludf.DUMMYFUNCTION("""COMPUTED_VALUE"""),"Springer")</f>
        <v>Springer</v>
      </c>
      <c r="G98" s="128" t="str">
        <f>IFERROR(__xludf.DUMMYFUNCTION("""COMPUTED_VALUE"""),"J")</f>
        <v>J</v>
      </c>
      <c r="H98" s="129">
        <f>IFERROR(__xludf.DUMMYFUNCTION("""COMPUTED_VALUE"""),2020.0)</f>
        <v>2020</v>
      </c>
      <c r="I98" s="130">
        <f>IFERROR(__xludf.DUMMYFUNCTION("""COMPUTED_VALUE"""),1.0)</f>
        <v>1</v>
      </c>
      <c r="J98" s="129">
        <f>IFERROR(__xludf.DUMMYFUNCTION("""COMPUTED_VALUE"""),1.0)</f>
        <v>1</v>
      </c>
      <c r="K98" s="130">
        <f>IFERROR(__xludf.DUMMYFUNCTION("""COMPUTED_VALUE"""),1.0)</f>
        <v>1</v>
      </c>
      <c r="L98" s="130">
        <f>IFERROR(__xludf.DUMMYFUNCTION("""COMPUTED_VALUE"""),1.0)</f>
        <v>1</v>
      </c>
      <c r="M98" s="130">
        <f>IFERROR(__xludf.DUMMYFUNCTION("""COMPUTED_VALUE"""),1.0)</f>
        <v>1</v>
      </c>
      <c r="N98" s="130">
        <f>IFERROR(__xludf.DUMMYFUNCTION("""COMPUTED_VALUE"""),0.0)</f>
        <v>0</v>
      </c>
      <c r="O98" s="130">
        <f>IFERROR(__xludf.DUMMYFUNCTION("""COMPUTED_VALUE"""),0.0)</f>
        <v>0</v>
      </c>
      <c r="P98" s="130">
        <f>IFERROR(__xludf.DUMMYFUNCTION("""COMPUTED_VALUE"""),0.0)</f>
        <v>0</v>
      </c>
      <c r="Q98" s="130">
        <f>IFERROR(__xludf.DUMMYFUNCTION("""COMPUTED_VALUE"""),0.0)</f>
        <v>0</v>
      </c>
      <c r="R98" s="129">
        <f>IFERROR(__xludf.DUMMYFUNCTION("""COMPUTED_VALUE"""),0.0)</f>
        <v>0</v>
      </c>
      <c r="S98" s="129">
        <f>IFERROR(__xludf.DUMMYFUNCTION("""COMPUTED_VALUE"""),0.0)</f>
        <v>0</v>
      </c>
      <c r="T98" s="129">
        <f>IFERROR(__xludf.DUMMYFUNCTION("""COMPUTED_VALUE"""),0.0)</f>
        <v>0</v>
      </c>
      <c r="U98" s="129">
        <f>IFERROR(__xludf.DUMMYFUNCTION("""COMPUTED_VALUE"""),0.0)</f>
        <v>0</v>
      </c>
      <c r="V98" s="129">
        <f>IFERROR(__xludf.DUMMYFUNCTION("""COMPUTED_VALUE"""),0.0)</f>
        <v>0</v>
      </c>
      <c r="W98" s="126" t="str">
        <f>IFERROR(__xludf.DUMMYFUNCTION("""COMPUTED_VALUE"""),"Yes")</f>
        <v>Yes</v>
      </c>
      <c r="X98" s="126" t="str">
        <f>IFERROR(__xludf.DUMMYFUNCTION("""COMPUTED_VALUE"""),"Yes")</f>
        <v>Yes</v>
      </c>
      <c r="Y98" s="126" t="str">
        <f>IFERROR(__xludf.DUMMYFUNCTION("""COMPUTED_VALUE"""),"F")</f>
        <v>F</v>
      </c>
      <c r="Z98" s="126" t="str">
        <f>IFERROR(__xludf.DUMMYFUNCTION("""COMPUTED_VALUE"""),"VM placement and migration ")</f>
        <v>VM placement and migration </v>
      </c>
      <c r="AA98" s="126"/>
      <c r="AB98" s="126"/>
      <c r="AC98" s="126"/>
      <c r="AD98" s="126"/>
      <c r="AE98" s="126"/>
      <c r="AF98" s="126"/>
      <c r="AG98" s="126"/>
      <c r="AH98" s="126"/>
      <c r="AI98" s="126"/>
      <c r="AJ98" s="126"/>
    </row>
    <row r="99">
      <c r="A99" s="126">
        <f>IFERROR(__xludf.DUMMYFUNCTION("""COMPUTED_VALUE"""),195.0)</f>
        <v>195</v>
      </c>
      <c r="B99" s="126" t="str">
        <f>IFERROR(__xludf.DUMMYFUNCTION("""COMPUTED_VALUE"""),"An Energy Saving-Oriented Incentive Mechanism in Colocation Data Centers")</f>
        <v>An Energy Saving-Oriented Incentive Mechanism in Colocation Data Centers</v>
      </c>
      <c r="C99" s="127" t="str">
        <f>IFERROR(__xludf.DUMMYFUNCTION("""COMPUTED_VALUE"""),"https://ieeexplore.ieee.org/abstract/document/9209724/")</f>
        <v>https://ieeexplore.ieee.org/abstract/document/9209724/</v>
      </c>
      <c r="D99" s="126" t="str">
        <f>IFERROR(__xludf.DUMMYFUNCTION("""COMPUTED_VALUE"""),"C Chi, K Ji, A Marahatta, F Zhang, Y Wang, Z Liu")</f>
        <v>C Chi, K Ji, A Marahatta, F Zhang, Y Wang, Z Liu</v>
      </c>
      <c r="E99" s="126" t="str">
        <f>IFERROR(__xludf.DUMMYFUNCTION("""COMPUTED_VALUE"""),"Institute of Electrical and Electronics Engineers")</f>
        <v>Institute of Electrical and Electronics Engineers</v>
      </c>
      <c r="F99" s="126" t="str">
        <f>IFERROR(__xludf.DUMMYFUNCTION("""COMPUTED_VALUE"""),"IEEE Xplore")</f>
        <v>IEEE Xplore</v>
      </c>
      <c r="G99" s="132" t="str">
        <f>IFERROR(__xludf.DUMMYFUNCTION("""COMPUTED_VALUE"""),"C")</f>
        <v>C</v>
      </c>
      <c r="H99" s="129">
        <f>IFERROR(__xludf.DUMMYFUNCTION("""COMPUTED_VALUE"""),2020.0)</f>
        <v>2020</v>
      </c>
      <c r="I99" s="129">
        <f>IFERROR(__xludf.DUMMYFUNCTION("""COMPUTED_VALUE"""),1.0)</f>
        <v>1</v>
      </c>
      <c r="J99" s="129">
        <f>IFERROR(__xludf.DUMMYFUNCTION("""COMPUTED_VALUE"""),1.0)</f>
        <v>1</v>
      </c>
      <c r="K99" s="130">
        <f>IFERROR(__xludf.DUMMYFUNCTION("""COMPUTED_VALUE"""),1.0)</f>
        <v>1</v>
      </c>
      <c r="L99" s="130">
        <f>IFERROR(__xludf.DUMMYFUNCTION("""COMPUTED_VALUE"""),1.0)</f>
        <v>1</v>
      </c>
      <c r="M99" s="130">
        <f>IFERROR(__xludf.DUMMYFUNCTION("""COMPUTED_VALUE"""),1.0)</f>
        <v>1</v>
      </c>
      <c r="N99" s="130">
        <f>IFERROR(__xludf.DUMMYFUNCTION("""COMPUTED_VALUE"""),0.0)</f>
        <v>0</v>
      </c>
      <c r="O99" s="130">
        <f>IFERROR(__xludf.DUMMYFUNCTION("""COMPUTED_VALUE"""),0.0)</f>
        <v>0</v>
      </c>
      <c r="P99" s="130">
        <f>IFERROR(__xludf.DUMMYFUNCTION("""COMPUTED_VALUE"""),0.0)</f>
        <v>0</v>
      </c>
      <c r="Q99" s="129">
        <f>IFERROR(__xludf.DUMMYFUNCTION("""COMPUTED_VALUE"""),0.0)</f>
        <v>0</v>
      </c>
      <c r="R99" s="129">
        <f>IFERROR(__xludf.DUMMYFUNCTION("""COMPUTED_VALUE"""),0.0)</f>
        <v>0</v>
      </c>
      <c r="S99" s="129">
        <f>IFERROR(__xludf.DUMMYFUNCTION("""COMPUTED_VALUE"""),0.0)</f>
        <v>0</v>
      </c>
      <c r="T99" s="129">
        <f>IFERROR(__xludf.DUMMYFUNCTION("""COMPUTED_VALUE"""),0.0)</f>
        <v>0</v>
      </c>
      <c r="U99" s="129">
        <f>IFERROR(__xludf.DUMMYFUNCTION("""COMPUTED_VALUE"""),0.0)</f>
        <v>0</v>
      </c>
      <c r="V99" s="129">
        <f>IFERROR(__xludf.DUMMYFUNCTION("""COMPUTED_VALUE"""),0.0)</f>
        <v>0</v>
      </c>
      <c r="W99" s="126" t="str">
        <f>IFERROR(__xludf.DUMMYFUNCTION("""COMPUTED_VALUE"""),"Yes")</f>
        <v>Yes</v>
      </c>
      <c r="X99" s="126" t="str">
        <f>IFERROR(__xludf.DUMMYFUNCTION("""COMPUTED_VALUE"""),"Yes")</f>
        <v>Yes</v>
      </c>
      <c r="Y99" s="126" t="str">
        <f>IFERROR(__xludf.DUMMYFUNCTION("""COMPUTED_VALUE"""),"F")</f>
        <v>F</v>
      </c>
      <c r="Z99" s="126" t="str">
        <f>IFERROR(__xludf.DUMMYFUNCTION("""COMPUTED_VALUE"""),"energy saving for coloDC tenants ")</f>
        <v>energy saving for coloDC tenants </v>
      </c>
      <c r="AA99" s="126"/>
      <c r="AB99" s="126"/>
      <c r="AC99" s="126"/>
      <c r="AD99" s="126"/>
      <c r="AE99" s="126"/>
      <c r="AF99" s="126"/>
      <c r="AG99" s="126"/>
      <c r="AH99" s="126"/>
      <c r="AI99" s="126"/>
      <c r="AJ99" s="126"/>
    </row>
    <row r="100">
      <c r="A100" s="126">
        <f>IFERROR(__xludf.DUMMYFUNCTION("""COMPUTED_VALUE"""),199.0)</f>
        <v>199</v>
      </c>
      <c r="B100" s="126" t="str">
        <f>IFERROR(__xludf.DUMMYFUNCTION("""COMPUTED_VALUE"""),"Optimal Energy aware Dynamic Virtual Machine consolidation in Cloud Data Centers")</f>
        <v>Optimal Energy aware Dynamic Virtual Machine consolidation in Cloud Data Centers</v>
      </c>
      <c r="C100" s="127" t="str">
        <f>IFERROR(__xludf.DUMMYFUNCTION("""COMPUTED_VALUE"""),"https://ieeexplore.ieee.org/abstract/document/9029070/")</f>
        <v>https://ieeexplore.ieee.org/abstract/document/9029070/</v>
      </c>
      <c r="D100" s="126" t="str">
        <f>IFERROR(__xludf.DUMMYFUNCTION("""COMPUTED_VALUE"""),"KS Reddi, SK Pasupuleti")</f>
        <v>KS Reddi, SK Pasupuleti</v>
      </c>
      <c r="E100" s="126" t="str">
        <f>IFERROR(__xludf.DUMMYFUNCTION("""COMPUTED_VALUE"""),"Institute of Electrical and Electronics Engineers")</f>
        <v>Institute of Electrical and Electronics Engineers</v>
      </c>
      <c r="F100" s="126" t="str">
        <f>IFERROR(__xludf.DUMMYFUNCTION("""COMPUTED_VALUE"""),"IEEE Xplore")</f>
        <v>IEEE Xplore</v>
      </c>
      <c r="G100" s="128" t="str">
        <f>IFERROR(__xludf.DUMMYFUNCTION("""COMPUTED_VALUE"""),"C")</f>
        <v>C</v>
      </c>
      <c r="H100" s="130">
        <f>IFERROR(__xludf.DUMMYFUNCTION("""COMPUTED_VALUE"""),2019.0)</f>
        <v>2019</v>
      </c>
      <c r="I100" s="129">
        <f>IFERROR(__xludf.DUMMYFUNCTION("""COMPUTED_VALUE"""),1.0)</f>
        <v>1</v>
      </c>
      <c r="J100" s="130">
        <f>IFERROR(__xludf.DUMMYFUNCTION("""COMPUTED_VALUE"""),1.0)</f>
        <v>1</v>
      </c>
      <c r="K100" s="130">
        <f>IFERROR(__xludf.DUMMYFUNCTION("""COMPUTED_VALUE"""),1.0)</f>
        <v>1</v>
      </c>
      <c r="L100" s="129">
        <f>IFERROR(__xludf.DUMMYFUNCTION("""COMPUTED_VALUE"""),1.0)</f>
        <v>1</v>
      </c>
      <c r="M100" s="130">
        <f>IFERROR(__xludf.DUMMYFUNCTION("""COMPUTED_VALUE"""),1.0)</f>
        <v>1</v>
      </c>
      <c r="N100" s="130">
        <f>IFERROR(__xludf.DUMMYFUNCTION("""COMPUTED_VALUE"""),0.0)</f>
        <v>0</v>
      </c>
      <c r="O100" s="130">
        <f>IFERROR(__xludf.DUMMYFUNCTION("""COMPUTED_VALUE"""),0.0)</f>
        <v>0</v>
      </c>
      <c r="P100" s="130">
        <f>IFERROR(__xludf.DUMMYFUNCTION("""COMPUTED_VALUE"""),0.0)</f>
        <v>0</v>
      </c>
      <c r="Q100" s="130">
        <f>IFERROR(__xludf.DUMMYFUNCTION("""COMPUTED_VALUE"""),0.0)</f>
        <v>0</v>
      </c>
      <c r="R100" s="129">
        <f>IFERROR(__xludf.DUMMYFUNCTION("""COMPUTED_VALUE"""),0.0)</f>
        <v>0</v>
      </c>
      <c r="S100" s="129">
        <f>IFERROR(__xludf.DUMMYFUNCTION("""COMPUTED_VALUE"""),0.0)</f>
        <v>0</v>
      </c>
      <c r="T100" s="129">
        <f>IFERROR(__xludf.DUMMYFUNCTION("""COMPUTED_VALUE"""),0.0)</f>
        <v>0</v>
      </c>
      <c r="U100" s="129">
        <f>IFERROR(__xludf.DUMMYFUNCTION("""COMPUTED_VALUE"""),0.0)</f>
        <v>0</v>
      </c>
      <c r="V100" s="129">
        <f>IFERROR(__xludf.DUMMYFUNCTION("""COMPUTED_VALUE"""),0.0)</f>
        <v>0</v>
      </c>
      <c r="W100" s="126" t="str">
        <f>IFERROR(__xludf.DUMMYFUNCTION("""COMPUTED_VALUE"""),"Yes")</f>
        <v>Yes</v>
      </c>
      <c r="X100" s="126" t="str">
        <f>IFERROR(__xludf.DUMMYFUNCTION("""COMPUTED_VALUE"""),"Yes")</f>
        <v>Yes</v>
      </c>
      <c r="Y100" s="126" t="str">
        <f>IFERROR(__xludf.DUMMYFUNCTION("""COMPUTED_VALUE"""),"F")</f>
        <v>F</v>
      </c>
      <c r="Z100" s="126" t="str">
        <f>IFERROR(__xludf.DUMMYFUNCTION("""COMPUTED_VALUE"""),"VM consolidation (bad English)")</f>
        <v>VM consolidation (bad English)</v>
      </c>
      <c r="AA100" s="126"/>
      <c r="AB100" s="126"/>
      <c r="AC100" s="126"/>
      <c r="AD100" s="126"/>
      <c r="AE100" s="126"/>
      <c r="AF100" s="126"/>
      <c r="AG100" s="126"/>
      <c r="AH100" s="126"/>
      <c r="AI100" s="126"/>
      <c r="AJ100" s="126"/>
    </row>
    <row r="101">
      <c r="A101" s="126">
        <f>IFERROR(__xludf.DUMMYFUNCTION("""COMPUTED_VALUE"""),200.0)</f>
        <v>200</v>
      </c>
      <c r="B101" s="126" t="str">
        <f>IFERROR(__xludf.DUMMYFUNCTION("""COMPUTED_VALUE"""),"Stochastic Modeling and Performance Analysis of Energy-Aware Cloud Data Center Based on Dynamic Scalable Stochastic Petri Net")</f>
        <v>Stochastic Modeling and Performance Analysis of Energy-Aware Cloud Data Center Based on Dynamic Scalable Stochastic Petri Net</v>
      </c>
      <c r="C101" s="127" t="str">
        <f>IFERROR(__xludf.DUMMYFUNCTION("""COMPUTED_VALUE"""),"http://www.cai.sk/ojs/index.php/cai/article/viewArticle/4918")</f>
        <v>http://www.cai.sk/ojs/index.php/cai/article/viewArticle/4918</v>
      </c>
      <c r="D101" s="126" t="str">
        <f>IFERROR(__xludf.DUMMYFUNCTION("""COMPUTED_VALUE"""),"H He, Y Zhao, S Pang")</f>
        <v>H He, Y Zhao, S Pang</v>
      </c>
      <c r="E101" s="126" t="str">
        <f>IFERROR(__xludf.DUMMYFUNCTION("""COMPUTED_VALUE"""),"Computing and Informatics")</f>
        <v>Computing and Informatics</v>
      </c>
      <c r="F101" s="126" t="str">
        <f>IFERROR(__xludf.DUMMYFUNCTION("""COMPUTED_VALUE"""),"CAI")</f>
        <v>CAI</v>
      </c>
      <c r="G101" s="128" t="str">
        <f>IFERROR(__xludf.DUMMYFUNCTION("""COMPUTED_VALUE"""),"J")</f>
        <v>J</v>
      </c>
      <c r="H101" s="130">
        <f>IFERROR(__xludf.DUMMYFUNCTION("""COMPUTED_VALUE"""),2020.0)</f>
        <v>2020</v>
      </c>
      <c r="I101" s="129">
        <f>IFERROR(__xludf.DUMMYFUNCTION("""COMPUTED_VALUE"""),1.0)</f>
        <v>1</v>
      </c>
      <c r="J101" s="130">
        <f>IFERROR(__xludf.DUMMYFUNCTION("""COMPUTED_VALUE"""),1.0)</f>
        <v>1</v>
      </c>
      <c r="K101" s="130">
        <f>IFERROR(__xludf.DUMMYFUNCTION("""COMPUTED_VALUE"""),1.0)</f>
        <v>1</v>
      </c>
      <c r="L101" s="129">
        <f>IFERROR(__xludf.DUMMYFUNCTION("""COMPUTED_VALUE"""),1.0)</f>
        <v>1</v>
      </c>
      <c r="M101" s="130">
        <f>IFERROR(__xludf.DUMMYFUNCTION("""COMPUTED_VALUE"""),1.0)</f>
        <v>1</v>
      </c>
      <c r="N101" s="130">
        <f>IFERROR(__xludf.DUMMYFUNCTION("""COMPUTED_VALUE"""),0.0)</f>
        <v>0</v>
      </c>
      <c r="O101" s="130">
        <f>IFERROR(__xludf.DUMMYFUNCTION("""COMPUTED_VALUE"""),0.0)</f>
        <v>0</v>
      </c>
      <c r="P101" s="130">
        <f>IFERROR(__xludf.DUMMYFUNCTION("""COMPUTED_VALUE"""),0.0)</f>
        <v>0</v>
      </c>
      <c r="Q101" s="130">
        <f>IFERROR(__xludf.DUMMYFUNCTION("""COMPUTED_VALUE"""),0.0)</f>
        <v>0</v>
      </c>
      <c r="R101" s="130">
        <f>IFERROR(__xludf.DUMMYFUNCTION("""COMPUTED_VALUE"""),0.0)</f>
        <v>0</v>
      </c>
      <c r="S101" s="130">
        <f>IFERROR(__xludf.DUMMYFUNCTION("""COMPUTED_VALUE"""),0.0)</f>
        <v>0</v>
      </c>
      <c r="T101" s="130">
        <f>IFERROR(__xludf.DUMMYFUNCTION("""COMPUTED_VALUE"""),0.0)</f>
        <v>0</v>
      </c>
      <c r="U101" s="130">
        <f>IFERROR(__xludf.DUMMYFUNCTION("""COMPUTED_VALUE"""),0.0)</f>
        <v>0</v>
      </c>
      <c r="V101" s="130">
        <f>IFERROR(__xludf.DUMMYFUNCTION("""COMPUTED_VALUE"""),0.0)</f>
        <v>0</v>
      </c>
      <c r="W101" s="131" t="str">
        <f>IFERROR(__xludf.DUMMYFUNCTION("""COMPUTED_VALUE"""),"Yes")</f>
        <v>Yes</v>
      </c>
      <c r="X101" s="131" t="str">
        <f>IFERROR(__xludf.DUMMYFUNCTION("""COMPUTED_VALUE"""),"Yes")</f>
        <v>Yes</v>
      </c>
      <c r="Y101" s="131" t="str">
        <f>IFERROR(__xludf.DUMMYFUNCTION("""COMPUTED_VALUE"""),"F")</f>
        <v>F</v>
      </c>
      <c r="Z101" s="131" t="str">
        <f>IFERROR(__xludf.DUMMYFUNCTION("""COMPUTED_VALUE"""),"VM scheduling algorithm")</f>
        <v>VM scheduling algorithm</v>
      </c>
      <c r="AA101" s="131"/>
      <c r="AB101" s="131"/>
      <c r="AC101" s="131"/>
      <c r="AD101" s="131"/>
      <c r="AE101" s="131"/>
      <c r="AF101" s="131"/>
      <c r="AG101" s="131"/>
      <c r="AH101" s="131"/>
      <c r="AI101" s="131"/>
      <c r="AJ101" s="131"/>
    </row>
    <row r="102">
      <c r="A102" s="126">
        <f>IFERROR(__xludf.DUMMYFUNCTION("""COMPUTED_VALUE"""),201.0)</f>
        <v>201</v>
      </c>
      <c r="B102" s="126" t="str">
        <f>IFERROR(__xludf.DUMMYFUNCTION("""COMPUTED_VALUE"""),"An Energy-efficient Genetic-based Algorithm for Virtual Machine Placement in Cloud Datacenter")</f>
        <v>An Energy-efficient Genetic-based Algorithm for Virtual Machine Placement in Cloud Datacenter</v>
      </c>
      <c r="C102" s="127" t="str">
        <f>IFERROR(__xludf.DUMMYFUNCTION("""COMPUTED_VALUE"""),"http://www.jmess.org/wp-content/uploads/2019/05/JMESSP13420537.pdf")</f>
        <v>http://www.jmess.org/wp-content/uploads/2019/05/JMESSP13420537.pdf</v>
      </c>
      <c r="D102" s="131" t="str">
        <f>IFERROR(__xludf.DUMMYFUNCTION("""COMPUTED_VALUE"""),"P Saeedi")</f>
        <v>P Saeedi</v>
      </c>
      <c r="E102" s="131" t="str">
        <f>IFERROR(__xludf.DUMMYFUNCTION("""COMPUTED_VALUE"""),"Journal of Multidisciplinary Engineering Science Studies")</f>
        <v>Journal of Multidisciplinary Engineering Science Studies</v>
      </c>
      <c r="F102" s="126" t="str">
        <f>IFERROR(__xludf.DUMMYFUNCTION("""COMPUTED_VALUE"""),"JMESS")</f>
        <v>JMESS</v>
      </c>
      <c r="G102" s="128" t="str">
        <f>IFERROR(__xludf.DUMMYFUNCTION("""COMPUTED_VALUE"""),"J")</f>
        <v>J</v>
      </c>
      <c r="H102" s="130">
        <f>IFERROR(__xludf.DUMMYFUNCTION("""COMPUTED_VALUE"""),2019.0)</f>
        <v>2019</v>
      </c>
      <c r="I102" s="129">
        <f>IFERROR(__xludf.DUMMYFUNCTION("""COMPUTED_VALUE"""),1.0)</f>
        <v>1</v>
      </c>
      <c r="J102" s="130">
        <f>IFERROR(__xludf.DUMMYFUNCTION("""COMPUTED_VALUE"""),1.0)</f>
        <v>1</v>
      </c>
      <c r="K102" s="130">
        <f>IFERROR(__xludf.DUMMYFUNCTION("""COMPUTED_VALUE"""),1.0)</f>
        <v>1</v>
      </c>
      <c r="L102" s="129">
        <f>IFERROR(__xludf.DUMMYFUNCTION("""COMPUTED_VALUE"""),1.0)</f>
        <v>1</v>
      </c>
      <c r="M102" s="130">
        <f>IFERROR(__xludf.DUMMYFUNCTION("""COMPUTED_VALUE"""),1.0)</f>
        <v>1</v>
      </c>
      <c r="N102" s="130">
        <f>IFERROR(__xludf.DUMMYFUNCTION("""COMPUTED_VALUE"""),0.0)</f>
        <v>0</v>
      </c>
      <c r="O102" s="130">
        <f>IFERROR(__xludf.DUMMYFUNCTION("""COMPUTED_VALUE"""),0.0)</f>
        <v>0</v>
      </c>
      <c r="P102" s="130">
        <f>IFERROR(__xludf.DUMMYFUNCTION("""COMPUTED_VALUE"""),0.0)</f>
        <v>0</v>
      </c>
      <c r="Q102" s="130">
        <f>IFERROR(__xludf.DUMMYFUNCTION("""COMPUTED_VALUE"""),0.0)</f>
        <v>0</v>
      </c>
      <c r="R102" s="129">
        <f>IFERROR(__xludf.DUMMYFUNCTION("""COMPUTED_VALUE"""),0.0)</f>
        <v>0</v>
      </c>
      <c r="S102" s="129">
        <f>IFERROR(__xludf.DUMMYFUNCTION("""COMPUTED_VALUE"""),0.0)</f>
        <v>0</v>
      </c>
      <c r="T102" s="129">
        <f>IFERROR(__xludf.DUMMYFUNCTION("""COMPUTED_VALUE"""),0.0)</f>
        <v>0</v>
      </c>
      <c r="U102" s="129">
        <f>IFERROR(__xludf.DUMMYFUNCTION("""COMPUTED_VALUE"""),0.0)</f>
        <v>0</v>
      </c>
      <c r="V102" s="129">
        <f>IFERROR(__xludf.DUMMYFUNCTION("""COMPUTED_VALUE"""),0.0)</f>
        <v>0</v>
      </c>
      <c r="W102" s="126" t="str">
        <f>IFERROR(__xludf.DUMMYFUNCTION("""COMPUTED_VALUE"""),"Yes")</f>
        <v>Yes</v>
      </c>
      <c r="X102" s="126" t="str">
        <f>IFERROR(__xludf.DUMMYFUNCTION("""COMPUTED_VALUE"""),"Yes")</f>
        <v>Yes</v>
      </c>
      <c r="Y102" s="126" t="str">
        <f>IFERROR(__xludf.DUMMYFUNCTION("""COMPUTED_VALUE"""),"F")</f>
        <v>F</v>
      </c>
      <c r="Z102" s="126" t="str">
        <f>IFERROR(__xludf.DUMMYFUNCTION("""COMPUTED_VALUE"""),"VM placement algorithm")</f>
        <v>VM placement algorithm</v>
      </c>
      <c r="AA102" s="126"/>
      <c r="AB102" s="126"/>
      <c r="AC102" s="126"/>
      <c r="AD102" s="126"/>
      <c r="AE102" s="126"/>
      <c r="AF102" s="126"/>
      <c r="AG102" s="126"/>
      <c r="AH102" s="126"/>
      <c r="AI102" s="126"/>
      <c r="AJ102" s="126"/>
    </row>
    <row r="103">
      <c r="A103" s="126">
        <f>IFERROR(__xludf.DUMMYFUNCTION("""COMPUTED_VALUE"""),202.0)</f>
        <v>202</v>
      </c>
      <c r="B103" s="126" t="str">
        <f>IFERROR(__xludf.DUMMYFUNCTION("""COMPUTED_VALUE"""),"Improve Energy Consumption Model for Cloud Data Centers using PSO Algorithm")</f>
        <v>Improve Energy Consumption Model for Cloud Data Centers using PSO Algorithm</v>
      </c>
      <c r="C103" s="127" t="str">
        <f>IFERROR(__xludf.DUMMYFUNCTION("""COMPUTED_VALUE"""),"https://www.ijert.org/research/improve-energy-consumption-model-for-cloud-data-centers-using-pso-algorithm-IJERTCONV7IS01035.pdf")</f>
        <v>https://www.ijert.org/research/improve-energy-consumption-model-for-cloud-data-centers-using-pso-algorithm-IJERTCONV7IS01035.pdf</v>
      </c>
      <c r="D103" s="131" t="str">
        <f>IFERROR(__xludf.DUMMYFUNCTION("""COMPUTED_VALUE"""),"CT Selvan, M Santhoshkumar, RM Santhoshkumar…")</f>
        <v>CT Selvan, M Santhoshkumar, RM Santhoshkumar…</v>
      </c>
      <c r="E103" s="131" t="str">
        <f>IFERROR(__xludf.DUMMYFUNCTION("""COMPUTED_VALUE"""),"International Journal of Engineering Research &amp; Technology")</f>
        <v>International Journal of Engineering Research &amp; Technology</v>
      </c>
      <c r="F103" s="126" t="str">
        <f>IFERROR(__xludf.DUMMYFUNCTION("""COMPUTED_VALUE"""),"IJERT")</f>
        <v>IJERT</v>
      </c>
      <c r="G103" s="128" t="str">
        <f>IFERROR(__xludf.DUMMYFUNCTION("""COMPUTED_VALUE"""),"J")</f>
        <v>J</v>
      </c>
      <c r="H103" s="130">
        <f>IFERROR(__xludf.DUMMYFUNCTION("""COMPUTED_VALUE"""),2019.0)</f>
        <v>2019</v>
      </c>
      <c r="I103" s="129">
        <f>IFERROR(__xludf.DUMMYFUNCTION("""COMPUTED_VALUE"""),1.0)</f>
        <v>1</v>
      </c>
      <c r="J103" s="130">
        <f>IFERROR(__xludf.DUMMYFUNCTION("""COMPUTED_VALUE"""),1.0)</f>
        <v>1</v>
      </c>
      <c r="K103" s="130">
        <f>IFERROR(__xludf.DUMMYFUNCTION("""COMPUTED_VALUE"""),1.0)</f>
        <v>1</v>
      </c>
      <c r="L103" s="129">
        <f>IFERROR(__xludf.DUMMYFUNCTION("""COMPUTED_VALUE"""),0.0)</f>
        <v>0</v>
      </c>
      <c r="M103" s="130">
        <f>IFERROR(__xludf.DUMMYFUNCTION("""COMPUTED_VALUE"""),1.0)</f>
        <v>1</v>
      </c>
      <c r="N103" s="130">
        <f>IFERROR(__xludf.DUMMYFUNCTION("""COMPUTED_VALUE"""),0.0)</f>
        <v>0</v>
      </c>
      <c r="O103" s="130">
        <f>IFERROR(__xludf.DUMMYFUNCTION("""COMPUTED_VALUE"""),0.0)</f>
        <v>0</v>
      </c>
      <c r="P103" s="130">
        <f>IFERROR(__xludf.DUMMYFUNCTION("""COMPUTED_VALUE"""),0.0)</f>
        <v>0</v>
      </c>
      <c r="Q103" s="130">
        <f>IFERROR(__xludf.DUMMYFUNCTION("""COMPUTED_VALUE"""),0.0)</f>
        <v>0</v>
      </c>
      <c r="R103" s="129">
        <f>IFERROR(__xludf.DUMMYFUNCTION("""COMPUTED_VALUE"""),0.0)</f>
        <v>0</v>
      </c>
      <c r="S103" s="129">
        <f>IFERROR(__xludf.DUMMYFUNCTION("""COMPUTED_VALUE"""),0.0)</f>
        <v>0</v>
      </c>
      <c r="T103" s="129">
        <f>IFERROR(__xludf.DUMMYFUNCTION("""COMPUTED_VALUE"""),0.0)</f>
        <v>0</v>
      </c>
      <c r="U103" s="129">
        <f>IFERROR(__xludf.DUMMYFUNCTION("""COMPUTED_VALUE"""),0.0)</f>
        <v>0</v>
      </c>
      <c r="V103" s="129">
        <f>IFERROR(__xludf.DUMMYFUNCTION("""COMPUTED_VALUE"""),0.0)</f>
        <v>0</v>
      </c>
      <c r="W103" s="126" t="str">
        <f>IFERROR(__xludf.DUMMYFUNCTION("""COMPUTED_VALUE"""),"No")</f>
        <v>No</v>
      </c>
      <c r="X103" s="126" t="str">
        <f>IFERROR(__xludf.DUMMYFUNCTION("""COMPUTED_VALUE"""),"Yes")</f>
        <v>Yes</v>
      </c>
      <c r="Y103" s="126" t="str">
        <f>IFERROR(__xludf.DUMMYFUNCTION("""COMPUTED_VALUE"""),"F")</f>
        <v>F</v>
      </c>
      <c r="Z103" s="126" t="str">
        <f>IFERROR(__xludf.DUMMYFUNCTION("""COMPUTED_VALUE"""),"PSO logic used to test results")</f>
        <v>PSO logic used to test results</v>
      </c>
      <c r="AA103" s="126"/>
      <c r="AB103" s="126"/>
      <c r="AC103" s="126"/>
      <c r="AD103" s="126"/>
      <c r="AE103" s="126"/>
      <c r="AF103" s="126"/>
      <c r="AG103" s="126"/>
      <c r="AH103" s="126"/>
      <c r="AI103" s="126"/>
      <c r="AJ103" s="126"/>
    </row>
    <row r="104">
      <c r="A104" s="126">
        <f>IFERROR(__xludf.DUMMYFUNCTION("""COMPUTED_VALUE"""),203.0)</f>
        <v>203</v>
      </c>
      <c r="B104" s="126" t="str">
        <f>IFERROR(__xludf.DUMMYFUNCTION("""COMPUTED_VALUE"""),"Location-aware energy efficient virtual network embedding in software-defined optical data center networks")</f>
        <v>Location-aware energy efficient virtual network embedding in software-defined optical data center networks</v>
      </c>
      <c r="C104" s="127" t="str">
        <f>IFERROR(__xludf.DUMMYFUNCTION("""COMPUTED_VALUE"""),"https://www.osapublishing.org/abstract.cfm?uri=jocn-10-7-B58")</f>
        <v>https://www.osapublishing.org/abstract.cfm?uri=jocn-10-7-B58</v>
      </c>
      <c r="D104" s="131" t="str">
        <f>IFERROR(__xludf.DUMMYFUNCTION("""COMPUTED_VALUE"""),"Y Zong, Y Ou, A Hammad, K Kondepu, R Nejabati, D Simeonidou, Y Liu, L Guo")</f>
        <v>Y Zong, Y Ou, A Hammad, K Kondepu, R Nejabati, D Simeonidou, Y Liu, L Guo</v>
      </c>
      <c r="E104" s="131" t="str">
        <f>IFERROR(__xludf.DUMMYFUNCTION("""COMPUTED_VALUE"""),"Journal of Optical Communications and Networking")</f>
        <v>Journal of Optical Communications and Networking</v>
      </c>
      <c r="F104" s="126" t="str">
        <f>IFERROR(__xludf.DUMMYFUNCTION("""COMPUTED_VALUE"""),"JOCN")</f>
        <v>JOCN</v>
      </c>
      <c r="G104" s="128" t="str">
        <f>IFERROR(__xludf.DUMMYFUNCTION("""COMPUTED_VALUE"""),"J")</f>
        <v>J</v>
      </c>
      <c r="H104" s="130">
        <f>IFERROR(__xludf.DUMMYFUNCTION("""COMPUTED_VALUE"""),2018.0)</f>
        <v>2018</v>
      </c>
      <c r="I104" s="130">
        <f>IFERROR(__xludf.DUMMYFUNCTION("""COMPUTED_VALUE"""),1.0)</f>
        <v>1</v>
      </c>
      <c r="J104" s="130">
        <f>IFERROR(__xludf.DUMMYFUNCTION("""COMPUTED_VALUE"""),1.0)</f>
        <v>1</v>
      </c>
      <c r="K104" s="130">
        <f>IFERROR(__xludf.DUMMYFUNCTION("""COMPUTED_VALUE"""),1.0)</f>
        <v>1</v>
      </c>
      <c r="L104" s="130">
        <f>IFERROR(__xludf.DUMMYFUNCTION("""COMPUTED_VALUE"""),1.0)</f>
        <v>1</v>
      </c>
      <c r="M104" s="130">
        <f>IFERROR(__xludf.DUMMYFUNCTION("""COMPUTED_VALUE"""),1.0)</f>
        <v>1</v>
      </c>
      <c r="N104" s="130">
        <f>IFERROR(__xludf.DUMMYFUNCTION("""COMPUTED_VALUE"""),0.0)</f>
        <v>0</v>
      </c>
      <c r="O104" s="129">
        <f>IFERROR(__xludf.DUMMYFUNCTION("""COMPUTED_VALUE"""),0.0)</f>
        <v>0</v>
      </c>
      <c r="P104" s="130">
        <f>IFERROR(__xludf.DUMMYFUNCTION("""COMPUTED_VALUE"""),0.0)</f>
        <v>0</v>
      </c>
      <c r="Q104" s="130">
        <f>IFERROR(__xludf.DUMMYFUNCTION("""COMPUTED_VALUE"""),0.0)</f>
        <v>0</v>
      </c>
      <c r="R104" s="129">
        <f>IFERROR(__xludf.DUMMYFUNCTION("""COMPUTED_VALUE"""),0.0)</f>
        <v>0</v>
      </c>
      <c r="S104" s="129">
        <f>IFERROR(__xludf.DUMMYFUNCTION("""COMPUTED_VALUE"""),0.0)</f>
        <v>0</v>
      </c>
      <c r="T104" s="129">
        <f>IFERROR(__xludf.DUMMYFUNCTION("""COMPUTED_VALUE"""),0.0)</f>
        <v>0</v>
      </c>
      <c r="U104" s="129">
        <f>IFERROR(__xludf.DUMMYFUNCTION("""COMPUTED_VALUE"""),0.0)</f>
        <v>0</v>
      </c>
      <c r="V104" s="129">
        <f>IFERROR(__xludf.DUMMYFUNCTION("""COMPUTED_VALUE"""),0.0)</f>
        <v>0</v>
      </c>
      <c r="W104" s="126" t="str">
        <f>IFERROR(__xludf.DUMMYFUNCTION("""COMPUTED_VALUE"""),"Yes")</f>
        <v>Yes</v>
      </c>
      <c r="X104" s="126" t="str">
        <f>IFERROR(__xludf.DUMMYFUNCTION("""COMPUTED_VALUE"""),"Yes")</f>
        <v>Yes</v>
      </c>
      <c r="Y104" s="126" t="str">
        <f>IFERROR(__xludf.DUMMYFUNCTION("""COMPUTED_VALUE"""),"F")</f>
        <v>F</v>
      </c>
      <c r="Z104" s="126" t="str">
        <f>IFERROR(__xludf.DUMMYFUNCTION("""COMPUTED_VALUE"""),"Virtual network embedding (VNE)")</f>
        <v>Virtual network embedding (VNE)</v>
      </c>
      <c r="AA104" s="126"/>
      <c r="AB104" s="126"/>
      <c r="AC104" s="126"/>
      <c r="AD104" s="126"/>
      <c r="AE104" s="126"/>
      <c r="AF104" s="126"/>
      <c r="AG104" s="126"/>
      <c r="AH104" s="126"/>
      <c r="AI104" s="126"/>
      <c r="AJ104" s="126"/>
    </row>
    <row r="105">
      <c r="A105" s="126">
        <f>IFERROR(__xludf.DUMMYFUNCTION("""COMPUTED_VALUE"""),204.0)</f>
        <v>204</v>
      </c>
      <c r="B105" s="126" t="str">
        <f>IFERROR(__xludf.DUMMYFUNCTION("""COMPUTED_VALUE"""),"Energy-Efficient Resource Allocation Strategy Based on Task Classification in Data Center")</f>
        <v>Energy-Efficient Resource Allocation Strategy Based on Task Classification in Data Center</v>
      </c>
      <c r="C105" s="127" t="str">
        <f>IFERROR(__xludf.DUMMYFUNCTION("""COMPUTED_VALUE"""),"https://www.atlantis-press.com/proceedings/amcce-18/25895654")</f>
        <v>https://www.atlantis-press.com/proceedings/amcce-18/25895654</v>
      </c>
      <c r="D105" s="126" t="str">
        <f>IFERROR(__xludf.DUMMYFUNCTION("""COMPUTED_VALUE"""),"H Li, S Ding, P Zhang, J Lai")</f>
        <v>H Li, S Ding, P Zhang, J Lai</v>
      </c>
      <c r="E105" s="126" t="str">
        <f>IFERROR(__xludf.DUMMYFUNCTION("""COMPUTED_VALUE"""),"Atlantis Press")</f>
        <v>Atlantis Press</v>
      </c>
      <c r="F105" s="126" t="str">
        <f>IFERROR(__xludf.DUMMYFUNCTION("""COMPUTED_VALUE"""),"AP")</f>
        <v>AP</v>
      </c>
      <c r="G105" s="128" t="str">
        <f>IFERROR(__xludf.DUMMYFUNCTION("""COMPUTED_VALUE"""),"C")</f>
        <v>C</v>
      </c>
      <c r="H105" s="130">
        <f>IFERROR(__xludf.DUMMYFUNCTION("""COMPUTED_VALUE"""),2018.0)</f>
        <v>2018</v>
      </c>
      <c r="I105" s="130">
        <f>IFERROR(__xludf.DUMMYFUNCTION("""COMPUTED_VALUE"""),1.0)</f>
        <v>1</v>
      </c>
      <c r="J105" s="130">
        <f>IFERROR(__xludf.DUMMYFUNCTION("""COMPUTED_VALUE"""),1.0)</f>
        <v>1</v>
      </c>
      <c r="K105" s="130">
        <f>IFERROR(__xludf.DUMMYFUNCTION("""COMPUTED_VALUE"""),1.0)</f>
        <v>1</v>
      </c>
      <c r="L105" s="129">
        <f>IFERROR(__xludf.DUMMYFUNCTION("""COMPUTED_VALUE"""),1.0)</f>
        <v>1</v>
      </c>
      <c r="M105" s="130">
        <f>IFERROR(__xludf.DUMMYFUNCTION("""COMPUTED_VALUE"""),1.0)</f>
        <v>1</v>
      </c>
      <c r="N105" s="130">
        <f>IFERROR(__xludf.DUMMYFUNCTION("""COMPUTED_VALUE"""),0.0)</f>
        <v>0</v>
      </c>
      <c r="O105" s="130">
        <f>IFERROR(__xludf.DUMMYFUNCTION("""COMPUTED_VALUE"""),0.0)</f>
        <v>0</v>
      </c>
      <c r="P105" s="130">
        <f>IFERROR(__xludf.DUMMYFUNCTION("""COMPUTED_VALUE"""),0.0)</f>
        <v>0</v>
      </c>
      <c r="Q105" s="130">
        <f>IFERROR(__xludf.DUMMYFUNCTION("""COMPUTED_VALUE"""),0.0)</f>
        <v>0</v>
      </c>
      <c r="R105" s="129">
        <f>IFERROR(__xludf.DUMMYFUNCTION("""COMPUTED_VALUE"""),0.0)</f>
        <v>0</v>
      </c>
      <c r="S105" s="129">
        <f>IFERROR(__xludf.DUMMYFUNCTION("""COMPUTED_VALUE"""),0.0)</f>
        <v>0</v>
      </c>
      <c r="T105" s="129">
        <f>IFERROR(__xludf.DUMMYFUNCTION("""COMPUTED_VALUE"""),0.0)</f>
        <v>0</v>
      </c>
      <c r="U105" s="129">
        <f>IFERROR(__xludf.DUMMYFUNCTION("""COMPUTED_VALUE"""),0.0)</f>
        <v>0</v>
      </c>
      <c r="V105" s="129">
        <f>IFERROR(__xludf.DUMMYFUNCTION("""COMPUTED_VALUE"""),0.0)</f>
        <v>0</v>
      </c>
      <c r="W105" s="126" t="str">
        <f>IFERROR(__xludf.DUMMYFUNCTION("""COMPUTED_VALUE"""),"Yes")</f>
        <v>Yes</v>
      </c>
      <c r="X105" s="126" t="str">
        <f>IFERROR(__xludf.DUMMYFUNCTION("""COMPUTED_VALUE"""),"Yes")</f>
        <v>Yes</v>
      </c>
      <c r="Y105" s="126" t="str">
        <f>IFERROR(__xludf.DUMMYFUNCTION("""COMPUTED_VALUE"""),"F")</f>
        <v>F</v>
      </c>
      <c r="Z105" s="126" t="str">
        <f>IFERROR(__xludf.DUMMYFUNCTION("""COMPUTED_VALUE"""),"resource allocation strategy")</f>
        <v>resource allocation strategy</v>
      </c>
      <c r="AA105" s="126"/>
      <c r="AB105" s="126"/>
      <c r="AC105" s="126"/>
      <c r="AD105" s="126"/>
      <c r="AE105" s="126"/>
      <c r="AF105" s="126"/>
      <c r="AG105" s="126"/>
      <c r="AH105" s="126"/>
      <c r="AI105" s="126"/>
      <c r="AJ105" s="126"/>
    </row>
    <row r="106">
      <c r="A106" s="126">
        <f>IFERROR(__xludf.DUMMYFUNCTION("""COMPUTED_VALUE"""),206.0)</f>
        <v>206</v>
      </c>
      <c r="B106" s="126" t="str">
        <f>IFERROR(__xludf.DUMMYFUNCTION("""COMPUTED_VALUE"""),"An adaptive autonomic framework for optimizing energy consumption in the cloud data centers")</f>
        <v>An adaptive autonomic framework for optimizing energy consumption in the cloud data centers</v>
      </c>
      <c r="C106" s="127" t="str">
        <f>IFERROR(__xludf.DUMMYFUNCTION("""COMPUTED_VALUE"""),"http://www.inass.org/2019/2019083112.pdf")</f>
        <v>http://www.inass.org/2019/2019083112.pdf</v>
      </c>
      <c r="D106" s="126" t="str">
        <f>IFERROR(__xludf.DUMMYFUNCTION("""COMPUTED_VALUE"""),"S Diouani, H Medromi")</f>
        <v>S Diouani, H Medromi</v>
      </c>
      <c r="E106" s="126" t="str">
        <f>IFERROR(__xludf.DUMMYFUNCTION("""COMPUTED_VALUE"""),"International Journal of Intelligent Engineering &amp; Systems")</f>
        <v>International Journal of Intelligent Engineering &amp; Systems</v>
      </c>
      <c r="F106" s="126" t="str">
        <f>IFERROR(__xludf.DUMMYFUNCTION("""COMPUTED_VALUE"""),"INASS")</f>
        <v>INASS</v>
      </c>
      <c r="G106" s="128" t="str">
        <f>IFERROR(__xludf.DUMMYFUNCTION("""COMPUTED_VALUE"""),"J")</f>
        <v>J</v>
      </c>
      <c r="H106" s="130">
        <f>IFERROR(__xludf.DUMMYFUNCTION("""COMPUTED_VALUE"""),2019.0)</f>
        <v>2019</v>
      </c>
      <c r="I106" s="129">
        <f>IFERROR(__xludf.DUMMYFUNCTION("""COMPUTED_VALUE"""),1.0)</f>
        <v>1</v>
      </c>
      <c r="J106" s="130">
        <f>IFERROR(__xludf.DUMMYFUNCTION("""COMPUTED_VALUE"""),1.0)</f>
        <v>1</v>
      </c>
      <c r="K106" s="130">
        <f>IFERROR(__xludf.DUMMYFUNCTION("""COMPUTED_VALUE"""),1.0)</f>
        <v>1</v>
      </c>
      <c r="L106" s="130">
        <f>IFERROR(__xludf.DUMMYFUNCTION("""COMPUTED_VALUE"""),1.0)</f>
        <v>1</v>
      </c>
      <c r="M106" s="130">
        <f>IFERROR(__xludf.DUMMYFUNCTION("""COMPUTED_VALUE"""),1.0)</f>
        <v>1</v>
      </c>
      <c r="N106" s="130">
        <f>IFERROR(__xludf.DUMMYFUNCTION("""COMPUTED_VALUE"""),0.0)</f>
        <v>0</v>
      </c>
      <c r="O106" s="130">
        <f>IFERROR(__xludf.DUMMYFUNCTION("""COMPUTED_VALUE"""),0.0)</f>
        <v>0</v>
      </c>
      <c r="P106" s="130">
        <f>IFERROR(__xludf.DUMMYFUNCTION("""COMPUTED_VALUE"""),0.0)</f>
        <v>0</v>
      </c>
      <c r="Q106" s="130">
        <f>IFERROR(__xludf.DUMMYFUNCTION("""COMPUTED_VALUE"""),0.0)</f>
        <v>0</v>
      </c>
      <c r="R106" s="129">
        <f>IFERROR(__xludf.DUMMYFUNCTION("""COMPUTED_VALUE"""),0.0)</f>
        <v>0</v>
      </c>
      <c r="S106" s="129">
        <f>IFERROR(__xludf.DUMMYFUNCTION("""COMPUTED_VALUE"""),0.0)</f>
        <v>0</v>
      </c>
      <c r="T106" s="129">
        <f>IFERROR(__xludf.DUMMYFUNCTION("""COMPUTED_VALUE"""),0.0)</f>
        <v>0</v>
      </c>
      <c r="U106" s="129">
        <f>IFERROR(__xludf.DUMMYFUNCTION("""COMPUTED_VALUE"""),0.0)</f>
        <v>0</v>
      </c>
      <c r="V106" s="129">
        <f>IFERROR(__xludf.DUMMYFUNCTION("""COMPUTED_VALUE"""),0.0)</f>
        <v>0</v>
      </c>
      <c r="W106" s="126" t="str">
        <f>IFERROR(__xludf.DUMMYFUNCTION("""COMPUTED_VALUE"""),"Yes")</f>
        <v>Yes</v>
      </c>
      <c r="X106" s="126" t="str">
        <f>IFERROR(__xludf.DUMMYFUNCTION("""COMPUTED_VALUE"""),"Yes")</f>
        <v>Yes</v>
      </c>
      <c r="Y106" s="126" t="str">
        <f>IFERROR(__xludf.DUMMYFUNCTION("""COMPUTED_VALUE"""),"F")</f>
        <v>F</v>
      </c>
      <c r="Z106" s="126" t="str">
        <f>IFERROR(__xludf.DUMMYFUNCTION("""COMPUTED_VALUE"""),"EE autonomic framework")</f>
        <v>EE autonomic framework</v>
      </c>
      <c r="AA106" s="126"/>
      <c r="AB106" s="126"/>
      <c r="AC106" s="126"/>
      <c r="AD106" s="126"/>
      <c r="AE106" s="126"/>
      <c r="AF106" s="126"/>
      <c r="AG106" s="126"/>
      <c r="AH106" s="126"/>
      <c r="AI106" s="126"/>
      <c r="AJ106" s="126"/>
    </row>
    <row r="107">
      <c r="A107" s="126">
        <f>IFERROR(__xludf.DUMMYFUNCTION("""COMPUTED_VALUE"""),207.0)</f>
        <v>207</v>
      </c>
      <c r="B107" s="126" t="str">
        <f>IFERROR(__xludf.DUMMYFUNCTION("""COMPUTED_VALUE"""),"Minimizing SLA violation and power consumption in Cloud data centers using adaptive energy-aware algorithms")</f>
        <v>Minimizing SLA violation and power consumption in Cloud data centers using adaptive energy-aware algorithms</v>
      </c>
      <c r="C107" s="127" t="str">
        <f>IFERROR(__xludf.DUMMYFUNCTION("""COMPUTED_VALUE"""),"https://www.sciencedirect.com/science/article/pii/S0167739X17316059")</f>
        <v>https://www.sciencedirect.com/science/article/pii/S0167739X17316059</v>
      </c>
      <c r="D107" s="131" t="str">
        <f>IFERROR(__xludf.DUMMYFUNCTION("""COMPUTED_VALUE"""),"Z Zhou, J Abawajy, M Chowdhury, Z Hu, K Li, H Cheng, AA Alelaiwi, F Li")</f>
        <v>Z Zhou, J Abawajy, M Chowdhury, Z Hu, K Li, H Cheng, AA Alelaiwi, F Li</v>
      </c>
      <c r="E107" s="131" t="str">
        <f>IFERROR(__xludf.DUMMYFUNCTION("""COMPUTED_VALUE"""),"Elsevier")</f>
        <v>Elsevier</v>
      </c>
      <c r="F107" s="126" t="str">
        <f>IFERROR(__xludf.DUMMYFUNCTION("""COMPUTED_VALUE"""),"Elsevier")</f>
        <v>Elsevier</v>
      </c>
      <c r="G107" s="132" t="str">
        <f>IFERROR(__xludf.DUMMYFUNCTION("""COMPUTED_VALUE"""),"J")</f>
        <v>J</v>
      </c>
      <c r="H107" s="130">
        <f>IFERROR(__xludf.DUMMYFUNCTION("""COMPUTED_VALUE"""),2018.0)</f>
        <v>2018</v>
      </c>
      <c r="I107" s="130">
        <f>IFERROR(__xludf.DUMMYFUNCTION("""COMPUTED_VALUE"""),1.0)</f>
        <v>1</v>
      </c>
      <c r="J107" s="130">
        <f>IFERROR(__xludf.DUMMYFUNCTION("""COMPUTED_VALUE"""),1.0)</f>
        <v>1</v>
      </c>
      <c r="K107" s="130">
        <f>IFERROR(__xludf.DUMMYFUNCTION("""COMPUTED_VALUE"""),1.0)</f>
        <v>1</v>
      </c>
      <c r="L107" s="129">
        <f>IFERROR(__xludf.DUMMYFUNCTION("""COMPUTED_VALUE"""),1.0)</f>
        <v>1</v>
      </c>
      <c r="M107" s="130">
        <f>IFERROR(__xludf.DUMMYFUNCTION("""COMPUTED_VALUE"""),1.0)</f>
        <v>1</v>
      </c>
      <c r="N107" s="130">
        <f>IFERROR(__xludf.DUMMYFUNCTION("""COMPUTED_VALUE"""),0.0)</f>
        <v>0</v>
      </c>
      <c r="O107" s="130">
        <f>IFERROR(__xludf.DUMMYFUNCTION("""COMPUTED_VALUE"""),0.0)</f>
        <v>0</v>
      </c>
      <c r="P107" s="130">
        <f>IFERROR(__xludf.DUMMYFUNCTION("""COMPUTED_VALUE"""),0.0)</f>
        <v>0</v>
      </c>
      <c r="Q107" s="130">
        <f>IFERROR(__xludf.DUMMYFUNCTION("""COMPUTED_VALUE"""),0.0)</f>
        <v>0</v>
      </c>
      <c r="R107" s="129">
        <f>IFERROR(__xludf.DUMMYFUNCTION("""COMPUTED_VALUE"""),0.0)</f>
        <v>0</v>
      </c>
      <c r="S107" s="129">
        <f>IFERROR(__xludf.DUMMYFUNCTION("""COMPUTED_VALUE"""),0.0)</f>
        <v>0</v>
      </c>
      <c r="T107" s="129">
        <f>IFERROR(__xludf.DUMMYFUNCTION("""COMPUTED_VALUE"""),0.0)</f>
        <v>0</v>
      </c>
      <c r="U107" s="129">
        <f>IFERROR(__xludf.DUMMYFUNCTION("""COMPUTED_VALUE"""),0.0)</f>
        <v>0</v>
      </c>
      <c r="V107" s="129">
        <f>IFERROR(__xludf.DUMMYFUNCTION("""COMPUTED_VALUE"""),0.0)</f>
        <v>0</v>
      </c>
      <c r="W107" s="126" t="str">
        <f>IFERROR(__xludf.DUMMYFUNCTION("""COMPUTED_VALUE"""),"Yes")</f>
        <v>Yes</v>
      </c>
      <c r="X107" s="126" t="str">
        <f>IFERROR(__xludf.DUMMYFUNCTION("""COMPUTED_VALUE"""),"Yes")</f>
        <v>Yes</v>
      </c>
      <c r="Y107" s="126" t="str">
        <f>IFERROR(__xludf.DUMMYFUNCTION("""COMPUTED_VALUE"""),"F")</f>
        <v>F</v>
      </c>
      <c r="Z107" s="126" t="str">
        <f>IFERROR(__xludf.DUMMYFUNCTION("""COMPUTED_VALUE"""),"energy-aware algorithms")</f>
        <v>energy-aware algorithms</v>
      </c>
      <c r="AA107" s="126"/>
      <c r="AB107" s="126"/>
      <c r="AC107" s="126"/>
      <c r="AD107" s="126"/>
      <c r="AE107" s="126"/>
      <c r="AF107" s="126"/>
      <c r="AG107" s="126"/>
      <c r="AH107" s="126"/>
      <c r="AI107" s="126"/>
      <c r="AJ107" s="126"/>
    </row>
    <row r="108">
      <c r="A108" s="126">
        <f>IFERROR(__xludf.DUMMYFUNCTION("""COMPUTED_VALUE"""),209.0)</f>
        <v>209</v>
      </c>
      <c r="B108" s="126" t="str">
        <f>IFERROR(__xludf.DUMMYFUNCTION("""COMPUTED_VALUE"""),"Interference of billing and scheduling strategies for energy and cost savings in modern data centers")</f>
        <v>Interference of billing and scheduling strategies for energy and cost savings in modern data centers</v>
      </c>
      <c r="C108" s="127" t="str">
        <f>IFERROR(__xludf.DUMMYFUNCTION("""COMPUTED_VALUE"""),"https://www.sciencedirect.com/science/article/pii/S221053791830297X")</f>
        <v>https://www.sciencedirect.com/science/article/pii/S221053791830297X</v>
      </c>
      <c r="D108" s="126" t="str">
        <f>IFERROR(__xludf.DUMMYFUNCTION("""COMPUTED_VALUE"""),"JM Kunkel, H Shoukourian, MR Heidari…")</f>
        <v>JM Kunkel, H Shoukourian, MR Heidari…</v>
      </c>
      <c r="E108" s="126" t="str">
        <f>IFERROR(__xludf.DUMMYFUNCTION("""COMPUTED_VALUE"""),"Elsevier")</f>
        <v>Elsevier</v>
      </c>
      <c r="F108" s="126" t="str">
        <f>IFERROR(__xludf.DUMMYFUNCTION("""COMPUTED_VALUE"""),"Elsevier")</f>
        <v>Elsevier</v>
      </c>
      <c r="G108" s="128" t="str">
        <f>IFERROR(__xludf.DUMMYFUNCTION("""COMPUTED_VALUE"""),"J")</f>
        <v>J</v>
      </c>
      <c r="H108" s="129">
        <f>IFERROR(__xludf.DUMMYFUNCTION("""COMPUTED_VALUE"""),2019.0)</f>
        <v>2019</v>
      </c>
      <c r="I108" s="129">
        <f>IFERROR(__xludf.DUMMYFUNCTION("""COMPUTED_VALUE"""),0.0)</f>
        <v>0</v>
      </c>
      <c r="J108" s="129">
        <f>IFERROR(__xludf.DUMMYFUNCTION("""COMPUTED_VALUE"""),1.0)</f>
        <v>1</v>
      </c>
      <c r="K108" s="130">
        <f>IFERROR(__xludf.DUMMYFUNCTION("""COMPUTED_VALUE"""),1.0)</f>
        <v>1</v>
      </c>
      <c r="L108" s="129"/>
      <c r="M108" s="130">
        <f>IFERROR(__xludf.DUMMYFUNCTION("""COMPUTED_VALUE"""),1.0)</f>
        <v>1</v>
      </c>
      <c r="N108" s="130">
        <f>IFERROR(__xludf.DUMMYFUNCTION("""COMPUTED_VALUE"""),0.0)</f>
        <v>0</v>
      </c>
      <c r="O108" s="130">
        <f>IFERROR(__xludf.DUMMYFUNCTION("""COMPUTED_VALUE"""),0.0)</f>
        <v>0</v>
      </c>
      <c r="P108" s="130">
        <f>IFERROR(__xludf.DUMMYFUNCTION("""COMPUTED_VALUE"""),0.0)</f>
        <v>0</v>
      </c>
      <c r="Q108" s="130">
        <f>IFERROR(__xludf.DUMMYFUNCTION("""COMPUTED_VALUE"""),0.0)</f>
        <v>0</v>
      </c>
      <c r="R108" s="130">
        <f>IFERROR(__xludf.DUMMYFUNCTION("""COMPUTED_VALUE"""),0.0)</f>
        <v>0</v>
      </c>
      <c r="S108" s="130">
        <f>IFERROR(__xludf.DUMMYFUNCTION("""COMPUTED_VALUE"""),0.0)</f>
        <v>0</v>
      </c>
      <c r="T108" s="130">
        <f>IFERROR(__xludf.DUMMYFUNCTION("""COMPUTED_VALUE"""),0.0)</f>
        <v>0</v>
      </c>
      <c r="U108" s="130">
        <f>IFERROR(__xludf.DUMMYFUNCTION("""COMPUTED_VALUE"""),0.0)</f>
        <v>0</v>
      </c>
      <c r="V108" s="130">
        <f>IFERROR(__xludf.DUMMYFUNCTION("""COMPUTED_VALUE"""),0.0)</f>
        <v>0</v>
      </c>
      <c r="W108" s="131" t="str">
        <f>IFERROR(__xludf.DUMMYFUNCTION("""COMPUTED_VALUE"""),"No")</f>
        <v>No</v>
      </c>
      <c r="X108" s="131" t="str">
        <f>IFERROR(__xludf.DUMMYFUNCTION("""COMPUTED_VALUE"""),"Yes")</f>
        <v>Yes</v>
      </c>
      <c r="Y108" s="131" t="str">
        <f>IFERROR(__xludf.DUMMYFUNCTION("""COMPUTED_VALUE"""),"F")</f>
        <v>F</v>
      </c>
      <c r="Z108" s="131" t="str">
        <f>IFERROR(__xludf.DUMMYFUNCTION("""COMPUTED_VALUE"""),"focuses on saving energy costs ")</f>
        <v>focuses on saving energy costs </v>
      </c>
      <c r="AA108" s="131"/>
      <c r="AB108" s="131"/>
      <c r="AC108" s="131"/>
      <c r="AD108" s="131"/>
      <c r="AE108" s="131"/>
      <c r="AF108" s="131"/>
      <c r="AG108" s="131"/>
      <c r="AH108" s="131"/>
      <c r="AI108" s="131"/>
      <c r="AJ108" s="131"/>
    </row>
    <row r="109">
      <c r="A109" s="126">
        <f>IFERROR(__xludf.DUMMYFUNCTION("""COMPUTED_VALUE"""),211.0)</f>
        <v>211</v>
      </c>
      <c r="B109" s="126" t="str">
        <f>IFERROR(__xludf.DUMMYFUNCTION("""COMPUTED_VALUE"""),"Energy Optimization for Software-Defined Data Center Networks Based on Flow Allocation Strategies")</f>
        <v>Energy Optimization for Software-Defined Data Center Networks Based on Flow Allocation Strategies</v>
      </c>
      <c r="C109" s="127" t="str">
        <f>IFERROR(__xludf.DUMMYFUNCTION("""COMPUTED_VALUE"""),"https://www.mdpi.com/2079-9292/8/9/1014")</f>
        <v>https://www.mdpi.com/2079-9292/8/9/1014</v>
      </c>
      <c r="D109" s="126" t="str">
        <f>IFERROR(__xludf.DUMMYFUNCTION("""COMPUTED_VALUE"""),"Z Lu, J Lei, Y He, Z Li, S Deng, X Gao")</f>
        <v>Z Lu, J Lei, Y He, Z Li, S Deng, X Gao</v>
      </c>
      <c r="E109" s="126" t="str">
        <f>IFERROR(__xludf.DUMMYFUNCTION("""COMPUTED_VALUE"""),"Multidisciplinary Digital Publishing Institute")</f>
        <v>Multidisciplinary Digital Publishing Institute</v>
      </c>
      <c r="F109" s="126" t="str">
        <f>IFERROR(__xludf.DUMMYFUNCTION("""COMPUTED_VALUE"""),"MDPI")</f>
        <v>MDPI</v>
      </c>
      <c r="G109" s="128" t="str">
        <f>IFERROR(__xludf.DUMMYFUNCTION("""COMPUTED_VALUE"""),"J")</f>
        <v>J</v>
      </c>
      <c r="H109" s="130">
        <f>IFERROR(__xludf.DUMMYFUNCTION("""COMPUTED_VALUE"""),2019.0)</f>
        <v>2019</v>
      </c>
      <c r="I109" s="130">
        <f>IFERROR(__xludf.DUMMYFUNCTION("""COMPUTED_VALUE"""),1.0)</f>
        <v>1</v>
      </c>
      <c r="J109" s="130">
        <f>IFERROR(__xludf.DUMMYFUNCTION("""COMPUTED_VALUE"""),1.0)</f>
        <v>1</v>
      </c>
      <c r="K109" s="130">
        <f>IFERROR(__xludf.DUMMYFUNCTION("""COMPUTED_VALUE"""),1.0)</f>
        <v>1</v>
      </c>
      <c r="L109" s="129">
        <f>IFERROR(__xludf.DUMMYFUNCTION("""COMPUTED_VALUE"""),1.0)</f>
        <v>1</v>
      </c>
      <c r="M109" s="130">
        <f>IFERROR(__xludf.DUMMYFUNCTION("""COMPUTED_VALUE"""),1.0)</f>
        <v>1</v>
      </c>
      <c r="N109" s="130">
        <f>IFERROR(__xludf.DUMMYFUNCTION("""COMPUTED_VALUE"""),0.0)</f>
        <v>0</v>
      </c>
      <c r="O109" s="130">
        <f>IFERROR(__xludf.DUMMYFUNCTION("""COMPUTED_VALUE"""),0.0)</f>
        <v>0</v>
      </c>
      <c r="P109" s="130">
        <f>IFERROR(__xludf.DUMMYFUNCTION("""COMPUTED_VALUE"""),0.0)</f>
        <v>0</v>
      </c>
      <c r="Q109" s="130">
        <f>IFERROR(__xludf.DUMMYFUNCTION("""COMPUTED_VALUE"""),0.0)</f>
        <v>0</v>
      </c>
      <c r="R109" s="130">
        <f>IFERROR(__xludf.DUMMYFUNCTION("""COMPUTED_VALUE"""),0.0)</f>
        <v>0</v>
      </c>
      <c r="S109" s="130">
        <f>IFERROR(__xludf.DUMMYFUNCTION("""COMPUTED_VALUE"""),0.0)</f>
        <v>0</v>
      </c>
      <c r="T109" s="130">
        <f>IFERROR(__xludf.DUMMYFUNCTION("""COMPUTED_VALUE"""),0.0)</f>
        <v>0</v>
      </c>
      <c r="U109" s="130">
        <f>IFERROR(__xludf.DUMMYFUNCTION("""COMPUTED_VALUE"""),0.0)</f>
        <v>0</v>
      </c>
      <c r="V109" s="130">
        <f>IFERROR(__xludf.DUMMYFUNCTION("""COMPUTED_VALUE"""),0.0)</f>
        <v>0</v>
      </c>
      <c r="W109" s="131" t="str">
        <f>IFERROR(__xludf.DUMMYFUNCTION("""COMPUTED_VALUE"""),"Yes")</f>
        <v>Yes</v>
      </c>
      <c r="X109" s="131" t="str">
        <f>IFERROR(__xludf.DUMMYFUNCTION("""COMPUTED_VALUE"""),"Yes")</f>
        <v>Yes</v>
      </c>
      <c r="Y109" s="131" t="str">
        <f>IFERROR(__xludf.DUMMYFUNCTION("""COMPUTED_VALUE"""),"F")</f>
        <v>F</v>
      </c>
      <c r="Z109" s="131" t="str">
        <f>IFERROR(__xludf.DUMMYFUNCTION("""COMPUTED_VALUE"""),"flow allocation strategy")</f>
        <v>flow allocation strategy</v>
      </c>
      <c r="AA109" s="131"/>
      <c r="AB109" s="131"/>
      <c r="AC109" s="131"/>
      <c r="AD109" s="131"/>
      <c r="AE109" s="131"/>
      <c r="AF109" s="131"/>
      <c r="AG109" s="131"/>
      <c r="AH109" s="131"/>
      <c r="AI109" s="131"/>
      <c r="AJ109" s="131"/>
    </row>
    <row r="110">
      <c r="A110" s="126">
        <f>IFERROR(__xludf.DUMMYFUNCTION("""COMPUTED_VALUE"""),213.0)</f>
        <v>213</v>
      </c>
      <c r="B110" s="126" t="str">
        <f>IFERROR(__xludf.DUMMYFUNCTION("""COMPUTED_VALUE"""),"A proposed energy and performance aware cloud framework for improving service level agreements (SLAs) in cloud datacenters")</f>
        <v>A proposed energy and performance aware cloud framework for improving service level agreements (SLAs) in cloud datacenters</v>
      </c>
      <c r="C110" s="127" t="str">
        <f>IFERROR(__xludf.DUMMYFUNCTION("""COMPUTED_VALUE"""),"https://strathprints.strath.ac.uk/id/eprint/65612")</f>
        <v>https://strathprints.strath.ac.uk/id/eprint/65612</v>
      </c>
      <c r="D110" s="131" t="str">
        <f>IFERROR(__xludf.DUMMYFUNCTION("""COMPUTED_VALUE"""),"AAH Al-Mahruqi, V Athinarayanana…")</f>
        <v>AAH Al-Mahruqi, V Athinarayanana…</v>
      </c>
      <c r="E110" s="131" t="str">
        <f>IFERROR(__xludf.DUMMYFUNCTION("""COMPUTED_VALUE"""),"International Journal of Applied Engineering Research")</f>
        <v>International Journal of Applied Engineering Research</v>
      </c>
      <c r="F110" s="126" t="str">
        <f>IFERROR(__xludf.DUMMYFUNCTION("""COMPUTED_VALUE"""),"IJAER")</f>
        <v>IJAER</v>
      </c>
      <c r="G110" s="128" t="str">
        <f>IFERROR(__xludf.DUMMYFUNCTION("""COMPUTED_VALUE"""),"J")</f>
        <v>J</v>
      </c>
      <c r="H110" s="130">
        <f>IFERROR(__xludf.DUMMYFUNCTION("""COMPUTED_VALUE"""),2018.0)</f>
        <v>2018</v>
      </c>
      <c r="I110" s="130">
        <f>IFERROR(__xludf.DUMMYFUNCTION("""COMPUTED_VALUE"""),1.0)</f>
        <v>1</v>
      </c>
      <c r="J110" s="130">
        <f>IFERROR(__xludf.DUMMYFUNCTION("""COMPUTED_VALUE"""),1.0)</f>
        <v>1</v>
      </c>
      <c r="K110" s="130">
        <f>IFERROR(__xludf.DUMMYFUNCTION("""COMPUTED_VALUE"""),1.0)</f>
        <v>1</v>
      </c>
      <c r="L110" s="129">
        <f>IFERROR(__xludf.DUMMYFUNCTION("""COMPUTED_VALUE"""),1.0)</f>
        <v>1</v>
      </c>
      <c r="M110" s="130">
        <f>IFERROR(__xludf.DUMMYFUNCTION("""COMPUTED_VALUE"""),1.0)</f>
        <v>1</v>
      </c>
      <c r="N110" s="130">
        <f>IFERROR(__xludf.DUMMYFUNCTION("""COMPUTED_VALUE"""),0.0)</f>
        <v>0</v>
      </c>
      <c r="O110" s="130">
        <f>IFERROR(__xludf.DUMMYFUNCTION("""COMPUTED_VALUE"""),0.0)</f>
        <v>0</v>
      </c>
      <c r="P110" s="130">
        <f>IFERROR(__xludf.DUMMYFUNCTION("""COMPUTED_VALUE"""),0.0)</f>
        <v>0</v>
      </c>
      <c r="Q110" s="130">
        <f>IFERROR(__xludf.DUMMYFUNCTION("""COMPUTED_VALUE"""),0.0)</f>
        <v>0</v>
      </c>
      <c r="R110" s="130">
        <f>IFERROR(__xludf.DUMMYFUNCTION("""COMPUTED_VALUE"""),0.0)</f>
        <v>0</v>
      </c>
      <c r="S110" s="130">
        <f>IFERROR(__xludf.DUMMYFUNCTION("""COMPUTED_VALUE"""),0.0)</f>
        <v>0</v>
      </c>
      <c r="T110" s="130">
        <f>IFERROR(__xludf.DUMMYFUNCTION("""COMPUTED_VALUE"""),0.0)</f>
        <v>0</v>
      </c>
      <c r="U110" s="130">
        <f>IFERROR(__xludf.DUMMYFUNCTION("""COMPUTED_VALUE"""),0.0)</f>
        <v>0</v>
      </c>
      <c r="V110" s="130">
        <f>IFERROR(__xludf.DUMMYFUNCTION("""COMPUTED_VALUE"""),0.0)</f>
        <v>0</v>
      </c>
      <c r="W110" s="131" t="str">
        <f>IFERROR(__xludf.DUMMYFUNCTION("""COMPUTED_VALUE"""),"Yes")</f>
        <v>Yes</v>
      </c>
      <c r="X110" s="131" t="str">
        <f>IFERROR(__xludf.DUMMYFUNCTION("""COMPUTED_VALUE"""),"Yes")</f>
        <v>Yes</v>
      </c>
      <c r="Y110" s="131" t="str">
        <f>IFERROR(__xludf.DUMMYFUNCTION("""COMPUTED_VALUE"""),"C")</f>
        <v>C</v>
      </c>
      <c r="Z110" s="131" t="str">
        <f>IFERROR(__xludf.DUMMYFUNCTION("""COMPUTED_VALUE"""),"SLA Framework")</f>
        <v>SLA Framework</v>
      </c>
      <c r="AA110" s="131"/>
      <c r="AB110" s="131"/>
      <c r="AC110" s="131"/>
      <c r="AD110" s="131"/>
      <c r="AE110" s="131"/>
      <c r="AF110" s="131"/>
      <c r="AG110" s="131"/>
      <c r="AH110" s="131"/>
      <c r="AI110" s="131"/>
      <c r="AJ110" s="131"/>
    </row>
    <row r="111">
      <c r="A111" s="126">
        <f>IFERROR(__xludf.DUMMYFUNCTION("""COMPUTED_VALUE"""),214.0)</f>
        <v>214</v>
      </c>
      <c r="B111" s="126" t="str">
        <f>IFERROR(__xludf.DUMMYFUNCTION("""COMPUTED_VALUE"""),"A reliable energy-aware approach for dynamic virtual machine consolidation in cloud data centers")</f>
        <v>A reliable energy-aware approach for dynamic virtual machine consolidation in cloud data centers</v>
      </c>
      <c r="C111" s="127" t="str">
        <f>IFERROR(__xludf.DUMMYFUNCTION("""COMPUTED_VALUE"""),"https://link.springer.com/article/10.1007/s11227-018-2709-7")</f>
        <v>https://link.springer.com/article/10.1007/s11227-018-2709-7</v>
      </c>
      <c r="D111" s="126" t="str">
        <f>IFERROR(__xludf.DUMMYFUNCTION("""COMPUTED_VALUE"""),"MH Sayadnavard, AT Haghighat…")</f>
        <v>MH Sayadnavard, AT Haghighat…</v>
      </c>
      <c r="E111" s="126" t="str">
        <f>IFERROR(__xludf.DUMMYFUNCTION("""COMPUTED_VALUE"""),"Springer")</f>
        <v>Springer</v>
      </c>
      <c r="F111" s="126" t="str">
        <f>IFERROR(__xludf.DUMMYFUNCTION("""COMPUTED_VALUE"""),"Springer")</f>
        <v>Springer</v>
      </c>
      <c r="G111" s="132" t="str">
        <f>IFERROR(__xludf.DUMMYFUNCTION("""COMPUTED_VALUE"""),"J")</f>
        <v>J</v>
      </c>
      <c r="H111" s="129">
        <f>IFERROR(__xludf.DUMMYFUNCTION("""COMPUTED_VALUE"""),2019.0)</f>
        <v>2019</v>
      </c>
      <c r="I111" s="129">
        <f>IFERROR(__xludf.DUMMYFUNCTION("""COMPUTED_VALUE"""),1.0)</f>
        <v>1</v>
      </c>
      <c r="J111" s="129">
        <f>IFERROR(__xludf.DUMMYFUNCTION("""COMPUTED_VALUE"""),1.0)</f>
        <v>1</v>
      </c>
      <c r="K111" s="130">
        <f>IFERROR(__xludf.DUMMYFUNCTION("""COMPUTED_VALUE"""),1.0)</f>
        <v>1</v>
      </c>
      <c r="L111" s="130">
        <f>IFERROR(__xludf.DUMMYFUNCTION("""COMPUTED_VALUE"""),1.0)</f>
        <v>1</v>
      </c>
      <c r="M111" s="130">
        <f>IFERROR(__xludf.DUMMYFUNCTION("""COMPUTED_VALUE"""),1.0)</f>
        <v>1</v>
      </c>
      <c r="N111" s="130">
        <f>IFERROR(__xludf.DUMMYFUNCTION("""COMPUTED_VALUE"""),0.0)</f>
        <v>0</v>
      </c>
      <c r="O111" s="130">
        <f>IFERROR(__xludf.DUMMYFUNCTION("""COMPUTED_VALUE"""),0.0)</f>
        <v>0</v>
      </c>
      <c r="P111" s="130">
        <f>IFERROR(__xludf.DUMMYFUNCTION("""COMPUTED_VALUE"""),0.0)</f>
        <v>0</v>
      </c>
      <c r="Q111" s="129">
        <f>IFERROR(__xludf.DUMMYFUNCTION("""COMPUTED_VALUE"""),0.0)</f>
        <v>0</v>
      </c>
      <c r="R111" s="129">
        <f>IFERROR(__xludf.DUMMYFUNCTION("""COMPUTED_VALUE"""),0.0)</f>
        <v>0</v>
      </c>
      <c r="S111" s="129">
        <f>IFERROR(__xludf.DUMMYFUNCTION("""COMPUTED_VALUE"""),0.0)</f>
        <v>0</v>
      </c>
      <c r="T111" s="129">
        <f>IFERROR(__xludf.DUMMYFUNCTION("""COMPUTED_VALUE"""),0.0)</f>
        <v>0</v>
      </c>
      <c r="U111" s="129">
        <f>IFERROR(__xludf.DUMMYFUNCTION("""COMPUTED_VALUE"""),0.0)</f>
        <v>0</v>
      </c>
      <c r="V111" s="129">
        <f>IFERROR(__xludf.DUMMYFUNCTION("""COMPUTED_VALUE"""),0.0)</f>
        <v>0</v>
      </c>
      <c r="W111" s="126" t="str">
        <f>IFERROR(__xludf.DUMMYFUNCTION("""COMPUTED_VALUE"""),"Yes")</f>
        <v>Yes</v>
      </c>
      <c r="X111" s="126" t="str">
        <f>IFERROR(__xludf.DUMMYFUNCTION("""COMPUTED_VALUE"""),"Yes")</f>
        <v>Yes</v>
      </c>
      <c r="Y111" s="126" t="str">
        <f>IFERROR(__xludf.DUMMYFUNCTION("""COMPUTED_VALUE"""),"C")</f>
        <v>C</v>
      </c>
      <c r="Z111" s="126" t="str">
        <f>IFERROR(__xludf.DUMMYFUNCTION("""COMPUTED_VALUE"""),"vm consolidation")</f>
        <v>vm consolidation</v>
      </c>
      <c r="AA111" s="126"/>
      <c r="AB111" s="126"/>
      <c r="AC111" s="126"/>
      <c r="AD111" s="126"/>
      <c r="AE111" s="126"/>
      <c r="AF111" s="126"/>
      <c r="AG111" s="126"/>
      <c r="AH111" s="126"/>
      <c r="AI111" s="126"/>
      <c r="AJ111" s="126"/>
    </row>
    <row r="112">
      <c r="A112" s="126">
        <f>IFERROR(__xludf.DUMMYFUNCTION("""COMPUTED_VALUE"""),218.0)</f>
        <v>218</v>
      </c>
      <c r="B112" s="126" t="str">
        <f>IFERROR(__xludf.DUMMYFUNCTION("""COMPUTED_VALUE"""),"On Optimizing the Energy Consumption of Urban Data Centers")</f>
        <v>On Optimizing the Energy Consumption of Urban Data Centers</v>
      </c>
      <c r="C112" s="127" t="str">
        <f>IFERROR(__xludf.DUMMYFUNCTION("""COMPUTED_VALUE"""),"https://link.springer.com/chapter/10.1007/978-3-319-92792-3_12")</f>
        <v>https://link.springer.com/chapter/10.1007/978-3-319-92792-3_12</v>
      </c>
      <c r="D112" s="126" t="str">
        <f>IFERROR(__xludf.DUMMYFUNCTION("""COMPUTED_VALUE"""),"AC Voulkidis, TH Velivassaki, T Zahariadis")</f>
        <v>AC Voulkidis, TH Velivassaki, T Zahariadis</v>
      </c>
      <c r="E112" s="126" t="str">
        <f>IFERROR(__xludf.DUMMYFUNCTION("""COMPUTED_VALUE"""),"Springer")</f>
        <v>Springer</v>
      </c>
      <c r="F112" s="126" t="str">
        <f>IFERROR(__xludf.DUMMYFUNCTION("""COMPUTED_VALUE"""),"Springer")</f>
        <v>Springer</v>
      </c>
      <c r="G112" s="128"/>
      <c r="H112" s="130">
        <f>IFERROR(__xludf.DUMMYFUNCTION("""COMPUTED_VALUE"""),2019.0)</f>
        <v>2019</v>
      </c>
      <c r="I112" s="130">
        <f>IFERROR(__xludf.DUMMYFUNCTION("""COMPUTED_VALUE"""),1.0)</f>
        <v>1</v>
      </c>
      <c r="J112" s="130"/>
      <c r="K112" s="130"/>
      <c r="L112" s="129">
        <f>IFERROR(__xludf.DUMMYFUNCTION("""COMPUTED_VALUE"""),1.0)</f>
        <v>1</v>
      </c>
      <c r="M112" s="130"/>
      <c r="N112" s="130">
        <f>IFERROR(__xludf.DUMMYFUNCTION("""COMPUTED_VALUE"""),1.0)</f>
        <v>1</v>
      </c>
      <c r="O112" s="130"/>
      <c r="P112" s="130">
        <f>IFERROR(__xludf.DUMMYFUNCTION("""COMPUTED_VALUE"""),0.0)</f>
        <v>0</v>
      </c>
      <c r="Q112" s="130">
        <f>IFERROR(__xludf.DUMMYFUNCTION("""COMPUTED_VALUE"""),0.0)</f>
        <v>0</v>
      </c>
      <c r="R112" s="129">
        <f>IFERROR(__xludf.DUMMYFUNCTION("""COMPUTED_VALUE"""),0.0)</f>
        <v>0</v>
      </c>
      <c r="S112" s="129">
        <f>IFERROR(__xludf.DUMMYFUNCTION("""COMPUTED_VALUE"""),0.0)</f>
        <v>0</v>
      </c>
      <c r="T112" s="129">
        <f>IFERROR(__xludf.DUMMYFUNCTION("""COMPUTED_VALUE"""),0.0)</f>
        <v>0</v>
      </c>
      <c r="U112" s="129">
        <f>IFERROR(__xludf.DUMMYFUNCTION("""COMPUTED_VALUE"""),0.0)</f>
        <v>0</v>
      </c>
      <c r="V112" s="129">
        <f>IFERROR(__xludf.DUMMYFUNCTION("""COMPUTED_VALUE"""),0.0)</f>
        <v>0</v>
      </c>
      <c r="W112" s="126" t="str">
        <f>IFERROR(__xludf.DUMMYFUNCTION("""COMPUTED_VALUE"""),"No")</f>
        <v>No</v>
      </c>
      <c r="X112" s="126" t="str">
        <f>IFERROR(__xludf.DUMMYFUNCTION("""COMPUTED_VALUE"""),"Yes")</f>
        <v>Yes</v>
      </c>
      <c r="Y112" s="126" t="str">
        <f>IFERROR(__xludf.DUMMYFUNCTION("""COMPUTED_VALUE"""),"C")</f>
        <v>C</v>
      </c>
      <c r="Z112" s="126" t="str">
        <f>IFERROR(__xludf.DUMMYFUNCTION("""COMPUTED_VALUE"""),"focus on hardware, book")</f>
        <v>focus on hardware, book</v>
      </c>
      <c r="AA112" s="126"/>
      <c r="AB112" s="126"/>
      <c r="AC112" s="126"/>
      <c r="AD112" s="126"/>
      <c r="AE112" s="126"/>
      <c r="AF112" s="126"/>
      <c r="AG112" s="126"/>
      <c r="AH112" s="126"/>
      <c r="AI112" s="126"/>
      <c r="AJ112" s="126"/>
    </row>
    <row r="113">
      <c r="A113" s="126">
        <f>IFERROR(__xludf.DUMMYFUNCTION("""COMPUTED_VALUE"""),219.0)</f>
        <v>219</v>
      </c>
      <c r="B113" s="126" t="str">
        <f>IFERROR(__xludf.DUMMYFUNCTION("""COMPUTED_VALUE"""),"Memory-aware resource management algorithm for low-energy cloud data centers")</f>
        <v>Memory-aware resource management algorithm for low-energy cloud data centers</v>
      </c>
      <c r="C113" s="127" t="str">
        <f>IFERROR(__xludf.DUMMYFUNCTION("""COMPUTED_VALUE"""),"https://www.sciencedirect.com/science/article/pii/S0167739X20305835")</f>
        <v>https://www.sciencedirect.com/science/article/pii/S0167739X20305835</v>
      </c>
      <c r="D113" s="126" t="str">
        <f>IFERROR(__xludf.DUMMYFUNCTION("""COMPUTED_VALUE"""),"B Liang, X Dong, Y Wang, X Zhang")</f>
        <v>B Liang, X Dong, Y Wang, X Zhang</v>
      </c>
      <c r="E113" s="126" t="str">
        <f>IFERROR(__xludf.DUMMYFUNCTION("""COMPUTED_VALUE"""),"Elsevier")</f>
        <v>Elsevier</v>
      </c>
      <c r="F113" s="126" t="str">
        <f>IFERROR(__xludf.DUMMYFUNCTION("""COMPUTED_VALUE"""),"Elsevier")</f>
        <v>Elsevier</v>
      </c>
      <c r="G113" s="128" t="str">
        <f>IFERROR(__xludf.DUMMYFUNCTION("""COMPUTED_VALUE"""),"J")</f>
        <v>J</v>
      </c>
      <c r="H113" s="130">
        <f>IFERROR(__xludf.DUMMYFUNCTION("""COMPUTED_VALUE"""),2020.0)</f>
        <v>2020</v>
      </c>
      <c r="I113" s="130">
        <f>IFERROR(__xludf.DUMMYFUNCTION("""COMPUTED_VALUE"""),1.0)</f>
        <v>1</v>
      </c>
      <c r="J113" s="130">
        <f>IFERROR(__xludf.DUMMYFUNCTION("""COMPUTED_VALUE"""),1.0)</f>
        <v>1</v>
      </c>
      <c r="K113" s="130">
        <f>IFERROR(__xludf.DUMMYFUNCTION("""COMPUTED_VALUE"""),1.0)</f>
        <v>1</v>
      </c>
      <c r="L113" s="129">
        <f>IFERROR(__xludf.DUMMYFUNCTION("""COMPUTED_VALUE"""),1.0)</f>
        <v>1</v>
      </c>
      <c r="M113" s="130">
        <f>IFERROR(__xludf.DUMMYFUNCTION("""COMPUTED_VALUE"""),1.0)</f>
        <v>1</v>
      </c>
      <c r="N113" s="130">
        <f>IFERROR(__xludf.DUMMYFUNCTION("""COMPUTED_VALUE"""),0.0)</f>
        <v>0</v>
      </c>
      <c r="O113" s="130">
        <f>IFERROR(__xludf.DUMMYFUNCTION("""COMPUTED_VALUE"""),0.0)</f>
        <v>0</v>
      </c>
      <c r="P113" s="130">
        <f>IFERROR(__xludf.DUMMYFUNCTION("""COMPUTED_VALUE"""),0.0)</f>
        <v>0</v>
      </c>
      <c r="Q113" s="130">
        <f>IFERROR(__xludf.DUMMYFUNCTION("""COMPUTED_VALUE"""),0.0)</f>
        <v>0</v>
      </c>
      <c r="R113" s="130">
        <f>IFERROR(__xludf.DUMMYFUNCTION("""COMPUTED_VALUE"""),0.0)</f>
        <v>0</v>
      </c>
      <c r="S113" s="130">
        <f>IFERROR(__xludf.DUMMYFUNCTION("""COMPUTED_VALUE"""),0.0)</f>
        <v>0</v>
      </c>
      <c r="T113" s="130">
        <f>IFERROR(__xludf.DUMMYFUNCTION("""COMPUTED_VALUE"""),0.0)</f>
        <v>0</v>
      </c>
      <c r="U113" s="130">
        <f>IFERROR(__xludf.DUMMYFUNCTION("""COMPUTED_VALUE"""),0.0)</f>
        <v>0</v>
      </c>
      <c r="V113" s="130">
        <f>IFERROR(__xludf.DUMMYFUNCTION("""COMPUTED_VALUE"""),0.0)</f>
        <v>0</v>
      </c>
      <c r="W113" s="131" t="str">
        <f>IFERROR(__xludf.DUMMYFUNCTION("""COMPUTED_VALUE"""),"Yes")</f>
        <v>Yes</v>
      </c>
      <c r="X113" s="131" t="str">
        <f>IFERROR(__xludf.DUMMYFUNCTION("""COMPUTED_VALUE"""),"Yes")</f>
        <v>Yes</v>
      </c>
      <c r="Y113" s="131" t="str">
        <f>IFERROR(__xludf.DUMMYFUNCTION("""COMPUTED_VALUE"""),"C")</f>
        <v>C</v>
      </c>
      <c r="Z113" s="131" t="str">
        <f>IFERROR(__xludf.DUMMYFUNCTION("""COMPUTED_VALUE"""),"memory prioritization")</f>
        <v>memory prioritization</v>
      </c>
      <c r="AA113" s="131"/>
      <c r="AB113" s="131"/>
      <c r="AC113" s="131"/>
      <c r="AD113" s="131"/>
      <c r="AE113" s="131"/>
      <c r="AF113" s="131"/>
      <c r="AG113" s="131"/>
      <c r="AH113" s="131"/>
      <c r="AI113" s="131"/>
      <c r="AJ113" s="131"/>
    </row>
    <row r="114">
      <c r="A114" s="126">
        <f>IFERROR(__xludf.DUMMYFUNCTION("""COMPUTED_VALUE"""),220.0)</f>
        <v>220</v>
      </c>
      <c r="B114" s="126" t="str">
        <f>IFERROR(__xludf.DUMMYFUNCTION("""COMPUTED_VALUE"""),"Improving the energy efficiency of virtual data centers in an IT service provider through proactive fuzzy rules-based multicriteria decision making")</f>
        <v>Improving the energy efficiency of virtual data centers in an IT service provider through proactive fuzzy rules-based multicriteria decision making</v>
      </c>
      <c r="C114" s="127" t="str">
        <f>IFERROR(__xludf.DUMMYFUNCTION("""COMPUTED_VALUE"""),"https://link.springer.com/article/10.1007/s11227-018-2301-1")</f>
        <v>https://link.springer.com/article/10.1007/s11227-018-2301-1</v>
      </c>
      <c r="D114" s="126" t="str">
        <f>IFERROR(__xludf.DUMMYFUNCTION("""COMPUTED_VALUE"""),"A Cocaña-Fernández, J Rodríguez-Soares…")</f>
        <v>A Cocaña-Fernández, J Rodríguez-Soares…</v>
      </c>
      <c r="E114" s="126" t="str">
        <f>IFERROR(__xludf.DUMMYFUNCTION("""COMPUTED_VALUE"""),"Springer")</f>
        <v>Springer</v>
      </c>
      <c r="F114" s="126" t="str">
        <f>IFERROR(__xludf.DUMMYFUNCTION("""COMPUTED_VALUE"""),"Springer")</f>
        <v>Springer</v>
      </c>
      <c r="G114" s="128" t="str">
        <f>IFERROR(__xludf.DUMMYFUNCTION("""COMPUTED_VALUE"""),"J")</f>
        <v>J</v>
      </c>
      <c r="H114" s="130">
        <f>IFERROR(__xludf.DUMMYFUNCTION("""COMPUTED_VALUE"""),2019.0)</f>
        <v>2019</v>
      </c>
      <c r="I114" s="130">
        <f>IFERROR(__xludf.DUMMYFUNCTION("""COMPUTED_VALUE"""),1.0)</f>
        <v>1</v>
      </c>
      <c r="J114" s="130">
        <f>IFERROR(__xludf.DUMMYFUNCTION("""COMPUTED_VALUE"""),1.0)</f>
        <v>1</v>
      </c>
      <c r="K114" s="130">
        <f>IFERROR(__xludf.DUMMYFUNCTION("""COMPUTED_VALUE"""),1.0)</f>
        <v>1</v>
      </c>
      <c r="L114" s="129">
        <f>IFERROR(__xludf.DUMMYFUNCTION("""COMPUTED_VALUE"""),1.0)</f>
        <v>1</v>
      </c>
      <c r="M114" s="130">
        <f>IFERROR(__xludf.DUMMYFUNCTION("""COMPUTED_VALUE"""),1.0)</f>
        <v>1</v>
      </c>
      <c r="N114" s="130">
        <f>IFERROR(__xludf.DUMMYFUNCTION("""COMPUTED_VALUE"""),0.0)</f>
        <v>0</v>
      </c>
      <c r="O114" s="130">
        <f>IFERROR(__xludf.DUMMYFUNCTION("""COMPUTED_VALUE"""),0.0)</f>
        <v>0</v>
      </c>
      <c r="P114" s="130">
        <f>IFERROR(__xludf.DUMMYFUNCTION("""COMPUTED_VALUE"""),0.0)</f>
        <v>0</v>
      </c>
      <c r="Q114" s="130">
        <f>IFERROR(__xludf.DUMMYFUNCTION("""COMPUTED_VALUE"""),0.0)</f>
        <v>0</v>
      </c>
      <c r="R114" s="130">
        <f>IFERROR(__xludf.DUMMYFUNCTION("""COMPUTED_VALUE"""),0.0)</f>
        <v>0</v>
      </c>
      <c r="S114" s="130">
        <f>IFERROR(__xludf.DUMMYFUNCTION("""COMPUTED_VALUE"""),0.0)</f>
        <v>0</v>
      </c>
      <c r="T114" s="130">
        <f>IFERROR(__xludf.DUMMYFUNCTION("""COMPUTED_VALUE"""),0.0)</f>
        <v>0</v>
      </c>
      <c r="U114" s="130">
        <f>IFERROR(__xludf.DUMMYFUNCTION("""COMPUTED_VALUE"""),0.0)</f>
        <v>0</v>
      </c>
      <c r="V114" s="130">
        <f>IFERROR(__xludf.DUMMYFUNCTION("""COMPUTED_VALUE"""),0.0)</f>
        <v>0</v>
      </c>
      <c r="W114" s="131" t="str">
        <f>IFERROR(__xludf.DUMMYFUNCTION("""COMPUTED_VALUE"""),"Yes")</f>
        <v>Yes</v>
      </c>
      <c r="X114" s="131" t="str">
        <f>IFERROR(__xludf.DUMMYFUNCTION("""COMPUTED_VALUE"""),"Yes")</f>
        <v>Yes</v>
      </c>
      <c r="Y114" s="131" t="str">
        <f>IFERROR(__xludf.DUMMYFUNCTION("""COMPUTED_VALUE"""),"C")</f>
        <v>C</v>
      </c>
      <c r="Z114" s="131" t="str">
        <f>IFERROR(__xludf.DUMMYFUNCTION("""COMPUTED_VALUE"""),"reallocation of VM and PM")</f>
        <v>reallocation of VM and PM</v>
      </c>
      <c r="AA114" s="131"/>
      <c r="AB114" s="131"/>
      <c r="AC114" s="131"/>
      <c r="AD114" s="131"/>
      <c r="AE114" s="131"/>
      <c r="AF114" s="131"/>
      <c r="AG114" s="131"/>
      <c r="AH114" s="131"/>
      <c r="AI114" s="131"/>
      <c r="AJ114" s="131"/>
    </row>
    <row r="115">
      <c r="A115" s="126">
        <f>IFERROR(__xludf.DUMMYFUNCTION("""COMPUTED_VALUE"""),222.0)</f>
        <v>222</v>
      </c>
      <c r="B115" s="126" t="str">
        <f>IFERROR(__xludf.DUMMYFUNCTION("""COMPUTED_VALUE"""),"ETAS: Energy and thermal‐aware dynamic virtual machine consolidation in cloud data center with proactive hotspot mitigation")</f>
        <v>ETAS: Energy and thermal‐aware dynamic virtual machine consolidation in cloud data center with proactive hotspot mitigation</v>
      </c>
      <c r="C115" s="127" t="str">
        <f>IFERROR(__xludf.DUMMYFUNCTION("""COMPUTED_VALUE"""),"https://onlinelibrary.wiley.com/doi/abs/10.1002/cpe.5221")</f>
        <v>https://onlinelibrary.wiley.com/doi/abs/10.1002/cpe.5221</v>
      </c>
      <c r="D115" s="131" t="str">
        <f>IFERROR(__xludf.DUMMYFUNCTION("""COMPUTED_VALUE"""),"S Ilager, K Ramamohanarao…")</f>
        <v>S Ilager, K Ramamohanarao…</v>
      </c>
      <c r="E115" s="131" t="str">
        <f>IFERROR(__xludf.DUMMYFUNCTION("""COMPUTED_VALUE"""),"Wiley Online Library")</f>
        <v>Wiley Online Library</v>
      </c>
      <c r="F115" s="126" t="str">
        <f>IFERROR(__xludf.DUMMYFUNCTION("""COMPUTED_VALUE"""),"Wiley")</f>
        <v>Wiley</v>
      </c>
      <c r="G115" s="128" t="str">
        <f>IFERROR(__xludf.DUMMYFUNCTION("""COMPUTED_VALUE"""),"J")</f>
        <v>J</v>
      </c>
      <c r="H115" s="130">
        <f>IFERROR(__xludf.DUMMYFUNCTION("""COMPUTED_VALUE"""),2019.0)</f>
        <v>2019</v>
      </c>
      <c r="I115" s="129">
        <f>IFERROR(__xludf.DUMMYFUNCTION("""COMPUTED_VALUE"""),1.0)</f>
        <v>1</v>
      </c>
      <c r="J115" s="130">
        <f>IFERROR(__xludf.DUMMYFUNCTION("""COMPUTED_VALUE"""),1.0)</f>
        <v>1</v>
      </c>
      <c r="K115" s="130">
        <f>IFERROR(__xludf.DUMMYFUNCTION("""COMPUTED_VALUE"""),1.0)</f>
        <v>1</v>
      </c>
      <c r="L115" s="129">
        <f>IFERROR(__xludf.DUMMYFUNCTION("""COMPUTED_VALUE"""),1.0)</f>
        <v>1</v>
      </c>
      <c r="M115" s="130">
        <f>IFERROR(__xludf.DUMMYFUNCTION("""COMPUTED_VALUE"""),1.0)</f>
        <v>1</v>
      </c>
      <c r="N115" s="130">
        <f>IFERROR(__xludf.DUMMYFUNCTION("""COMPUTED_VALUE"""),0.0)</f>
        <v>0</v>
      </c>
      <c r="O115" s="130">
        <f>IFERROR(__xludf.DUMMYFUNCTION("""COMPUTED_VALUE"""),0.0)</f>
        <v>0</v>
      </c>
      <c r="P115" s="130">
        <f>IFERROR(__xludf.DUMMYFUNCTION("""COMPUTED_VALUE"""),0.0)</f>
        <v>0</v>
      </c>
      <c r="Q115" s="130">
        <f>IFERROR(__xludf.DUMMYFUNCTION("""COMPUTED_VALUE"""),0.0)</f>
        <v>0</v>
      </c>
      <c r="R115" s="129">
        <f>IFERROR(__xludf.DUMMYFUNCTION("""COMPUTED_VALUE"""),0.0)</f>
        <v>0</v>
      </c>
      <c r="S115" s="129">
        <f>IFERROR(__xludf.DUMMYFUNCTION("""COMPUTED_VALUE"""),0.0)</f>
        <v>0</v>
      </c>
      <c r="T115" s="129">
        <f>IFERROR(__xludf.DUMMYFUNCTION("""COMPUTED_VALUE"""),0.0)</f>
        <v>0</v>
      </c>
      <c r="U115" s="129">
        <f>IFERROR(__xludf.DUMMYFUNCTION("""COMPUTED_VALUE"""),0.0)</f>
        <v>0</v>
      </c>
      <c r="V115" s="129">
        <f>IFERROR(__xludf.DUMMYFUNCTION("""COMPUTED_VALUE"""),0.0)</f>
        <v>0</v>
      </c>
      <c r="W115" s="126" t="str">
        <f>IFERROR(__xludf.DUMMYFUNCTION("""COMPUTED_VALUE"""),"Yes")</f>
        <v>Yes</v>
      </c>
      <c r="X115" s="126" t="str">
        <f>IFERROR(__xludf.DUMMYFUNCTION("""COMPUTED_VALUE"""),"Yes")</f>
        <v>Yes</v>
      </c>
      <c r="Y115" s="126" t="str">
        <f>IFERROR(__xludf.DUMMYFUNCTION("""COMPUTED_VALUE"""),"C")</f>
        <v>C</v>
      </c>
      <c r="Z115" s="126"/>
      <c r="AA115" s="126"/>
      <c r="AB115" s="126"/>
      <c r="AC115" s="126"/>
      <c r="AD115" s="126"/>
      <c r="AE115" s="126"/>
      <c r="AF115" s="126"/>
      <c r="AG115" s="126"/>
      <c r="AH115" s="126"/>
      <c r="AI115" s="126"/>
      <c r="AJ115" s="126"/>
    </row>
    <row r="116">
      <c r="A116" s="126">
        <f>IFERROR(__xludf.DUMMYFUNCTION("""COMPUTED_VALUE"""),223.0)</f>
        <v>223</v>
      </c>
      <c r="B116" s="126" t="str">
        <f>IFERROR(__xludf.DUMMYFUNCTION("""COMPUTED_VALUE"""),"Energy efficient data center resources management using beam search algorithm")</f>
        <v>Energy efficient data center resources management using beam search algorithm</v>
      </c>
      <c r="C116" s="127" t="str">
        <f>IFERROR(__xludf.DUMMYFUNCTION("""COMPUTED_VALUE"""),"https://content.sciendo.com/view/journals/techtrans/11/4/article-p127.xml")</f>
        <v>https://content.sciendo.com/view/journals/techtrans/11/4/article-p127.xml</v>
      </c>
      <c r="D116" s="126" t="str">
        <f>IFERROR(__xludf.DUMMYFUNCTION("""COMPUTED_VALUE"""),"S Telenyk, O Rolik, E Zharikov…")</f>
        <v>S Telenyk, O Rolik, E Zharikov…</v>
      </c>
      <c r="E116" s="127" t="str">
        <f>IFERROR(__xludf.DUMMYFUNCTION("""COMPUTED_VALUE"""),"content.sciendo.com")</f>
        <v>content.sciendo.com</v>
      </c>
      <c r="F116" s="127" t="str">
        <f>IFERROR(__xludf.DUMMYFUNCTION("""COMPUTED_VALUE"""),"content.sciendo.com")</f>
        <v>content.sciendo.com</v>
      </c>
      <c r="G116" s="132"/>
      <c r="H116" s="129">
        <f>IFERROR(__xludf.DUMMYFUNCTION("""COMPUTED_VALUE"""),2018.0)</f>
        <v>2018</v>
      </c>
      <c r="I116" s="129">
        <f>IFERROR(__xludf.DUMMYFUNCTION("""COMPUTED_VALUE"""),1.0)</f>
        <v>1</v>
      </c>
      <c r="J116" s="129">
        <f>IFERROR(__xludf.DUMMYFUNCTION("""COMPUTED_VALUE"""),1.0)</f>
        <v>1</v>
      </c>
      <c r="K116" s="130">
        <f>IFERROR(__xludf.DUMMYFUNCTION("""COMPUTED_VALUE"""),1.0)</f>
        <v>1</v>
      </c>
      <c r="L116" s="130">
        <f>IFERROR(__xludf.DUMMYFUNCTION("""COMPUTED_VALUE"""),1.0)</f>
        <v>1</v>
      </c>
      <c r="M116" s="130">
        <f>IFERROR(__xludf.DUMMYFUNCTION("""COMPUTED_VALUE"""),1.0)</f>
        <v>1</v>
      </c>
      <c r="N116" s="130">
        <f>IFERROR(__xludf.DUMMYFUNCTION("""COMPUTED_VALUE"""),0.0)</f>
        <v>0</v>
      </c>
      <c r="O116" s="130">
        <f>IFERROR(__xludf.DUMMYFUNCTION("""COMPUTED_VALUE"""),0.0)</f>
        <v>0</v>
      </c>
      <c r="P116" s="130">
        <f>IFERROR(__xludf.DUMMYFUNCTION("""COMPUTED_VALUE"""),0.0)</f>
        <v>0</v>
      </c>
      <c r="Q116" s="129">
        <f>IFERROR(__xludf.DUMMYFUNCTION("""COMPUTED_VALUE"""),0.0)</f>
        <v>0</v>
      </c>
      <c r="R116" s="129">
        <f>IFERROR(__xludf.DUMMYFUNCTION("""COMPUTED_VALUE"""),0.0)</f>
        <v>0</v>
      </c>
      <c r="S116" s="129">
        <f>IFERROR(__xludf.DUMMYFUNCTION("""COMPUTED_VALUE"""),0.0)</f>
        <v>0</v>
      </c>
      <c r="T116" s="129">
        <f>IFERROR(__xludf.DUMMYFUNCTION("""COMPUTED_VALUE"""),0.0)</f>
        <v>0</v>
      </c>
      <c r="U116" s="129">
        <f>IFERROR(__xludf.DUMMYFUNCTION("""COMPUTED_VALUE"""),0.0)</f>
        <v>0</v>
      </c>
      <c r="V116" s="129">
        <f>IFERROR(__xludf.DUMMYFUNCTION("""COMPUTED_VALUE"""),0.0)</f>
        <v>0</v>
      </c>
      <c r="W116" s="126" t="str">
        <f>IFERROR(__xludf.DUMMYFUNCTION("""COMPUTED_VALUE"""),"Yes")</f>
        <v>Yes</v>
      </c>
      <c r="X116" s="126" t="str">
        <f>IFERROR(__xludf.DUMMYFUNCTION("""COMPUTED_VALUE"""),"Yes")</f>
        <v>Yes</v>
      </c>
      <c r="Y116" s="126" t="str">
        <f>IFERROR(__xludf.DUMMYFUNCTION("""COMPUTED_VALUE"""),"C")</f>
        <v>C</v>
      </c>
      <c r="Z116" s="126" t="str">
        <f>IFERROR(__xludf.DUMMYFUNCTION("""COMPUTED_VALUE"""),"vm consolidation")</f>
        <v>vm consolidation</v>
      </c>
      <c r="AA116" s="126"/>
      <c r="AB116" s="126"/>
      <c r="AC116" s="126"/>
      <c r="AD116" s="126"/>
      <c r="AE116" s="126"/>
      <c r="AF116" s="126"/>
      <c r="AG116" s="126"/>
      <c r="AH116" s="126"/>
      <c r="AI116" s="126"/>
      <c r="AJ116" s="126"/>
    </row>
    <row r="117">
      <c r="A117" s="126">
        <f>IFERROR(__xludf.DUMMYFUNCTION("""COMPUTED_VALUE"""),224.0)</f>
        <v>224</v>
      </c>
      <c r="B117" s="126" t="str">
        <f>IFERROR(__xludf.DUMMYFUNCTION("""COMPUTED_VALUE"""),"Mixed integer linear programming approach to optimize the hybrid renewable energy system management for supplying a stand-alone data center")</f>
        <v>Mixed integer linear programming approach to optimize the hybrid renewable energy system management for supplying a stand-alone data center</v>
      </c>
      <c r="C117" s="127" t="str">
        <f>IFERROR(__xludf.DUMMYFUNCTION("""COMPUTED_VALUE"""),"https://ieeexplore.ieee.org/abstract/document/8957199/")</f>
        <v>https://ieeexplore.ieee.org/abstract/document/8957199/</v>
      </c>
      <c r="D117" s="126" t="str">
        <f>IFERROR(__xludf.DUMMYFUNCTION("""COMPUTED_VALUE"""),"M Haddad, JM Nicod, C Varnier…")</f>
        <v>M Haddad, JM Nicod, C Varnier…</v>
      </c>
      <c r="E117" s="126" t="str">
        <f>IFERROR(__xludf.DUMMYFUNCTION("""COMPUTED_VALUE"""),"Institute of Electrical and Electronics Engineers")</f>
        <v>Institute of Electrical and Electronics Engineers</v>
      </c>
      <c r="F117" s="126" t="str">
        <f>IFERROR(__xludf.DUMMYFUNCTION("""COMPUTED_VALUE"""),"IEEE Xplore")</f>
        <v>IEEE Xplore</v>
      </c>
      <c r="G117" s="132" t="str">
        <f>IFERROR(__xludf.DUMMYFUNCTION("""COMPUTED_VALUE"""),"C")</f>
        <v>C</v>
      </c>
      <c r="H117" s="129">
        <f>IFERROR(__xludf.DUMMYFUNCTION("""COMPUTED_VALUE"""),2019.0)</f>
        <v>2019</v>
      </c>
      <c r="I117" s="129">
        <f>IFERROR(__xludf.DUMMYFUNCTION("""COMPUTED_VALUE"""),1.0)</f>
        <v>1</v>
      </c>
      <c r="J117" s="129">
        <f>IFERROR(__xludf.DUMMYFUNCTION("""COMPUTED_VALUE"""),1.0)</f>
        <v>1</v>
      </c>
      <c r="K117" s="130"/>
      <c r="L117" s="130"/>
      <c r="M117" s="130">
        <f>IFERROR(__xludf.DUMMYFUNCTION("""COMPUTED_VALUE"""),1.0)</f>
        <v>1</v>
      </c>
      <c r="N117" s="130">
        <f>IFERROR(__xludf.DUMMYFUNCTION("""COMPUTED_VALUE"""),1.0)</f>
        <v>1</v>
      </c>
      <c r="O117" s="130">
        <f>IFERROR(__xludf.DUMMYFUNCTION("""COMPUTED_VALUE"""),1.0)</f>
        <v>1</v>
      </c>
      <c r="P117" s="130"/>
      <c r="Q117" s="129">
        <f>IFERROR(__xludf.DUMMYFUNCTION("""COMPUTED_VALUE"""),0.0)</f>
        <v>0</v>
      </c>
      <c r="R117" s="129">
        <f>IFERROR(__xludf.DUMMYFUNCTION("""COMPUTED_VALUE"""),0.0)</f>
        <v>0</v>
      </c>
      <c r="S117" s="129">
        <f>IFERROR(__xludf.DUMMYFUNCTION("""COMPUTED_VALUE"""),0.0)</f>
        <v>0</v>
      </c>
      <c r="T117" s="129">
        <f>IFERROR(__xludf.DUMMYFUNCTION("""COMPUTED_VALUE"""),0.0)</f>
        <v>0</v>
      </c>
      <c r="U117" s="129">
        <f>IFERROR(__xludf.DUMMYFUNCTION("""COMPUTED_VALUE"""),0.0)</f>
        <v>0</v>
      </c>
      <c r="V117" s="129">
        <f>IFERROR(__xludf.DUMMYFUNCTION("""COMPUTED_VALUE"""),0.0)</f>
        <v>0</v>
      </c>
      <c r="W117" s="126" t="str">
        <f>IFERROR(__xludf.DUMMYFUNCTION("""COMPUTED_VALUE"""),"No")</f>
        <v>No</v>
      </c>
      <c r="X117" s="126" t="str">
        <f>IFERROR(__xludf.DUMMYFUNCTION("""COMPUTED_VALUE"""),"Yes")</f>
        <v>Yes</v>
      </c>
      <c r="Y117" s="126" t="str">
        <f>IFERROR(__xludf.DUMMYFUNCTION("""COMPUTED_VALUE"""),"C")</f>
        <v>C</v>
      </c>
      <c r="Z117" s="126" t="str">
        <f>IFERROR(__xludf.DUMMYFUNCTION("""COMPUTED_VALUE"""),"focus on energy efficiency equipment")</f>
        <v>focus on energy efficiency equipment</v>
      </c>
      <c r="AA117" s="126"/>
      <c r="AB117" s="126"/>
      <c r="AC117" s="126"/>
      <c r="AD117" s="126"/>
      <c r="AE117" s="126"/>
      <c r="AF117" s="126"/>
      <c r="AG117" s="126"/>
      <c r="AH117" s="126"/>
      <c r="AI117" s="126"/>
      <c r="AJ117" s="126"/>
    </row>
    <row r="118">
      <c r="A118" s="126">
        <f>IFERROR(__xludf.DUMMYFUNCTION("""COMPUTED_VALUE"""),225.0)</f>
        <v>225</v>
      </c>
      <c r="B118" s="126" t="str">
        <f>IFERROR(__xludf.DUMMYFUNCTION("""COMPUTED_VALUE"""),"Towards an optimized energy consumption of resources in cloud data centers")</f>
        <v>Towards an optimized energy consumption of resources in cloud data centers</v>
      </c>
      <c r="C118" s="127" t="str">
        <f>IFERROR(__xludf.DUMMYFUNCTION("""COMPUTED_VALUE"""),"https://link.springer.com/chapter/10.1007/978-3-030-02849-7_16")</f>
        <v>https://link.springer.com/chapter/10.1007/978-3-030-02849-7_16</v>
      </c>
      <c r="D118" s="131" t="str">
        <f>IFERROR(__xludf.DUMMYFUNCTION("""COMPUTED_VALUE"""),"S Diouani, H Medromi")</f>
        <v>S Diouani, H Medromi</v>
      </c>
      <c r="E118" s="131" t="str">
        <f>IFERROR(__xludf.DUMMYFUNCTION("""COMPUTED_VALUE"""),"Springer")</f>
        <v>Springer</v>
      </c>
      <c r="F118" s="126" t="str">
        <f>IFERROR(__xludf.DUMMYFUNCTION("""COMPUTED_VALUE"""),"Springer")</f>
        <v>Springer</v>
      </c>
      <c r="G118" s="132" t="str">
        <f>IFERROR(__xludf.DUMMYFUNCTION("""COMPUTED_VALUE"""),"C")</f>
        <v>C</v>
      </c>
      <c r="H118" s="130">
        <f>IFERROR(__xludf.DUMMYFUNCTION("""COMPUTED_VALUE"""),2018.0)</f>
        <v>2018</v>
      </c>
      <c r="I118" s="130">
        <f>IFERROR(__xludf.DUMMYFUNCTION("""COMPUTED_VALUE"""),1.0)</f>
        <v>1</v>
      </c>
      <c r="J118" s="130">
        <f>IFERROR(__xludf.DUMMYFUNCTION("""COMPUTED_VALUE"""),1.0)</f>
        <v>1</v>
      </c>
      <c r="K118" s="130">
        <f>IFERROR(__xludf.DUMMYFUNCTION("""COMPUTED_VALUE"""),1.0)</f>
        <v>1</v>
      </c>
      <c r="L118" s="130">
        <f>IFERROR(__xludf.DUMMYFUNCTION("""COMPUTED_VALUE"""),1.0)</f>
        <v>1</v>
      </c>
      <c r="M118" s="130">
        <f>IFERROR(__xludf.DUMMYFUNCTION("""COMPUTED_VALUE"""),1.0)</f>
        <v>1</v>
      </c>
      <c r="N118" s="130">
        <f>IFERROR(__xludf.DUMMYFUNCTION("""COMPUTED_VALUE"""),0.0)</f>
        <v>0</v>
      </c>
      <c r="O118" s="130">
        <f>IFERROR(__xludf.DUMMYFUNCTION("""COMPUTED_VALUE"""),0.0)</f>
        <v>0</v>
      </c>
      <c r="P118" s="130">
        <f>IFERROR(__xludf.DUMMYFUNCTION("""COMPUTED_VALUE"""),0.0)</f>
        <v>0</v>
      </c>
      <c r="Q118" s="130">
        <f>IFERROR(__xludf.DUMMYFUNCTION("""COMPUTED_VALUE"""),0.0)</f>
        <v>0</v>
      </c>
      <c r="R118" s="129">
        <f>IFERROR(__xludf.DUMMYFUNCTION("""COMPUTED_VALUE"""),0.0)</f>
        <v>0</v>
      </c>
      <c r="S118" s="129">
        <f>IFERROR(__xludf.DUMMYFUNCTION("""COMPUTED_VALUE"""),0.0)</f>
        <v>0</v>
      </c>
      <c r="T118" s="129">
        <f>IFERROR(__xludf.DUMMYFUNCTION("""COMPUTED_VALUE"""),0.0)</f>
        <v>0</v>
      </c>
      <c r="U118" s="129">
        <f>IFERROR(__xludf.DUMMYFUNCTION("""COMPUTED_VALUE"""),0.0)</f>
        <v>0</v>
      </c>
      <c r="V118" s="129">
        <f>IFERROR(__xludf.DUMMYFUNCTION("""COMPUTED_VALUE"""),0.0)</f>
        <v>0</v>
      </c>
      <c r="W118" s="126" t="str">
        <f>IFERROR(__xludf.DUMMYFUNCTION("""COMPUTED_VALUE"""),"Yes")</f>
        <v>Yes</v>
      </c>
      <c r="X118" s="126" t="str">
        <f>IFERROR(__xludf.DUMMYFUNCTION("""COMPUTED_VALUE"""),"Yes")</f>
        <v>Yes</v>
      </c>
      <c r="Y118" s="126" t="str">
        <f>IFERROR(__xludf.DUMMYFUNCTION("""COMPUTED_VALUE"""),"C")</f>
        <v>C</v>
      </c>
      <c r="Z118" s="126"/>
      <c r="AA118" s="126"/>
      <c r="AB118" s="126"/>
      <c r="AC118" s="126"/>
      <c r="AD118" s="126"/>
      <c r="AE118" s="126"/>
      <c r="AF118" s="126"/>
      <c r="AG118" s="126"/>
      <c r="AH118" s="126"/>
      <c r="AI118" s="126"/>
      <c r="AJ118" s="126"/>
    </row>
    <row r="119">
      <c r="A119" s="126">
        <f>IFERROR(__xludf.DUMMYFUNCTION("""COMPUTED_VALUE"""),229.0)</f>
        <v>229</v>
      </c>
      <c r="B119" s="126" t="str">
        <f>IFERROR(__xludf.DUMMYFUNCTION("""COMPUTED_VALUE"""),"Deep learning-based sustainable data center energy cost minimization with temporal MACRO/MICRO scale management")</f>
        <v>Deep learning-based sustainable data center energy cost minimization with temporal MACRO/MICRO scale management</v>
      </c>
      <c r="C119" s="127" t="str">
        <f>IFERROR(__xludf.DUMMYFUNCTION("""COMPUTED_VALUE"""),"https://ieeexplore.ieee.org/abstract/document/8581422/")</f>
        <v>https://ieeexplore.ieee.org/abstract/document/8581422/</v>
      </c>
      <c r="D119" s="126" t="str">
        <f>IFERROR(__xludf.DUMMYFUNCTION("""COMPUTED_VALUE"""),"DK Kang, EJ Yang, CH Youn")</f>
        <v>DK Kang, EJ Yang, CH Youn</v>
      </c>
      <c r="E119" s="126" t="str">
        <f>IFERROR(__xludf.DUMMYFUNCTION("""COMPUTED_VALUE"""),"Institute of Electrical and Electronics Engineers")</f>
        <v>Institute of Electrical and Electronics Engineers</v>
      </c>
      <c r="F119" s="126" t="str">
        <f>IFERROR(__xludf.DUMMYFUNCTION("""COMPUTED_VALUE"""),"IEEE Xplore")</f>
        <v>IEEE Xplore</v>
      </c>
      <c r="G119" s="128"/>
      <c r="H119" s="130">
        <f>IFERROR(__xludf.DUMMYFUNCTION("""COMPUTED_VALUE"""),2018.0)</f>
        <v>2018</v>
      </c>
      <c r="I119" s="129">
        <f>IFERROR(__xludf.DUMMYFUNCTION("""COMPUTED_VALUE"""),1.0)</f>
        <v>1</v>
      </c>
      <c r="J119" s="130">
        <f>IFERROR(__xludf.DUMMYFUNCTION("""COMPUTED_VALUE"""),1.0)</f>
        <v>1</v>
      </c>
      <c r="K119" s="130"/>
      <c r="L119" s="130">
        <f>IFERROR(__xludf.DUMMYFUNCTION("""COMPUTED_VALUE"""),1.0)</f>
        <v>1</v>
      </c>
      <c r="M119" s="130">
        <f>IFERROR(__xludf.DUMMYFUNCTION("""COMPUTED_VALUE"""),1.0)</f>
        <v>1</v>
      </c>
      <c r="N119" s="130"/>
      <c r="O119" s="130"/>
      <c r="P119" s="130">
        <f>IFERROR(__xludf.DUMMYFUNCTION("""COMPUTED_VALUE"""),1.0)</f>
        <v>1</v>
      </c>
      <c r="Q119" s="130">
        <f>IFERROR(__xludf.DUMMYFUNCTION("""COMPUTED_VALUE"""),0.0)</f>
        <v>0</v>
      </c>
      <c r="R119" s="130">
        <f>IFERROR(__xludf.DUMMYFUNCTION("""COMPUTED_VALUE"""),0.0)</f>
        <v>0</v>
      </c>
      <c r="S119" s="130">
        <f>IFERROR(__xludf.DUMMYFUNCTION("""COMPUTED_VALUE"""),0.0)</f>
        <v>0</v>
      </c>
      <c r="T119" s="130">
        <f>IFERROR(__xludf.DUMMYFUNCTION("""COMPUTED_VALUE"""),0.0)</f>
        <v>0</v>
      </c>
      <c r="U119" s="130">
        <f>IFERROR(__xludf.DUMMYFUNCTION("""COMPUTED_VALUE"""),0.0)</f>
        <v>0</v>
      </c>
      <c r="V119" s="130">
        <f>IFERROR(__xludf.DUMMYFUNCTION("""COMPUTED_VALUE"""),0.0)</f>
        <v>0</v>
      </c>
      <c r="W119" s="131" t="str">
        <f>IFERROR(__xludf.DUMMYFUNCTION("""COMPUTED_VALUE"""),"No")</f>
        <v>No</v>
      </c>
      <c r="X119" s="131" t="str">
        <f>IFERROR(__xludf.DUMMYFUNCTION("""COMPUTED_VALUE"""),"Yes")</f>
        <v>Yes</v>
      </c>
      <c r="Y119" s="131" t="str">
        <f>IFERROR(__xludf.DUMMYFUNCTION("""COMPUTED_VALUE"""),"C")</f>
        <v>C</v>
      </c>
      <c r="Z119" s="131" t="str">
        <f>IFERROR(__xludf.DUMMYFUNCTION("""COMPUTED_VALUE"""),"supply of renewable energy")</f>
        <v>supply of renewable energy</v>
      </c>
      <c r="AA119" s="131"/>
      <c r="AB119" s="131"/>
      <c r="AC119" s="131"/>
      <c r="AD119" s="131"/>
      <c r="AE119" s="131"/>
      <c r="AF119" s="131"/>
      <c r="AG119" s="131"/>
      <c r="AH119" s="131"/>
      <c r="AI119" s="131"/>
      <c r="AJ119" s="131"/>
    </row>
    <row r="120">
      <c r="A120" s="126">
        <f>IFERROR(__xludf.DUMMYFUNCTION("""COMPUTED_VALUE"""),230.0)</f>
        <v>230</v>
      </c>
      <c r="B120" s="126" t="str">
        <f>IFERROR(__xludf.DUMMYFUNCTION("""COMPUTED_VALUE"""),"Energy and service level agreement aware resource allocation heuristics for cloud data centers")</f>
        <v>Energy and service level agreement aware resource allocation heuristics for cloud data centers</v>
      </c>
      <c r="C120" s="127" t="str">
        <f>IFERROR(__xludf.DUMMYFUNCTION("""COMPUTED_VALUE"""),"https://www.koreascience.or.kr/article/JAKO201811459665241.page")</f>
        <v>https://www.koreascience.or.kr/article/JAKO201811459665241.page</v>
      </c>
      <c r="D120" s="126" t="str">
        <f>IFERROR(__xludf.DUMMYFUNCTION("""COMPUTED_VALUE"""),"K Sutha, GM Nawaz")</f>
        <v>K Sutha, GM Nawaz</v>
      </c>
      <c r="E120" s="127" t="str">
        <f>IFERROR(__xludf.DUMMYFUNCTION("""COMPUTED_VALUE"""),"koreascience.or.kr")</f>
        <v>koreascience.or.kr</v>
      </c>
      <c r="F120" s="127" t="str">
        <f>IFERROR(__xludf.DUMMYFUNCTION("""COMPUTED_VALUE"""),"koreascience.or.kr")</f>
        <v>koreascience.or.kr</v>
      </c>
      <c r="G120" s="128" t="str">
        <f>IFERROR(__xludf.DUMMYFUNCTION("""COMPUTED_VALUE"""),"J")</f>
        <v>J</v>
      </c>
      <c r="H120" s="130">
        <f>IFERROR(__xludf.DUMMYFUNCTION("""COMPUTED_VALUE"""),2018.0)</f>
        <v>2018</v>
      </c>
      <c r="I120" s="129">
        <f>IFERROR(__xludf.DUMMYFUNCTION("""COMPUTED_VALUE"""),1.0)</f>
        <v>1</v>
      </c>
      <c r="J120" s="129">
        <f>IFERROR(__xludf.DUMMYFUNCTION("""COMPUTED_VALUE"""),1.0)</f>
        <v>1</v>
      </c>
      <c r="K120" s="130">
        <f>IFERROR(__xludf.DUMMYFUNCTION("""COMPUTED_VALUE"""),1.0)</f>
        <v>1</v>
      </c>
      <c r="L120" s="130">
        <f>IFERROR(__xludf.DUMMYFUNCTION("""COMPUTED_VALUE"""),1.0)</f>
        <v>1</v>
      </c>
      <c r="M120" s="130">
        <f>IFERROR(__xludf.DUMMYFUNCTION("""COMPUTED_VALUE"""),1.0)</f>
        <v>1</v>
      </c>
      <c r="N120" s="130">
        <f>IFERROR(__xludf.DUMMYFUNCTION("""COMPUTED_VALUE"""),0.0)</f>
        <v>0</v>
      </c>
      <c r="O120" s="130">
        <f>IFERROR(__xludf.DUMMYFUNCTION("""COMPUTED_VALUE"""),0.0)</f>
        <v>0</v>
      </c>
      <c r="P120" s="130">
        <f>IFERROR(__xludf.DUMMYFUNCTION("""COMPUTED_VALUE"""),0.0)</f>
        <v>0</v>
      </c>
      <c r="Q120" s="130">
        <f>IFERROR(__xludf.DUMMYFUNCTION("""COMPUTED_VALUE"""),0.0)</f>
        <v>0</v>
      </c>
      <c r="R120" s="129">
        <f>IFERROR(__xludf.DUMMYFUNCTION("""COMPUTED_VALUE"""),0.0)</f>
        <v>0</v>
      </c>
      <c r="S120" s="129">
        <f>IFERROR(__xludf.DUMMYFUNCTION("""COMPUTED_VALUE"""),0.0)</f>
        <v>0</v>
      </c>
      <c r="T120" s="129">
        <f>IFERROR(__xludf.DUMMYFUNCTION("""COMPUTED_VALUE"""),0.0)</f>
        <v>0</v>
      </c>
      <c r="U120" s="129">
        <f>IFERROR(__xludf.DUMMYFUNCTION("""COMPUTED_VALUE"""),0.0)</f>
        <v>0</v>
      </c>
      <c r="V120" s="129">
        <f>IFERROR(__xludf.DUMMYFUNCTION("""COMPUTED_VALUE"""),0.0)</f>
        <v>0</v>
      </c>
      <c r="W120" s="126" t="str">
        <f>IFERROR(__xludf.DUMMYFUNCTION("""COMPUTED_VALUE"""),"Yes")</f>
        <v>Yes</v>
      </c>
      <c r="X120" s="126" t="str">
        <f>IFERROR(__xludf.DUMMYFUNCTION("""COMPUTED_VALUE"""),"Yes")</f>
        <v>Yes</v>
      </c>
      <c r="Y120" s="126" t="str">
        <f>IFERROR(__xludf.DUMMYFUNCTION("""COMPUTED_VALUE"""),"C")</f>
        <v>C</v>
      </c>
      <c r="Z120" s="126"/>
      <c r="AA120" s="126"/>
      <c r="AB120" s="126"/>
      <c r="AC120" s="126"/>
      <c r="AD120" s="126"/>
      <c r="AE120" s="126"/>
      <c r="AF120" s="126"/>
      <c r="AG120" s="126"/>
      <c r="AH120" s="126"/>
      <c r="AI120" s="126"/>
      <c r="AJ120" s="126"/>
    </row>
    <row r="121">
      <c r="A121" s="126">
        <f>IFERROR(__xludf.DUMMYFUNCTION("""COMPUTED_VALUE"""),232.0)</f>
        <v>232</v>
      </c>
      <c r="B121" s="126" t="str">
        <f>IFERROR(__xludf.DUMMYFUNCTION("""COMPUTED_VALUE"""),"Negotiation game for joint IT and energy management in green datacenters")</f>
        <v>Negotiation game for joint IT and energy management in green datacenters</v>
      </c>
      <c r="C121" s="127" t="str">
        <f>IFERROR(__xludf.DUMMYFUNCTION("""COMPUTED_VALUE"""),"https://www.sciencedirect.com/science/article/pii/S0167739X1931235X")</f>
        <v>https://www.sciencedirect.com/science/article/pii/S0167739X1931235X</v>
      </c>
      <c r="D121" s="126" t="str">
        <f>IFERROR(__xludf.DUMMYFUNCTION("""COMPUTED_VALUE"""),"MT Thi, JM Pierson, G Da Costa, P Stolf…")</f>
        <v>MT Thi, JM Pierson, G Da Costa, P Stolf…</v>
      </c>
      <c r="E121" s="126" t="str">
        <f>IFERROR(__xludf.DUMMYFUNCTION("""COMPUTED_VALUE"""),"Elsevier")</f>
        <v>Elsevier</v>
      </c>
      <c r="F121" s="126" t="str">
        <f>IFERROR(__xludf.DUMMYFUNCTION("""COMPUTED_VALUE"""),"Elsevier")</f>
        <v>Elsevier</v>
      </c>
      <c r="G121" s="128"/>
      <c r="H121" s="130">
        <f>IFERROR(__xludf.DUMMYFUNCTION("""COMPUTED_VALUE"""),2020.0)</f>
        <v>2020</v>
      </c>
      <c r="I121" s="129"/>
      <c r="J121" s="129"/>
      <c r="K121" s="129"/>
      <c r="L121" s="130"/>
      <c r="M121" s="130"/>
      <c r="N121" s="130"/>
      <c r="O121" s="130"/>
      <c r="P121" s="130">
        <f>IFERROR(__xludf.DUMMYFUNCTION("""COMPUTED_VALUE"""),1.0)</f>
        <v>1</v>
      </c>
      <c r="Q121" s="130"/>
      <c r="R121" s="130"/>
      <c r="S121" s="130"/>
      <c r="T121" s="130"/>
      <c r="U121" s="130"/>
      <c r="V121" s="130"/>
      <c r="W121" s="131" t="str">
        <f>IFERROR(__xludf.DUMMYFUNCTION("""COMPUTED_VALUE"""),"No")</f>
        <v>No</v>
      </c>
      <c r="X121" s="131" t="str">
        <f>IFERROR(__xludf.DUMMYFUNCTION("""COMPUTED_VALUE"""),"Yes")</f>
        <v>Yes</v>
      </c>
      <c r="Y121" s="131" t="str">
        <f>IFERROR(__xludf.DUMMYFUNCTION("""COMPUTED_VALUE"""),"C")</f>
        <v>C</v>
      </c>
      <c r="Z121" s="131" t="str">
        <f>IFERROR(__xludf.DUMMYFUNCTION("""COMPUTED_VALUE"""),"energy supply &amp; demand")</f>
        <v>energy supply &amp; demand</v>
      </c>
      <c r="AA121" s="131"/>
      <c r="AB121" s="131"/>
      <c r="AC121" s="131"/>
      <c r="AD121" s="131"/>
      <c r="AE121" s="131"/>
      <c r="AF121" s="131"/>
      <c r="AG121" s="131"/>
      <c r="AH121" s="131"/>
      <c r="AI121" s="131"/>
      <c r="AJ121" s="131"/>
    </row>
    <row r="122">
      <c r="A122" s="126">
        <f>IFERROR(__xludf.DUMMYFUNCTION("""COMPUTED_VALUE"""),233.0)</f>
        <v>233</v>
      </c>
      <c r="B122" s="126" t="str">
        <f>IFERROR(__xludf.DUMMYFUNCTION("""COMPUTED_VALUE"""),"An energy-efficient algorithm for virtual machine placement optimization in cloud data centers")</f>
        <v>An energy-efficient algorithm for virtual machine placement optimization in cloud data centers</v>
      </c>
      <c r="C122" s="127" t="str">
        <f>IFERROR(__xludf.DUMMYFUNCTION("""COMPUTED_VALUE"""),"https://link.springer.com/content/pdf/10.1007/s10586-020-03096-0.pdf")</f>
        <v>https://link.springer.com/content/pdf/10.1007/s10586-020-03096-0.pdf</v>
      </c>
      <c r="D122" s="126" t="str">
        <f>IFERROR(__xludf.DUMMYFUNCTION("""COMPUTED_VALUE"""),"S Azizi, D Li")</f>
        <v>S Azizi, D Li</v>
      </c>
      <c r="E122" s="126" t="str">
        <f>IFERROR(__xludf.DUMMYFUNCTION("""COMPUTED_VALUE"""),"Springer")</f>
        <v>Springer</v>
      </c>
      <c r="F122" s="126" t="str">
        <f>IFERROR(__xludf.DUMMYFUNCTION("""COMPUTED_VALUE"""),"Springer")</f>
        <v>Springer</v>
      </c>
      <c r="G122" s="128" t="str">
        <f>IFERROR(__xludf.DUMMYFUNCTION("""COMPUTED_VALUE"""),"J")</f>
        <v>J</v>
      </c>
      <c r="H122" s="130">
        <f>IFERROR(__xludf.DUMMYFUNCTION("""COMPUTED_VALUE"""),2020.0)</f>
        <v>2020</v>
      </c>
      <c r="I122" s="130">
        <f>IFERROR(__xludf.DUMMYFUNCTION("""COMPUTED_VALUE"""),1.0)</f>
        <v>1</v>
      </c>
      <c r="J122" s="130">
        <f>IFERROR(__xludf.DUMMYFUNCTION("""COMPUTED_VALUE"""),1.0)</f>
        <v>1</v>
      </c>
      <c r="K122" s="130">
        <f>IFERROR(__xludf.DUMMYFUNCTION("""COMPUTED_VALUE"""),1.0)</f>
        <v>1</v>
      </c>
      <c r="L122" s="129">
        <f>IFERROR(__xludf.DUMMYFUNCTION("""COMPUTED_VALUE"""),1.0)</f>
        <v>1</v>
      </c>
      <c r="M122" s="130">
        <f>IFERROR(__xludf.DUMMYFUNCTION("""COMPUTED_VALUE"""),1.0)</f>
        <v>1</v>
      </c>
      <c r="N122" s="130">
        <f>IFERROR(__xludf.DUMMYFUNCTION("""COMPUTED_VALUE"""),0.0)</f>
        <v>0</v>
      </c>
      <c r="O122" s="130">
        <f>IFERROR(__xludf.DUMMYFUNCTION("""COMPUTED_VALUE"""),0.0)</f>
        <v>0</v>
      </c>
      <c r="P122" s="130">
        <f>IFERROR(__xludf.DUMMYFUNCTION("""COMPUTED_VALUE"""),0.0)</f>
        <v>0</v>
      </c>
      <c r="Q122" s="130">
        <f>IFERROR(__xludf.DUMMYFUNCTION("""COMPUTED_VALUE"""),0.0)</f>
        <v>0</v>
      </c>
      <c r="R122" s="130">
        <f>IFERROR(__xludf.DUMMYFUNCTION("""COMPUTED_VALUE"""),0.0)</f>
        <v>0</v>
      </c>
      <c r="S122" s="130">
        <f>IFERROR(__xludf.DUMMYFUNCTION("""COMPUTED_VALUE"""),0.0)</f>
        <v>0</v>
      </c>
      <c r="T122" s="130">
        <f>IFERROR(__xludf.DUMMYFUNCTION("""COMPUTED_VALUE"""),0.0)</f>
        <v>0</v>
      </c>
      <c r="U122" s="130">
        <f>IFERROR(__xludf.DUMMYFUNCTION("""COMPUTED_VALUE"""),0.0)</f>
        <v>0</v>
      </c>
      <c r="V122" s="130">
        <f>IFERROR(__xludf.DUMMYFUNCTION("""COMPUTED_VALUE"""),0.0)</f>
        <v>0</v>
      </c>
      <c r="W122" s="131" t="str">
        <f>IFERROR(__xludf.DUMMYFUNCTION("""COMPUTED_VALUE"""),"Yes")</f>
        <v>Yes</v>
      </c>
      <c r="X122" s="131" t="str">
        <f>IFERROR(__xludf.DUMMYFUNCTION("""COMPUTED_VALUE"""),"Yes")</f>
        <v>Yes</v>
      </c>
      <c r="Y122" s="131" t="str">
        <f>IFERROR(__xludf.DUMMYFUNCTION("""COMPUTED_VALUE"""),"C")</f>
        <v>C</v>
      </c>
      <c r="Z122" s="131" t="str">
        <f>IFERROR(__xludf.DUMMYFUNCTION("""COMPUTED_VALUE"""),"efficiency algorithms")</f>
        <v>efficiency algorithms</v>
      </c>
      <c r="AA122" s="131"/>
      <c r="AB122" s="131"/>
      <c r="AC122" s="131"/>
      <c r="AD122" s="131"/>
      <c r="AE122" s="131"/>
      <c r="AF122" s="131"/>
      <c r="AG122" s="131"/>
      <c r="AH122" s="131"/>
      <c r="AI122" s="131"/>
      <c r="AJ122" s="131"/>
    </row>
    <row r="123">
      <c r="A123" s="126">
        <f>IFERROR(__xludf.DUMMYFUNCTION("""COMPUTED_VALUE"""),235.0)</f>
        <v>235</v>
      </c>
      <c r="B123" s="126" t="str">
        <f>IFERROR(__xludf.DUMMYFUNCTION("""COMPUTED_VALUE"""),"DQN-based energy-efficient routing algorithm in software-defined data centers")</f>
        <v>DQN-based energy-efficient routing algorithm in software-defined data centers</v>
      </c>
      <c r="C123" s="127" t="str">
        <f>IFERROR(__xludf.DUMMYFUNCTION("""COMPUTED_VALUE"""),"https://journals.sagepub.com/doi/abs/10.1177/1550147720935775")</f>
        <v>https://journals.sagepub.com/doi/abs/10.1177/1550147720935775</v>
      </c>
      <c r="D123" s="126" t="str">
        <f>IFERROR(__xludf.DUMMYFUNCTION("""COMPUTED_VALUE"""),"Z Yao, Y Wang, X Qiu")</f>
        <v>Z Yao, Y Wang, X Qiu</v>
      </c>
      <c r="E123" s="126" t="str">
        <f>IFERROR(__xludf.DUMMYFUNCTION("""COMPUTED_VALUE"""),"International Journal of Distributed Sensor Networks")</f>
        <v>International Journal of Distributed Sensor Networks</v>
      </c>
      <c r="F123" s="127" t="str">
        <f>IFERROR(__xludf.DUMMYFUNCTION("""COMPUTED_VALUE"""),"journals.sagepub.com")</f>
        <v>journals.sagepub.com</v>
      </c>
      <c r="G123" s="128" t="str">
        <f>IFERROR(__xludf.DUMMYFUNCTION("""COMPUTED_VALUE"""),"J")</f>
        <v>J</v>
      </c>
      <c r="H123" s="130">
        <f>IFERROR(__xludf.DUMMYFUNCTION("""COMPUTED_VALUE"""),2020.0)</f>
        <v>2020</v>
      </c>
      <c r="I123" s="129">
        <f>IFERROR(__xludf.DUMMYFUNCTION("""COMPUTED_VALUE"""),1.0)</f>
        <v>1</v>
      </c>
      <c r="J123" s="130">
        <f>IFERROR(__xludf.DUMMYFUNCTION("""COMPUTED_VALUE"""),1.0)</f>
        <v>1</v>
      </c>
      <c r="K123" s="130">
        <f>IFERROR(__xludf.DUMMYFUNCTION("""COMPUTED_VALUE"""),1.0)</f>
        <v>1</v>
      </c>
      <c r="L123" s="129">
        <f>IFERROR(__xludf.DUMMYFUNCTION("""COMPUTED_VALUE"""),1.0)</f>
        <v>1</v>
      </c>
      <c r="M123" s="130">
        <f>IFERROR(__xludf.DUMMYFUNCTION("""COMPUTED_VALUE"""),1.0)</f>
        <v>1</v>
      </c>
      <c r="N123" s="130">
        <f>IFERROR(__xludf.DUMMYFUNCTION("""COMPUTED_VALUE"""),0.0)</f>
        <v>0</v>
      </c>
      <c r="O123" s="130">
        <f>IFERROR(__xludf.DUMMYFUNCTION("""COMPUTED_VALUE"""),0.0)</f>
        <v>0</v>
      </c>
      <c r="P123" s="130">
        <f>IFERROR(__xludf.DUMMYFUNCTION("""COMPUTED_VALUE"""),0.0)</f>
        <v>0</v>
      </c>
      <c r="Q123" s="130">
        <f>IFERROR(__xludf.DUMMYFUNCTION("""COMPUTED_VALUE"""),0.0)</f>
        <v>0</v>
      </c>
      <c r="R123" s="129">
        <f>IFERROR(__xludf.DUMMYFUNCTION("""COMPUTED_VALUE"""),0.0)</f>
        <v>0</v>
      </c>
      <c r="S123" s="129">
        <f>IFERROR(__xludf.DUMMYFUNCTION("""COMPUTED_VALUE"""),0.0)</f>
        <v>0</v>
      </c>
      <c r="T123" s="129">
        <f>IFERROR(__xludf.DUMMYFUNCTION("""COMPUTED_VALUE"""),0.0)</f>
        <v>0</v>
      </c>
      <c r="U123" s="129">
        <f>IFERROR(__xludf.DUMMYFUNCTION("""COMPUTED_VALUE"""),0.0)</f>
        <v>0</v>
      </c>
      <c r="V123" s="129">
        <f>IFERROR(__xludf.DUMMYFUNCTION("""COMPUTED_VALUE"""),0.0)</f>
        <v>0</v>
      </c>
      <c r="W123" s="126" t="str">
        <f>IFERROR(__xludf.DUMMYFUNCTION("""COMPUTED_VALUE"""),"Yes")</f>
        <v>Yes</v>
      </c>
      <c r="X123" s="126" t="str">
        <f>IFERROR(__xludf.DUMMYFUNCTION("""COMPUTED_VALUE"""),"Yes")</f>
        <v>Yes</v>
      </c>
      <c r="Y123" s="126" t="str">
        <f>IFERROR(__xludf.DUMMYFUNCTION("""COMPUTED_VALUE"""),"C")</f>
        <v>C</v>
      </c>
      <c r="Z123" s="126" t="str">
        <f>IFERROR(__xludf.DUMMYFUNCTION("""COMPUTED_VALUE"""),"networking algorithms")</f>
        <v>networking algorithms</v>
      </c>
      <c r="AA123" s="126"/>
      <c r="AB123" s="126"/>
      <c r="AC123" s="126"/>
      <c r="AD123" s="126"/>
      <c r="AE123" s="126"/>
      <c r="AF123" s="126"/>
      <c r="AG123" s="126"/>
      <c r="AH123" s="126"/>
      <c r="AI123" s="126"/>
      <c r="AJ123" s="126"/>
    </row>
    <row r="124">
      <c r="A124" s="126">
        <f>IFERROR(__xludf.DUMMYFUNCTION("""COMPUTED_VALUE"""),236.0)</f>
        <v>236</v>
      </c>
      <c r="B124" s="126" t="str">
        <f>IFERROR(__xludf.DUMMYFUNCTION("""COMPUTED_VALUE"""),"Experimental Analysis of Energy Efficiency of Server Infrastructure in University Datacenters")</f>
        <v>Experimental Analysis of Energy Efficiency of Server Infrastructure in University Datacenters</v>
      </c>
      <c r="C124" s="127" t="str">
        <f>IFERROR(__xludf.DUMMYFUNCTION("""COMPUTED_VALUE"""),"https://hrcak.srce.hr/index.php?show=clanak&amp;id_clanak_jezik=355662")</f>
        <v>https://hrcak.srce.hr/index.php?show=clanak&amp;id_clanak_jezik=355662</v>
      </c>
      <c r="D124" s="126" t="str">
        <f>IFERROR(__xludf.DUMMYFUNCTION("""COMPUTED_VALUE"""),"M Sarac, D Stamenkovic")</f>
        <v>M Sarac, D Stamenkovic</v>
      </c>
      <c r="E124" s="127" t="str">
        <f>IFERROR(__xludf.DUMMYFUNCTION("""COMPUTED_VALUE"""),"hrcak.srce.hr")</f>
        <v>hrcak.srce.hr</v>
      </c>
      <c r="F124" s="127" t="str">
        <f>IFERROR(__xludf.DUMMYFUNCTION("""COMPUTED_VALUE"""),"hrcak.srce.hr")</f>
        <v>hrcak.srce.hr</v>
      </c>
      <c r="G124" s="132"/>
      <c r="H124" s="129">
        <f>IFERROR(__xludf.DUMMYFUNCTION("""COMPUTED_VALUE"""),2020.0)</f>
        <v>2020</v>
      </c>
      <c r="I124" s="129">
        <f>IFERROR(__xludf.DUMMYFUNCTION("""COMPUTED_VALUE"""),0.0)</f>
        <v>0</v>
      </c>
      <c r="J124" s="129"/>
      <c r="K124" s="130"/>
      <c r="L124" s="130"/>
      <c r="M124" s="130"/>
      <c r="N124" s="130"/>
      <c r="O124" s="130"/>
      <c r="P124" s="130"/>
      <c r="Q124" s="129"/>
      <c r="R124" s="129"/>
      <c r="S124" s="129"/>
      <c r="T124" s="129"/>
      <c r="U124" s="129"/>
      <c r="V124" s="129"/>
      <c r="W124" s="126" t="str">
        <f>IFERROR(__xludf.DUMMYFUNCTION("""COMPUTED_VALUE"""),"No")</f>
        <v>No</v>
      </c>
      <c r="X124" s="126" t="str">
        <f>IFERROR(__xludf.DUMMYFUNCTION("""COMPUTED_VALUE"""),"Yes")</f>
        <v>Yes</v>
      </c>
      <c r="Y124" s="126" t="str">
        <f>IFERROR(__xludf.DUMMYFUNCTION("""COMPUTED_VALUE"""),"C")</f>
        <v>C</v>
      </c>
      <c r="Z124" s="126" t="str">
        <f>IFERROR(__xludf.DUMMYFUNCTION("""COMPUTED_VALUE"""),"no strategy")</f>
        <v>no strategy</v>
      </c>
      <c r="AA124" s="126"/>
      <c r="AB124" s="126"/>
      <c r="AC124" s="126"/>
      <c r="AD124" s="126"/>
      <c r="AE124" s="126"/>
      <c r="AF124" s="126"/>
      <c r="AG124" s="126"/>
      <c r="AH124" s="126"/>
      <c r="AI124" s="126"/>
      <c r="AJ124" s="126"/>
    </row>
    <row r="125">
      <c r="A125" s="126">
        <f>IFERROR(__xludf.DUMMYFUNCTION("""COMPUTED_VALUE"""),239.0)</f>
        <v>239</v>
      </c>
      <c r="B125" s="126" t="str">
        <f>IFERROR(__xludf.DUMMYFUNCTION("""COMPUTED_VALUE"""),"Optimized Energy Cost and Carbon Emission-Aware Virtual Machine Allocation in Sustainable Data Centers")</f>
        <v>Optimized Energy Cost and Carbon Emission-Aware Virtual Machine Allocation in Sustainable Data Centers</v>
      </c>
      <c r="C125" s="127" t="str">
        <f>IFERROR(__xludf.DUMMYFUNCTION("""COMPUTED_VALUE"""),"https://www.mdpi.com/2071-1050/12/16/6383")</f>
        <v>https://www.mdpi.com/2071-1050/12/16/6383</v>
      </c>
      <c r="D125" s="126" t="str">
        <f>IFERROR(__xludf.DUMMYFUNCTION("""COMPUTED_VALUE"""),"T Renugadevi, K Geetha, K Muthukumar, ZW Geem")</f>
        <v>T Renugadevi, K Geetha, K Muthukumar, ZW Geem</v>
      </c>
      <c r="E125" s="126" t="str">
        <f>IFERROR(__xludf.DUMMYFUNCTION("""COMPUTED_VALUE"""),"Multidisciplinary Digital Publishing Institute")</f>
        <v>Multidisciplinary Digital Publishing Institute</v>
      </c>
      <c r="F125" s="126" t="str">
        <f>IFERROR(__xludf.DUMMYFUNCTION("""COMPUTED_VALUE"""),"MDPI")</f>
        <v>MDPI</v>
      </c>
      <c r="G125" s="128" t="str">
        <f>IFERROR(__xludf.DUMMYFUNCTION("""COMPUTED_VALUE"""),"J")</f>
        <v>J</v>
      </c>
      <c r="H125" s="130">
        <f>IFERROR(__xludf.DUMMYFUNCTION("""COMPUTED_VALUE"""),2020.0)</f>
        <v>2020</v>
      </c>
      <c r="I125" s="130">
        <f>IFERROR(__xludf.DUMMYFUNCTION("""COMPUTED_VALUE"""),1.0)</f>
        <v>1</v>
      </c>
      <c r="J125" s="130">
        <f>IFERROR(__xludf.DUMMYFUNCTION("""COMPUTED_VALUE"""),1.0)</f>
        <v>1</v>
      </c>
      <c r="K125" s="130">
        <f>IFERROR(__xludf.DUMMYFUNCTION("""COMPUTED_VALUE"""),1.0)</f>
        <v>1</v>
      </c>
      <c r="L125" s="129">
        <f>IFERROR(__xludf.DUMMYFUNCTION("""COMPUTED_VALUE"""),1.0)</f>
        <v>1</v>
      </c>
      <c r="M125" s="130">
        <f>IFERROR(__xludf.DUMMYFUNCTION("""COMPUTED_VALUE"""),1.0)</f>
        <v>1</v>
      </c>
      <c r="N125" s="130">
        <f>IFERROR(__xludf.DUMMYFUNCTION("""COMPUTED_VALUE"""),0.0)</f>
        <v>0</v>
      </c>
      <c r="O125" s="130">
        <f>IFERROR(__xludf.DUMMYFUNCTION("""COMPUTED_VALUE"""),0.0)</f>
        <v>0</v>
      </c>
      <c r="P125" s="130">
        <f>IFERROR(__xludf.DUMMYFUNCTION("""COMPUTED_VALUE"""),0.0)</f>
        <v>0</v>
      </c>
      <c r="Q125" s="130">
        <f>IFERROR(__xludf.DUMMYFUNCTION("""COMPUTED_VALUE"""),0.0)</f>
        <v>0</v>
      </c>
      <c r="R125" s="129">
        <f>IFERROR(__xludf.DUMMYFUNCTION("""COMPUTED_VALUE"""),0.0)</f>
        <v>0</v>
      </c>
      <c r="S125" s="129">
        <f>IFERROR(__xludf.DUMMYFUNCTION("""COMPUTED_VALUE"""),0.0)</f>
        <v>0</v>
      </c>
      <c r="T125" s="129">
        <f>IFERROR(__xludf.DUMMYFUNCTION("""COMPUTED_VALUE"""),0.0)</f>
        <v>0</v>
      </c>
      <c r="U125" s="129">
        <f>IFERROR(__xludf.DUMMYFUNCTION("""COMPUTED_VALUE"""),0.0)</f>
        <v>0</v>
      </c>
      <c r="V125" s="129">
        <f>IFERROR(__xludf.DUMMYFUNCTION("""COMPUTED_VALUE"""),0.0)</f>
        <v>0</v>
      </c>
      <c r="W125" s="126" t="str">
        <f>IFERROR(__xludf.DUMMYFUNCTION("""COMPUTED_VALUE"""),"Yes")</f>
        <v>Yes</v>
      </c>
      <c r="X125" s="126" t="str">
        <f>IFERROR(__xludf.DUMMYFUNCTION("""COMPUTED_VALUE"""),"Yes")</f>
        <v>Yes</v>
      </c>
      <c r="Y125" s="126" t="str">
        <f>IFERROR(__xludf.DUMMYFUNCTION("""COMPUTED_VALUE"""),"C")</f>
        <v>C</v>
      </c>
      <c r="Z125" s="126" t="str">
        <f>IFERROR(__xludf.DUMMYFUNCTION("""COMPUTED_VALUE"""),"RE aware vm placement")</f>
        <v>RE aware vm placement</v>
      </c>
      <c r="AA125" s="126"/>
      <c r="AB125" s="126"/>
      <c r="AC125" s="126"/>
      <c r="AD125" s="126"/>
      <c r="AE125" s="126"/>
      <c r="AF125" s="126"/>
      <c r="AG125" s="126"/>
      <c r="AH125" s="126"/>
      <c r="AI125" s="126"/>
      <c r="AJ125" s="126"/>
    </row>
    <row r="126">
      <c r="A126" s="126">
        <f>IFERROR(__xludf.DUMMYFUNCTION("""COMPUTED_VALUE"""),241.0)</f>
        <v>241</v>
      </c>
      <c r="B126" s="126" t="str">
        <f>IFERROR(__xludf.DUMMYFUNCTION("""COMPUTED_VALUE"""),"Joint server and network energy saving in data centers for latency-sensitive applications")</f>
        <v>Joint server and network energy saving in data centers for latency-sensitive applications</v>
      </c>
      <c r="C126" s="127" t="str">
        <f>IFERROR(__xludf.DUMMYFUNCTION("""COMPUTED_VALUE"""),"https://ieeexplore.ieee.org/abstract/document/8425223/")</f>
        <v>https://ieeexplore.ieee.org/abstract/document/8425223/</v>
      </c>
      <c r="D126" s="131" t="str">
        <f>IFERROR(__xludf.DUMMYFUNCTION("""COMPUTED_VALUE"""),"L Zhou, CH Chou, LN Bhuyan…")</f>
        <v>L Zhou, CH Chou, LN Bhuyan…</v>
      </c>
      <c r="E126" s="131" t="str">
        <f>IFERROR(__xludf.DUMMYFUNCTION("""COMPUTED_VALUE"""),"Institute of Electrical and Electronics Engineers")</f>
        <v>Institute of Electrical and Electronics Engineers</v>
      </c>
      <c r="F126" s="126" t="str">
        <f>IFERROR(__xludf.DUMMYFUNCTION("""COMPUTED_VALUE"""),"IEEE Xplore")</f>
        <v>IEEE Xplore</v>
      </c>
      <c r="G126" s="128"/>
      <c r="H126" s="129">
        <f>IFERROR(__xludf.DUMMYFUNCTION("""COMPUTED_VALUE"""),2018.0)</f>
        <v>2018</v>
      </c>
      <c r="I126" s="129">
        <f>IFERROR(__xludf.DUMMYFUNCTION("""COMPUTED_VALUE"""),1.0)</f>
        <v>1</v>
      </c>
      <c r="J126" s="130">
        <f>IFERROR(__xludf.DUMMYFUNCTION("""COMPUTED_VALUE"""),1.0)</f>
        <v>1</v>
      </c>
      <c r="K126" s="130">
        <f>IFERROR(__xludf.DUMMYFUNCTION("""COMPUTED_VALUE"""),1.0)</f>
        <v>1</v>
      </c>
      <c r="L126" s="129">
        <f>IFERROR(__xludf.DUMMYFUNCTION("""COMPUTED_VALUE"""),1.0)</f>
        <v>1</v>
      </c>
      <c r="M126" s="130">
        <f>IFERROR(__xludf.DUMMYFUNCTION("""COMPUTED_VALUE"""),1.0)</f>
        <v>1</v>
      </c>
      <c r="N126" s="130">
        <f>IFERROR(__xludf.DUMMYFUNCTION("""COMPUTED_VALUE"""),0.0)</f>
        <v>0</v>
      </c>
      <c r="O126" s="130">
        <f>IFERROR(__xludf.DUMMYFUNCTION("""COMPUTED_VALUE"""),0.0)</f>
        <v>0</v>
      </c>
      <c r="P126" s="130">
        <f>IFERROR(__xludf.DUMMYFUNCTION("""COMPUTED_VALUE"""),0.0)</f>
        <v>0</v>
      </c>
      <c r="Q126" s="130">
        <f>IFERROR(__xludf.DUMMYFUNCTION("""COMPUTED_VALUE"""),0.0)</f>
        <v>0</v>
      </c>
      <c r="R126" s="130">
        <f>IFERROR(__xludf.DUMMYFUNCTION("""COMPUTED_VALUE"""),0.0)</f>
        <v>0</v>
      </c>
      <c r="S126" s="130">
        <f>IFERROR(__xludf.DUMMYFUNCTION("""COMPUTED_VALUE"""),0.0)</f>
        <v>0</v>
      </c>
      <c r="T126" s="130">
        <f>IFERROR(__xludf.DUMMYFUNCTION("""COMPUTED_VALUE"""),0.0)</f>
        <v>0</v>
      </c>
      <c r="U126" s="130">
        <f>IFERROR(__xludf.DUMMYFUNCTION("""COMPUTED_VALUE"""),0.0)</f>
        <v>0</v>
      </c>
      <c r="V126" s="130">
        <f>IFERROR(__xludf.DUMMYFUNCTION("""COMPUTED_VALUE"""),0.0)</f>
        <v>0</v>
      </c>
      <c r="W126" s="131" t="str">
        <f>IFERROR(__xludf.DUMMYFUNCTION("""COMPUTED_VALUE"""),"Yes")</f>
        <v>Yes</v>
      </c>
      <c r="X126" s="131" t="str">
        <f>IFERROR(__xludf.DUMMYFUNCTION("""COMPUTED_VALUE"""),"Yes")</f>
        <v>Yes</v>
      </c>
      <c r="Y126" s="131" t="str">
        <f>IFERROR(__xludf.DUMMYFUNCTION("""COMPUTED_VALUE"""),"C")</f>
        <v>C</v>
      </c>
      <c r="Z126" s="131" t="str">
        <f>IFERROR(__xludf.DUMMYFUNCTION("""COMPUTED_VALUE"""),"networking optimization algorithms")</f>
        <v>networking optimization algorithms</v>
      </c>
      <c r="AA126" s="131"/>
      <c r="AB126" s="131"/>
      <c r="AC126" s="131"/>
      <c r="AD126" s="131"/>
      <c r="AE126" s="131"/>
      <c r="AF126" s="131"/>
      <c r="AG126" s="131"/>
      <c r="AH126" s="131"/>
      <c r="AI126" s="131"/>
      <c r="AJ126" s="131"/>
    </row>
    <row r="127">
      <c r="A127" s="126">
        <f>IFERROR(__xludf.DUMMYFUNCTION("""COMPUTED_VALUE"""),246.0)</f>
        <v>246</v>
      </c>
      <c r="B127" s="126" t="str">
        <f>IFERROR(__xludf.DUMMYFUNCTION("""COMPUTED_VALUE"""),"Efficient vCPU Utilization for Reducing Energy Consumption in Cloud Data Centers")</f>
        <v>Efficient vCPU Utilization for Reducing Energy Consumption in Cloud Data Centers</v>
      </c>
      <c r="C127" s="127" t="str">
        <f>IFERROR(__xludf.DUMMYFUNCTION("""COMPUTED_VALUE"""),"https://dl.acm.org/doi/abs/10.1145/3436829.3436867")</f>
        <v>https://dl.acm.org/doi/abs/10.1145/3436829.3436867</v>
      </c>
      <c r="D127" s="126" t="str">
        <f>IFERROR(__xludf.DUMMYFUNCTION("""COMPUTED_VALUE"""),"NN Behiya, RA Ahmed")</f>
        <v>NN Behiya, RA Ahmed</v>
      </c>
      <c r="E127" s="126" t="str">
        <f>IFERROR(__xludf.DUMMYFUNCTION("""COMPUTED_VALUE"""),"Association for Computing Machinery")</f>
        <v>Association for Computing Machinery</v>
      </c>
      <c r="F127" s="126" t="str">
        <f>IFERROR(__xludf.DUMMYFUNCTION("""COMPUTED_VALUE"""),"ACM")</f>
        <v>ACM</v>
      </c>
      <c r="G127" s="128" t="str">
        <f>IFERROR(__xludf.DUMMYFUNCTION("""COMPUTED_VALUE"""),"C")</f>
        <v>C</v>
      </c>
      <c r="H127" s="130">
        <f>IFERROR(__xludf.DUMMYFUNCTION("""COMPUTED_VALUE"""),2020.0)</f>
        <v>2020</v>
      </c>
      <c r="I127" s="129">
        <f>IFERROR(__xludf.DUMMYFUNCTION("""COMPUTED_VALUE"""),0.0)</f>
        <v>0</v>
      </c>
      <c r="J127" s="130">
        <f>IFERROR(__xludf.DUMMYFUNCTION("""COMPUTED_VALUE"""),1.0)</f>
        <v>1</v>
      </c>
      <c r="K127" s="130">
        <f>IFERROR(__xludf.DUMMYFUNCTION("""COMPUTED_VALUE"""),1.0)</f>
        <v>1</v>
      </c>
      <c r="L127" s="130">
        <f>IFERROR(__xludf.DUMMYFUNCTION("""COMPUTED_VALUE"""),1.0)</f>
        <v>1</v>
      </c>
      <c r="M127" s="130">
        <f>IFERROR(__xludf.DUMMYFUNCTION("""COMPUTED_VALUE"""),1.0)</f>
        <v>1</v>
      </c>
      <c r="N127" s="130">
        <f>IFERROR(__xludf.DUMMYFUNCTION("""COMPUTED_VALUE"""),0.0)</f>
        <v>0</v>
      </c>
      <c r="O127" s="130">
        <f>IFERROR(__xludf.DUMMYFUNCTION("""COMPUTED_VALUE"""),0.0)</f>
        <v>0</v>
      </c>
      <c r="P127" s="130">
        <f>IFERROR(__xludf.DUMMYFUNCTION("""COMPUTED_VALUE"""),0.0)</f>
        <v>0</v>
      </c>
      <c r="Q127" s="130">
        <f>IFERROR(__xludf.DUMMYFUNCTION("""COMPUTED_VALUE"""),0.0)</f>
        <v>0</v>
      </c>
      <c r="R127" s="130">
        <f>IFERROR(__xludf.DUMMYFUNCTION("""COMPUTED_VALUE"""),0.0)</f>
        <v>0</v>
      </c>
      <c r="S127" s="130">
        <f>IFERROR(__xludf.DUMMYFUNCTION("""COMPUTED_VALUE"""),0.0)</f>
        <v>0</v>
      </c>
      <c r="T127" s="130">
        <f>IFERROR(__xludf.DUMMYFUNCTION("""COMPUTED_VALUE"""),0.0)</f>
        <v>0</v>
      </c>
      <c r="U127" s="130">
        <f>IFERROR(__xludf.DUMMYFUNCTION("""COMPUTED_VALUE"""),0.0)</f>
        <v>0</v>
      </c>
      <c r="V127" s="130">
        <f>IFERROR(__xludf.DUMMYFUNCTION("""COMPUTED_VALUE"""),0.0)</f>
        <v>0</v>
      </c>
      <c r="W127" s="131" t="str">
        <f>IFERROR(__xludf.DUMMYFUNCTION("""COMPUTED_VALUE"""),"No")</f>
        <v>No</v>
      </c>
      <c r="X127" s="131" t="str">
        <f>IFERROR(__xludf.DUMMYFUNCTION("""COMPUTED_VALUE"""),"Yes")</f>
        <v>Yes</v>
      </c>
      <c r="Y127" s="131" t="str">
        <f>IFERROR(__xludf.DUMMYFUNCTION("""COMPUTED_VALUE"""),"C")</f>
        <v>C</v>
      </c>
      <c r="Z127" s="131" t="str">
        <f>IFERROR(__xludf.DUMMYFUNCTION("""COMPUTED_VALUE"""),"no strategy")</f>
        <v>no strategy</v>
      </c>
      <c r="AA127" s="131"/>
      <c r="AB127" s="131"/>
      <c r="AC127" s="131"/>
      <c r="AD127" s="131"/>
      <c r="AE127" s="131"/>
      <c r="AF127" s="131"/>
      <c r="AG127" s="131"/>
      <c r="AH127" s="131"/>
      <c r="AI127" s="131"/>
      <c r="AJ127" s="131"/>
    </row>
    <row r="128">
      <c r="A128" s="126">
        <f>IFERROR(__xludf.DUMMYFUNCTION("""COMPUTED_VALUE"""),248.0)</f>
        <v>248</v>
      </c>
      <c r="B128" s="126" t="str">
        <f>IFERROR(__xludf.DUMMYFUNCTION("""COMPUTED_VALUE"""),"Erlang Based Server Selection Scheme Using Software Defined Networking in Datacenter for Energy Conservation")</f>
        <v>Erlang Based Server Selection Scheme Using Software Defined Networking in Datacenter for Energy Conservation</v>
      </c>
      <c r="C128" s="127" t="str">
        <f>IFERROR(__xludf.DUMMYFUNCTION("""COMPUTED_VALUE"""),"https://ieeexplore.ieee.org/abstract/document/8991670/")</f>
        <v>https://ieeexplore.ieee.org/abstract/document/8991670/</v>
      </c>
      <c r="D128" s="126" t="str">
        <f>IFERROR(__xludf.DUMMYFUNCTION("""COMPUTED_VALUE"""),"A Husen, I Raza, SA Hussain")</f>
        <v>A Husen, I Raza, SA Hussain</v>
      </c>
      <c r="E128" s="126" t="str">
        <f>IFERROR(__xludf.DUMMYFUNCTION("""COMPUTED_VALUE"""),"Institute of Electrical and Electronics Engineers")</f>
        <v>Institute of Electrical and Electronics Engineers</v>
      </c>
      <c r="F128" s="126" t="str">
        <f>IFERROR(__xludf.DUMMYFUNCTION("""COMPUTED_VALUE"""),"IEEE Xplore")</f>
        <v>IEEE Xplore</v>
      </c>
      <c r="G128" s="128"/>
      <c r="H128" s="130">
        <f>IFERROR(__xludf.DUMMYFUNCTION("""COMPUTED_VALUE"""),2019.0)</f>
        <v>2019</v>
      </c>
      <c r="I128" s="130">
        <f>IFERROR(__xludf.DUMMYFUNCTION("""COMPUTED_VALUE"""),1.0)</f>
        <v>1</v>
      </c>
      <c r="J128" s="130">
        <f>IFERROR(__xludf.DUMMYFUNCTION("""COMPUTED_VALUE"""),1.0)</f>
        <v>1</v>
      </c>
      <c r="K128" s="129">
        <f>IFERROR(__xludf.DUMMYFUNCTION("""COMPUTED_VALUE"""),1.0)</f>
        <v>1</v>
      </c>
      <c r="L128" s="129">
        <f>IFERROR(__xludf.DUMMYFUNCTION("""COMPUTED_VALUE"""),1.0)</f>
        <v>1</v>
      </c>
      <c r="M128" s="130">
        <f>IFERROR(__xludf.DUMMYFUNCTION("""COMPUTED_VALUE"""),1.0)</f>
        <v>1</v>
      </c>
      <c r="N128" s="130">
        <f>IFERROR(__xludf.DUMMYFUNCTION("""COMPUTED_VALUE"""),0.0)</f>
        <v>0</v>
      </c>
      <c r="O128" s="130">
        <f>IFERROR(__xludf.DUMMYFUNCTION("""COMPUTED_VALUE"""),0.0)</f>
        <v>0</v>
      </c>
      <c r="P128" s="130">
        <f>IFERROR(__xludf.DUMMYFUNCTION("""COMPUTED_VALUE"""),0.0)</f>
        <v>0</v>
      </c>
      <c r="Q128" s="130">
        <f>IFERROR(__xludf.DUMMYFUNCTION("""COMPUTED_VALUE"""),0.0)</f>
        <v>0</v>
      </c>
      <c r="R128" s="130">
        <f>IFERROR(__xludf.DUMMYFUNCTION("""COMPUTED_VALUE"""),0.0)</f>
        <v>0</v>
      </c>
      <c r="S128" s="130">
        <f>IFERROR(__xludf.DUMMYFUNCTION("""COMPUTED_VALUE"""),0.0)</f>
        <v>0</v>
      </c>
      <c r="T128" s="130">
        <f>IFERROR(__xludf.DUMMYFUNCTION("""COMPUTED_VALUE"""),0.0)</f>
        <v>0</v>
      </c>
      <c r="U128" s="130">
        <f>IFERROR(__xludf.DUMMYFUNCTION("""COMPUTED_VALUE"""),0.0)</f>
        <v>0</v>
      </c>
      <c r="V128" s="130">
        <f>IFERROR(__xludf.DUMMYFUNCTION("""COMPUTED_VALUE"""),0.0)</f>
        <v>0</v>
      </c>
      <c r="W128" s="131" t="str">
        <f>IFERROR(__xludf.DUMMYFUNCTION("""COMPUTED_VALUE"""),"Yes")</f>
        <v>Yes</v>
      </c>
      <c r="X128" s="131" t="str">
        <f>IFERROR(__xludf.DUMMYFUNCTION("""COMPUTED_VALUE"""),"Yes")</f>
        <v>Yes</v>
      </c>
      <c r="Y128" s="131" t="str">
        <f>IFERROR(__xludf.DUMMYFUNCTION("""COMPUTED_VALUE"""),"C")</f>
        <v>C</v>
      </c>
      <c r="Z128" s="131" t="str">
        <f>IFERROR(__xludf.DUMMYFUNCTION("""COMPUTED_VALUE"""),"server selection through networking")</f>
        <v>server selection through networking</v>
      </c>
      <c r="AA128" s="131"/>
      <c r="AB128" s="131"/>
      <c r="AC128" s="131"/>
      <c r="AD128" s="131"/>
      <c r="AE128" s="131"/>
      <c r="AF128" s="131"/>
      <c r="AG128" s="131"/>
      <c r="AH128" s="131"/>
      <c r="AI128" s="131"/>
      <c r="AJ128" s="131"/>
    </row>
    <row r="129">
      <c r="A129" s="126">
        <f>IFERROR(__xludf.DUMMYFUNCTION("""COMPUTED_VALUE"""),251.0)</f>
        <v>251</v>
      </c>
      <c r="B129" s="126" t="str">
        <f>IFERROR(__xludf.DUMMYFUNCTION("""COMPUTED_VALUE"""),"Energy Saving Heuristics for Optimization of Cloud Data Center")</f>
        <v>Energy Saving Heuristics for Optimization of Cloud Data Center</v>
      </c>
      <c r="C129" s="127" t="str">
        <f>IFERROR(__xludf.DUMMYFUNCTION("""COMPUTED_VALUE"""),"https://ieeexplore.ieee.org/abstract/document/9117280/")</f>
        <v>https://ieeexplore.ieee.org/abstract/document/9117280/</v>
      </c>
      <c r="D129" s="126" t="str">
        <f>IFERROR(__xludf.DUMMYFUNCTION("""COMPUTED_VALUE"""),"S Saxena, MZ Khan, R Singh")</f>
        <v>S Saxena, MZ Khan, R Singh</v>
      </c>
      <c r="E129" s="126" t="str">
        <f>IFERROR(__xludf.DUMMYFUNCTION("""COMPUTED_VALUE"""),"Institute of Electrical and Electronics Engineers")</f>
        <v>Institute of Electrical and Electronics Engineers</v>
      </c>
      <c r="F129" s="126" t="str">
        <f>IFERROR(__xludf.DUMMYFUNCTION("""COMPUTED_VALUE"""),"IEEE Xplore")</f>
        <v>IEEE Xplore</v>
      </c>
      <c r="G129" s="128"/>
      <c r="H129" s="130">
        <f>IFERROR(__xludf.DUMMYFUNCTION("""COMPUTED_VALUE"""),2019.0)</f>
        <v>2019</v>
      </c>
      <c r="I129" s="130">
        <f>IFERROR(__xludf.DUMMYFUNCTION("""COMPUTED_VALUE"""),1.0)</f>
        <v>1</v>
      </c>
      <c r="J129" s="130"/>
      <c r="K129" s="130"/>
      <c r="L129" s="130">
        <f>IFERROR(__xludf.DUMMYFUNCTION("""COMPUTED_VALUE"""),0.0)</f>
        <v>0</v>
      </c>
      <c r="M129" s="130">
        <f>IFERROR(__xludf.DUMMYFUNCTION("""COMPUTED_VALUE"""),1.0)</f>
        <v>1</v>
      </c>
      <c r="N129" s="130"/>
      <c r="O129" s="129">
        <f>IFERROR(__xludf.DUMMYFUNCTION("""COMPUTED_VALUE"""),0.0)</f>
        <v>0</v>
      </c>
      <c r="P129" s="130">
        <f>IFERROR(__xludf.DUMMYFUNCTION("""COMPUTED_VALUE"""),0.0)</f>
        <v>0</v>
      </c>
      <c r="Q129" s="130">
        <f>IFERROR(__xludf.DUMMYFUNCTION("""COMPUTED_VALUE"""),0.0)</f>
        <v>0</v>
      </c>
      <c r="R129" s="129">
        <f>IFERROR(__xludf.DUMMYFUNCTION("""COMPUTED_VALUE"""),0.0)</f>
        <v>0</v>
      </c>
      <c r="S129" s="129">
        <f>IFERROR(__xludf.DUMMYFUNCTION("""COMPUTED_VALUE"""),0.0)</f>
        <v>0</v>
      </c>
      <c r="T129" s="129">
        <f>IFERROR(__xludf.DUMMYFUNCTION("""COMPUTED_VALUE"""),0.0)</f>
        <v>0</v>
      </c>
      <c r="U129" s="129">
        <f>IFERROR(__xludf.DUMMYFUNCTION("""COMPUTED_VALUE"""),0.0)</f>
        <v>0</v>
      </c>
      <c r="V129" s="129">
        <f>IFERROR(__xludf.DUMMYFUNCTION("""COMPUTED_VALUE"""),0.0)</f>
        <v>0</v>
      </c>
      <c r="W129" s="126" t="str">
        <f>IFERROR(__xludf.DUMMYFUNCTION("""COMPUTED_VALUE"""),"No")</f>
        <v>No</v>
      </c>
      <c r="X129" s="126" t="str">
        <f>IFERROR(__xludf.DUMMYFUNCTION("""COMPUTED_VALUE"""),"Yes")</f>
        <v>Yes</v>
      </c>
      <c r="Y129" s="126" t="str">
        <f>IFERROR(__xludf.DUMMYFUNCTION("""COMPUTED_VALUE"""),"C")</f>
        <v>C</v>
      </c>
      <c r="Z129" s="126" t="str">
        <f>IFERROR(__xludf.DUMMYFUNCTION("""COMPUTED_VALUE"""),"no evaluation")</f>
        <v>no evaluation</v>
      </c>
      <c r="AA129" s="126"/>
      <c r="AB129" s="126"/>
      <c r="AC129" s="126"/>
      <c r="AD129" s="126"/>
      <c r="AE129" s="126"/>
      <c r="AF129" s="126"/>
      <c r="AG129" s="126"/>
      <c r="AH129" s="126"/>
      <c r="AI129" s="126"/>
      <c r="AJ129" s="126"/>
    </row>
    <row r="130">
      <c r="A130" s="126">
        <f>IFERROR(__xludf.DUMMYFUNCTION("""COMPUTED_VALUE"""),257.0)</f>
        <v>257</v>
      </c>
      <c r="B130" s="126" t="str">
        <f>IFERROR(__xludf.DUMMYFUNCTION("""COMPUTED_VALUE"""),"DCSim: Cooling Energy Aware VM Allocation Framework for a Cloud Data Center")</f>
        <v>DCSim: Cooling Energy Aware VM Allocation Framework for a Cloud Data Center</v>
      </c>
      <c r="C130" s="127" t="str">
        <f>IFERROR(__xludf.DUMMYFUNCTION("""COMPUTED_VALUE"""),"https://ieeexplore.ieee.org/abstract/document/9079962/")</f>
        <v>https://ieeexplore.ieee.org/abstract/document/9079962/</v>
      </c>
      <c r="D130" s="131" t="str">
        <f>IFERROR(__xludf.DUMMYFUNCTION("""COMPUTED_VALUE"""),"P Bhandia, RS Anupindi, P Yekbote…")</f>
        <v>P Bhandia, RS Anupindi, P Yekbote…</v>
      </c>
      <c r="E130" s="131" t="str">
        <f>IFERROR(__xludf.DUMMYFUNCTION("""COMPUTED_VALUE"""),"Institute of Electrical and Electronics Engineers")</f>
        <v>Institute of Electrical and Electronics Engineers</v>
      </c>
      <c r="F130" s="126" t="str">
        <f>IFERROR(__xludf.DUMMYFUNCTION("""COMPUTED_VALUE"""),"IEEE Xplore")</f>
        <v>IEEE Xplore</v>
      </c>
      <c r="G130" s="128" t="str">
        <f>IFERROR(__xludf.DUMMYFUNCTION("""COMPUTED_VALUE"""),"C")</f>
        <v>C</v>
      </c>
      <c r="H130" s="129">
        <f>IFERROR(__xludf.DUMMYFUNCTION("""COMPUTED_VALUE"""),2019.0)</f>
        <v>2019</v>
      </c>
      <c r="I130" s="129">
        <f>IFERROR(__xludf.DUMMYFUNCTION("""COMPUTED_VALUE"""),1.0)</f>
        <v>1</v>
      </c>
      <c r="J130" s="130">
        <f>IFERROR(__xludf.DUMMYFUNCTION("""COMPUTED_VALUE"""),1.0)</f>
        <v>1</v>
      </c>
      <c r="K130" s="130">
        <f>IFERROR(__xludf.DUMMYFUNCTION("""COMPUTED_VALUE"""),0.0)</f>
        <v>0</v>
      </c>
      <c r="L130" s="129">
        <f>IFERROR(__xludf.DUMMYFUNCTION("""COMPUTED_VALUE"""),1.0)</f>
        <v>1</v>
      </c>
      <c r="M130" s="130">
        <f>IFERROR(__xludf.DUMMYFUNCTION("""COMPUTED_VALUE"""),1.0)</f>
        <v>1</v>
      </c>
      <c r="N130" s="130"/>
      <c r="O130" s="130">
        <f>IFERROR(__xludf.DUMMYFUNCTION("""COMPUTED_VALUE"""),1.0)</f>
        <v>1</v>
      </c>
      <c r="P130" s="130">
        <f>IFERROR(__xludf.DUMMYFUNCTION("""COMPUTED_VALUE"""),0.0)</f>
        <v>0</v>
      </c>
      <c r="Q130" s="130">
        <f>IFERROR(__xludf.DUMMYFUNCTION("""COMPUTED_VALUE"""),0.0)</f>
        <v>0</v>
      </c>
      <c r="R130" s="129">
        <f>IFERROR(__xludf.DUMMYFUNCTION("""COMPUTED_VALUE"""),0.0)</f>
        <v>0</v>
      </c>
      <c r="S130" s="129">
        <f>IFERROR(__xludf.DUMMYFUNCTION("""COMPUTED_VALUE"""),0.0)</f>
        <v>0</v>
      </c>
      <c r="T130" s="129">
        <f>IFERROR(__xludf.DUMMYFUNCTION("""COMPUTED_VALUE"""),0.0)</f>
        <v>0</v>
      </c>
      <c r="U130" s="129">
        <f>IFERROR(__xludf.DUMMYFUNCTION("""COMPUTED_VALUE"""),0.0)</f>
        <v>0</v>
      </c>
      <c r="V130" s="129">
        <f>IFERROR(__xludf.DUMMYFUNCTION("""COMPUTED_VALUE"""),0.0)</f>
        <v>0</v>
      </c>
      <c r="W130" s="126" t="str">
        <f>IFERROR(__xludf.DUMMYFUNCTION("""COMPUTED_VALUE"""),"No")</f>
        <v>No</v>
      </c>
      <c r="X130" s="126" t="str">
        <f>IFERROR(__xludf.DUMMYFUNCTION("""COMPUTED_VALUE"""),"Yes")</f>
        <v>Yes</v>
      </c>
      <c r="Y130" s="126" t="str">
        <f>IFERROR(__xludf.DUMMYFUNCTION("""COMPUTED_VALUE"""),"C")</f>
        <v>C</v>
      </c>
      <c r="Z130" s="126" t="str">
        <f>IFERROR(__xludf.DUMMYFUNCTION("""COMPUTED_VALUE"""),"cloudsim add on for cooling")</f>
        <v>cloudsim add on for cooling</v>
      </c>
      <c r="AA130" s="126"/>
      <c r="AB130" s="126"/>
      <c r="AC130" s="126"/>
      <c r="AD130" s="126"/>
      <c r="AE130" s="126"/>
      <c r="AF130" s="126"/>
      <c r="AG130" s="126"/>
      <c r="AH130" s="126"/>
      <c r="AI130" s="126"/>
      <c r="AJ130" s="126"/>
    </row>
    <row r="131">
      <c r="A131" s="126">
        <f>IFERROR(__xludf.DUMMYFUNCTION("""COMPUTED_VALUE"""),260.0)</f>
        <v>260</v>
      </c>
      <c r="B131" s="126" t="str">
        <f>IFERROR(__xludf.DUMMYFUNCTION("""COMPUTED_VALUE"""),"Energy-and locality-efficient multi-job scheduling based on MapReduce for heterogeneous datacenter")</f>
        <v>Energy-and locality-efficient multi-job scheduling based on MapReduce for heterogeneous datacenter</v>
      </c>
      <c r="C131" s="127" t="str">
        <f>IFERROR(__xludf.DUMMYFUNCTION("""COMPUTED_VALUE"""),"https://link.springer.com/article/10.1007/s11761-019-00273-x")</f>
        <v>https://link.springer.com/article/10.1007/s11761-019-00273-x</v>
      </c>
      <c r="D131" s="126" t="str">
        <f>IFERROR(__xludf.DUMMYFUNCTION("""COMPUTED_VALUE"""),"L Chen, ZH Liu")</f>
        <v>L Chen, ZH Liu</v>
      </c>
      <c r="E131" s="126" t="str">
        <f>IFERROR(__xludf.DUMMYFUNCTION("""COMPUTED_VALUE"""),"Springer")</f>
        <v>Springer</v>
      </c>
      <c r="F131" s="126" t="str">
        <f>IFERROR(__xludf.DUMMYFUNCTION("""COMPUTED_VALUE"""),"Springer")</f>
        <v>Springer</v>
      </c>
      <c r="G131" s="128" t="str">
        <f>IFERROR(__xludf.DUMMYFUNCTION("""COMPUTED_VALUE"""),"J")</f>
        <v>J</v>
      </c>
      <c r="H131" s="130">
        <f>IFERROR(__xludf.DUMMYFUNCTION("""COMPUTED_VALUE"""),2019.0)</f>
        <v>2019</v>
      </c>
      <c r="I131" s="130">
        <f>IFERROR(__xludf.DUMMYFUNCTION("""COMPUTED_VALUE"""),1.0)</f>
        <v>1</v>
      </c>
      <c r="J131" s="130">
        <f>IFERROR(__xludf.DUMMYFUNCTION("""COMPUTED_VALUE"""),1.0)</f>
        <v>1</v>
      </c>
      <c r="K131" s="129">
        <f>IFERROR(__xludf.DUMMYFUNCTION("""COMPUTED_VALUE"""),1.0)</f>
        <v>1</v>
      </c>
      <c r="L131" s="129">
        <f>IFERROR(__xludf.DUMMYFUNCTION("""COMPUTED_VALUE"""),1.0)</f>
        <v>1</v>
      </c>
      <c r="M131" s="130">
        <f>IFERROR(__xludf.DUMMYFUNCTION("""COMPUTED_VALUE"""),1.0)</f>
        <v>1</v>
      </c>
      <c r="N131" s="130">
        <f>IFERROR(__xludf.DUMMYFUNCTION("""COMPUTED_VALUE"""),0.0)</f>
        <v>0</v>
      </c>
      <c r="O131" s="130">
        <f>IFERROR(__xludf.DUMMYFUNCTION("""COMPUTED_VALUE"""),0.0)</f>
        <v>0</v>
      </c>
      <c r="P131" s="130">
        <f>IFERROR(__xludf.DUMMYFUNCTION("""COMPUTED_VALUE"""),0.0)</f>
        <v>0</v>
      </c>
      <c r="Q131" s="130">
        <f>IFERROR(__xludf.DUMMYFUNCTION("""COMPUTED_VALUE"""),0.0)</f>
        <v>0</v>
      </c>
      <c r="R131" s="130">
        <f>IFERROR(__xludf.DUMMYFUNCTION("""COMPUTED_VALUE"""),0.0)</f>
        <v>0</v>
      </c>
      <c r="S131" s="130">
        <f>IFERROR(__xludf.DUMMYFUNCTION("""COMPUTED_VALUE"""),0.0)</f>
        <v>0</v>
      </c>
      <c r="T131" s="130">
        <f>IFERROR(__xludf.DUMMYFUNCTION("""COMPUTED_VALUE"""),0.0)</f>
        <v>0</v>
      </c>
      <c r="U131" s="130">
        <f>IFERROR(__xludf.DUMMYFUNCTION("""COMPUTED_VALUE"""),0.0)</f>
        <v>0</v>
      </c>
      <c r="V131" s="130">
        <f>IFERROR(__xludf.DUMMYFUNCTION("""COMPUTED_VALUE"""),0.0)</f>
        <v>0</v>
      </c>
      <c r="W131" s="131" t="str">
        <f>IFERROR(__xludf.DUMMYFUNCTION("""COMPUTED_VALUE"""),"Yes")</f>
        <v>Yes</v>
      </c>
      <c r="X131" s="131" t="str">
        <f>IFERROR(__xludf.DUMMYFUNCTION("""COMPUTED_VALUE"""),"Yes")</f>
        <v>Yes</v>
      </c>
      <c r="Y131" s="131" t="str">
        <f>IFERROR(__xludf.DUMMYFUNCTION("""COMPUTED_VALUE"""),"C")</f>
        <v>C</v>
      </c>
      <c r="Z131" s="131" t="str">
        <f>IFERROR(__xludf.DUMMYFUNCTION("""COMPUTED_VALUE"""),"job scheduling")</f>
        <v>job scheduling</v>
      </c>
      <c r="AA131" s="131"/>
      <c r="AB131" s="131"/>
      <c r="AC131" s="131"/>
      <c r="AD131" s="131"/>
      <c r="AE131" s="131"/>
      <c r="AF131" s="131"/>
      <c r="AG131" s="131"/>
      <c r="AH131" s="131"/>
      <c r="AI131" s="131"/>
      <c r="AJ131" s="131"/>
    </row>
    <row r="132">
      <c r="A132" s="126">
        <f>IFERROR(__xludf.DUMMYFUNCTION("""COMPUTED_VALUE"""),261.0)</f>
        <v>261</v>
      </c>
      <c r="B132" s="126" t="str">
        <f>IFERROR(__xludf.DUMMYFUNCTION("""COMPUTED_VALUE"""),"Magnetic: Multi-agent machine learning-based approach for energy efficient dynamic consolidation in data centers")</f>
        <v>Magnetic: Multi-agent machine learning-based approach for energy efficient dynamic consolidation in data centers</v>
      </c>
      <c r="C132" s="127" t="str">
        <f>IFERROR(__xludf.DUMMYFUNCTION("""COMPUTED_VALUE"""),"https://ieeexplore.ieee.org/abstract/document/8727486/")</f>
        <v>https://ieeexplore.ieee.org/abstract/document/8727486/</v>
      </c>
      <c r="D132" s="131" t="str">
        <f>IFERROR(__xludf.DUMMYFUNCTION("""COMPUTED_VALUE"""),"K Haghshenas, A Pahlevan, M Zapater…")</f>
        <v>K Haghshenas, A Pahlevan, M Zapater…</v>
      </c>
      <c r="E132" s="131" t="str">
        <f>IFERROR(__xludf.DUMMYFUNCTION("""COMPUTED_VALUE"""),"Institute of Electrical and Electronics Engineers")</f>
        <v>Institute of Electrical and Electronics Engineers</v>
      </c>
      <c r="F132" s="126" t="str">
        <f>IFERROR(__xludf.DUMMYFUNCTION("""COMPUTED_VALUE"""),"IEEE Xplore")</f>
        <v>IEEE Xplore</v>
      </c>
      <c r="G132" s="128" t="str">
        <f>IFERROR(__xludf.DUMMYFUNCTION("""COMPUTED_VALUE"""),"J")</f>
        <v>J</v>
      </c>
      <c r="H132" s="130">
        <f>IFERROR(__xludf.DUMMYFUNCTION("""COMPUTED_VALUE"""),2019.0)</f>
        <v>2019</v>
      </c>
      <c r="I132" s="129">
        <f>IFERROR(__xludf.DUMMYFUNCTION("""COMPUTED_VALUE"""),1.0)</f>
        <v>1</v>
      </c>
      <c r="J132" s="129">
        <f>IFERROR(__xludf.DUMMYFUNCTION("""COMPUTED_VALUE"""),1.0)</f>
        <v>1</v>
      </c>
      <c r="K132" s="130">
        <f>IFERROR(__xludf.DUMMYFUNCTION("""COMPUTED_VALUE"""),1.0)</f>
        <v>1</v>
      </c>
      <c r="L132" s="130">
        <f>IFERROR(__xludf.DUMMYFUNCTION("""COMPUTED_VALUE"""),1.0)</f>
        <v>1</v>
      </c>
      <c r="M132" s="130">
        <f>IFERROR(__xludf.DUMMYFUNCTION("""COMPUTED_VALUE"""),1.0)</f>
        <v>1</v>
      </c>
      <c r="N132" s="130">
        <f>IFERROR(__xludf.DUMMYFUNCTION("""COMPUTED_VALUE"""),0.0)</f>
        <v>0</v>
      </c>
      <c r="O132" s="130">
        <f>IFERROR(__xludf.DUMMYFUNCTION("""COMPUTED_VALUE"""),0.0)</f>
        <v>0</v>
      </c>
      <c r="P132" s="130">
        <f>IFERROR(__xludf.DUMMYFUNCTION("""COMPUTED_VALUE"""),0.0)</f>
        <v>0</v>
      </c>
      <c r="Q132" s="130">
        <f>IFERROR(__xludf.DUMMYFUNCTION("""COMPUTED_VALUE"""),0.0)</f>
        <v>0</v>
      </c>
      <c r="R132" s="130">
        <f>IFERROR(__xludf.DUMMYFUNCTION("""COMPUTED_VALUE"""),0.0)</f>
        <v>0</v>
      </c>
      <c r="S132" s="130">
        <f>IFERROR(__xludf.DUMMYFUNCTION("""COMPUTED_VALUE"""),0.0)</f>
        <v>0</v>
      </c>
      <c r="T132" s="130">
        <f>IFERROR(__xludf.DUMMYFUNCTION("""COMPUTED_VALUE"""),0.0)</f>
        <v>0</v>
      </c>
      <c r="U132" s="130">
        <f>IFERROR(__xludf.DUMMYFUNCTION("""COMPUTED_VALUE"""),0.0)</f>
        <v>0</v>
      </c>
      <c r="V132" s="130">
        <f>IFERROR(__xludf.DUMMYFUNCTION("""COMPUTED_VALUE"""),0.0)</f>
        <v>0</v>
      </c>
      <c r="W132" s="131" t="str">
        <f>IFERROR(__xludf.DUMMYFUNCTION("""COMPUTED_VALUE"""),"Yes")</f>
        <v>Yes</v>
      </c>
      <c r="X132" s="131" t="str">
        <f>IFERROR(__xludf.DUMMYFUNCTION("""COMPUTED_VALUE"""),"Yes")</f>
        <v>Yes</v>
      </c>
      <c r="Y132" s="131" t="str">
        <f>IFERROR(__xludf.DUMMYFUNCTION("""COMPUTED_VALUE"""),"C")</f>
        <v>C</v>
      </c>
      <c r="Z132" s="131" t="str">
        <f>IFERROR(__xludf.DUMMYFUNCTION("""COMPUTED_VALUE"""),"VM consolidation by ML")</f>
        <v>VM consolidation by ML</v>
      </c>
      <c r="AA132" s="131"/>
      <c r="AB132" s="131"/>
      <c r="AC132" s="131"/>
      <c r="AD132" s="131"/>
      <c r="AE132" s="131"/>
      <c r="AF132" s="131"/>
      <c r="AG132" s="131"/>
      <c r="AH132" s="131"/>
      <c r="AI132" s="131"/>
      <c r="AJ132" s="131"/>
    </row>
    <row r="133">
      <c r="A133" s="126">
        <f>IFERROR(__xludf.DUMMYFUNCTION("""COMPUTED_VALUE"""),265.0)</f>
        <v>265</v>
      </c>
      <c r="B133" s="126" t="str">
        <f>IFERROR(__xludf.DUMMYFUNCTION("""COMPUTED_VALUE"""),"Network-Aware Dynamic VM Placement for Achieving Energy Efficient Greeny Data Centers")</f>
        <v>Network-Aware Dynamic VM Placement for Achieving Energy Efficient Greeny Data Centers</v>
      </c>
      <c r="C133" s="127" t="str">
        <f>IFERROR(__xludf.DUMMYFUNCTION("""COMPUTED_VALUE"""),"http://www.academia.edu/download/62232693/network-aware-dynamic-vm-placement-for-achieving-energy-efficient-greeny-data-centers-IJERTCONV8IS0201020200229-80968-1kl6osa.pdf")</f>
        <v>http://www.academia.edu/download/62232693/network-aware-dynamic-vm-placement-for-achieving-energy-efficient-greeny-data-centers-IJERTCONV8IS0201020200229-80968-1kl6osa.pdf</v>
      </c>
      <c r="D133" s="126" t="str">
        <f>IFERROR(__xludf.DUMMYFUNCTION("""COMPUTED_VALUE"""),"E Kalpana, EK Reddy")</f>
        <v>E Kalpana, EK Reddy</v>
      </c>
      <c r="E133" s="126" t="str">
        <f>IFERROR(__xludf.DUMMYFUNCTION("""COMPUTED_VALUE"""),"International Journal of Engineering Research &amp; Technology")</f>
        <v>International Journal of Engineering Research &amp; Technology</v>
      </c>
      <c r="F133" s="126" t="str">
        <f>IFERROR(__xludf.DUMMYFUNCTION("""COMPUTED_VALUE"""),"IJERT")</f>
        <v>IJERT</v>
      </c>
      <c r="G133" s="126" t="str">
        <f>IFERROR(__xludf.DUMMYFUNCTION("""COMPUTED_VALUE"""),"C")</f>
        <v>C</v>
      </c>
      <c r="H133" s="129">
        <f>IFERROR(__xludf.DUMMYFUNCTION("""COMPUTED_VALUE"""),2020.0)</f>
        <v>2020</v>
      </c>
      <c r="I133" s="129">
        <f>IFERROR(__xludf.DUMMYFUNCTION("""COMPUTED_VALUE"""),1.0)</f>
        <v>1</v>
      </c>
      <c r="J133" s="129">
        <f>IFERROR(__xludf.DUMMYFUNCTION("""COMPUTED_VALUE"""),1.0)</f>
        <v>1</v>
      </c>
      <c r="K133" s="129">
        <f>IFERROR(__xludf.DUMMYFUNCTION("""COMPUTED_VALUE"""),1.0)</f>
        <v>1</v>
      </c>
      <c r="L133" s="129">
        <f>IFERROR(__xludf.DUMMYFUNCTION("""COMPUTED_VALUE"""),0.0)</f>
        <v>0</v>
      </c>
      <c r="M133" s="129">
        <f>IFERROR(__xludf.DUMMYFUNCTION("""COMPUTED_VALUE"""),1.0)</f>
        <v>1</v>
      </c>
      <c r="N133" s="129">
        <f>IFERROR(__xludf.DUMMYFUNCTION("""COMPUTED_VALUE"""),0.0)</f>
        <v>0</v>
      </c>
      <c r="O133" s="129">
        <f>IFERROR(__xludf.DUMMYFUNCTION("""COMPUTED_VALUE"""),0.0)</f>
        <v>0</v>
      </c>
      <c r="P133" s="129">
        <f>IFERROR(__xludf.DUMMYFUNCTION("""COMPUTED_VALUE"""),0.0)</f>
        <v>0</v>
      </c>
      <c r="Q133" s="129">
        <f>IFERROR(__xludf.DUMMYFUNCTION("""COMPUTED_VALUE"""),0.0)</f>
        <v>0</v>
      </c>
      <c r="R133" s="129">
        <f>IFERROR(__xludf.DUMMYFUNCTION("""COMPUTED_VALUE"""),0.0)</f>
        <v>0</v>
      </c>
      <c r="S133" s="129">
        <f>IFERROR(__xludf.DUMMYFUNCTION("""COMPUTED_VALUE"""),0.0)</f>
        <v>0</v>
      </c>
      <c r="T133" s="129">
        <f>IFERROR(__xludf.DUMMYFUNCTION("""COMPUTED_VALUE"""),0.0)</f>
        <v>0</v>
      </c>
      <c r="U133" s="129">
        <f>IFERROR(__xludf.DUMMYFUNCTION("""COMPUTED_VALUE"""),0.0)</f>
        <v>0</v>
      </c>
      <c r="V133" s="129">
        <f>IFERROR(__xludf.DUMMYFUNCTION("""COMPUTED_VALUE"""),0.0)</f>
        <v>0</v>
      </c>
      <c r="W133" s="126" t="str">
        <f>IFERROR(__xludf.DUMMYFUNCTION("""COMPUTED_VALUE"""),"No")</f>
        <v>No</v>
      </c>
      <c r="X133" s="126" t="str">
        <f>IFERROR(__xludf.DUMMYFUNCTION("""COMPUTED_VALUE"""),"Yes")</f>
        <v>Yes</v>
      </c>
      <c r="Y133" s="126" t="str">
        <f>IFERROR(__xludf.DUMMYFUNCTION("""COMPUTED_VALUE"""),"C")</f>
        <v>C</v>
      </c>
      <c r="Z133" s="126" t="str">
        <f>IFERROR(__xludf.DUMMYFUNCTION("""COMPUTED_VALUE"""),"No evaluation")</f>
        <v>No evaluation</v>
      </c>
      <c r="AA133" s="126"/>
      <c r="AB133" s="126"/>
      <c r="AC133" s="126"/>
      <c r="AD133" s="126"/>
      <c r="AE133" s="126"/>
      <c r="AF133" s="126"/>
      <c r="AG133" s="126"/>
      <c r="AH133" s="126"/>
      <c r="AI133" s="126"/>
      <c r="AJ133" s="126"/>
    </row>
    <row r="134">
      <c r="A134" s="126">
        <f>IFERROR(__xludf.DUMMYFUNCTION("""COMPUTED_VALUE"""),266.0)</f>
        <v>266</v>
      </c>
      <c r="B134" s="126" t="str">
        <f>IFERROR(__xludf.DUMMYFUNCTION("""COMPUTED_VALUE"""),"An energy-efficient VM placement method for cloud data centers using a hybrid genetic algorithm")</f>
        <v>An energy-efficient VM placement method for cloud data centers using a hybrid genetic algorithm</v>
      </c>
      <c r="C134" s="127" t="str">
        <f>IFERROR(__xludf.DUMMYFUNCTION("""COMPUTED_VALUE"""),"https://www.emerald.com/insight/content/doi/10.1108/JSIT-10-2017-0089/full/html")</f>
        <v>https://www.emerald.com/insight/content/doi/10.1108/JSIT-10-2017-0089/full/html</v>
      </c>
      <c r="D134" s="131" t="str">
        <f>IFERROR(__xludf.DUMMYFUNCTION("""COMPUTED_VALUE"""),"MA Kaaouache, S Bouamama")</f>
        <v>MA Kaaouache, S Bouamama</v>
      </c>
      <c r="E134" s="131" t="str">
        <f>IFERROR(__xludf.DUMMYFUNCTION("""COMPUTED_VALUE"""),"Journal of Systems and Information Technology")</f>
        <v>Journal of Systems and Information Technology</v>
      </c>
      <c r="F134" s="126" t="str">
        <f>IFERROR(__xludf.DUMMYFUNCTION("""COMPUTED_VALUE"""),"JSIT")</f>
        <v>JSIT</v>
      </c>
      <c r="G134" s="128" t="str">
        <f>IFERROR(__xludf.DUMMYFUNCTION("""COMPUTED_VALUE"""),"J")</f>
        <v>J</v>
      </c>
      <c r="H134" s="130">
        <f>IFERROR(__xludf.DUMMYFUNCTION("""COMPUTED_VALUE"""),2018.0)</f>
        <v>2018</v>
      </c>
      <c r="I134" s="130">
        <f>IFERROR(__xludf.DUMMYFUNCTION("""COMPUTED_VALUE"""),1.0)</f>
        <v>1</v>
      </c>
      <c r="J134" s="130">
        <f>IFERROR(__xludf.DUMMYFUNCTION("""COMPUTED_VALUE"""),1.0)</f>
        <v>1</v>
      </c>
      <c r="K134" s="130">
        <f>IFERROR(__xludf.DUMMYFUNCTION("""COMPUTED_VALUE"""),1.0)</f>
        <v>1</v>
      </c>
      <c r="L134" s="129">
        <f>IFERROR(__xludf.DUMMYFUNCTION("""COMPUTED_VALUE"""),1.0)</f>
        <v>1</v>
      </c>
      <c r="M134" s="130">
        <f>IFERROR(__xludf.DUMMYFUNCTION("""COMPUTED_VALUE"""),1.0)</f>
        <v>1</v>
      </c>
      <c r="N134" s="130">
        <f>IFERROR(__xludf.DUMMYFUNCTION("""COMPUTED_VALUE"""),0.0)</f>
        <v>0</v>
      </c>
      <c r="O134" s="130">
        <f>IFERROR(__xludf.DUMMYFUNCTION("""COMPUTED_VALUE"""),0.0)</f>
        <v>0</v>
      </c>
      <c r="P134" s="130">
        <f>IFERROR(__xludf.DUMMYFUNCTION("""COMPUTED_VALUE"""),0.0)</f>
        <v>0</v>
      </c>
      <c r="Q134" s="130">
        <f>IFERROR(__xludf.DUMMYFUNCTION("""COMPUTED_VALUE"""),0.0)</f>
        <v>0</v>
      </c>
      <c r="R134" s="129">
        <f>IFERROR(__xludf.DUMMYFUNCTION("""COMPUTED_VALUE"""),0.0)</f>
        <v>0</v>
      </c>
      <c r="S134" s="129">
        <f>IFERROR(__xludf.DUMMYFUNCTION("""COMPUTED_VALUE"""),0.0)</f>
        <v>0</v>
      </c>
      <c r="T134" s="129">
        <f>IFERROR(__xludf.DUMMYFUNCTION("""COMPUTED_VALUE"""),0.0)</f>
        <v>0</v>
      </c>
      <c r="U134" s="129">
        <f>IFERROR(__xludf.DUMMYFUNCTION("""COMPUTED_VALUE"""),0.0)</f>
        <v>0</v>
      </c>
      <c r="V134" s="129">
        <f>IFERROR(__xludf.DUMMYFUNCTION("""COMPUTED_VALUE"""),0.0)</f>
        <v>0</v>
      </c>
      <c r="W134" s="126" t="str">
        <f>IFERROR(__xludf.DUMMYFUNCTION("""COMPUTED_VALUE"""),"Yes")</f>
        <v>Yes</v>
      </c>
      <c r="X134" s="126" t="str">
        <f>IFERROR(__xludf.DUMMYFUNCTION("""COMPUTED_VALUE"""),"Yes")</f>
        <v>Yes</v>
      </c>
      <c r="Y134" s="126" t="str">
        <f>IFERROR(__xludf.DUMMYFUNCTION("""COMPUTED_VALUE"""),"C")</f>
        <v>C</v>
      </c>
      <c r="Z134" s="126" t="str">
        <f>IFERROR(__xludf.DUMMYFUNCTION("""COMPUTED_VALUE"""),"VM placement")</f>
        <v>VM placement</v>
      </c>
      <c r="AA134" s="126"/>
      <c r="AB134" s="126"/>
      <c r="AC134" s="126"/>
      <c r="AD134" s="126"/>
      <c r="AE134" s="126"/>
      <c r="AF134" s="126"/>
      <c r="AG134" s="126"/>
      <c r="AH134" s="126"/>
      <c r="AI134" s="126"/>
      <c r="AJ134" s="126"/>
    </row>
    <row r="135">
      <c r="A135" s="126">
        <f>IFERROR(__xludf.DUMMYFUNCTION("""COMPUTED_VALUE"""),273.0)</f>
        <v>273</v>
      </c>
      <c r="B135" s="126" t="str">
        <f>IFERROR(__xludf.DUMMYFUNCTION("""COMPUTED_VALUE"""),"Evaluating energy saving system of data centers based on AHP and fuzzy comprehensive evaluation model")</f>
        <v>Evaluating energy saving system of data centers based on AHP and fuzzy comprehensive evaluation model</v>
      </c>
      <c r="C135" s="127" t="str">
        <f>IFERROR(__xludf.DUMMYFUNCTION("""COMPUTED_VALUE"""),"https://iopscience.iop.org/article/10.1088/1757-899X/322/5/052037/meta")</f>
        <v>https://iopscience.iop.org/article/10.1088/1757-899X/322/5/052037/meta</v>
      </c>
      <c r="D135" s="126" t="str">
        <f>IFERROR(__xludf.DUMMYFUNCTION("""COMPUTED_VALUE"""),"Y Jiang")</f>
        <v>Y Jiang</v>
      </c>
      <c r="E135" s="126" t="str">
        <f>IFERROR(__xludf.DUMMYFUNCTION("""COMPUTED_VALUE"""),"IOP Conference Series")</f>
        <v>IOP Conference Series</v>
      </c>
      <c r="F135" s="126" t="str">
        <f>IFERROR(__xludf.DUMMYFUNCTION("""COMPUTED_VALUE"""),"IOP")</f>
        <v>IOP</v>
      </c>
      <c r="G135" s="126" t="str">
        <f>IFERROR(__xludf.DUMMYFUNCTION("""COMPUTED_VALUE"""),"C")</f>
        <v>C</v>
      </c>
      <c r="H135" s="129">
        <f>IFERROR(__xludf.DUMMYFUNCTION("""COMPUTED_VALUE"""),2018.0)</f>
        <v>2018</v>
      </c>
      <c r="I135" s="129"/>
      <c r="J135" s="129">
        <f>IFERROR(__xludf.DUMMYFUNCTION("""COMPUTED_VALUE"""),1.0)</f>
        <v>1</v>
      </c>
      <c r="K135" s="129">
        <f>IFERROR(__xludf.DUMMYFUNCTION("""COMPUTED_VALUE"""),0.0)</f>
        <v>0</v>
      </c>
      <c r="L135" s="129"/>
      <c r="M135" s="129">
        <f>IFERROR(__xludf.DUMMYFUNCTION("""COMPUTED_VALUE"""),1.0)</f>
        <v>1</v>
      </c>
      <c r="N135" s="129"/>
      <c r="O135" s="129"/>
      <c r="P135" s="129">
        <f>IFERROR(__xludf.DUMMYFUNCTION("""COMPUTED_VALUE"""),0.0)</f>
        <v>0</v>
      </c>
      <c r="Q135" s="129">
        <f>IFERROR(__xludf.DUMMYFUNCTION("""COMPUTED_VALUE"""),0.0)</f>
        <v>0</v>
      </c>
      <c r="R135" s="129">
        <f>IFERROR(__xludf.DUMMYFUNCTION("""COMPUTED_VALUE"""),0.0)</f>
        <v>0</v>
      </c>
      <c r="S135" s="129">
        <f>IFERROR(__xludf.DUMMYFUNCTION("""COMPUTED_VALUE"""),0.0)</f>
        <v>0</v>
      </c>
      <c r="T135" s="129">
        <f>IFERROR(__xludf.DUMMYFUNCTION("""COMPUTED_VALUE"""),0.0)</f>
        <v>0</v>
      </c>
      <c r="U135" s="129">
        <f>IFERROR(__xludf.DUMMYFUNCTION("""COMPUTED_VALUE"""),0.0)</f>
        <v>0</v>
      </c>
      <c r="V135" s="129">
        <f>IFERROR(__xludf.DUMMYFUNCTION("""COMPUTED_VALUE"""),0.0)</f>
        <v>0</v>
      </c>
      <c r="W135" s="126" t="str">
        <f>IFERROR(__xludf.DUMMYFUNCTION("""COMPUTED_VALUE"""),"No")</f>
        <v>No</v>
      </c>
      <c r="X135" s="126" t="str">
        <f>IFERROR(__xludf.DUMMYFUNCTION("""COMPUTED_VALUE"""),"Yes")</f>
        <v>Yes</v>
      </c>
      <c r="Y135" s="126" t="str">
        <f>IFERROR(__xludf.DUMMYFUNCTION("""COMPUTED_VALUE"""),"C")</f>
        <v>C</v>
      </c>
      <c r="Z135" s="126" t="str">
        <f>IFERROR(__xludf.DUMMYFUNCTION("""COMPUTED_VALUE"""),"EE eval technique about everything ")</f>
        <v>EE eval technique about everything </v>
      </c>
      <c r="AA135" s="126"/>
      <c r="AB135" s="126"/>
      <c r="AC135" s="126"/>
      <c r="AD135" s="126"/>
      <c r="AE135" s="126"/>
      <c r="AF135" s="126"/>
      <c r="AG135" s="126"/>
      <c r="AH135" s="126"/>
      <c r="AI135" s="126"/>
      <c r="AJ135" s="126"/>
    </row>
    <row r="136">
      <c r="A136" s="126">
        <f>IFERROR(__xludf.DUMMYFUNCTION("""COMPUTED_VALUE"""),275.0)</f>
        <v>275</v>
      </c>
      <c r="B136" s="126" t="str">
        <f>IFERROR(__xludf.DUMMYFUNCTION("""COMPUTED_VALUE"""),"Joint optimization of energy saving and load balancing for data center networks based on software defined networks")</f>
        <v>Joint optimization of energy saving and load balancing for data center networks based on software defined networks</v>
      </c>
      <c r="C136" s="127" t="str">
        <f>IFERROR(__xludf.DUMMYFUNCTION("""COMPUTED_VALUE"""),"https://onlinelibrary.wiley.com/doi/abs/10.1002/cpe.6134")</f>
        <v>https://onlinelibrary.wiley.com/doi/abs/10.1002/cpe.6134</v>
      </c>
      <c r="D136" s="131" t="str">
        <f>IFERROR(__xludf.DUMMYFUNCTION("""COMPUTED_VALUE"""),"Y He, Z Lu, J Lei, S Deng, X Gao")</f>
        <v>Y He, Z Lu, J Lei, S Deng, X Gao</v>
      </c>
      <c r="E136" s="131" t="str">
        <f>IFERROR(__xludf.DUMMYFUNCTION("""COMPUTED_VALUE"""),"Wiley Online Library")</f>
        <v>Wiley Online Library</v>
      </c>
      <c r="F136" s="126" t="str">
        <f>IFERROR(__xludf.DUMMYFUNCTION("""COMPUTED_VALUE"""),"Wiley")</f>
        <v>Wiley</v>
      </c>
      <c r="G136" s="128"/>
      <c r="H136" s="130">
        <f>IFERROR(__xludf.DUMMYFUNCTION("""COMPUTED_VALUE"""),2020.0)</f>
        <v>2020</v>
      </c>
      <c r="I136" s="130">
        <f>IFERROR(__xludf.DUMMYFUNCTION("""COMPUTED_VALUE"""),1.0)</f>
        <v>1</v>
      </c>
      <c r="J136" s="130">
        <f>IFERROR(__xludf.DUMMYFUNCTION("""COMPUTED_VALUE"""),1.0)</f>
        <v>1</v>
      </c>
      <c r="K136" s="130">
        <f>IFERROR(__xludf.DUMMYFUNCTION("""COMPUTED_VALUE"""),1.0)</f>
        <v>1</v>
      </c>
      <c r="L136" s="129">
        <f>IFERROR(__xludf.DUMMYFUNCTION("""COMPUTED_VALUE"""),1.0)</f>
        <v>1</v>
      </c>
      <c r="M136" s="130">
        <f>IFERROR(__xludf.DUMMYFUNCTION("""COMPUTED_VALUE"""),1.0)</f>
        <v>1</v>
      </c>
      <c r="N136" s="130">
        <f>IFERROR(__xludf.DUMMYFUNCTION("""COMPUTED_VALUE"""),0.0)</f>
        <v>0</v>
      </c>
      <c r="O136" s="130">
        <f>IFERROR(__xludf.DUMMYFUNCTION("""COMPUTED_VALUE"""),0.0)</f>
        <v>0</v>
      </c>
      <c r="P136" s="130">
        <f>IFERROR(__xludf.DUMMYFUNCTION("""COMPUTED_VALUE"""),0.0)</f>
        <v>0</v>
      </c>
      <c r="Q136" s="130">
        <f>IFERROR(__xludf.DUMMYFUNCTION("""COMPUTED_VALUE"""),0.0)</f>
        <v>0</v>
      </c>
      <c r="R136" s="130">
        <f>IFERROR(__xludf.DUMMYFUNCTION("""COMPUTED_VALUE"""),0.0)</f>
        <v>0</v>
      </c>
      <c r="S136" s="130">
        <f>IFERROR(__xludf.DUMMYFUNCTION("""COMPUTED_VALUE"""),0.0)</f>
        <v>0</v>
      </c>
      <c r="T136" s="130">
        <f>IFERROR(__xludf.DUMMYFUNCTION("""COMPUTED_VALUE"""),0.0)</f>
        <v>0</v>
      </c>
      <c r="U136" s="130">
        <f>IFERROR(__xludf.DUMMYFUNCTION("""COMPUTED_VALUE"""),0.0)</f>
        <v>0</v>
      </c>
      <c r="V136" s="130">
        <f>IFERROR(__xludf.DUMMYFUNCTION("""COMPUTED_VALUE"""),0.0)</f>
        <v>0</v>
      </c>
      <c r="W136" s="131" t="str">
        <f>IFERROR(__xludf.DUMMYFUNCTION("""COMPUTED_VALUE"""),"Yes")</f>
        <v>Yes</v>
      </c>
      <c r="X136" s="131" t="str">
        <f>IFERROR(__xludf.DUMMYFUNCTION("""COMPUTED_VALUE"""),"Yes")</f>
        <v>Yes</v>
      </c>
      <c r="Y136" s="131" t="str">
        <f>IFERROR(__xludf.DUMMYFUNCTION("""COMPUTED_VALUE"""),"C")</f>
        <v>C</v>
      </c>
      <c r="Z136" s="131" t="str">
        <f>IFERROR(__xludf.DUMMYFUNCTION("""COMPUTED_VALUE"""),"Traffic flow management")</f>
        <v>Traffic flow management</v>
      </c>
      <c r="AA136" s="131"/>
      <c r="AB136" s="131"/>
      <c r="AC136" s="131"/>
      <c r="AD136" s="131"/>
      <c r="AE136" s="131"/>
      <c r="AF136" s="131"/>
      <c r="AG136" s="131"/>
      <c r="AH136" s="131"/>
      <c r="AI136" s="131"/>
      <c r="AJ136" s="131"/>
    </row>
    <row r="137">
      <c r="A137" s="126">
        <f>IFERROR(__xludf.DUMMYFUNCTION("""COMPUTED_VALUE"""),276.0)</f>
        <v>276</v>
      </c>
      <c r="B137" s="126" t="str">
        <f>IFERROR(__xludf.DUMMYFUNCTION("""COMPUTED_VALUE"""),"Managing energy, performance and cost in large scale heterogeneous datacenters using migrations")</f>
        <v>Managing energy, performance and cost in large scale heterogeneous datacenters using migrations</v>
      </c>
      <c r="C137" s="127" t="str">
        <f>IFERROR(__xludf.DUMMYFUNCTION("""COMPUTED_VALUE"""),"https://www.sciencedirect.com/science/article/pii/S0167739X17326249")</f>
        <v>https://www.sciencedirect.com/science/article/pii/S0167739X17326249</v>
      </c>
      <c r="D137" s="126" t="str">
        <f>IFERROR(__xludf.DUMMYFUNCTION("""COMPUTED_VALUE"""),"M Zakarya, L Gillam")</f>
        <v>M Zakarya, L Gillam</v>
      </c>
      <c r="E137" s="126" t="str">
        <f>IFERROR(__xludf.DUMMYFUNCTION("""COMPUTED_VALUE"""),"Elsevier")</f>
        <v>Elsevier</v>
      </c>
      <c r="F137" s="126" t="str">
        <f>IFERROR(__xludf.DUMMYFUNCTION("""COMPUTED_VALUE"""),"Elsevier")</f>
        <v>Elsevier</v>
      </c>
      <c r="G137" s="128" t="str">
        <f>IFERROR(__xludf.DUMMYFUNCTION("""COMPUTED_VALUE"""),"J")</f>
        <v>J</v>
      </c>
      <c r="H137" s="130">
        <f>IFERROR(__xludf.DUMMYFUNCTION("""COMPUTED_VALUE"""),2019.0)</f>
        <v>2019</v>
      </c>
      <c r="I137" s="129">
        <f>IFERROR(__xludf.DUMMYFUNCTION("""COMPUTED_VALUE"""),1.0)</f>
        <v>1</v>
      </c>
      <c r="J137" s="130">
        <f>IFERROR(__xludf.DUMMYFUNCTION("""COMPUTED_VALUE"""),1.0)</f>
        <v>1</v>
      </c>
      <c r="K137" s="129">
        <f>IFERROR(__xludf.DUMMYFUNCTION("""COMPUTED_VALUE"""),1.0)</f>
        <v>1</v>
      </c>
      <c r="L137" s="130">
        <f>IFERROR(__xludf.DUMMYFUNCTION("""COMPUTED_VALUE"""),1.0)</f>
        <v>1</v>
      </c>
      <c r="M137" s="130">
        <f>IFERROR(__xludf.DUMMYFUNCTION("""COMPUTED_VALUE"""),1.0)</f>
        <v>1</v>
      </c>
      <c r="N137" s="130">
        <f>IFERROR(__xludf.DUMMYFUNCTION("""COMPUTED_VALUE"""),0.0)</f>
        <v>0</v>
      </c>
      <c r="O137" s="130">
        <f>IFERROR(__xludf.DUMMYFUNCTION("""COMPUTED_VALUE"""),0.0)</f>
        <v>0</v>
      </c>
      <c r="P137" s="130">
        <f>IFERROR(__xludf.DUMMYFUNCTION("""COMPUTED_VALUE"""),0.0)</f>
        <v>0</v>
      </c>
      <c r="Q137" s="130">
        <f>IFERROR(__xludf.DUMMYFUNCTION("""COMPUTED_VALUE"""),0.0)</f>
        <v>0</v>
      </c>
      <c r="R137" s="130">
        <f>IFERROR(__xludf.DUMMYFUNCTION("""COMPUTED_VALUE"""),0.0)</f>
        <v>0</v>
      </c>
      <c r="S137" s="130">
        <f>IFERROR(__xludf.DUMMYFUNCTION("""COMPUTED_VALUE"""),0.0)</f>
        <v>0</v>
      </c>
      <c r="T137" s="130">
        <f>IFERROR(__xludf.DUMMYFUNCTION("""COMPUTED_VALUE"""),0.0)</f>
        <v>0</v>
      </c>
      <c r="U137" s="130">
        <f>IFERROR(__xludf.DUMMYFUNCTION("""COMPUTED_VALUE"""),0.0)</f>
        <v>0</v>
      </c>
      <c r="V137" s="130">
        <f>IFERROR(__xludf.DUMMYFUNCTION("""COMPUTED_VALUE"""),0.0)</f>
        <v>0</v>
      </c>
      <c r="W137" s="131" t="str">
        <f>IFERROR(__xludf.DUMMYFUNCTION("""COMPUTED_VALUE"""),"Yes")</f>
        <v>Yes</v>
      </c>
      <c r="X137" s="131" t="str">
        <f>IFERROR(__xludf.DUMMYFUNCTION("""COMPUTED_VALUE"""),"Yes")</f>
        <v>Yes</v>
      </c>
      <c r="Y137" s="131" t="str">
        <f>IFERROR(__xludf.DUMMYFUNCTION("""COMPUTED_VALUE"""),"C")</f>
        <v>C</v>
      </c>
      <c r="Z137" s="131" t="str">
        <f>IFERROR(__xludf.DUMMYFUNCTION("""COMPUTED_VALUE"""),"VM")</f>
        <v>VM</v>
      </c>
      <c r="AA137" s="131"/>
      <c r="AB137" s="131"/>
      <c r="AC137" s="131"/>
      <c r="AD137" s="131"/>
      <c r="AE137" s="131"/>
      <c r="AF137" s="131"/>
      <c r="AG137" s="131"/>
      <c r="AH137" s="131"/>
      <c r="AI137" s="131"/>
      <c r="AJ137" s="131"/>
    </row>
    <row r="138">
      <c r="A138" s="126">
        <f>IFERROR(__xludf.DUMMYFUNCTION("""COMPUTED_VALUE"""),278.0)</f>
        <v>278</v>
      </c>
      <c r="B138" s="126" t="str">
        <f>IFERROR(__xludf.DUMMYFUNCTION("""COMPUTED_VALUE"""),"A big data-enabled consolidated framework for energy efficient software defined data centers in IoT setups")</f>
        <v>A big data-enabled consolidated framework for energy efficient software defined data centers in IoT setups</v>
      </c>
      <c r="C138" s="127" t="str">
        <f>IFERROR(__xludf.DUMMYFUNCTION("""COMPUTED_VALUE"""),"https://ieeexplore.ieee.org/abstract/document/8825507/")</f>
        <v>https://ieeexplore.ieee.org/abstract/document/8825507/</v>
      </c>
      <c r="D138" s="126" t="str">
        <f>IFERROR(__xludf.DUMMYFUNCTION("""COMPUTED_VALUE"""),"K Kaur, S Garg, G Kaddoum…")</f>
        <v>K Kaur, S Garg, G Kaddoum…</v>
      </c>
      <c r="E138" s="126" t="str">
        <f>IFERROR(__xludf.DUMMYFUNCTION("""COMPUTED_VALUE"""),"Institute of Electrical and Electronics Engineers")</f>
        <v>Institute of Electrical and Electronics Engineers</v>
      </c>
      <c r="F138" s="126" t="str">
        <f>IFERROR(__xludf.DUMMYFUNCTION("""COMPUTED_VALUE"""),"IEEE Xplore")</f>
        <v>IEEE Xplore</v>
      </c>
      <c r="G138" s="132" t="str">
        <f>IFERROR(__xludf.DUMMYFUNCTION("""COMPUTED_VALUE"""),"J")</f>
        <v>J</v>
      </c>
      <c r="H138" s="129">
        <f>IFERROR(__xludf.DUMMYFUNCTION("""COMPUTED_VALUE"""),2019.0)</f>
        <v>2019</v>
      </c>
      <c r="I138" s="129">
        <f>IFERROR(__xludf.DUMMYFUNCTION("""COMPUTED_VALUE"""),1.0)</f>
        <v>1</v>
      </c>
      <c r="J138" s="129">
        <f>IFERROR(__xludf.DUMMYFUNCTION("""COMPUTED_VALUE"""),1.0)</f>
        <v>1</v>
      </c>
      <c r="K138" s="130">
        <f>IFERROR(__xludf.DUMMYFUNCTION("""COMPUTED_VALUE"""),1.0)</f>
        <v>1</v>
      </c>
      <c r="L138" s="130">
        <f>IFERROR(__xludf.DUMMYFUNCTION("""COMPUTED_VALUE"""),1.0)</f>
        <v>1</v>
      </c>
      <c r="M138" s="130">
        <f>IFERROR(__xludf.DUMMYFUNCTION("""COMPUTED_VALUE"""),1.0)</f>
        <v>1</v>
      </c>
      <c r="N138" s="130">
        <f>IFERROR(__xludf.DUMMYFUNCTION("""COMPUTED_VALUE"""),0.0)</f>
        <v>0</v>
      </c>
      <c r="O138" s="130">
        <f>IFERROR(__xludf.DUMMYFUNCTION("""COMPUTED_VALUE"""),0.0)</f>
        <v>0</v>
      </c>
      <c r="P138" s="130">
        <f>IFERROR(__xludf.DUMMYFUNCTION("""COMPUTED_VALUE"""),0.0)</f>
        <v>0</v>
      </c>
      <c r="Q138" s="129">
        <f>IFERROR(__xludf.DUMMYFUNCTION("""COMPUTED_VALUE"""),0.0)</f>
        <v>0</v>
      </c>
      <c r="R138" s="129">
        <f>IFERROR(__xludf.DUMMYFUNCTION("""COMPUTED_VALUE"""),0.0)</f>
        <v>0</v>
      </c>
      <c r="S138" s="129">
        <f>IFERROR(__xludf.DUMMYFUNCTION("""COMPUTED_VALUE"""),0.0)</f>
        <v>0</v>
      </c>
      <c r="T138" s="129">
        <f>IFERROR(__xludf.DUMMYFUNCTION("""COMPUTED_VALUE"""),0.0)</f>
        <v>0</v>
      </c>
      <c r="U138" s="129">
        <f>IFERROR(__xludf.DUMMYFUNCTION("""COMPUTED_VALUE"""),0.0)</f>
        <v>0</v>
      </c>
      <c r="V138" s="129">
        <f>IFERROR(__xludf.DUMMYFUNCTION("""COMPUTED_VALUE"""),0.0)</f>
        <v>0</v>
      </c>
      <c r="W138" s="126" t="str">
        <f>IFERROR(__xludf.DUMMYFUNCTION("""COMPUTED_VALUE"""),"Yes")</f>
        <v>Yes</v>
      </c>
      <c r="X138" s="126" t="str">
        <f>IFERROR(__xludf.DUMMYFUNCTION("""COMPUTED_VALUE"""),"Yes")</f>
        <v>Yes</v>
      </c>
      <c r="Y138" s="126" t="str">
        <f>IFERROR(__xludf.DUMMYFUNCTION("""COMPUTED_VALUE"""),"C")</f>
        <v>C</v>
      </c>
      <c r="Z138" s="126" t="str">
        <f>IFERROR(__xludf.DUMMYFUNCTION("""COMPUTED_VALUE"""),"resource management")</f>
        <v>resource management</v>
      </c>
      <c r="AA138" s="126"/>
      <c r="AB138" s="126"/>
      <c r="AC138" s="126"/>
      <c r="AD138" s="126"/>
      <c r="AE138" s="126"/>
      <c r="AF138" s="126"/>
      <c r="AG138" s="126"/>
      <c r="AH138" s="126"/>
      <c r="AI138" s="126"/>
      <c r="AJ138" s="126"/>
    </row>
    <row r="139">
      <c r="A139" s="126">
        <f>IFERROR(__xludf.DUMMYFUNCTION("""COMPUTED_VALUE"""),281.0)</f>
        <v>281</v>
      </c>
      <c r="B139" s="126" t="str">
        <f>IFERROR(__xludf.DUMMYFUNCTION("""COMPUTED_VALUE"""),"Energy Management of Cloud Data Center Using Neural Networks")</f>
        <v>Energy Management of Cloud Data Center Using Neural Networks</v>
      </c>
      <c r="C139" s="127" t="str">
        <f>IFERROR(__xludf.DUMMYFUNCTION("""COMPUTED_VALUE"""),"https://ieeexplore.ieee.org/abstract/document/8648631/")</f>
        <v>https://ieeexplore.ieee.org/abstract/document/8648631/</v>
      </c>
      <c r="D139" s="131" t="str">
        <f>IFERROR(__xludf.DUMMYFUNCTION("""COMPUTED_VALUE"""),"N Uv, KKG Pillai")</f>
        <v>N Uv, KKG Pillai</v>
      </c>
      <c r="E139" s="131" t="str">
        <f>IFERROR(__xludf.DUMMYFUNCTION("""COMPUTED_VALUE"""),"Institute of Electrical and Electronics Engineers")</f>
        <v>Institute of Electrical and Electronics Engineers</v>
      </c>
      <c r="F139" s="126" t="str">
        <f>IFERROR(__xludf.DUMMYFUNCTION("""COMPUTED_VALUE"""),"IEEE Xplore")</f>
        <v>IEEE Xplore</v>
      </c>
      <c r="G139" s="132" t="str">
        <f>IFERROR(__xludf.DUMMYFUNCTION("""COMPUTED_VALUE"""),"C")</f>
        <v>C</v>
      </c>
      <c r="H139" s="130">
        <f>IFERROR(__xludf.DUMMYFUNCTION("""COMPUTED_VALUE"""),2018.0)</f>
        <v>2018</v>
      </c>
      <c r="I139" s="130">
        <f>IFERROR(__xludf.DUMMYFUNCTION("""COMPUTED_VALUE"""),1.0)</f>
        <v>1</v>
      </c>
      <c r="J139" s="130">
        <f>IFERROR(__xludf.DUMMYFUNCTION("""COMPUTED_VALUE"""),1.0)</f>
        <v>1</v>
      </c>
      <c r="K139" s="130">
        <f>IFERROR(__xludf.DUMMYFUNCTION("""COMPUTED_VALUE"""),1.0)</f>
        <v>1</v>
      </c>
      <c r="L139" s="129">
        <f>IFERROR(__xludf.DUMMYFUNCTION("""COMPUTED_VALUE"""),0.0)</f>
        <v>0</v>
      </c>
      <c r="M139" s="130">
        <f>IFERROR(__xludf.DUMMYFUNCTION("""COMPUTED_VALUE"""),1.0)</f>
        <v>1</v>
      </c>
      <c r="N139" s="130"/>
      <c r="O139" s="130"/>
      <c r="P139" s="129">
        <f>IFERROR(__xludf.DUMMYFUNCTION("""COMPUTED_VALUE"""),0.0)</f>
        <v>0</v>
      </c>
      <c r="Q139" s="130">
        <f>IFERROR(__xludf.DUMMYFUNCTION("""COMPUTED_VALUE"""),0.0)</f>
        <v>0</v>
      </c>
      <c r="R139" s="129">
        <f>IFERROR(__xludf.DUMMYFUNCTION("""COMPUTED_VALUE"""),0.0)</f>
        <v>0</v>
      </c>
      <c r="S139" s="129">
        <f>IFERROR(__xludf.DUMMYFUNCTION("""COMPUTED_VALUE"""),0.0)</f>
        <v>0</v>
      </c>
      <c r="T139" s="129">
        <f>IFERROR(__xludf.DUMMYFUNCTION("""COMPUTED_VALUE"""),0.0)</f>
        <v>0</v>
      </c>
      <c r="U139" s="129">
        <f>IFERROR(__xludf.DUMMYFUNCTION("""COMPUTED_VALUE"""),0.0)</f>
        <v>0</v>
      </c>
      <c r="V139" s="129">
        <f>IFERROR(__xludf.DUMMYFUNCTION("""COMPUTED_VALUE"""),0.0)</f>
        <v>0</v>
      </c>
      <c r="W139" s="126" t="str">
        <f>IFERROR(__xludf.DUMMYFUNCTION("""COMPUTED_VALUE"""),"No")</f>
        <v>No</v>
      </c>
      <c r="X139" s="126" t="str">
        <f>IFERROR(__xludf.DUMMYFUNCTION("""COMPUTED_VALUE"""),"Yes")</f>
        <v>Yes</v>
      </c>
      <c r="Y139" s="126" t="str">
        <f>IFERROR(__xludf.DUMMYFUNCTION("""COMPUTED_VALUE"""),"C")</f>
        <v>C</v>
      </c>
      <c r="Z139" s="126" t="str">
        <f>IFERROR(__xludf.DUMMYFUNCTION("""COMPUTED_VALUE"""),"no evaluation")</f>
        <v>no evaluation</v>
      </c>
      <c r="AA139" s="126"/>
      <c r="AB139" s="126"/>
      <c r="AC139" s="126"/>
      <c r="AD139" s="126"/>
      <c r="AE139" s="126"/>
      <c r="AF139" s="126"/>
      <c r="AG139" s="126"/>
      <c r="AH139" s="126"/>
      <c r="AI139" s="126"/>
      <c r="AJ139" s="126"/>
    </row>
    <row r="140">
      <c r="A140" s="126">
        <f>IFERROR(__xludf.DUMMYFUNCTION("""COMPUTED_VALUE"""),284.0)</f>
        <v>284</v>
      </c>
      <c r="B140" s="126" t="str">
        <f>IFERROR(__xludf.DUMMYFUNCTION("""COMPUTED_VALUE"""),"Type-aware virtual machine management for energy efficient cloud data centers")</f>
        <v>Type-aware virtual machine management for energy efficient cloud data centers</v>
      </c>
      <c r="C140" s="127" t="str">
        <f>IFERROR(__xludf.DUMMYFUNCTION("""COMPUTED_VALUE"""),"https://www.sciencedirect.com/science/article/pii/S2210537917304249")</f>
        <v>https://www.sciencedirect.com/science/article/pii/S2210537917304249</v>
      </c>
      <c r="D140" s="131" t="str">
        <f>IFERROR(__xludf.DUMMYFUNCTION("""COMPUTED_VALUE"""),"A Al-Dulaimy, W Itani, R Zantout, A Zekri")</f>
        <v>A Al-Dulaimy, W Itani, R Zantout, A Zekri</v>
      </c>
      <c r="E140" s="131" t="str">
        <f>IFERROR(__xludf.DUMMYFUNCTION("""COMPUTED_VALUE"""),"Elsevier")</f>
        <v>Elsevier</v>
      </c>
      <c r="F140" s="126" t="str">
        <f>IFERROR(__xludf.DUMMYFUNCTION("""COMPUTED_VALUE"""),"Elsevier")</f>
        <v>Elsevier</v>
      </c>
      <c r="G140" s="128" t="str">
        <f>IFERROR(__xludf.DUMMYFUNCTION("""COMPUTED_VALUE"""),"J")</f>
        <v>J</v>
      </c>
      <c r="H140" s="129">
        <f>IFERROR(__xludf.DUMMYFUNCTION("""COMPUTED_VALUE"""),2018.0)</f>
        <v>2018</v>
      </c>
      <c r="I140" s="129">
        <f>IFERROR(__xludf.DUMMYFUNCTION("""COMPUTED_VALUE"""),1.0)</f>
        <v>1</v>
      </c>
      <c r="J140" s="129">
        <f>IFERROR(__xludf.DUMMYFUNCTION("""COMPUTED_VALUE"""),1.0)</f>
        <v>1</v>
      </c>
      <c r="K140" s="130">
        <f>IFERROR(__xludf.DUMMYFUNCTION("""COMPUTED_VALUE"""),1.0)</f>
        <v>1</v>
      </c>
      <c r="L140" s="130">
        <f>IFERROR(__xludf.DUMMYFUNCTION("""COMPUTED_VALUE"""),1.0)</f>
        <v>1</v>
      </c>
      <c r="M140" s="130">
        <f>IFERROR(__xludf.DUMMYFUNCTION("""COMPUTED_VALUE"""),1.0)</f>
        <v>1</v>
      </c>
      <c r="N140" s="130">
        <f>IFERROR(__xludf.DUMMYFUNCTION("""COMPUTED_VALUE"""),0.0)</f>
        <v>0</v>
      </c>
      <c r="O140" s="130">
        <f>IFERROR(__xludf.DUMMYFUNCTION("""COMPUTED_VALUE"""),0.0)</f>
        <v>0</v>
      </c>
      <c r="P140" s="130">
        <f>IFERROR(__xludf.DUMMYFUNCTION("""COMPUTED_VALUE"""),0.0)</f>
        <v>0</v>
      </c>
      <c r="Q140" s="129">
        <f>IFERROR(__xludf.DUMMYFUNCTION("""COMPUTED_VALUE"""),0.0)</f>
        <v>0</v>
      </c>
      <c r="R140" s="129">
        <f>IFERROR(__xludf.DUMMYFUNCTION("""COMPUTED_VALUE"""),0.0)</f>
        <v>0</v>
      </c>
      <c r="S140" s="129">
        <f>IFERROR(__xludf.DUMMYFUNCTION("""COMPUTED_VALUE"""),0.0)</f>
        <v>0</v>
      </c>
      <c r="T140" s="129">
        <f>IFERROR(__xludf.DUMMYFUNCTION("""COMPUTED_VALUE"""),0.0)</f>
        <v>0</v>
      </c>
      <c r="U140" s="129">
        <f>IFERROR(__xludf.DUMMYFUNCTION("""COMPUTED_VALUE"""),0.0)</f>
        <v>0</v>
      </c>
      <c r="V140" s="129">
        <f>IFERROR(__xludf.DUMMYFUNCTION("""COMPUTED_VALUE"""),0.0)</f>
        <v>0</v>
      </c>
      <c r="W140" s="126" t="str">
        <f>IFERROR(__xludf.DUMMYFUNCTION("""COMPUTED_VALUE"""),"Yes")</f>
        <v>Yes</v>
      </c>
      <c r="X140" s="126" t="str">
        <f>IFERROR(__xludf.DUMMYFUNCTION("""COMPUTED_VALUE"""),"Yes")</f>
        <v>Yes</v>
      </c>
      <c r="Y140" s="126" t="str">
        <f>IFERROR(__xludf.DUMMYFUNCTION("""COMPUTED_VALUE"""),"C")</f>
        <v>C</v>
      </c>
      <c r="Z140" s="126" t="str">
        <f>IFERROR(__xludf.DUMMYFUNCTION("""COMPUTED_VALUE"""),"Type aware vm")</f>
        <v>Type aware vm</v>
      </c>
      <c r="AA140" s="126"/>
      <c r="AB140" s="126"/>
      <c r="AC140" s="126"/>
      <c r="AD140" s="126"/>
      <c r="AE140" s="126"/>
      <c r="AF140" s="126"/>
      <c r="AG140" s="126"/>
      <c r="AH140" s="126"/>
      <c r="AI140" s="126"/>
      <c r="AJ140" s="126"/>
    </row>
    <row r="141">
      <c r="A141" s="126">
        <f>IFERROR(__xludf.DUMMYFUNCTION("""COMPUTED_VALUE"""),287.0)</f>
        <v>287</v>
      </c>
      <c r="B141" s="126" t="str">
        <f>IFERROR(__xludf.DUMMYFUNCTION("""COMPUTED_VALUE"""),"A novel coalitional game-theoretic approach for energy-aware dynamic VM consolidation in heterogeneous cloud datacenters")</f>
        <v>A novel coalitional game-theoretic approach for energy-aware dynamic VM consolidation in heterogeneous cloud datacenters</v>
      </c>
      <c r="C141" s="127" t="str">
        <f>IFERROR(__xludf.DUMMYFUNCTION("""COMPUTED_VALUE"""),"https://link.springer.com/chapter/10.1007/978-3-030-23499-7_7")</f>
        <v>https://link.springer.com/chapter/10.1007/978-3-030-23499-7_7</v>
      </c>
      <c r="D141" s="126" t="str">
        <f>IFERROR(__xludf.DUMMYFUNCTION("""COMPUTED_VALUE"""),"X Xiao, Y Xia, F Zeng, W Zheng, X Sun, Q Peng…")</f>
        <v>X Xiao, Y Xia, F Zeng, W Zheng, X Sun, Q Peng…</v>
      </c>
      <c r="E141" s="126" t="str">
        <f>IFERROR(__xludf.DUMMYFUNCTION("""COMPUTED_VALUE"""),"Springer")</f>
        <v>Springer</v>
      </c>
      <c r="F141" s="126" t="str">
        <f>IFERROR(__xludf.DUMMYFUNCTION("""COMPUTED_VALUE"""),"Springer")</f>
        <v>Springer</v>
      </c>
      <c r="G141" s="128" t="str">
        <f>IFERROR(__xludf.DUMMYFUNCTION("""COMPUTED_VALUE"""),"C")</f>
        <v>C</v>
      </c>
      <c r="H141" s="129">
        <f>IFERROR(__xludf.DUMMYFUNCTION("""COMPUTED_VALUE"""),2019.0)</f>
        <v>2019</v>
      </c>
      <c r="I141" s="130">
        <f>IFERROR(__xludf.DUMMYFUNCTION("""COMPUTED_VALUE"""),1.0)</f>
        <v>1</v>
      </c>
      <c r="J141" s="130">
        <f>IFERROR(__xludf.DUMMYFUNCTION("""COMPUTED_VALUE"""),1.0)</f>
        <v>1</v>
      </c>
      <c r="K141" s="130">
        <f>IFERROR(__xludf.DUMMYFUNCTION("""COMPUTED_VALUE"""),1.0)</f>
        <v>1</v>
      </c>
      <c r="L141" s="130">
        <f>IFERROR(__xludf.DUMMYFUNCTION("""COMPUTED_VALUE"""),1.0)</f>
        <v>1</v>
      </c>
      <c r="M141" s="130">
        <f>IFERROR(__xludf.DUMMYFUNCTION("""COMPUTED_VALUE"""),1.0)</f>
        <v>1</v>
      </c>
      <c r="N141" s="130">
        <f>IFERROR(__xludf.DUMMYFUNCTION("""COMPUTED_VALUE"""),0.0)</f>
        <v>0</v>
      </c>
      <c r="O141" s="130">
        <f>IFERROR(__xludf.DUMMYFUNCTION("""COMPUTED_VALUE"""),0.0)</f>
        <v>0</v>
      </c>
      <c r="P141" s="130">
        <f>IFERROR(__xludf.DUMMYFUNCTION("""COMPUTED_VALUE"""),0.0)</f>
        <v>0</v>
      </c>
      <c r="Q141" s="130">
        <f>IFERROR(__xludf.DUMMYFUNCTION("""COMPUTED_VALUE"""),0.0)</f>
        <v>0</v>
      </c>
      <c r="R141" s="129">
        <f>IFERROR(__xludf.DUMMYFUNCTION("""COMPUTED_VALUE"""),0.0)</f>
        <v>0</v>
      </c>
      <c r="S141" s="129">
        <f>IFERROR(__xludf.DUMMYFUNCTION("""COMPUTED_VALUE"""),0.0)</f>
        <v>0</v>
      </c>
      <c r="T141" s="129">
        <f>IFERROR(__xludf.DUMMYFUNCTION("""COMPUTED_VALUE"""),0.0)</f>
        <v>0</v>
      </c>
      <c r="U141" s="129">
        <f>IFERROR(__xludf.DUMMYFUNCTION("""COMPUTED_VALUE"""),0.0)</f>
        <v>0</v>
      </c>
      <c r="V141" s="129">
        <f>IFERROR(__xludf.DUMMYFUNCTION("""COMPUTED_VALUE"""),0.0)</f>
        <v>0</v>
      </c>
      <c r="W141" s="126" t="str">
        <f>IFERROR(__xludf.DUMMYFUNCTION("""COMPUTED_VALUE"""),"Yes")</f>
        <v>Yes</v>
      </c>
      <c r="X141" s="126" t="str">
        <f>IFERROR(__xludf.DUMMYFUNCTION("""COMPUTED_VALUE"""),"Yes")</f>
        <v>Yes</v>
      </c>
      <c r="Y141" s="126" t="str">
        <f>IFERROR(__xludf.DUMMYFUNCTION("""COMPUTED_VALUE"""),"C")</f>
        <v>C</v>
      </c>
      <c r="Z141" s="126" t="str">
        <f>IFERROR(__xludf.DUMMYFUNCTION("""COMPUTED_VALUE"""),"game theory virtualization")</f>
        <v>game theory virtualization</v>
      </c>
      <c r="AA141" s="126"/>
      <c r="AB141" s="126"/>
      <c r="AC141" s="126"/>
      <c r="AD141" s="126"/>
      <c r="AE141" s="126"/>
      <c r="AF141" s="126"/>
      <c r="AG141" s="126"/>
      <c r="AH141" s="126"/>
      <c r="AI141" s="126"/>
      <c r="AJ141" s="126"/>
    </row>
    <row r="142">
      <c r="A142" s="126">
        <f>IFERROR(__xludf.DUMMYFUNCTION("""COMPUTED_VALUE"""),289.0)</f>
        <v>289</v>
      </c>
      <c r="B142" s="126" t="str">
        <f>IFERROR(__xludf.DUMMYFUNCTION("""COMPUTED_VALUE"""),"An Incentive Mechanism for Improving Energy Efficiency of Colocation Data Centers Based on Power Prediction")</f>
        <v>An Incentive Mechanism for Improving Energy Efficiency of Colocation Data Centers Based on Power Prediction</v>
      </c>
      <c r="C142" s="127" t="str">
        <f>IFERROR(__xludf.DUMMYFUNCTION("""COMPUTED_VALUE"""),"https://ieeexplore.ieee.org/abstract/document/9219590/")</f>
        <v>https://ieeexplore.ieee.org/abstract/document/9219590/</v>
      </c>
      <c r="D142" s="126" t="str">
        <f>IFERROR(__xludf.DUMMYFUNCTION("""COMPUTED_VALUE"""),"C Chi, K Ji, A Marahatta, F Zhang…")</f>
        <v>C Chi, K Ji, A Marahatta, F Zhang…</v>
      </c>
      <c r="E142" s="126" t="str">
        <f>IFERROR(__xludf.DUMMYFUNCTION("""COMPUTED_VALUE"""),"Institute of Electrical and Electronics Engineers")</f>
        <v>Institute of Electrical and Electronics Engineers</v>
      </c>
      <c r="F142" s="126" t="str">
        <f>IFERROR(__xludf.DUMMYFUNCTION("""COMPUTED_VALUE"""),"IEEE Xplore")</f>
        <v>IEEE Xplore</v>
      </c>
      <c r="G142" s="128" t="str">
        <f>IFERROR(__xludf.DUMMYFUNCTION("""COMPUTED_VALUE"""),"C")</f>
        <v>C</v>
      </c>
      <c r="H142" s="130">
        <f>IFERROR(__xludf.DUMMYFUNCTION("""COMPUTED_VALUE"""),2020.0)</f>
        <v>2020</v>
      </c>
      <c r="I142" s="130">
        <f>IFERROR(__xludf.DUMMYFUNCTION("""COMPUTED_VALUE"""),1.0)</f>
        <v>1</v>
      </c>
      <c r="J142" s="130">
        <f>IFERROR(__xludf.DUMMYFUNCTION("""COMPUTED_VALUE"""),1.0)</f>
        <v>1</v>
      </c>
      <c r="K142" s="130">
        <f>IFERROR(__xludf.DUMMYFUNCTION("""COMPUTED_VALUE"""),1.0)</f>
        <v>1</v>
      </c>
      <c r="L142" s="130">
        <f>IFERROR(__xludf.DUMMYFUNCTION("""COMPUTED_VALUE"""),1.0)</f>
        <v>1</v>
      </c>
      <c r="M142" s="130">
        <f>IFERROR(__xludf.DUMMYFUNCTION("""COMPUTED_VALUE"""),1.0)</f>
        <v>1</v>
      </c>
      <c r="N142" s="130">
        <f>IFERROR(__xludf.DUMMYFUNCTION("""COMPUTED_VALUE"""),0.0)</f>
        <v>0</v>
      </c>
      <c r="O142" s="130">
        <f>IFERROR(__xludf.DUMMYFUNCTION("""COMPUTED_VALUE"""),0.0)</f>
        <v>0</v>
      </c>
      <c r="P142" s="130">
        <f>IFERROR(__xludf.DUMMYFUNCTION("""COMPUTED_VALUE"""),0.0)</f>
        <v>0</v>
      </c>
      <c r="Q142" s="130">
        <f>IFERROR(__xludf.DUMMYFUNCTION("""COMPUTED_VALUE"""),0.0)</f>
        <v>0</v>
      </c>
      <c r="R142" s="129">
        <f>IFERROR(__xludf.DUMMYFUNCTION("""COMPUTED_VALUE"""),0.0)</f>
        <v>0</v>
      </c>
      <c r="S142" s="129">
        <f>IFERROR(__xludf.DUMMYFUNCTION("""COMPUTED_VALUE"""),0.0)</f>
        <v>0</v>
      </c>
      <c r="T142" s="129">
        <f>IFERROR(__xludf.DUMMYFUNCTION("""COMPUTED_VALUE"""),0.0)</f>
        <v>0</v>
      </c>
      <c r="U142" s="129">
        <f>IFERROR(__xludf.DUMMYFUNCTION("""COMPUTED_VALUE"""),0.0)</f>
        <v>0</v>
      </c>
      <c r="V142" s="129">
        <f>IFERROR(__xludf.DUMMYFUNCTION("""COMPUTED_VALUE"""),0.0)</f>
        <v>0</v>
      </c>
      <c r="W142" s="126" t="str">
        <f>IFERROR(__xludf.DUMMYFUNCTION("""COMPUTED_VALUE"""),"Yes")</f>
        <v>Yes</v>
      </c>
      <c r="X142" s="126" t="str">
        <f>IFERROR(__xludf.DUMMYFUNCTION("""COMPUTED_VALUE"""),"Yes")</f>
        <v>Yes</v>
      </c>
      <c r="Y142" s="126" t="str">
        <f>IFERROR(__xludf.DUMMYFUNCTION("""COMPUTED_VALUE"""),"C")</f>
        <v>C</v>
      </c>
      <c r="Z142" s="126" t="str">
        <f>IFERROR(__xludf.DUMMYFUNCTION("""COMPUTED_VALUE"""),"optimizing colocations")</f>
        <v>optimizing colocations</v>
      </c>
      <c r="AA142" s="126"/>
      <c r="AB142" s="126"/>
      <c r="AC142" s="126"/>
      <c r="AD142" s="126"/>
      <c r="AE142" s="126"/>
      <c r="AF142" s="126"/>
      <c r="AG142" s="126"/>
      <c r="AH142" s="126"/>
      <c r="AI142" s="126"/>
      <c r="AJ142" s="126"/>
    </row>
    <row r="143">
      <c r="A143" s="126">
        <f>IFERROR(__xludf.DUMMYFUNCTION("""COMPUTED_VALUE"""),290.0)</f>
        <v>290</v>
      </c>
      <c r="B143" s="126" t="str">
        <f>IFERROR(__xludf.DUMMYFUNCTION("""COMPUTED_VALUE"""),"Resource scheduling for energy-efficient in cloud-computing data centers")</f>
        <v>Resource scheduling for energy-efficient in cloud-computing data centers</v>
      </c>
      <c r="C143" s="127" t="str">
        <f>IFERROR(__xludf.DUMMYFUNCTION("""COMPUTED_VALUE"""),"https://ieeexplore.ieee.org/abstract/document/8622869/")</f>
        <v>https://ieeexplore.ieee.org/abstract/document/8622869/</v>
      </c>
      <c r="D143" s="126" t="str">
        <f>IFERROR(__xludf.DUMMYFUNCTION("""COMPUTED_VALUE"""),"S Xu, L Liu, L Cui, X Chang, H Li")</f>
        <v>S Xu, L Liu, L Cui, X Chang, H Li</v>
      </c>
      <c r="E143" s="126" t="str">
        <f>IFERROR(__xludf.DUMMYFUNCTION("""COMPUTED_VALUE"""),"Institute of Electrical and Electronics Engineers")</f>
        <v>Institute of Electrical and Electronics Engineers</v>
      </c>
      <c r="F143" s="126" t="str">
        <f>IFERROR(__xludf.DUMMYFUNCTION("""COMPUTED_VALUE"""),"IEEE Xplore")</f>
        <v>IEEE Xplore</v>
      </c>
      <c r="G143" s="128"/>
      <c r="H143" s="130">
        <f>IFERROR(__xludf.DUMMYFUNCTION("""COMPUTED_VALUE"""),2018.0)</f>
        <v>2018</v>
      </c>
      <c r="I143" s="129">
        <f>IFERROR(__xludf.DUMMYFUNCTION("""COMPUTED_VALUE"""),1.0)</f>
        <v>1</v>
      </c>
      <c r="J143" s="130">
        <f>IFERROR(__xludf.DUMMYFUNCTION("""COMPUTED_VALUE"""),1.0)</f>
        <v>1</v>
      </c>
      <c r="K143" s="130">
        <f>IFERROR(__xludf.DUMMYFUNCTION("""COMPUTED_VALUE"""),1.0)</f>
        <v>1</v>
      </c>
      <c r="L143" s="129">
        <f>IFERROR(__xludf.DUMMYFUNCTION("""COMPUTED_VALUE"""),1.0)</f>
        <v>1</v>
      </c>
      <c r="M143" s="130">
        <f>IFERROR(__xludf.DUMMYFUNCTION("""COMPUTED_VALUE"""),1.0)</f>
        <v>1</v>
      </c>
      <c r="N143" s="130">
        <f>IFERROR(__xludf.DUMMYFUNCTION("""COMPUTED_VALUE"""),0.0)</f>
        <v>0</v>
      </c>
      <c r="O143" s="130">
        <f>IFERROR(__xludf.DUMMYFUNCTION("""COMPUTED_VALUE"""),0.0)</f>
        <v>0</v>
      </c>
      <c r="P143" s="130">
        <f>IFERROR(__xludf.DUMMYFUNCTION("""COMPUTED_VALUE"""),0.0)</f>
        <v>0</v>
      </c>
      <c r="Q143" s="130">
        <f>IFERROR(__xludf.DUMMYFUNCTION("""COMPUTED_VALUE"""),0.0)</f>
        <v>0</v>
      </c>
      <c r="R143" s="130">
        <f>IFERROR(__xludf.DUMMYFUNCTION("""COMPUTED_VALUE"""),0.0)</f>
        <v>0</v>
      </c>
      <c r="S143" s="130">
        <f>IFERROR(__xludf.DUMMYFUNCTION("""COMPUTED_VALUE"""),0.0)</f>
        <v>0</v>
      </c>
      <c r="T143" s="130">
        <f>IFERROR(__xludf.DUMMYFUNCTION("""COMPUTED_VALUE"""),0.0)</f>
        <v>0</v>
      </c>
      <c r="U143" s="130">
        <f>IFERROR(__xludf.DUMMYFUNCTION("""COMPUTED_VALUE"""),0.0)</f>
        <v>0</v>
      </c>
      <c r="V143" s="130">
        <f>IFERROR(__xludf.DUMMYFUNCTION("""COMPUTED_VALUE"""),0.0)</f>
        <v>0</v>
      </c>
      <c r="W143" s="131" t="str">
        <f>IFERROR(__xludf.DUMMYFUNCTION("""COMPUTED_VALUE"""),"Yes")</f>
        <v>Yes</v>
      </c>
      <c r="X143" s="131" t="str">
        <f>IFERROR(__xludf.DUMMYFUNCTION("""COMPUTED_VALUE"""),"Yes")</f>
        <v>Yes</v>
      </c>
      <c r="Y143" s="131" t="str">
        <f>IFERROR(__xludf.DUMMYFUNCTION("""COMPUTED_VALUE"""),"C")</f>
        <v>C</v>
      </c>
      <c r="Z143" s="131" t="str">
        <f>IFERROR(__xludf.DUMMYFUNCTION("""COMPUTED_VALUE"""),"resource scheduling")</f>
        <v>resource scheduling</v>
      </c>
      <c r="AA143" s="131"/>
      <c r="AB143" s="131"/>
      <c r="AC143" s="131"/>
      <c r="AD143" s="131"/>
      <c r="AE143" s="131"/>
      <c r="AF143" s="131"/>
      <c r="AG143" s="131"/>
      <c r="AH143" s="131"/>
      <c r="AI143" s="131"/>
      <c r="AJ143" s="131"/>
    </row>
    <row r="144">
      <c r="A144" s="126">
        <f>IFERROR(__xludf.DUMMYFUNCTION("""COMPUTED_VALUE"""),293.0)</f>
        <v>293</v>
      </c>
      <c r="B144" s="126" t="str">
        <f>IFERROR(__xludf.DUMMYFUNCTION("""COMPUTED_VALUE"""),"Energy-Efficient Resource Provisioning using Adaptive Harmony Search Algorithm for Compute-Intensive Workloads with Load Balancing in Datacenters")</f>
        <v>Energy-Efficient Resource Provisioning using Adaptive Harmony Search Algorithm for Compute-Intensive Workloads with Load Balancing in Datacenters</v>
      </c>
      <c r="C144" s="127" t="str">
        <f>IFERROR(__xludf.DUMMYFUNCTION("""COMPUTED_VALUE"""),"https://www.mdpi.com/2076-3417/10/7/2323")</f>
        <v>https://www.mdpi.com/2076-3417/10/7/2323</v>
      </c>
      <c r="D144" s="126" t="str">
        <f>IFERROR(__xludf.DUMMYFUNCTION("""COMPUTED_VALUE"""),"T Renugadevi, K Geetha, K Muthukumar, ZW Geem")</f>
        <v>T Renugadevi, K Geetha, K Muthukumar, ZW Geem</v>
      </c>
      <c r="E144" s="126" t="str">
        <f>IFERROR(__xludf.DUMMYFUNCTION("""COMPUTED_VALUE"""),"Multidisciplinary Digital Publishing Institute")</f>
        <v>Multidisciplinary Digital Publishing Institute</v>
      </c>
      <c r="F144" s="126" t="str">
        <f>IFERROR(__xludf.DUMMYFUNCTION("""COMPUTED_VALUE"""),"MDPI")</f>
        <v>MDPI</v>
      </c>
      <c r="G144" s="128" t="str">
        <f>IFERROR(__xludf.DUMMYFUNCTION("""COMPUTED_VALUE"""),"J")</f>
        <v>J</v>
      </c>
      <c r="H144" s="130">
        <f>IFERROR(__xludf.DUMMYFUNCTION("""COMPUTED_VALUE"""),2020.0)</f>
        <v>2020</v>
      </c>
      <c r="I144" s="129">
        <f>IFERROR(__xludf.DUMMYFUNCTION("""COMPUTED_VALUE"""),1.0)</f>
        <v>1</v>
      </c>
      <c r="J144" s="130">
        <f>IFERROR(__xludf.DUMMYFUNCTION("""COMPUTED_VALUE"""),1.0)</f>
        <v>1</v>
      </c>
      <c r="K144" s="130">
        <f>IFERROR(__xludf.DUMMYFUNCTION("""COMPUTED_VALUE"""),1.0)</f>
        <v>1</v>
      </c>
      <c r="L144" s="130">
        <f>IFERROR(__xludf.DUMMYFUNCTION("""COMPUTED_VALUE"""),1.0)</f>
        <v>1</v>
      </c>
      <c r="M144" s="130">
        <f>IFERROR(__xludf.DUMMYFUNCTION("""COMPUTED_VALUE"""),1.0)</f>
        <v>1</v>
      </c>
      <c r="N144" s="130">
        <f>IFERROR(__xludf.DUMMYFUNCTION("""COMPUTED_VALUE"""),0.0)</f>
        <v>0</v>
      </c>
      <c r="O144" s="130">
        <f>IFERROR(__xludf.DUMMYFUNCTION("""COMPUTED_VALUE"""),0.0)</f>
        <v>0</v>
      </c>
      <c r="P144" s="130">
        <f>IFERROR(__xludf.DUMMYFUNCTION("""COMPUTED_VALUE"""),0.0)</f>
        <v>0</v>
      </c>
      <c r="Q144" s="130">
        <f>IFERROR(__xludf.DUMMYFUNCTION("""COMPUTED_VALUE"""),0.0)</f>
        <v>0</v>
      </c>
      <c r="R144" s="129">
        <f>IFERROR(__xludf.DUMMYFUNCTION("""COMPUTED_VALUE"""),0.0)</f>
        <v>0</v>
      </c>
      <c r="S144" s="129">
        <f>IFERROR(__xludf.DUMMYFUNCTION("""COMPUTED_VALUE"""),0.0)</f>
        <v>0</v>
      </c>
      <c r="T144" s="129">
        <f>IFERROR(__xludf.DUMMYFUNCTION("""COMPUTED_VALUE"""),0.0)</f>
        <v>0</v>
      </c>
      <c r="U144" s="129">
        <f>IFERROR(__xludf.DUMMYFUNCTION("""COMPUTED_VALUE"""),0.0)</f>
        <v>0</v>
      </c>
      <c r="V144" s="129">
        <f>IFERROR(__xludf.DUMMYFUNCTION("""COMPUTED_VALUE"""),0.0)</f>
        <v>0</v>
      </c>
      <c r="W144" s="126" t="str">
        <f>IFERROR(__xludf.DUMMYFUNCTION("""COMPUTED_VALUE"""),"Yes")</f>
        <v>Yes</v>
      </c>
      <c r="X144" s="126" t="str">
        <f>IFERROR(__xludf.DUMMYFUNCTION("""COMPUTED_VALUE"""),"Yes")</f>
        <v>Yes</v>
      </c>
      <c r="Y144" s="126" t="str">
        <f>IFERROR(__xludf.DUMMYFUNCTION("""COMPUTED_VALUE"""),"C")</f>
        <v>C</v>
      </c>
      <c r="Z144" s="126" t="str">
        <f>IFERROR(__xludf.DUMMYFUNCTION("""COMPUTED_VALUE"""),"load balancing")</f>
        <v>load balancing</v>
      </c>
      <c r="AA144" s="126"/>
      <c r="AB144" s="126"/>
      <c r="AC144" s="126"/>
      <c r="AD144" s="126"/>
      <c r="AE144" s="126"/>
      <c r="AF144" s="126"/>
      <c r="AG144" s="126"/>
      <c r="AH144" s="126"/>
      <c r="AI144" s="126"/>
      <c r="AJ144" s="126"/>
    </row>
    <row r="145">
      <c r="A145" s="126">
        <f>IFERROR(__xludf.DUMMYFUNCTION("""COMPUTED_VALUE"""),294.0)</f>
        <v>294</v>
      </c>
      <c r="B145" s="126" t="str">
        <f>IFERROR(__xludf.DUMMYFUNCTION("""COMPUTED_VALUE"""),"SLA-aware and energy-efficient VM consolidation in cloud data centers using robust linear regression prediction model")</f>
        <v>SLA-aware and energy-efficient VM consolidation in cloud data centers using robust linear regression prediction model</v>
      </c>
      <c r="C145" s="127" t="str">
        <f>IFERROR(__xludf.DUMMYFUNCTION("""COMPUTED_VALUE"""),"https://ieeexplore.ieee.org/abstract/document/8606094/")</f>
        <v>https://ieeexplore.ieee.org/abstract/document/8606094/</v>
      </c>
      <c r="D145" s="126" t="str">
        <f>IFERROR(__xludf.DUMMYFUNCTION("""COMPUTED_VALUE"""),"L Li, J Dong, D Zuo, J Wu")</f>
        <v>L Li, J Dong, D Zuo, J Wu</v>
      </c>
      <c r="E145" s="126" t="str">
        <f>IFERROR(__xludf.DUMMYFUNCTION("""COMPUTED_VALUE"""),"Institute of Electrical and Electronics Engineers")</f>
        <v>Institute of Electrical and Electronics Engineers</v>
      </c>
      <c r="F145" s="126" t="str">
        <f>IFERROR(__xludf.DUMMYFUNCTION("""COMPUTED_VALUE"""),"IEEE Xplore")</f>
        <v>IEEE Xplore</v>
      </c>
      <c r="G145" s="128" t="str">
        <f>IFERROR(__xludf.DUMMYFUNCTION("""COMPUTED_VALUE"""),"J")</f>
        <v>J</v>
      </c>
      <c r="H145" s="130">
        <f>IFERROR(__xludf.DUMMYFUNCTION("""COMPUTED_VALUE"""),2019.0)</f>
        <v>2019</v>
      </c>
      <c r="I145" s="130">
        <f>IFERROR(__xludf.DUMMYFUNCTION("""COMPUTED_VALUE"""),1.0)</f>
        <v>1</v>
      </c>
      <c r="J145" s="130">
        <f>IFERROR(__xludf.DUMMYFUNCTION("""COMPUTED_VALUE"""),1.0)</f>
        <v>1</v>
      </c>
      <c r="K145" s="130">
        <f>IFERROR(__xludf.DUMMYFUNCTION("""COMPUTED_VALUE"""),1.0)</f>
        <v>1</v>
      </c>
      <c r="L145" s="130">
        <f>IFERROR(__xludf.DUMMYFUNCTION("""COMPUTED_VALUE"""),1.0)</f>
        <v>1</v>
      </c>
      <c r="M145" s="130">
        <f>IFERROR(__xludf.DUMMYFUNCTION("""COMPUTED_VALUE"""),1.0)</f>
        <v>1</v>
      </c>
      <c r="N145" s="130">
        <f>IFERROR(__xludf.DUMMYFUNCTION("""COMPUTED_VALUE"""),0.0)</f>
        <v>0</v>
      </c>
      <c r="O145" s="130">
        <f>IFERROR(__xludf.DUMMYFUNCTION("""COMPUTED_VALUE"""),0.0)</f>
        <v>0</v>
      </c>
      <c r="P145" s="130">
        <f>IFERROR(__xludf.DUMMYFUNCTION("""COMPUTED_VALUE"""),0.0)</f>
        <v>0</v>
      </c>
      <c r="Q145" s="130">
        <f>IFERROR(__xludf.DUMMYFUNCTION("""COMPUTED_VALUE"""),0.0)</f>
        <v>0</v>
      </c>
      <c r="R145" s="129">
        <f>IFERROR(__xludf.DUMMYFUNCTION("""COMPUTED_VALUE"""),0.0)</f>
        <v>0</v>
      </c>
      <c r="S145" s="129">
        <f>IFERROR(__xludf.DUMMYFUNCTION("""COMPUTED_VALUE"""),0.0)</f>
        <v>0</v>
      </c>
      <c r="T145" s="129">
        <f>IFERROR(__xludf.DUMMYFUNCTION("""COMPUTED_VALUE"""),0.0)</f>
        <v>0</v>
      </c>
      <c r="U145" s="129">
        <f>IFERROR(__xludf.DUMMYFUNCTION("""COMPUTED_VALUE"""),0.0)</f>
        <v>0</v>
      </c>
      <c r="V145" s="129">
        <f>IFERROR(__xludf.DUMMYFUNCTION("""COMPUTED_VALUE"""),0.0)</f>
        <v>0</v>
      </c>
      <c r="W145" s="126" t="str">
        <f>IFERROR(__xludf.DUMMYFUNCTION("""COMPUTED_VALUE"""),"Yes")</f>
        <v>Yes</v>
      </c>
      <c r="X145" s="126" t="str">
        <f>IFERROR(__xludf.DUMMYFUNCTION("""COMPUTED_VALUE"""),"Yes")</f>
        <v>Yes</v>
      </c>
      <c r="Y145" s="126" t="str">
        <f>IFERROR(__xludf.DUMMYFUNCTION("""COMPUTED_VALUE"""),"C")</f>
        <v>C</v>
      </c>
      <c r="Z145" s="126" t="str">
        <f>IFERROR(__xludf.DUMMYFUNCTION("""COMPUTED_VALUE"""),"vm")</f>
        <v>vm</v>
      </c>
      <c r="AA145" s="126"/>
      <c r="AB145" s="126"/>
      <c r="AC145" s="126"/>
      <c r="AD145" s="126"/>
      <c r="AE145" s="126"/>
      <c r="AF145" s="126"/>
      <c r="AG145" s="126"/>
      <c r="AH145" s="126"/>
      <c r="AI145" s="126"/>
      <c r="AJ145" s="126"/>
    </row>
    <row r="146">
      <c r="A146" s="126">
        <f>IFERROR(__xludf.DUMMYFUNCTION("""COMPUTED_VALUE"""),296.0)</f>
        <v>296</v>
      </c>
      <c r="B146" s="126" t="str">
        <f>IFERROR(__xludf.DUMMYFUNCTION("""COMPUTED_VALUE"""),"Data Centers Optimized Integration with Multi-Energy Grids: Test Cases and Results in Operational Environment")</f>
        <v>Data Centers Optimized Integration with Multi-Energy Grids: Test Cases and Results in Operational Environment</v>
      </c>
      <c r="C146" s="127" t="str">
        <f>IFERROR(__xludf.DUMMYFUNCTION("""COMPUTED_VALUE"""),"https://www.mdpi.com/2071-1050/12/23/9893")</f>
        <v>https://www.mdpi.com/2071-1050/12/23/9893</v>
      </c>
      <c r="D146" s="131" t="str">
        <f>IFERROR(__xludf.DUMMYFUNCTION("""COMPUTED_VALUE"""),"T Cioara, M Antal, I Anghel, M Bertoncini, D Arnone…")</f>
        <v>T Cioara, M Antal, I Anghel, M Bertoncini, D Arnone…</v>
      </c>
      <c r="E146" s="131" t="str">
        <f>IFERROR(__xludf.DUMMYFUNCTION("""COMPUTED_VALUE"""),"Multidisciplinary Digital Publishing Institute")</f>
        <v>Multidisciplinary Digital Publishing Institute</v>
      </c>
      <c r="F146" s="126" t="str">
        <f>IFERROR(__xludf.DUMMYFUNCTION("""COMPUTED_VALUE"""),"MDPI")</f>
        <v>MDPI</v>
      </c>
      <c r="G146" s="128"/>
      <c r="H146" s="130">
        <f>IFERROR(__xludf.DUMMYFUNCTION("""COMPUTED_VALUE"""),2020.0)</f>
        <v>2020</v>
      </c>
      <c r="I146" s="129"/>
      <c r="J146" s="130"/>
      <c r="K146" s="130"/>
      <c r="L146" s="129"/>
      <c r="M146" s="130"/>
      <c r="N146" s="130">
        <f>IFERROR(__xludf.DUMMYFUNCTION("""COMPUTED_VALUE"""),1.0)</f>
        <v>1</v>
      </c>
      <c r="O146" s="130"/>
      <c r="P146" s="130"/>
      <c r="Q146" s="130"/>
      <c r="R146" s="129"/>
      <c r="S146" s="129"/>
      <c r="T146" s="129"/>
      <c r="U146" s="129"/>
      <c r="V146" s="129"/>
      <c r="W146" s="126" t="str">
        <f>IFERROR(__xludf.DUMMYFUNCTION("""COMPUTED_VALUE"""),"No")</f>
        <v>No</v>
      </c>
      <c r="X146" s="126" t="str">
        <f>IFERROR(__xludf.DUMMYFUNCTION("""COMPUTED_VALUE"""),"Yes")</f>
        <v>Yes</v>
      </c>
      <c r="Y146" s="126" t="str">
        <f>IFERROR(__xludf.DUMMYFUNCTION("""COMPUTED_VALUE"""),"C")</f>
        <v>C</v>
      </c>
      <c r="Z146" s="126" t="str">
        <f>IFERROR(__xludf.DUMMYFUNCTION("""COMPUTED_VALUE"""),"focus on hardware")</f>
        <v>focus on hardware</v>
      </c>
      <c r="AA146" s="126"/>
      <c r="AB146" s="126"/>
      <c r="AC146" s="126"/>
      <c r="AD146" s="126"/>
      <c r="AE146" s="126"/>
      <c r="AF146" s="126"/>
      <c r="AG146" s="126"/>
      <c r="AH146" s="126"/>
      <c r="AI146" s="126"/>
      <c r="AJ146" s="126"/>
    </row>
    <row r="147">
      <c r="A147" s="126">
        <f>IFERROR(__xludf.DUMMYFUNCTION("""COMPUTED_VALUE"""),298.0)</f>
        <v>298</v>
      </c>
      <c r="B147" s="126" t="str">
        <f>IFERROR(__xludf.DUMMYFUNCTION("""COMPUTED_VALUE"""),"Performance &amp; Energy Consumption Metrics Of A Data Center According To The Energy Consumption Models Cubic, Linear, Square And Square Root")</f>
        <v>Performance &amp; Energy Consumption Metrics Of A Data Center According To The Energy Consumption Models Cubic, Linear, Square And Square Root</v>
      </c>
      <c r="C147" s="127" t="str">
        <f>IFERROR(__xludf.DUMMYFUNCTION("""COMPUTED_VALUE"""),"https://ieeexplore.ieee.org/abstract/document/8931339/")</f>
        <v>https://ieeexplore.ieee.org/abstract/document/8931339/</v>
      </c>
      <c r="D147" s="126" t="str">
        <f>IFERROR(__xludf.DUMMYFUNCTION("""COMPUTED_VALUE"""),"C Saad-Eddine, B Younes")</f>
        <v>C Saad-Eddine, B Younes</v>
      </c>
      <c r="E147" s="126" t="str">
        <f>IFERROR(__xludf.DUMMYFUNCTION("""COMPUTED_VALUE"""),"Institute of Electrical and Electronics Engineers")</f>
        <v>Institute of Electrical and Electronics Engineers</v>
      </c>
      <c r="F147" s="126" t="str">
        <f>IFERROR(__xludf.DUMMYFUNCTION("""COMPUTED_VALUE"""),"IEEE Xplore")</f>
        <v>IEEE Xplore</v>
      </c>
      <c r="G147" s="128" t="str">
        <f>IFERROR(__xludf.DUMMYFUNCTION("""COMPUTED_VALUE"""),"C")</f>
        <v>C</v>
      </c>
      <c r="H147" s="130">
        <f>IFERROR(__xludf.DUMMYFUNCTION("""COMPUTED_VALUE"""),2019.0)</f>
        <v>2019</v>
      </c>
      <c r="I147" s="130">
        <f>IFERROR(__xludf.DUMMYFUNCTION("""COMPUTED_VALUE"""),1.0)</f>
        <v>1</v>
      </c>
      <c r="J147" s="130">
        <f>IFERROR(__xludf.DUMMYFUNCTION("""COMPUTED_VALUE"""),1.0)</f>
        <v>1</v>
      </c>
      <c r="K147" s="130">
        <f>IFERROR(__xludf.DUMMYFUNCTION("""COMPUTED_VALUE"""),1.0)</f>
        <v>1</v>
      </c>
      <c r="L147" s="129">
        <f>IFERROR(__xludf.DUMMYFUNCTION("""COMPUTED_VALUE"""),1.0)</f>
        <v>1</v>
      </c>
      <c r="M147" s="130">
        <f>IFERROR(__xludf.DUMMYFUNCTION("""COMPUTED_VALUE"""),1.0)</f>
        <v>1</v>
      </c>
      <c r="N147" s="130">
        <f>IFERROR(__xludf.DUMMYFUNCTION("""COMPUTED_VALUE"""),0.0)</f>
        <v>0</v>
      </c>
      <c r="O147" s="130">
        <f>IFERROR(__xludf.DUMMYFUNCTION("""COMPUTED_VALUE"""),0.0)</f>
        <v>0</v>
      </c>
      <c r="P147" s="130">
        <f>IFERROR(__xludf.DUMMYFUNCTION("""COMPUTED_VALUE"""),0.0)</f>
        <v>0</v>
      </c>
      <c r="Q147" s="130">
        <f>IFERROR(__xludf.DUMMYFUNCTION("""COMPUTED_VALUE"""),0.0)</f>
        <v>0</v>
      </c>
      <c r="R147" s="130">
        <f>IFERROR(__xludf.DUMMYFUNCTION("""COMPUTED_VALUE"""),0.0)</f>
        <v>0</v>
      </c>
      <c r="S147" s="130">
        <f>IFERROR(__xludf.DUMMYFUNCTION("""COMPUTED_VALUE"""),0.0)</f>
        <v>0</v>
      </c>
      <c r="T147" s="130">
        <f>IFERROR(__xludf.DUMMYFUNCTION("""COMPUTED_VALUE"""),0.0)</f>
        <v>0</v>
      </c>
      <c r="U147" s="130">
        <f>IFERROR(__xludf.DUMMYFUNCTION("""COMPUTED_VALUE"""),0.0)</f>
        <v>0</v>
      </c>
      <c r="V147" s="130">
        <f>IFERROR(__xludf.DUMMYFUNCTION("""COMPUTED_VALUE"""),0.0)</f>
        <v>0</v>
      </c>
      <c r="W147" s="131" t="str">
        <f>IFERROR(__xludf.DUMMYFUNCTION("""COMPUTED_VALUE"""),"Yes")</f>
        <v>Yes</v>
      </c>
      <c r="X147" s="131" t="str">
        <f>IFERROR(__xludf.DUMMYFUNCTION("""COMPUTED_VALUE"""),"Yes")</f>
        <v>Yes</v>
      </c>
      <c r="Y147" s="131" t="str">
        <f>IFERROR(__xludf.DUMMYFUNCTION("""COMPUTED_VALUE"""),"C")</f>
        <v>C</v>
      </c>
      <c r="Z147" s="131" t="str">
        <f>IFERROR(__xludf.DUMMYFUNCTION("""COMPUTED_VALUE"""),"cloud simulation")</f>
        <v>cloud simulation</v>
      </c>
      <c r="AA147" s="131"/>
      <c r="AB147" s="131"/>
      <c r="AC147" s="131"/>
      <c r="AD147" s="131"/>
      <c r="AE147" s="131"/>
      <c r="AF147" s="131"/>
      <c r="AG147" s="131"/>
      <c r="AH147" s="131"/>
      <c r="AI147" s="131"/>
      <c r="AJ147" s="131"/>
    </row>
    <row r="148">
      <c r="A148" s="126">
        <f>IFERROR(__xludf.DUMMYFUNCTION("""COMPUTED_VALUE"""),299.0)</f>
        <v>299</v>
      </c>
      <c r="B148" s="126" t="str">
        <f>IFERROR(__xludf.DUMMYFUNCTION("""COMPUTED_VALUE"""),"Robust optimization for energy-efficient virtual machine consolidation in modern datacenters")</f>
        <v>Robust optimization for energy-efficient virtual machine consolidation in modern datacenters</v>
      </c>
      <c r="C148" s="127" t="str">
        <f>IFERROR(__xludf.DUMMYFUNCTION("""COMPUTED_VALUE"""),"https://link.springer.com/article/10.1007/s10586-018-2718-6")</f>
        <v>https://link.springer.com/article/10.1007/s10586-018-2718-6</v>
      </c>
      <c r="D148" s="131" t="str">
        <f>IFERROR(__xludf.DUMMYFUNCTION("""COMPUTED_VALUE"""),"R Nasim, E Zola, AJ Kassler")</f>
        <v>R Nasim, E Zola, AJ Kassler</v>
      </c>
      <c r="E148" s="131" t="str">
        <f>IFERROR(__xludf.DUMMYFUNCTION("""COMPUTED_VALUE"""),"Springer")</f>
        <v>Springer</v>
      </c>
      <c r="F148" s="126" t="str">
        <f>IFERROR(__xludf.DUMMYFUNCTION("""COMPUTED_VALUE"""),"Springer")</f>
        <v>Springer</v>
      </c>
      <c r="G148" s="128" t="str">
        <f>IFERROR(__xludf.DUMMYFUNCTION("""COMPUTED_VALUE"""),"J")</f>
        <v>J</v>
      </c>
      <c r="H148" s="130">
        <f>IFERROR(__xludf.DUMMYFUNCTION("""COMPUTED_VALUE"""),2018.0)</f>
        <v>2018</v>
      </c>
      <c r="I148" s="130"/>
      <c r="J148" s="130">
        <f>IFERROR(__xludf.DUMMYFUNCTION("""COMPUTED_VALUE"""),1.0)</f>
        <v>1</v>
      </c>
      <c r="K148" s="130">
        <f>IFERROR(__xludf.DUMMYFUNCTION("""COMPUTED_VALUE"""),1.0)</f>
        <v>1</v>
      </c>
      <c r="L148" s="129">
        <f>IFERROR(__xludf.DUMMYFUNCTION("""COMPUTED_VALUE"""),1.0)</f>
        <v>1</v>
      </c>
      <c r="M148" s="130">
        <f>IFERROR(__xludf.DUMMYFUNCTION("""COMPUTED_VALUE"""),1.0)</f>
        <v>1</v>
      </c>
      <c r="N148" s="130">
        <f>IFERROR(__xludf.DUMMYFUNCTION("""COMPUTED_VALUE"""),0.0)</f>
        <v>0</v>
      </c>
      <c r="O148" s="130">
        <f>IFERROR(__xludf.DUMMYFUNCTION("""COMPUTED_VALUE"""),0.0)</f>
        <v>0</v>
      </c>
      <c r="P148" s="130">
        <f>IFERROR(__xludf.DUMMYFUNCTION("""COMPUTED_VALUE"""),0.0)</f>
        <v>0</v>
      </c>
      <c r="Q148" s="130">
        <f>IFERROR(__xludf.DUMMYFUNCTION("""COMPUTED_VALUE"""),0.0)</f>
        <v>0</v>
      </c>
      <c r="R148" s="130">
        <f>IFERROR(__xludf.DUMMYFUNCTION("""COMPUTED_VALUE"""),0.0)</f>
        <v>0</v>
      </c>
      <c r="S148" s="130">
        <f>IFERROR(__xludf.DUMMYFUNCTION("""COMPUTED_VALUE"""),0.0)</f>
        <v>0</v>
      </c>
      <c r="T148" s="130">
        <f>IFERROR(__xludf.DUMMYFUNCTION("""COMPUTED_VALUE"""),0.0)</f>
        <v>0</v>
      </c>
      <c r="U148" s="130">
        <f>IFERROR(__xludf.DUMMYFUNCTION("""COMPUTED_VALUE"""),1.0)</f>
        <v>1</v>
      </c>
      <c r="V148" s="130">
        <f>IFERROR(__xludf.DUMMYFUNCTION("""COMPUTED_VALUE"""),0.0)</f>
        <v>0</v>
      </c>
      <c r="W148" s="131" t="str">
        <f>IFERROR(__xludf.DUMMYFUNCTION("""COMPUTED_VALUE"""),"No")</f>
        <v>No</v>
      </c>
      <c r="X148" s="131" t="str">
        <f>IFERROR(__xludf.DUMMYFUNCTION("""COMPUTED_VALUE"""),"Yes")</f>
        <v>Yes</v>
      </c>
      <c r="Y148" s="131" t="str">
        <f>IFERROR(__xludf.DUMMYFUNCTION("""COMPUTED_VALUE"""),"C")</f>
        <v>C</v>
      </c>
      <c r="Z148" s="131" t="str">
        <f>IFERROR(__xludf.DUMMYFUNCTION("""COMPUTED_VALUE"""),"extension of other work")</f>
        <v>extension of other work</v>
      </c>
      <c r="AA148" s="131"/>
      <c r="AB148" s="131"/>
      <c r="AC148" s="131"/>
      <c r="AD148" s="131"/>
      <c r="AE148" s="131"/>
      <c r="AF148" s="131"/>
      <c r="AG148" s="131"/>
      <c r="AH148" s="131"/>
      <c r="AI148" s="131"/>
      <c r="AJ148" s="131"/>
    </row>
    <row r="149">
      <c r="A149" s="126">
        <f>IFERROR(__xludf.DUMMYFUNCTION("""COMPUTED_VALUE"""),300.0)</f>
        <v>300</v>
      </c>
      <c r="B149" s="126" t="str">
        <f>IFERROR(__xludf.DUMMYFUNCTION("""COMPUTED_VALUE"""),"SDN-based energy management scheme for sustainability of data centers: An analysis on renewable energy sources and electric vehicles participation")</f>
        <v>SDN-based energy management scheme for sustainability of data centers: An analysis on renewable energy sources and electric vehicles participation</v>
      </c>
      <c r="C149" s="127" t="str">
        <f>IFERROR(__xludf.DUMMYFUNCTION("""COMPUTED_VALUE"""),"https://www.sciencedirect.com/science/article/pii/S0743731517302149")</f>
        <v>https://www.sciencedirect.com/science/article/pii/S0743731517302149</v>
      </c>
      <c r="D149" s="126" t="str">
        <f>IFERROR(__xludf.DUMMYFUNCTION("""COMPUTED_VALUE"""),"GS Aujla, N Kumar")</f>
        <v>GS Aujla, N Kumar</v>
      </c>
      <c r="E149" s="126" t="str">
        <f>IFERROR(__xludf.DUMMYFUNCTION("""COMPUTED_VALUE"""),"Elsevier")</f>
        <v>Elsevier</v>
      </c>
      <c r="F149" s="126" t="str">
        <f>IFERROR(__xludf.DUMMYFUNCTION("""COMPUTED_VALUE"""),"Elsevier")</f>
        <v>Elsevier</v>
      </c>
      <c r="G149" s="128" t="str">
        <f>IFERROR(__xludf.DUMMYFUNCTION("""COMPUTED_VALUE"""),"J")</f>
        <v>J</v>
      </c>
      <c r="H149" s="130">
        <f>IFERROR(__xludf.DUMMYFUNCTION("""COMPUTED_VALUE"""),2018.0)</f>
        <v>2018</v>
      </c>
      <c r="I149" s="129">
        <f>IFERROR(__xludf.DUMMYFUNCTION("""COMPUTED_VALUE"""),1.0)</f>
        <v>1</v>
      </c>
      <c r="J149" s="129">
        <f>IFERROR(__xludf.DUMMYFUNCTION("""COMPUTED_VALUE"""),1.0)</f>
        <v>1</v>
      </c>
      <c r="K149" s="130">
        <f>IFERROR(__xludf.DUMMYFUNCTION("""COMPUTED_VALUE"""),0.0)</f>
        <v>0</v>
      </c>
      <c r="L149" s="130"/>
      <c r="M149" s="130">
        <f>IFERROR(__xludf.DUMMYFUNCTION("""COMPUTED_VALUE"""),1.0)</f>
        <v>1</v>
      </c>
      <c r="N149" s="130">
        <f>IFERROR(__xludf.DUMMYFUNCTION("""COMPUTED_VALUE"""),0.0)</f>
        <v>0</v>
      </c>
      <c r="O149" s="130">
        <f>IFERROR(__xludf.DUMMYFUNCTION("""COMPUTED_VALUE"""),0.0)</f>
        <v>0</v>
      </c>
      <c r="P149" s="130">
        <f>IFERROR(__xludf.DUMMYFUNCTION("""COMPUTED_VALUE"""),0.0)</f>
        <v>0</v>
      </c>
      <c r="Q149" s="130">
        <f>IFERROR(__xludf.DUMMYFUNCTION("""COMPUTED_VALUE"""),0.0)</f>
        <v>0</v>
      </c>
      <c r="R149" s="130">
        <f>IFERROR(__xludf.DUMMYFUNCTION("""COMPUTED_VALUE"""),0.0)</f>
        <v>0</v>
      </c>
      <c r="S149" s="130">
        <f>IFERROR(__xludf.DUMMYFUNCTION("""COMPUTED_VALUE"""),0.0)</f>
        <v>0</v>
      </c>
      <c r="T149" s="130">
        <f>IFERROR(__xludf.DUMMYFUNCTION("""COMPUTED_VALUE"""),0.0)</f>
        <v>0</v>
      </c>
      <c r="U149" s="130">
        <f>IFERROR(__xludf.DUMMYFUNCTION("""COMPUTED_VALUE"""),0.0)</f>
        <v>0</v>
      </c>
      <c r="V149" s="130">
        <f>IFERROR(__xludf.DUMMYFUNCTION("""COMPUTED_VALUE"""),0.0)</f>
        <v>0</v>
      </c>
      <c r="W149" s="131" t="str">
        <f>IFERROR(__xludf.DUMMYFUNCTION("""COMPUTED_VALUE"""),"No")</f>
        <v>No</v>
      </c>
      <c r="X149" s="131" t="str">
        <f>IFERROR(__xludf.DUMMYFUNCTION("""COMPUTED_VALUE"""),"Yes")</f>
        <v>Yes</v>
      </c>
      <c r="Y149" s="131" t="str">
        <f>IFERROR(__xludf.DUMMYFUNCTION("""COMPUTED_VALUE"""),"C")</f>
        <v>C</v>
      </c>
      <c r="Z149" s="131" t="str">
        <f>IFERROR(__xludf.DUMMYFUNCTION("""COMPUTED_VALUE"""),"not about ict equipment")</f>
        <v>not about ict equipment</v>
      </c>
      <c r="AA149" s="131"/>
      <c r="AB149" s="131"/>
      <c r="AC149" s="131"/>
      <c r="AD149" s="131"/>
      <c r="AE149" s="131"/>
      <c r="AF149" s="131"/>
      <c r="AG149" s="131"/>
      <c r="AH149" s="131"/>
      <c r="AI149" s="131"/>
      <c r="AJ149" s="131"/>
    </row>
    <row r="150">
      <c r="A150" s="126">
        <f>IFERROR(__xludf.DUMMYFUNCTION("""COMPUTED_VALUE"""),305.0)</f>
        <v>305</v>
      </c>
      <c r="B150" s="126" t="str">
        <f>IFERROR(__xludf.DUMMYFUNCTION("""COMPUTED_VALUE"""),"New six-phase on-line resource management process for energy and sla efficient consolidation in cloud data centers.")</f>
        <v>New six-phase on-line resource management process for energy and sla efficient consolidation in cloud data centers.</v>
      </c>
      <c r="C150" s="127" t="str">
        <f>IFERROR(__xludf.DUMMYFUNCTION("""COMPUTED_VALUE"""),"https://pdfs.semanticscholar.org/c99b/2673db1e4879ded860a78e5cea1b40af7cab.pdf")</f>
        <v>https://pdfs.semanticscholar.org/c99b/2673db1e4879ded860a78e5cea1b40af7cab.pdf</v>
      </c>
      <c r="D150" s="126" t="str">
        <f>IFERROR(__xludf.DUMMYFUNCTION("""COMPUTED_VALUE"""),"E Arianyan, H Taheri, S Sharifian…")</f>
        <v>E Arianyan, H Taheri, S Sharifian…</v>
      </c>
      <c r="E150" s="126" t="str">
        <f>IFERROR(__xludf.DUMMYFUNCTION("""COMPUTED_VALUE"""),"International Arab Journal of Information Technology")</f>
        <v>International Arab Journal of Information Technology</v>
      </c>
      <c r="F150" s="126" t="str">
        <f>IFERROR(__xludf.DUMMYFUNCTION("""COMPUTED_VALUE"""),"IAJIT")</f>
        <v>IAJIT</v>
      </c>
      <c r="G150" s="128" t="str">
        <f>IFERROR(__xludf.DUMMYFUNCTION("""COMPUTED_VALUE"""),"J")</f>
        <v>J</v>
      </c>
      <c r="H150" s="130">
        <f>IFERROR(__xludf.DUMMYFUNCTION("""COMPUTED_VALUE"""),2018.0)</f>
        <v>2018</v>
      </c>
      <c r="I150" s="130">
        <f>IFERROR(__xludf.DUMMYFUNCTION("""COMPUTED_VALUE"""),1.0)</f>
        <v>1</v>
      </c>
      <c r="J150" s="129">
        <f>IFERROR(__xludf.DUMMYFUNCTION("""COMPUTED_VALUE"""),1.0)</f>
        <v>1</v>
      </c>
      <c r="K150" s="130">
        <f>IFERROR(__xludf.DUMMYFUNCTION("""COMPUTED_VALUE"""),1.0)</f>
        <v>1</v>
      </c>
      <c r="L150" s="130">
        <f>IFERROR(__xludf.DUMMYFUNCTION("""COMPUTED_VALUE"""),1.0)</f>
        <v>1</v>
      </c>
      <c r="M150" s="130">
        <f>IFERROR(__xludf.DUMMYFUNCTION("""COMPUTED_VALUE"""),1.0)</f>
        <v>1</v>
      </c>
      <c r="N150" s="130">
        <f>IFERROR(__xludf.DUMMYFUNCTION("""COMPUTED_VALUE"""),0.0)</f>
        <v>0</v>
      </c>
      <c r="O150" s="130">
        <f>IFERROR(__xludf.DUMMYFUNCTION("""COMPUTED_VALUE"""),0.0)</f>
        <v>0</v>
      </c>
      <c r="P150" s="130">
        <f>IFERROR(__xludf.DUMMYFUNCTION("""COMPUTED_VALUE"""),0.0)</f>
        <v>0</v>
      </c>
      <c r="Q150" s="130">
        <f>IFERROR(__xludf.DUMMYFUNCTION("""COMPUTED_VALUE"""),0.0)</f>
        <v>0</v>
      </c>
      <c r="R150" s="129">
        <f>IFERROR(__xludf.DUMMYFUNCTION("""COMPUTED_VALUE"""),0.0)</f>
        <v>0</v>
      </c>
      <c r="S150" s="129">
        <f>IFERROR(__xludf.DUMMYFUNCTION("""COMPUTED_VALUE"""),0.0)</f>
        <v>0</v>
      </c>
      <c r="T150" s="129">
        <f>IFERROR(__xludf.DUMMYFUNCTION("""COMPUTED_VALUE"""),0.0)</f>
        <v>0</v>
      </c>
      <c r="U150" s="129">
        <f>IFERROR(__xludf.DUMMYFUNCTION("""COMPUTED_VALUE"""),0.0)</f>
        <v>0</v>
      </c>
      <c r="V150" s="129">
        <f>IFERROR(__xludf.DUMMYFUNCTION("""COMPUTED_VALUE"""),0.0)</f>
        <v>0</v>
      </c>
      <c r="W150" s="126" t="str">
        <f>IFERROR(__xludf.DUMMYFUNCTION("""COMPUTED_VALUE"""),"Yes")</f>
        <v>Yes</v>
      </c>
      <c r="X150" s="126" t="str">
        <f>IFERROR(__xludf.DUMMYFUNCTION("""COMPUTED_VALUE"""),"Yes")</f>
        <v>Yes</v>
      </c>
      <c r="Y150" s="126" t="str">
        <f>IFERROR(__xludf.DUMMYFUNCTION("""COMPUTED_VALUE"""),"C")</f>
        <v>C</v>
      </c>
      <c r="Z150" s="126" t="str">
        <f>IFERROR(__xludf.DUMMYFUNCTION("""COMPUTED_VALUE"""),"resource management")</f>
        <v>resource management</v>
      </c>
      <c r="AA150" s="126"/>
      <c r="AB150" s="126"/>
      <c r="AC150" s="126"/>
      <c r="AD150" s="126"/>
      <c r="AE150" s="126"/>
      <c r="AF150" s="126"/>
      <c r="AG150" s="126"/>
      <c r="AH150" s="126"/>
      <c r="AI150" s="126"/>
      <c r="AJ150" s="126"/>
    </row>
    <row r="151">
      <c r="A151" s="126">
        <f>IFERROR(__xludf.DUMMYFUNCTION("""COMPUTED_VALUE"""),307.0)</f>
        <v>307</v>
      </c>
      <c r="B151" s="126" t="str">
        <f>IFERROR(__xludf.DUMMYFUNCTION("""COMPUTED_VALUE"""),"Performance Improvement of Cloud Computing Data Centers Using Energy Efficient Task Scheduling Algorithms")</f>
        <v>Performance Improvement of Cloud Computing Data Centers Using Energy Efficient Task Scheduling Algorithms</v>
      </c>
      <c r="C151" s="127" t="str">
        <f>IFERROR(__xludf.DUMMYFUNCTION("""COMPUTED_VALUE"""),"http://www.academia.edu/download/57287382/9_PerformanceImprovement.pdf")</f>
        <v>http://www.academia.edu/download/57287382/9_PerformanceImprovement.pdf</v>
      </c>
      <c r="D151" s="126" t="str">
        <f>IFERROR(__xludf.DUMMYFUNCTION("""COMPUTED_VALUE"""),"AS Umesh, P Kumar")</f>
        <v>AS Umesh, P Kumar</v>
      </c>
      <c r="E151" s="126" t="str">
        <f>IFERROR(__xludf.DUMMYFUNCTION("""COMPUTED_VALUE"""),"nternational Journal of Advanced Engineering, Management and Science ")</f>
        <v>nternational Journal of Advanced Engineering, Management and Science </v>
      </c>
      <c r="F151" s="126" t="str">
        <f>IFERROR(__xludf.DUMMYFUNCTION("""COMPUTED_VALUE"""),"IJAEMS")</f>
        <v>IJAEMS</v>
      </c>
      <c r="G151" s="128" t="str">
        <f>IFERROR(__xludf.DUMMYFUNCTION("""COMPUTED_VALUE"""),"J")</f>
        <v>J</v>
      </c>
      <c r="H151" s="130">
        <f>IFERROR(__xludf.DUMMYFUNCTION("""COMPUTED_VALUE"""),2018.0)</f>
        <v>2018</v>
      </c>
      <c r="I151" s="130">
        <f>IFERROR(__xludf.DUMMYFUNCTION("""COMPUTED_VALUE"""),1.0)</f>
        <v>1</v>
      </c>
      <c r="J151" s="130">
        <f>IFERROR(__xludf.DUMMYFUNCTION("""COMPUTED_VALUE"""),1.0)</f>
        <v>1</v>
      </c>
      <c r="K151" s="130">
        <f>IFERROR(__xludf.DUMMYFUNCTION("""COMPUTED_VALUE"""),1.0)</f>
        <v>1</v>
      </c>
      <c r="L151" s="129">
        <f>IFERROR(__xludf.DUMMYFUNCTION("""COMPUTED_VALUE"""),0.0)</f>
        <v>0</v>
      </c>
      <c r="M151" s="130">
        <f>IFERROR(__xludf.DUMMYFUNCTION("""COMPUTED_VALUE"""),1.0)</f>
        <v>1</v>
      </c>
      <c r="N151" s="130">
        <f>IFERROR(__xludf.DUMMYFUNCTION("""COMPUTED_VALUE"""),0.0)</f>
        <v>0</v>
      </c>
      <c r="O151" s="129">
        <f>IFERROR(__xludf.DUMMYFUNCTION("""COMPUTED_VALUE"""),0.0)</f>
        <v>0</v>
      </c>
      <c r="P151" s="130">
        <f>IFERROR(__xludf.DUMMYFUNCTION("""COMPUTED_VALUE"""),0.0)</f>
        <v>0</v>
      </c>
      <c r="Q151" s="130">
        <f>IFERROR(__xludf.DUMMYFUNCTION("""COMPUTED_VALUE"""),0.0)</f>
        <v>0</v>
      </c>
      <c r="R151" s="129">
        <f>IFERROR(__xludf.DUMMYFUNCTION("""COMPUTED_VALUE"""),0.0)</f>
        <v>0</v>
      </c>
      <c r="S151" s="129">
        <f>IFERROR(__xludf.DUMMYFUNCTION("""COMPUTED_VALUE"""),0.0)</f>
        <v>0</v>
      </c>
      <c r="T151" s="129">
        <f>IFERROR(__xludf.DUMMYFUNCTION("""COMPUTED_VALUE"""),0.0)</f>
        <v>0</v>
      </c>
      <c r="U151" s="129">
        <f>IFERROR(__xludf.DUMMYFUNCTION("""COMPUTED_VALUE"""),0.0)</f>
        <v>0</v>
      </c>
      <c r="V151" s="129">
        <f>IFERROR(__xludf.DUMMYFUNCTION("""COMPUTED_VALUE"""),0.0)</f>
        <v>0</v>
      </c>
      <c r="W151" s="126" t="str">
        <f>IFERROR(__xludf.DUMMYFUNCTION("""COMPUTED_VALUE"""),"No")</f>
        <v>No</v>
      </c>
      <c r="X151" s="126" t="str">
        <f>IFERROR(__xludf.DUMMYFUNCTION("""COMPUTED_VALUE"""),"Yes")</f>
        <v>Yes</v>
      </c>
      <c r="Y151" s="126" t="str">
        <f>IFERROR(__xludf.DUMMYFUNCTION("""COMPUTED_VALUE"""),"C")</f>
        <v>C</v>
      </c>
      <c r="Z151" s="126" t="str">
        <f>IFERROR(__xludf.DUMMYFUNCTION("""COMPUTED_VALUE"""),"no evaluation")</f>
        <v>no evaluation</v>
      </c>
      <c r="AA151" s="126"/>
      <c r="AB151" s="126"/>
      <c r="AC151" s="126"/>
      <c r="AD151" s="126"/>
      <c r="AE151" s="126"/>
      <c r="AF151" s="126"/>
      <c r="AG151" s="126"/>
      <c r="AH151" s="126"/>
      <c r="AI151" s="126"/>
      <c r="AJ151" s="126"/>
    </row>
    <row r="152">
      <c r="A152" s="126">
        <f>IFERROR(__xludf.DUMMYFUNCTION("""COMPUTED_VALUE"""),309.0)</f>
        <v>309</v>
      </c>
      <c r="B152" s="126" t="str">
        <f>IFERROR(__xludf.DUMMYFUNCTION("""COMPUTED_VALUE"""),"Energy‐aware task scheduling with time constraint for heterogeneous cloud datacenters")</f>
        <v>Energy‐aware task scheduling with time constraint for heterogeneous cloud datacenters</v>
      </c>
      <c r="C152" s="127" t="str">
        <f>IFERROR(__xludf.DUMMYFUNCTION("""COMPUTED_VALUE"""),"https://onlinelibrary.wiley.com/doi/abs/10.1002/cpe.5437")</f>
        <v>https://onlinelibrary.wiley.com/doi/abs/10.1002/cpe.5437</v>
      </c>
      <c r="D152" s="126" t="str">
        <f>IFERROR(__xludf.DUMMYFUNCTION("""COMPUTED_VALUE"""),"X Liu, P Liu, L Hu, C Zou…")</f>
        <v>X Liu, P Liu, L Hu, C Zou…</v>
      </c>
      <c r="E152" s="126" t="str">
        <f>IFERROR(__xludf.DUMMYFUNCTION("""COMPUTED_VALUE"""),"Wiley Online Library")</f>
        <v>Wiley Online Library</v>
      </c>
      <c r="F152" s="126" t="str">
        <f>IFERROR(__xludf.DUMMYFUNCTION("""COMPUTED_VALUE"""),"Wiley")</f>
        <v>Wiley</v>
      </c>
      <c r="G152" s="128"/>
      <c r="H152" s="130">
        <f>IFERROR(__xludf.DUMMYFUNCTION("""COMPUTED_VALUE"""),2020.0)</f>
        <v>2020</v>
      </c>
      <c r="I152" s="130"/>
      <c r="J152" s="129"/>
      <c r="K152" s="130"/>
      <c r="L152" s="130"/>
      <c r="M152" s="130"/>
      <c r="N152" s="130"/>
      <c r="O152" s="130"/>
      <c r="P152" s="130"/>
      <c r="Q152" s="130">
        <f>IFERROR(__xludf.DUMMYFUNCTION("""COMPUTED_VALUE"""),0.0)</f>
        <v>0</v>
      </c>
      <c r="R152" s="129"/>
      <c r="S152" s="129">
        <f>IFERROR(__xludf.DUMMYFUNCTION("""COMPUTED_VALUE"""),0.0)</f>
        <v>0</v>
      </c>
      <c r="T152" s="129">
        <f>IFERROR(__xludf.DUMMYFUNCTION("""COMPUTED_VALUE"""),0.0)</f>
        <v>0</v>
      </c>
      <c r="U152" s="129">
        <f>IFERROR(__xludf.DUMMYFUNCTION("""COMPUTED_VALUE"""),0.0)</f>
        <v>0</v>
      </c>
      <c r="V152" s="129">
        <f>IFERROR(__xludf.DUMMYFUNCTION("""COMPUTED_VALUE"""),0.0)</f>
        <v>0</v>
      </c>
      <c r="W152" s="126" t="str">
        <f>IFERROR(__xludf.DUMMYFUNCTION("""COMPUTED_VALUE"""),"No")</f>
        <v>No</v>
      </c>
      <c r="X152" s="126" t="str">
        <f>IFERROR(__xludf.DUMMYFUNCTION("""COMPUTED_VALUE"""),"Yes")</f>
        <v>Yes</v>
      </c>
      <c r="Y152" s="126" t="str">
        <f>IFERROR(__xludf.DUMMYFUNCTION("""COMPUTED_VALUE"""),"C")</f>
        <v>C</v>
      </c>
      <c r="Z152" s="126" t="str">
        <f>IFERROR(__xludf.DUMMYFUNCTION("""COMPUTED_VALUE"""),"hardware approach")</f>
        <v>hardware approach</v>
      </c>
      <c r="AA152" s="126"/>
      <c r="AB152" s="126"/>
      <c r="AC152" s="126"/>
      <c r="AD152" s="126"/>
      <c r="AE152" s="126"/>
      <c r="AF152" s="126"/>
      <c r="AG152" s="126"/>
      <c r="AH152" s="126"/>
      <c r="AI152" s="126"/>
      <c r="AJ152" s="126"/>
    </row>
    <row r="153">
      <c r="A153" s="126">
        <f>IFERROR(__xludf.DUMMYFUNCTION("""COMPUTED_VALUE"""),314.0)</f>
        <v>314</v>
      </c>
      <c r="B153" s="126" t="str">
        <f>IFERROR(__xludf.DUMMYFUNCTION("""COMPUTED_VALUE"""),"EnLoB: Energy and load balancing-driven container placement strategy for data centers")</f>
        <v>EnLoB: Energy and load balancing-driven container placement strategy for data centers</v>
      </c>
      <c r="C153" s="127" t="str">
        <f>IFERROR(__xludf.DUMMYFUNCTION("""COMPUTED_VALUE"""),"https://ieeexplore.ieee.org/abstract/document/9024592/")</f>
        <v>https://ieeexplore.ieee.org/abstract/document/9024592/</v>
      </c>
      <c r="D153" s="126" t="str">
        <f>IFERROR(__xludf.DUMMYFUNCTION("""COMPUTED_VALUE"""),"K Kaur, S Garg, G Kaddoum, F Gagnon…")</f>
        <v>K Kaur, S Garg, G Kaddoum, F Gagnon…</v>
      </c>
      <c r="E153" s="126" t="str">
        <f>IFERROR(__xludf.DUMMYFUNCTION("""COMPUTED_VALUE"""),"Institute of Electrical and Electronics Engineers")</f>
        <v>Institute of Electrical and Electronics Engineers</v>
      </c>
      <c r="F153" s="126" t="str">
        <f>IFERROR(__xludf.DUMMYFUNCTION("""COMPUTED_VALUE"""),"IEEE Xplore")</f>
        <v>IEEE Xplore</v>
      </c>
      <c r="G153" s="128"/>
      <c r="H153" s="129">
        <f>IFERROR(__xludf.DUMMYFUNCTION("""COMPUTED_VALUE"""),2019.0)</f>
        <v>2019</v>
      </c>
      <c r="I153" s="129">
        <f>IFERROR(__xludf.DUMMYFUNCTION("""COMPUTED_VALUE"""),1.0)</f>
        <v>1</v>
      </c>
      <c r="J153" s="129">
        <f>IFERROR(__xludf.DUMMYFUNCTION("""COMPUTED_VALUE"""),1.0)</f>
        <v>1</v>
      </c>
      <c r="K153" s="130">
        <f>IFERROR(__xludf.DUMMYFUNCTION("""COMPUTED_VALUE"""),1.0)</f>
        <v>1</v>
      </c>
      <c r="L153" s="130">
        <f>IFERROR(__xludf.DUMMYFUNCTION("""COMPUTED_VALUE"""),1.0)</f>
        <v>1</v>
      </c>
      <c r="M153" s="130">
        <f>IFERROR(__xludf.DUMMYFUNCTION("""COMPUTED_VALUE"""),1.0)</f>
        <v>1</v>
      </c>
      <c r="N153" s="130">
        <f>IFERROR(__xludf.DUMMYFUNCTION("""COMPUTED_VALUE"""),0.0)</f>
        <v>0</v>
      </c>
      <c r="O153" s="130">
        <f>IFERROR(__xludf.DUMMYFUNCTION("""COMPUTED_VALUE"""),0.0)</f>
        <v>0</v>
      </c>
      <c r="P153" s="130">
        <f>IFERROR(__xludf.DUMMYFUNCTION("""COMPUTED_VALUE"""),0.0)</f>
        <v>0</v>
      </c>
      <c r="Q153" s="129">
        <f>IFERROR(__xludf.DUMMYFUNCTION("""COMPUTED_VALUE"""),0.0)</f>
        <v>0</v>
      </c>
      <c r="R153" s="129">
        <f>IFERROR(__xludf.DUMMYFUNCTION("""COMPUTED_VALUE"""),0.0)</f>
        <v>0</v>
      </c>
      <c r="S153" s="129">
        <f>IFERROR(__xludf.DUMMYFUNCTION("""COMPUTED_VALUE"""),0.0)</f>
        <v>0</v>
      </c>
      <c r="T153" s="129">
        <f>IFERROR(__xludf.DUMMYFUNCTION("""COMPUTED_VALUE"""),0.0)</f>
        <v>0</v>
      </c>
      <c r="U153" s="129">
        <f>IFERROR(__xludf.DUMMYFUNCTION("""COMPUTED_VALUE"""),0.0)</f>
        <v>0</v>
      </c>
      <c r="V153" s="129">
        <f>IFERROR(__xludf.DUMMYFUNCTION("""COMPUTED_VALUE"""),0.0)</f>
        <v>0</v>
      </c>
      <c r="W153" s="126" t="str">
        <f>IFERROR(__xludf.DUMMYFUNCTION("""COMPUTED_VALUE"""),"Yes")</f>
        <v>Yes</v>
      </c>
      <c r="X153" s="126" t="str">
        <f>IFERROR(__xludf.DUMMYFUNCTION("""COMPUTED_VALUE"""),"Yes")</f>
        <v>Yes</v>
      </c>
      <c r="Y153" s="126" t="str">
        <f>IFERROR(__xludf.DUMMYFUNCTION("""COMPUTED_VALUE"""),"C")</f>
        <v>C</v>
      </c>
      <c r="Z153" s="126" t="str">
        <f>IFERROR(__xludf.DUMMYFUNCTION("""COMPUTED_VALUE"""),"container placement")</f>
        <v>container placement</v>
      </c>
      <c r="AA153" s="126"/>
      <c r="AB153" s="126"/>
      <c r="AC153" s="126"/>
      <c r="AD153" s="126"/>
      <c r="AE153" s="126"/>
      <c r="AF153" s="126"/>
      <c r="AG153" s="126"/>
      <c r="AH153" s="126"/>
      <c r="AI153" s="126"/>
      <c r="AJ153" s="126"/>
    </row>
    <row r="154">
      <c r="A154" s="126">
        <f>IFERROR(__xludf.DUMMYFUNCTION("""COMPUTED_VALUE"""),315.0)</f>
        <v>315</v>
      </c>
      <c r="B154" s="126" t="str">
        <f>IFERROR(__xludf.DUMMYFUNCTION("""COMPUTED_VALUE"""),"A Study on Energy Consumption of DVFS and Simple VM Consolidation Policies in Cloud Computing Data Centers Using CloudSim Toolkit")</f>
        <v>A Study on Energy Consumption of DVFS and Simple VM Consolidation Policies in Cloud Computing Data Centers Using CloudSim Toolkit</v>
      </c>
      <c r="C154" s="127" t="str">
        <f>IFERROR(__xludf.DUMMYFUNCTION("""COMPUTED_VALUE"""),"https://link.springer.com/content/pdf/10.1007/s11277-020-07070-2.pdf")</f>
        <v>https://link.springer.com/content/pdf/10.1007/s11277-020-07070-2.pdf</v>
      </c>
      <c r="D154" s="126" t="str">
        <f>IFERROR(__xludf.DUMMYFUNCTION("""COMPUTED_VALUE"""),"BP Singh, SA Kumar, XZ Gao, M Kohli…")</f>
        <v>BP Singh, SA Kumar, XZ Gao, M Kohli…</v>
      </c>
      <c r="E154" s="126" t="str">
        <f>IFERROR(__xludf.DUMMYFUNCTION("""COMPUTED_VALUE"""),"Springer")</f>
        <v>Springer</v>
      </c>
      <c r="F154" s="126" t="str">
        <f>IFERROR(__xludf.DUMMYFUNCTION("""COMPUTED_VALUE"""),"Springer")</f>
        <v>Springer</v>
      </c>
      <c r="G154" s="128"/>
      <c r="H154" s="129">
        <f>IFERROR(__xludf.DUMMYFUNCTION("""COMPUTED_VALUE"""),2020.0)</f>
        <v>2020</v>
      </c>
      <c r="I154" s="130">
        <f>IFERROR(__xludf.DUMMYFUNCTION("""COMPUTED_VALUE"""),1.0)</f>
        <v>1</v>
      </c>
      <c r="J154" s="130"/>
      <c r="K154" s="129">
        <f>IFERROR(__xludf.DUMMYFUNCTION("""COMPUTED_VALUE"""),1.0)</f>
        <v>1</v>
      </c>
      <c r="L154" s="129">
        <f>IFERROR(__xludf.DUMMYFUNCTION("""COMPUTED_VALUE"""),1.0)</f>
        <v>1</v>
      </c>
      <c r="M154" s="130"/>
      <c r="N154" s="130">
        <f>IFERROR(__xludf.DUMMYFUNCTION("""COMPUTED_VALUE"""),1.0)</f>
        <v>1</v>
      </c>
      <c r="O154" s="130">
        <f>IFERROR(__xludf.DUMMYFUNCTION("""COMPUTED_VALUE"""),0.0)</f>
        <v>0</v>
      </c>
      <c r="P154" s="130">
        <f>IFERROR(__xludf.DUMMYFUNCTION("""COMPUTED_VALUE"""),0.0)</f>
        <v>0</v>
      </c>
      <c r="Q154" s="130">
        <f>IFERROR(__xludf.DUMMYFUNCTION("""COMPUTED_VALUE"""),0.0)</f>
        <v>0</v>
      </c>
      <c r="R154" s="130">
        <f>IFERROR(__xludf.DUMMYFUNCTION("""COMPUTED_VALUE"""),0.0)</f>
        <v>0</v>
      </c>
      <c r="S154" s="130">
        <f>IFERROR(__xludf.DUMMYFUNCTION("""COMPUTED_VALUE"""),1.0)</f>
        <v>1</v>
      </c>
      <c r="T154" s="130">
        <f>IFERROR(__xludf.DUMMYFUNCTION("""COMPUTED_VALUE"""),0.0)</f>
        <v>0</v>
      </c>
      <c r="U154" s="130">
        <f>IFERROR(__xludf.DUMMYFUNCTION("""COMPUTED_VALUE"""),0.0)</f>
        <v>0</v>
      </c>
      <c r="V154" s="130">
        <f>IFERROR(__xludf.DUMMYFUNCTION("""COMPUTED_VALUE"""),0.0)</f>
        <v>0</v>
      </c>
      <c r="W154" s="131" t="str">
        <f>IFERROR(__xludf.DUMMYFUNCTION("""COMPUTED_VALUE"""),"No")</f>
        <v>No</v>
      </c>
      <c r="X154" s="131" t="str">
        <f>IFERROR(__xludf.DUMMYFUNCTION("""COMPUTED_VALUE"""),"Yes")</f>
        <v>Yes</v>
      </c>
      <c r="Y154" s="131" t="str">
        <f>IFERROR(__xludf.DUMMYFUNCTION("""COMPUTED_VALUE"""),"C")</f>
        <v>C</v>
      </c>
      <c r="Z154" s="131" t="str">
        <f>IFERROR(__xludf.DUMMYFUNCTION("""COMPUTED_VALUE"""),"secondary research")</f>
        <v>secondary research</v>
      </c>
      <c r="AA154" s="131"/>
      <c r="AB154" s="131"/>
      <c r="AC154" s="131"/>
      <c r="AD154" s="131"/>
      <c r="AE154" s="131"/>
      <c r="AF154" s="131"/>
      <c r="AG154" s="131"/>
      <c r="AH154" s="131"/>
      <c r="AI154" s="131"/>
      <c r="AJ154" s="131"/>
    </row>
    <row r="155">
      <c r="A155" s="126">
        <f>IFERROR(__xludf.DUMMYFUNCTION("""COMPUTED_VALUE"""),316.0)</f>
        <v>316</v>
      </c>
      <c r="B155" s="126" t="str">
        <f>IFERROR(__xludf.DUMMYFUNCTION("""COMPUTED_VALUE"""),"Energy aware virtual machine scheduling in data centers")</f>
        <v>Energy aware virtual machine scheduling in data centers</v>
      </c>
      <c r="C155" s="127" t="str">
        <f>IFERROR(__xludf.DUMMYFUNCTION("""COMPUTED_VALUE"""),"https://www.mdpi.com/1996-1073/12/4/646")</f>
        <v>https://www.mdpi.com/1996-1073/12/4/646</v>
      </c>
      <c r="D155" s="131" t="str">
        <f>IFERROR(__xludf.DUMMYFUNCTION("""COMPUTED_VALUE"""),"Y Qiu, C Jiang, Y Wang, D Ou, Y Li, J Wan")</f>
        <v>Y Qiu, C Jiang, Y Wang, D Ou, Y Li, J Wan</v>
      </c>
      <c r="E155" s="131" t="str">
        <f>IFERROR(__xludf.DUMMYFUNCTION("""COMPUTED_VALUE"""),"Multidisciplinary Digital Publishing Institute")</f>
        <v>Multidisciplinary Digital Publishing Institute</v>
      </c>
      <c r="F155" s="126" t="str">
        <f>IFERROR(__xludf.DUMMYFUNCTION("""COMPUTED_VALUE"""),"MDPI")</f>
        <v>MDPI</v>
      </c>
      <c r="G155" s="128" t="str">
        <f>IFERROR(__xludf.DUMMYFUNCTION("""COMPUTED_VALUE"""),"J")</f>
        <v>J</v>
      </c>
      <c r="H155" s="130">
        <f>IFERROR(__xludf.DUMMYFUNCTION("""COMPUTED_VALUE"""),2019.0)</f>
        <v>2019</v>
      </c>
      <c r="I155" s="130">
        <f>IFERROR(__xludf.DUMMYFUNCTION("""COMPUTED_VALUE"""),1.0)</f>
        <v>1</v>
      </c>
      <c r="J155" s="130">
        <f>IFERROR(__xludf.DUMMYFUNCTION("""COMPUTED_VALUE"""),1.0)</f>
        <v>1</v>
      </c>
      <c r="K155" s="130">
        <f>IFERROR(__xludf.DUMMYFUNCTION("""COMPUTED_VALUE"""),1.0)</f>
        <v>1</v>
      </c>
      <c r="L155" s="129">
        <f>IFERROR(__xludf.DUMMYFUNCTION("""COMPUTED_VALUE"""),1.0)</f>
        <v>1</v>
      </c>
      <c r="M155" s="130">
        <f>IFERROR(__xludf.DUMMYFUNCTION("""COMPUTED_VALUE"""),1.0)</f>
        <v>1</v>
      </c>
      <c r="N155" s="130">
        <f>IFERROR(__xludf.DUMMYFUNCTION("""COMPUTED_VALUE"""),0.0)</f>
        <v>0</v>
      </c>
      <c r="O155" s="130">
        <f>IFERROR(__xludf.DUMMYFUNCTION("""COMPUTED_VALUE"""),0.0)</f>
        <v>0</v>
      </c>
      <c r="P155" s="130">
        <f>IFERROR(__xludf.DUMMYFUNCTION("""COMPUTED_VALUE"""),0.0)</f>
        <v>0</v>
      </c>
      <c r="Q155" s="130">
        <f>IFERROR(__xludf.DUMMYFUNCTION("""COMPUTED_VALUE"""),0.0)</f>
        <v>0</v>
      </c>
      <c r="R155" s="129">
        <f>IFERROR(__xludf.DUMMYFUNCTION("""COMPUTED_VALUE"""),0.0)</f>
        <v>0</v>
      </c>
      <c r="S155" s="129">
        <f>IFERROR(__xludf.DUMMYFUNCTION("""COMPUTED_VALUE"""),0.0)</f>
        <v>0</v>
      </c>
      <c r="T155" s="129">
        <f>IFERROR(__xludf.DUMMYFUNCTION("""COMPUTED_VALUE"""),0.0)</f>
        <v>0</v>
      </c>
      <c r="U155" s="129">
        <f>IFERROR(__xludf.DUMMYFUNCTION("""COMPUTED_VALUE"""),0.0)</f>
        <v>0</v>
      </c>
      <c r="V155" s="129">
        <f>IFERROR(__xludf.DUMMYFUNCTION("""COMPUTED_VALUE"""),0.0)</f>
        <v>0</v>
      </c>
      <c r="W155" s="126" t="str">
        <f>IFERROR(__xludf.DUMMYFUNCTION("""COMPUTED_VALUE"""),"Yes")</f>
        <v>Yes</v>
      </c>
      <c r="X155" s="126" t="str">
        <f>IFERROR(__xludf.DUMMYFUNCTION("""COMPUTED_VALUE"""),"Yes")</f>
        <v>Yes</v>
      </c>
      <c r="Y155" s="126" t="str">
        <f>IFERROR(__xludf.DUMMYFUNCTION("""COMPUTED_VALUE"""),"C")</f>
        <v>C</v>
      </c>
      <c r="Z155" s="126" t="str">
        <f>IFERROR(__xludf.DUMMYFUNCTION("""COMPUTED_VALUE"""),"VM scheduling")</f>
        <v>VM scheduling</v>
      </c>
      <c r="AA155" s="126"/>
      <c r="AB155" s="126"/>
      <c r="AC155" s="126"/>
      <c r="AD155" s="126"/>
      <c r="AE155" s="126"/>
      <c r="AF155" s="126"/>
      <c r="AG155" s="126"/>
      <c r="AH155" s="126"/>
      <c r="AI155" s="126"/>
      <c r="AJ155" s="126"/>
    </row>
    <row r="156">
      <c r="A156" s="126">
        <f>IFERROR(__xludf.DUMMYFUNCTION("""COMPUTED_VALUE"""),318.0)</f>
        <v>318</v>
      </c>
      <c r="B156" s="126" t="str">
        <f>IFERROR(__xludf.DUMMYFUNCTION("""COMPUTED_VALUE"""),"Energy-sensitive Scheduling for Cloud Data Centers Prone to Failures")</f>
        <v>Energy-sensitive Scheduling for Cloud Data Centers Prone to Failures</v>
      </c>
      <c r="C156" s="127" t="str">
        <f>IFERROR(__xludf.DUMMYFUNCTION("""COMPUTED_VALUE"""),"https://ieeexplore.ieee.org/abstract/document/9238057/")</f>
        <v>https://ieeexplore.ieee.org/abstract/document/9238057/</v>
      </c>
      <c r="D156" s="126" t="str">
        <f>IFERROR(__xludf.DUMMYFUNCTION("""COMPUTED_VALUE"""),"JJ Huang, QH Zhu, Y Hou")</f>
        <v>JJ Huang, QH Zhu, Y Hou</v>
      </c>
      <c r="E156" s="126" t="str">
        <f>IFERROR(__xludf.DUMMYFUNCTION("""COMPUTED_VALUE"""),"Institute of Electrical and Electronics Engineers")</f>
        <v>Institute of Electrical and Electronics Engineers</v>
      </c>
      <c r="F156" s="126" t="str">
        <f>IFERROR(__xludf.DUMMYFUNCTION("""COMPUTED_VALUE"""),"IEEE Xplore")</f>
        <v>IEEE Xplore</v>
      </c>
      <c r="G156" s="128" t="str">
        <f>IFERROR(__xludf.DUMMYFUNCTION("""COMPUTED_VALUE"""),"C")</f>
        <v>C</v>
      </c>
      <c r="H156" s="130">
        <f>IFERROR(__xludf.DUMMYFUNCTION("""COMPUTED_VALUE"""),2020.0)</f>
        <v>2020</v>
      </c>
      <c r="I156" s="130">
        <f>IFERROR(__xludf.DUMMYFUNCTION("""COMPUTED_VALUE"""),1.0)</f>
        <v>1</v>
      </c>
      <c r="J156" s="130">
        <f>IFERROR(__xludf.DUMMYFUNCTION("""COMPUTED_VALUE"""),1.0)</f>
        <v>1</v>
      </c>
      <c r="K156" s="130">
        <f>IFERROR(__xludf.DUMMYFUNCTION("""COMPUTED_VALUE"""),1.0)</f>
        <v>1</v>
      </c>
      <c r="L156" s="129"/>
      <c r="M156" s="130">
        <f>IFERROR(__xludf.DUMMYFUNCTION("""COMPUTED_VALUE"""),1.0)</f>
        <v>1</v>
      </c>
      <c r="N156" s="130">
        <f>IFERROR(__xludf.DUMMYFUNCTION("""COMPUTED_VALUE"""),0.0)</f>
        <v>0</v>
      </c>
      <c r="O156" s="130">
        <f>IFERROR(__xludf.DUMMYFUNCTION("""COMPUTED_VALUE"""),0.0)</f>
        <v>0</v>
      </c>
      <c r="P156" s="130">
        <f>IFERROR(__xludf.DUMMYFUNCTION("""COMPUTED_VALUE"""),0.0)</f>
        <v>0</v>
      </c>
      <c r="Q156" s="130">
        <f>IFERROR(__xludf.DUMMYFUNCTION("""COMPUTED_VALUE"""),0.0)</f>
        <v>0</v>
      </c>
      <c r="R156" s="129">
        <f>IFERROR(__xludf.DUMMYFUNCTION("""COMPUTED_VALUE"""),0.0)</f>
        <v>0</v>
      </c>
      <c r="S156" s="129">
        <f>IFERROR(__xludf.DUMMYFUNCTION("""COMPUTED_VALUE"""),0.0)</f>
        <v>0</v>
      </c>
      <c r="T156" s="129">
        <f>IFERROR(__xludf.DUMMYFUNCTION("""COMPUTED_VALUE"""),0.0)</f>
        <v>0</v>
      </c>
      <c r="U156" s="129">
        <f>IFERROR(__xludf.DUMMYFUNCTION("""COMPUTED_VALUE"""),0.0)</f>
        <v>0</v>
      </c>
      <c r="V156" s="129">
        <f>IFERROR(__xludf.DUMMYFUNCTION("""COMPUTED_VALUE"""),0.0)</f>
        <v>0</v>
      </c>
      <c r="W156" s="126"/>
      <c r="X156" s="126" t="str">
        <f>IFERROR(__xludf.DUMMYFUNCTION("""COMPUTED_VALUE"""),"Yes")</f>
        <v>Yes</v>
      </c>
      <c r="Y156" s="126" t="str">
        <f>IFERROR(__xludf.DUMMYFUNCTION("""COMPUTED_VALUE"""),"C")</f>
        <v>C</v>
      </c>
      <c r="Z156" s="126" t="str">
        <f>IFERROR(__xludf.DUMMYFUNCTION("""COMPUTED_VALUE"""),"cannot access")</f>
        <v>cannot access</v>
      </c>
      <c r="AA156" s="126"/>
      <c r="AB156" s="126"/>
      <c r="AC156" s="126"/>
      <c r="AD156" s="126"/>
      <c r="AE156" s="126"/>
      <c r="AF156" s="126"/>
      <c r="AG156" s="126"/>
      <c r="AH156" s="126"/>
      <c r="AI156" s="126"/>
      <c r="AJ156" s="126"/>
    </row>
    <row r="157">
      <c r="A157" s="126">
        <f>IFERROR(__xludf.DUMMYFUNCTION("""COMPUTED_VALUE"""),320.0)</f>
        <v>320</v>
      </c>
      <c r="B157" s="126" t="str">
        <f>IFERROR(__xludf.DUMMYFUNCTION("""COMPUTED_VALUE"""),"Energy-Efficient Resource Allocation in Data Centers Using a Hybrid Evolutionary Algorithm")</f>
        <v>Energy-Efficient Resource Allocation in Data Centers Using a Hybrid Evolutionary Algorithm</v>
      </c>
      <c r="C157" s="127" t="str">
        <f>IFERROR(__xludf.DUMMYFUNCTION("""COMPUTED_VALUE"""),"https://link.springer.com/chapter/10.1007/978-981-15-3689-2_4")</f>
        <v>https://link.springer.com/chapter/10.1007/978-981-15-3689-2_4</v>
      </c>
      <c r="D157" s="126" t="str">
        <f>IFERROR(__xludf.DUMMYFUNCTION("""COMPUTED_VALUE"""),"VD Reddy, GR Gangadharan, G Rao…")</f>
        <v>VD Reddy, GR Gangadharan, G Rao…</v>
      </c>
      <c r="E157" s="126" t="str">
        <f>IFERROR(__xludf.DUMMYFUNCTION("""COMPUTED_VALUE"""),"Springer")</f>
        <v>Springer</v>
      </c>
      <c r="F157" s="126" t="str">
        <f>IFERROR(__xludf.DUMMYFUNCTION("""COMPUTED_VALUE"""),"Springer")</f>
        <v>Springer</v>
      </c>
      <c r="G157" s="128"/>
      <c r="H157" s="129">
        <f>IFERROR(__xludf.DUMMYFUNCTION("""COMPUTED_VALUE"""),2020.0)</f>
        <v>2020</v>
      </c>
      <c r="I157" s="129">
        <f>IFERROR(__xludf.DUMMYFUNCTION("""COMPUTED_VALUE"""),1.0)</f>
        <v>1</v>
      </c>
      <c r="J157" s="129">
        <f>IFERROR(__xludf.DUMMYFUNCTION("""COMPUTED_VALUE"""),1.0)</f>
        <v>1</v>
      </c>
      <c r="K157" s="130">
        <f>IFERROR(__xludf.DUMMYFUNCTION("""COMPUTED_VALUE"""),1.0)</f>
        <v>1</v>
      </c>
      <c r="L157" s="130">
        <f>IFERROR(__xludf.DUMMYFUNCTION("""COMPUTED_VALUE"""),1.0)</f>
        <v>1</v>
      </c>
      <c r="M157" s="130">
        <f>IFERROR(__xludf.DUMMYFUNCTION("""COMPUTED_VALUE"""),1.0)</f>
        <v>1</v>
      </c>
      <c r="N157" s="130">
        <f>IFERROR(__xludf.DUMMYFUNCTION("""COMPUTED_VALUE"""),0.0)</f>
        <v>0</v>
      </c>
      <c r="O157" s="130">
        <f>IFERROR(__xludf.DUMMYFUNCTION("""COMPUTED_VALUE"""),0.0)</f>
        <v>0</v>
      </c>
      <c r="P157" s="130">
        <f>IFERROR(__xludf.DUMMYFUNCTION("""COMPUTED_VALUE"""),0.0)</f>
        <v>0</v>
      </c>
      <c r="Q157" s="129">
        <f>IFERROR(__xludf.DUMMYFUNCTION("""COMPUTED_VALUE"""),0.0)</f>
        <v>0</v>
      </c>
      <c r="R157" s="130">
        <f>IFERROR(__xludf.DUMMYFUNCTION("""COMPUTED_VALUE"""),0.0)</f>
        <v>0</v>
      </c>
      <c r="S157" s="130">
        <f>IFERROR(__xludf.DUMMYFUNCTION("""COMPUTED_VALUE"""),0.0)</f>
        <v>0</v>
      </c>
      <c r="T157" s="130">
        <f>IFERROR(__xludf.DUMMYFUNCTION("""COMPUTED_VALUE"""),0.0)</f>
        <v>0</v>
      </c>
      <c r="U157" s="130">
        <f>IFERROR(__xludf.DUMMYFUNCTION("""COMPUTED_VALUE"""),0.0)</f>
        <v>0</v>
      </c>
      <c r="V157" s="130">
        <f>IFERROR(__xludf.DUMMYFUNCTION("""COMPUTED_VALUE"""),0.0)</f>
        <v>0</v>
      </c>
      <c r="W157" s="131" t="str">
        <f>IFERROR(__xludf.DUMMYFUNCTION("""COMPUTED_VALUE"""),"Yes")</f>
        <v>Yes</v>
      </c>
      <c r="X157" s="131" t="str">
        <f>IFERROR(__xludf.DUMMYFUNCTION("""COMPUTED_VALUE"""),"Yes")</f>
        <v>Yes</v>
      </c>
      <c r="Y157" s="131" t="str">
        <f>IFERROR(__xludf.DUMMYFUNCTION("""COMPUTED_VALUE"""),"C")</f>
        <v>C</v>
      </c>
      <c r="Z157" s="131" t="str">
        <f>IFERROR(__xludf.DUMMYFUNCTION("""COMPUTED_VALUE"""),"resource allocation")</f>
        <v>resource allocation</v>
      </c>
      <c r="AA157" s="131"/>
      <c r="AB157" s="131"/>
      <c r="AC157" s="131"/>
      <c r="AD157" s="131"/>
      <c r="AE157" s="131"/>
      <c r="AF157" s="131"/>
      <c r="AG157" s="131"/>
      <c r="AH157" s="131"/>
      <c r="AI157" s="131"/>
      <c r="AJ157" s="131"/>
    </row>
    <row r="158">
      <c r="A158" s="126">
        <f>IFERROR(__xludf.DUMMYFUNCTION("""COMPUTED_VALUE"""),321.0)</f>
        <v>321</v>
      </c>
      <c r="B158" s="126" t="str">
        <f>IFERROR(__xludf.DUMMYFUNCTION("""COMPUTED_VALUE"""),"Energy Efficient Task Scheduling in Cloud Data Center")</f>
        <v>Energy Efficient Task Scheduling in Cloud Data Center</v>
      </c>
      <c r="C158" s="127" t="str">
        <f>IFERROR(__xludf.DUMMYFUNCTION("""COMPUTED_VALUE"""),"https://www.academia.edu/download/60782019/320191003-30157-m01c7a.pdf")</f>
        <v>https://www.academia.edu/download/60782019/320191003-30157-m01c7a.pdf</v>
      </c>
      <c r="D158" s="126" t="str">
        <f>IFERROR(__xludf.DUMMYFUNCTION("""COMPUTED_VALUE"""),"D Kumar, S Kulshrestha")</f>
        <v>D Kumar, S Kulshrestha</v>
      </c>
      <c r="E158" s="126"/>
      <c r="F158" s="126"/>
      <c r="G158" s="128"/>
      <c r="H158" s="129"/>
      <c r="I158" s="130"/>
      <c r="J158" s="129"/>
      <c r="K158" s="130"/>
      <c r="L158" s="130"/>
      <c r="M158" s="130"/>
      <c r="N158" s="130"/>
      <c r="O158" s="130"/>
      <c r="P158" s="130"/>
      <c r="Q158" s="130"/>
      <c r="R158" s="130"/>
      <c r="S158" s="130"/>
      <c r="T158" s="130"/>
      <c r="U158" s="130"/>
      <c r="V158" s="130"/>
      <c r="W158" s="131"/>
      <c r="X158" s="131" t="str">
        <f>IFERROR(__xludf.DUMMYFUNCTION("""COMPUTED_VALUE"""),"Yes")</f>
        <v>Yes</v>
      </c>
      <c r="Y158" s="131" t="str">
        <f>IFERROR(__xludf.DUMMYFUNCTION("""COMPUTED_VALUE"""),"C")</f>
        <v>C</v>
      </c>
      <c r="Z158" s="131" t="str">
        <f>IFERROR(__xludf.DUMMYFUNCTION("""COMPUTED_VALUE"""),"cannot access")</f>
        <v>cannot access</v>
      </c>
      <c r="AA158" s="131"/>
      <c r="AB158" s="131"/>
      <c r="AC158" s="131"/>
      <c r="AD158" s="131"/>
      <c r="AE158" s="131"/>
      <c r="AF158" s="131"/>
      <c r="AG158" s="131"/>
      <c r="AH158" s="131"/>
      <c r="AI158" s="131"/>
      <c r="AJ158" s="131"/>
    </row>
    <row r="159">
      <c r="A159" s="126">
        <f>IFERROR(__xludf.DUMMYFUNCTION("""COMPUTED_VALUE"""),323.0)</f>
        <v>323</v>
      </c>
      <c r="B159" s="126" t="str">
        <f>IFERROR(__xludf.DUMMYFUNCTION("""COMPUTED_VALUE"""),"Energy efficient scheduling of servers with multi-sleep modes for cloud data center")</f>
        <v>Energy efficient scheduling of servers with multi-sleep modes for cloud data center</v>
      </c>
      <c r="C159" s="127" t="str">
        <f>IFERROR(__xludf.DUMMYFUNCTION("""COMPUTED_VALUE"""),"https://ieeexplore.ieee.org/abstract/document/8356052/")</f>
        <v>https://ieeexplore.ieee.org/abstract/document/8356052/</v>
      </c>
      <c r="D159" s="126" t="str">
        <f>IFERROR(__xludf.DUMMYFUNCTION("""COMPUTED_VALUE"""),"C Gu, Z Li, H Huang, X Jia")</f>
        <v>C Gu, Z Li, H Huang, X Jia</v>
      </c>
      <c r="E159" s="126" t="str">
        <f>IFERROR(__xludf.DUMMYFUNCTION("""COMPUTED_VALUE"""),"Institute of Electrical and Electronics Engineers")</f>
        <v>Institute of Electrical and Electronics Engineers</v>
      </c>
      <c r="F159" s="126" t="str">
        <f>IFERROR(__xludf.DUMMYFUNCTION("""COMPUTED_VALUE"""),"IEEE Xplore")</f>
        <v>IEEE Xplore</v>
      </c>
      <c r="G159" s="128"/>
      <c r="H159" s="129">
        <f>IFERROR(__xludf.DUMMYFUNCTION("""COMPUTED_VALUE"""),2018.0)</f>
        <v>2018</v>
      </c>
      <c r="I159" s="130">
        <f>IFERROR(__xludf.DUMMYFUNCTION("""COMPUTED_VALUE"""),1.0)</f>
        <v>1</v>
      </c>
      <c r="J159" s="129">
        <f>IFERROR(__xludf.DUMMYFUNCTION("""COMPUTED_VALUE"""),1.0)</f>
        <v>1</v>
      </c>
      <c r="K159" s="130">
        <f>IFERROR(__xludf.DUMMYFUNCTION("""COMPUTED_VALUE"""),1.0)</f>
        <v>1</v>
      </c>
      <c r="L159" s="130">
        <f>IFERROR(__xludf.DUMMYFUNCTION("""COMPUTED_VALUE"""),1.0)</f>
        <v>1</v>
      </c>
      <c r="M159" s="130">
        <f>IFERROR(__xludf.DUMMYFUNCTION("""COMPUTED_VALUE"""),1.0)</f>
        <v>1</v>
      </c>
      <c r="N159" s="130">
        <f>IFERROR(__xludf.DUMMYFUNCTION("""COMPUTED_VALUE"""),0.0)</f>
        <v>0</v>
      </c>
      <c r="O159" s="130">
        <f>IFERROR(__xludf.DUMMYFUNCTION("""COMPUTED_VALUE"""),0.0)</f>
        <v>0</v>
      </c>
      <c r="P159" s="130">
        <f>IFERROR(__xludf.DUMMYFUNCTION("""COMPUTED_VALUE"""),0.0)</f>
        <v>0</v>
      </c>
      <c r="Q159" s="130">
        <f>IFERROR(__xludf.DUMMYFUNCTION("""COMPUTED_VALUE"""),0.0)</f>
        <v>0</v>
      </c>
      <c r="R159" s="130">
        <f>IFERROR(__xludf.DUMMYFUNCTION("""COMPUTED_VALUE"""),0.0)</f>
        <v>0</v>
      </c>
      <c r="S159" s="130">
        <f>IFERROR(__xludf.DUMMYFUNCTION("""COMPUTED_VALUE"""),0.0)</f>
        <v>0</v>
      </c>
      <c r="T159" s="130">
        <f>IFERROR(__xludf.DUMMYFUNCTION("""COMPUTED_VALUE"""),0.0)</f>
        <v>0</v>
      </c>
      <c r="U159" s="130">
        <f>IFERROR(__xludf.DUMMYFUNCTION("""COMPUTED_VALUE"""),0.0)</f>
        <v>0</v>
      </c>
      <c r="V159" s="130">
        <f>IFERROR(__xludf.DUMMYFUNCTION("""COMPUTED_VALUE"""),0.0)</f>
        <v>0</v>
      </c>
      <c r="W159" s="131" t="str">
        <f>IFERROR(__xludf.DUMMYFUNCTION("""COMPUTED_VALUE"""),"Yes")</f>
        <v>Yes</v>
      </c>
      <c r="X159" s="131" t="str">
        <f>IFERROR(__xludf.DUMMYFUNCTION("""COMPUTED_VALUE"""),"Yes")</f>
        <v>Yes</v>
      </c>
      <c r="Y159" s="131" t="str">
        <f>IFERROR(__xludf.DUMMYFUNCTION("""COMPUTED_VALUE"""),"C")</f>
        <v>C</v>
      </c>
      <c r="Z159" s="131" t="str">
        <f>IFERROR(__xludf.DUMMYFUNCTION("""COMPUTED_VALUE"""),"scheduling servers")</f>
        <v>scheduling servers</v>
      </c>
      <c r="AA159" s="131"/>
      <c r="AB159" s="131"/>
      <c r="AC159" s="131"/>
      <c r="AD159" s="131"/>
      <c r="AE159" s="131"/>
      <c r="AF159" s="131"/>
      <c r="AG159" s="131"/>
      <c r="AH159" s="131"/>
      <c r="AI159" s="131"/>
      <c r="AJ159" s="131"/>
    </row>
    <row r="160">
      <c r="A160" s="126">
        <f>IFERROR(__xludf.DUMMYFUNCTION("""COMPUTED_VALUE"""),324.0)</f>
        <v>324</v>
      </c>
      <c r="B160" s="126" t="str">
        <f>IFERROR(__xludf.DUMMYFUNCTION("""COMPUTED_VALUE"""),"Energy-saving Framework for Data Center from Reduce, Reuse and Recycle Perspectives.")</f>
        <v>Energy-saving Framework for Data Center from Reduce, Reuse and Recycle Perspectives.</v>
      </c>
      <c r="C160" s="127" t="str">
        <f>IFERROR(__xludf.DUMMYFUNCTION("""COMPUTED_VALUE"""),"http://psasir.upm.edu.my/id/eprint/70614/1/17%20JST-1027-2017.pdf")</f>
        <v>http://psasir.upm.edu.my/id/eprint/70614/1/17%20JST-1027-2017.pdf</v>
      </c>
      <c r="D160" s="131" t="str">
        <f>IFERROR(__xludf.DUMMYFUNCTION("""COMPUTED_VALUE"""),"NM Nor, M Hussin, R Abdullah")</f>
        <v>NM Nor, M Hussin, R Abdullah</v>
      </c>
      <c r="E160" s="133" t="str">
        <f>IFERROR(__xludf.DUMMYFUNCTION("""COMPUTED_VALUE"""),"psasir.upm.edu.my")</f>
        <v>psasir.upm.edu.my</v>
      </c>
      <c r="F160" s="127" t="str">
        <f>IFERROR(__xludf.DUMMYFUNCTION("""COMPUTED_VALUE"""),"psasir.upm.edu.my")</f>
        <v>psasir.upm.edu.my</v>
      </c>
      <c r="G160" s="128"/>
      <c r="H160" s="130">
        <f>IFERROR(__xludf.DUMMYFUNCTION("""COMPUTED_VALUE"""),2019.0)</f>
        <v>2019</v>
      </c>
      <c r="I160" s="130">
        <f>IFERROR(__xludf.DUMMYFUNCTION("""COMPUTED_VALUE"""),1.0)</f>
        <v>1</v>
      </c>
      <c r="J160" s="130">
        <f>IFERROR(__xludf.DUMMYFUNCTION("""COMPUTED_VALUE"""),1.0)</f>
        <v>1</v>
      </c>
      <c r="K160" s="130">
        <f>IFERROR(__xludf.DUMMYFUNCTION("""COMPUTED_VALUE"""),0.0)</f>
        <v>0</v>
      </c>
      <c r="L160" s="129"/>
      <c r="M160" s="130">
        <f>IFERROR(__xludf.DUMMYFUNCTION("""COMPUTED_VALUE"""),1.0)</f>
        <v>1</v>
      </c>
      <c r="N160" s="130"/>
      <c r="O160" s="130">
        <f>IFERROR(__xludf.DUMMYFUNCTION("""COMPUTED_VALUE"""),0.0)</f>
        <v>0</v>
      </c>
      <c r="P160" s="130"/>
      <c r="Q160" s="130">
        <f>IFERROR(__xludf.DUMMYFUNCTION("""COMPUTED_VALUE"""),0.0)</f>
        <v>0</v>
      </c>
      <c r="R160" s="129">
        <f>IFERROR(__xludf.DUMMYFUNCTION("""COMPUTED_VALUE"""),0.0)</f>
        <v>0</v>
      </c>
      <c r="S160" s="129">
        <f>IFERROR(__xludf.DUMMYFUNCTION("""COMPUTED_VALUE"""),0.0)</f>
        <v>0</v>
      </c>
      <c r="T160" s="129">
        <f>IFERROR(__xludf.DUMMYFUNCTION("""COMPUTED_VALUE"""),0.0)</f>
        <v>0</v>
      </c>
      <c r="U160" s="129">
        <f>IFERROR(__xludf.DUMMYFUNCTION("""COMPUTED_VALUE"""),0.0)</f>
        <v>0</v>
      </c>
      <c r="V160" s="129">
        <f>IFERROR(__xludf.DUMMYFUNCTION("""COMPUTED_VALUE"""),0.0)</f>
        <v>0</v>
      </c>
      <c r="W160" s="126" t="str">
        <f>IFERROR(__xludf.DUMMYFUNCTION("""COMPUTED_VALUE"""),"No")</f>
        <v>No</v>
      </c>
      <c r="X160" s="126" t="str">
        <f>IFERROR(__xludf.DUMMYFUNCTION("""COMPUTED_VALUE"""),"Yes")</f>
        <v>Yes</v>
      </c>
      <c r="Y160" s="126" t="str">
        <f>IFERROR(__xludf.DUMMYFUNCTION("""COMPUTED_VALUE"""),"C")</f>
        <v>C</v>
      </c>
      <c r="Z160" s="126" t="str">
        <f>IFERROR(__xludf.DUMMYFUNCTION("""COMPUTED_VALUE"""),"not about ict equipment")</f>
        <v>not about ict equipment</v>
      </c>
      <c r="AA160" s="126"/>
      <c r="AB160" s="126"/>
      <c r="AC160" s="126"/>
      <c r="AD160" s="126"/>
      <c r="AE160" s="126"/>
      <c r="AF160" s="126"/>
      <c r="AG160" s="126"/>
      <c r="AH160" s="126"/>
      <c r="AI160" s="126"/>
      <c r="AJ160" s="126"/>
    </row>
    <row r="161">
      <c r="A161" s="126">
        <f>IFERROR(__xludf.DUMMYFUNCTION("""COMPUTED_VALUE"""),325.0)</f>
        <v>325</v>
      </c>
      <c r="B161" s="126" t="str">
        <f>IFERROR(__xludf.DUMMYFUNCTION("""COMPUTED_VALUE"""),"Availability-aware and Energy-efficient Virtual Cluster Allocation Based on Multi-objective Optimization in Cloud Datacenters")</f>
        <v>Availability-aware and Energy-efficient Virtual Cluster Allocation Based on Multi-objective Optimization in Cloud Datacenters</v>
      </c>
      <c r="C161" s="127" t="str">
        <f>IFERROR(__xludf.DUMMYFUNCTION("""COMPUTED_VALUE"""),"https://ieeexplore.ieee.org/abstract/document/9006914/")</f>
        <v>https://ieeexplore.ieee.org/abstract/document/9006914/</v>
      </c>
      <c r="D161" s="131" t="str">
        <f>IFERROR(__xludf.DUMMYFUNCTION("""COMPUTED_VALUE"""),"X Liu, B Cheng, S Wang")</f>
        <v>X Liu, B Cheng, S Wang</v>
      </c>
      <c r="E161" s="131" t="str">
        <f>IFERROR(__xludf.DUMMYFUNCTION("""COMPUTED_VALUE"""),"Institute of Electrical and Electronics Engineers")</f>
        <v>Institute of Electrical and Electronics Engineers</v>
      </c>
      <c r="F161" s="126" t="str">
        <f>IFERROR(__xludf.DUMMYFUNCTION("""COMPUTED_VALUE"""),"IEEE Xplore")</f>
        <v>IEEE Xplore</v>
      </c>
      <c r="G161" s="128"/>
      <c r="H161" s="130">
        <f>IFERROR(__xludf.DUMMYFUNCTION("""COMPUTED_VALUE"""),2020.0)</f>
        <v>2020</v>
      </c>
      <c r="I161" s="130">
        <f>IFERROR(__xludf.DUMMYFUNCTION("""COMPUTED_VALUE"""),1.0)</f>
        <v>1</v>
      </c>
      <c r="J161" s="130">
        <f>IFERROR(__xludf.DUMMYFUNCTION("""COMPUTED_VALUE"""),1.0)</f>
        <v>1</v>
      </c>
      <c r="K161" s="130">
        <f>IFERROR(__xludf.DUMMYFUNCTION("""COMPUTED_VALUE"""),1.0)</f>
        <v>1</v>
      </c>
      <c r="L161" s="129">
        <f>IFERROR(__xludf.DUMMYFUNCTION("""COMPUTED_VALUE"""),1.0)</f>
        <v>1</v>
      </c>
      <c r="M161" s="130">
        <f>IFERROR(__xludf.DUMMYFUNCTION("""COMPUTED_VALUE"""),1.0)</f>
        <v>1</v>
      </c>
      <c r="N161" s="130">
        <f>IFERROR(__xludf.DUMMYFUNCTION("""COMPUTED_VALUE"""),0.0)</f>
        <v>0</v>
      </c>
      <c r="O161" s="130">
        <f>IFERROR(__xludf.DUMMYFUNCTION("""COMPUTED_VALUE"""),0.0)</f>
        <v>0</v>
      </c>
      <c r="P161" s="130">
        <f>IFERROR(__xludf.DUMMYFUNCTION("""COMPUTED_VALUE"""),0.0)</f>
        <v>0</v>
      </c>
      <c r="Q161" s="130">
        <f>IFERROR(__xludf.DUMMYFUNCTION("""COMPUTED_VALUE"""),0.0)</f>
        <v>0</v>
      </c>
      <c r="R161" s="130">
        <f>IFERROR(__xludf.DUMMYFUNCTION("""COMPUTED_VALUE"""),0.0)</f>
        <v>0</v>
      </c>
      <c r="S161" s="130">
        <f>IFERROR(__xludf.DUMMYFUNCTION("""COMPUTED_VALUE"""),0.0)</f>
        <v>0</v>
      </c>
      <c r="T161" s="130">
        <f>IFERROR(__xludf.DUMMYFUNCTION("""COMPUTED_VALUE"""),0.0)</f>
        <v>0</v>
      </c>
      <c r="U161" s="130">
        <f>IFERROR(__xludf.DUMMYFUNCTION("""COMPUTED_VALUE"""),0.0)</f>
        <v>0</v>
      </c>
      <c r="V161" s="130">
        <f>IFERROR(__xludf.DUMMYFUNCTION("""COMPUTED_VALUE"""),0.0)</f>
        <v>0</v>
      </c>
      <c r="W161" s="131" t="str">
        <f>IFERROR(__xludf.DUMMYFUNCTION("""COMPUTED_VALUE"""),"Yes")</f>
        <v>Yes</v>
      </c>
      <c r="X161" s="131" t="str">
        <f>IFERROR(__xludf.DUMMYFUNCTION("""COMPUTED_VALUE"""),"Yes")</f>
        <v>Yes</v>
      </c>
      <c r="Y161" s="131" t="str">
        <f>IFERROR(__xludf.DUMMYFUNCTION("""COMPUTED_VALUE"""),"C")</f>
        <v>C</v>
      </c>
      <c r="Z161" s="131" t="str">
        <f>IFERROR(__xludf.DUMMYFUNCTION("""COMPUTED_VALUE"""),"cluster allocation")</f>
        <v>cluster allocation</v>
      </c>
      <c r="AA161" s="131"/>
      <c r="AB161" s="131"/>
      <c r="AC161" s="131"/>
      <c r="AD161" s="131"/>
      <c r="AE161" s="131"/>
      <c r="AF161" s="131"/>
      <c r="AG161" s="131"/>
      <c r="AH161" s="131"/>
      <c r="AI161" s="131"/>
      <c r="AJ161" s="131"/>
    </row>
    <row r="162">
      <c r="A162" s="126">
        <f>IFERROR(__xludf.DUMMYFUNCTION("""COMPUTED_VALUE"""),326.0)</f>
        <v>326</v>
      </c>
      <c r="B162" s="126" t="str">
        <f>IFERROR(__xludf.DUMMYFUNCTION("""COMPUTED_VALUE"""),"Simultaneous application assignment and virtual machine placement via ant colony optimization for energy-efficient enterprise data centers")</f>
        <v>Simultaneous application assignment and virtual machine placement via ant colony optimization for energy-efficient enterprise data centers</v>
      </c>
      <c r="C162" s="127" t="str">
        <f>IFERROR(__xludf.DUMMYFUNCTION("""COMPUTED_VALUE"""),"https://link.springer.com/article/10.1007/s10586-020-03186-z")</f>
        <v>https://link.springer.com/article/10.1007/s10586-020-03186-z</v>
      </c>
      <c r="D162" s="126" t="str">
        <f>IFERROR(__xludf.DUMMYFUNCTION("""COMPUTED_VALUE"""),"F Alharbi, YC Tian, M Tang, MH Ferdaus, WZ Zhang…")</f>
        <v>F Alharbi, YC Tian, M Tang, MH Ferdaus, WZ Zhang…</v>
      </c>
      <c r="E162" s="126" t="str">
        <f>IFERROR(__xludf.DUMMYFUNCTION("""COMPUTED_VALUE"""),"Springer")</f>
        <v>Springer</v>
      </c>
      <c r="F162" s="126" t="str">
        <f>IFERROR(__xludf.DUMMYFUNCTION("""COMPUTED_VALUE"""),"Springer")</f>
        <v>Springer</v>
      </c>
      <c r="G162" s="128" t="str">
        <f>IFERROR(__xludf.DUMMYFUNCTION("""COMPUTED_VALUE"""),"J")</f>
        <v>J</v>
      </c>
      <c r="H162" s="129">
        <f>IFERROR(__xludf.DUMMYFUNCTION("""COMPUTED_VALUE"""),2020.0)</f>
        <v>2020</v>
      </c>
      <c r="I162" s="130"/>
      <c r="J162" s="129">
        <f>IFERROR(__xludf.DUMMYFUNCTION("""COMPUTED_VALUE"""),1.0)</f>
        <v>1</v>
      </c>
      <c r="K162" s="130">
        <f>IFERROR(__xludf.DUMMYFUNCTION("""COMPUTED_VALUE"""),1.0)</f>
        <v>1</v>
      </c>
      <c r="L162" s="130"/>
      <c r="M162" s="130">
        <f>IFERROR(__xludf.DUMMYFUNCTION("""COMPUTED_VALUE"""),1.0)</f>
        <v>1</v>
      </c>
      <c r="N162" s="130">
        <f>IFERROR(__xludf.DUMMYFUNCTION("""COMPUTED_VALUE"""),0.0)</f>
        <v>0</v>
      </c>
      <c r="O162" s="130">
        <f>IFERROR(__xludf.DUMMYFUNCTION("""COMPUTED_VALUE"""),0.0)</f>
        <v>0</v>
      </c>
      <c r="P162" s="130">
        <f>IFERROR(__xludf.DUMMYFUNCTION("""COMPUTED_VALUE"""),0.0)</f>
        <v>0</v>
      </c>
      <c r="Q162" s="130">
        <f>IFERROR(__xludf.DUMMYFUNCTION("""COMPUTED_VALUE"""),0.0)</f>
        <v>0</v>
      </c>
      <c r="R162" s="130">
        <f>IFERROR(__xludf.DUMMYFUNCTION("""COMPUTED_VALUE"""),0.0)</f>
        <v>0</v>
      </c>
      <c r="S162" s="130">
        <f>IFERROR(__xludf.DUMMYFUNCTION("""COMPUTED_VALUE"""),0.0)</f>
        <v>0</v>
      </c>
      <c r="T162" s="130">
        <f>IFERROR(__xludf.DUMMYFUNCTION("""COMPUTED_VALUE"""),0.0)</f>
        <v>0</v>
      </c>
      <c r="U162" s="130">
        <f>IFERROR(__xludf.DUMMYFUNCTION("""COMPUTED_VALUE"""),0.0)</f>
        <v>0</v>
      </c>
      <c r="V162" s="130">
        <f>IFERROR(__xludf.DUMMYFUNCTION("""COMPUTED_VALUE"""),0.0)</f>
        <v>0</v>
      </c>
      <c r="W162" s="131" t="str">
        <f>IFERROR(__xludf.DUMMYFUNCTION("""COMPUTED_VALUE"""),"Yes")</f>
        <v>Yes</v>
      </c>
      <c r="X162" s="131" t="str">
        <f>IFERROR(__xludf.DUMMYFUNCTION("""COMPUTED_VALUE"""),"Yes")</f>
        <v>Yes</v>
      </c>
      <c r="Y162" s="131" t="str">
        <f>IFERROR(__xludf.DUMMYFUNCTION("""COMPUTED_VALUE"""),"C")</f>
        <v>C</v>
      </c>
      <c r="Z162" s="131" t="str">
        <f>IFERROR(__xludf.DUMMYFUNCTION("""COMPUTED_VALUE"""),"ant colony optimization")</f>
        <v>ant colony optimization</v>
      </c>
      <c r="AA162" s="131"/>
      <c r="AB162" s="131"/>
      <c r="AC162" s="131"/>
      <c r="AD162" s="131"/>
      <c r="AE162" s="131"/>
      <c r="AF162" s="131"/>
      <c r="AG162" s="131"/>
      <c r="AH162" s="131"/>
      <c r="AI162" s="131"/>
      <c r="AJ162" s="131"/>
    </row>
    <row r="163">
      <c r="A163" s="126">
        <f>IFERROR(__xludf.DUMMYFUNCTION("""COMPUTED_VALUE"""),327.0)</f>
        <v>327</v>
      </c>
      <c r="B163" s="126" t="str">
        <f>IFERROR(__xludf.DUMMYFUNCTION("""COMPUTED_VALUE"""),"Green IT scheduling for data center powered with renewable energy")</f>
        <v>Green IT scheduling for data center powered with renewable energy</v>
      </c>
      <c r="C163" s="127" t="str">
        <f>IFERROR(__xludf.DUMMYFUNCTION("""COMPUTED_VALUE"""),"https://www.sciencedirect.com/science/article/pii/S0167739X17300092")</f>
        <v>https://www.sciencedirect.com/science/article/pii/S0167739X17300092</v>
      </c>
      <c r="D163" s="126" t="str">
        <f>IFERROR(__xludf.DUMMYFUNCTION("""COMPUTED_VALUE"""),"L Grange, G Da Costa, P Stolf")</f>
        <v>L Grange, G Da Costa, P Stolf</v>
      </c>
      <c r="E163" s="126" t="str">
        <f>IFERROR(__xludf.DUMMYFUNCTION("""COMPUTED_VALUE"""),"Elsevier")</f>
        <v>Elsevier</v>
      </c>
      <c r="F163" s="126" t="str">
        <f>IFERROR(__xludf.DUMMYFUNCTION("""COMPUTED_VALUE"""),"Elsevier")</f>
        <v>Elsevier</v>
      </c>
      <c r="G163" s="128" t="str">
        <f>IFERROR(__xludf.DUMMYFUNCTION("""COMPUTED_VALUE"""),"J")</f>
        <v>J</v>
      </c>
      <c r="H163" s="129">
        <f>IFERROR(__xludf.DUMMYFUNCTION("""COMPUTED_VALUE"""),2018.0)</f>
        <v>2018</v>
      </c>
      <c r="I163" s="129">
        <f>IFERROR(__xludf.DUMMYFUNCTION("""COMPUTED_VALUE"""),1.0)</f>
        <v>1</v>
      </c>
      <c r="J163" s="130">
        <f>IFERROR(__xludf.DUMMYFUNCTION("""COMPUTED_VALUE"""),1.0)</f>
        <v>1</v>
      </c>
      <c r="K163" s="130">
        <f>IFERROR(__xludf.DUMMYFUNCTION("""COMPUTED_VALUE"""),1.0)</f>
        <v>1</v>
      </c>
      <c r="L163" s="130">
        <f>IFERROR(__xludf.DUMMYFUNCTION("""COMPUTED_VALUE"""),1.0)</f>
        <v>1</v>
      </c>
      <c r="M163" s="130">
        <f>IFERROR(__xludf.DUMMYFUNCTION("""COMPUTED_VALUE"""),1.0)</f>
        <v>1</v>
      </c>
      <c r="N163" s="130">
        <f>IFERROR(__xludf.DUMMYFUNCTION("""COMPUTED_VALUE"""),0.0)</f>
        <v>0</v>
      </c>
      <c r="O163" s="130">
        <f>IFERROR(__xludf.DUMMYFUNCTION("""COMPUTED_VALUE"""),0.0)</f>
        <v>0</v>
      </c>
      <c r="P163" s="130">
        <f>IFERROR(__xludf.DUMMYFUNCTION("""COMPUTED_VALUE"""),0.0)</f>
        <v>0</v>
      </c>
      <c r="Q163" s="130">
        <f>IFERROR(__xludf.DUMMYFUNCTION("""COMPUTED_VALUE"""),0.0)</f>
        <v>0</v>
      </c>
      <c r="R163" s="129">
        <f>IFERROR(__xludf.DUMMYFUNCTION("""COMPUTED_VALUE"""),0.0)</f>
        <v>0</v>
      </c>
      <c r="S163" s="129">
        <f>IFERROR(__xludf.DUMMYFUNCTION("""COMPUTED_VALUE"""),0.0)</f>
        <v>0</v>
      </c>
      <c r="T163" s="129">
        <f>IFERROR(__xludf.DUMMYFUNCTION("""COMPUTED_VALUE"""),0.0)</f>
        <v>0</v>
      </c>
      <c r="U163" s="129">
        <f>IFERROR(__xludf.DUMMYFUNCTION("""COMPUTED_VALUE"""),0.0)</f>
        <v>0</v>
      </c>
      <c r="V163" s="129">
        <f>IFERROR(__xludf.DUMMYFUNCTION("""COMPUTED_VALUE"""),0.0)</f>
        <v>0</v>
      </c>
      <c r="W163" s="126" t="str">
        <f>IFERROR(__xludf.DUMMYFUNCTION("""COMPUTED_VALUE"""),"Yes")</f>
        <v>Yes</v>
      </c>
      <c r="X163" s="126" t="str">
        <f>IFERROR(__xludf.DUMMYFUNCTION("""COMPUTED_VALUE"""),"Yes")</f>
        <v>Yes</v>
      </c>
      <c r="Y163" s="126" t="str">
        <f>IFERROR(__xludf.DUMMYFUNCTION("""COMPUTED_VALUE"""),"C")</f>
        <v>C</v>
      </c>
      <c r="Z163" s="126" t="str">
        <f>IFERROR(__xludf.DUMMYFUNCTION("""COMPUTED_VALUE"""),"energy availability aware schduling")</f>
        <v>energy availability aware schduling</v>
      </c>
      <c r="AA163" s="126"/>
      <c r="AB163" s="126"/>
      <c r="AC163" s="126"/>
      <c r="AD163" s="126"/>
      <c r="AE163" s="126"/>
      <c r="AF163" s="126"/>
      <c r="AG163" s="126"/>
      <c r="AH163" s="126"/>
      <c r="AI163" s="126"/>
      <c r="AJ163" s="126"/>
    </row>
    <row r="164">
      <c r="A164" s="126">
        <f>IFERROR(__xludf.DUMMYFUNCTION("""COMPUTED_VALUE"""),330.0)</f>
        <v>330</v>
      </c>
      <c r="B164" s="126" t="str">
        <f>IFERROR(__xludf.DUMMYFUNCTION("""COMPUTED_VALUE"""),"SLA-Aware and Energy-Efficient VM Consolidation in Cloud Data Centers Using Host State Binary Decision Tree Prediction Model")</f>
        <v>SLA-Aware and Energy-Efficient VM Consolidation in Cloud Data Centers Using Host State Binary Decision Tree Prediction Model</v>
      </c>
      <c r="C164" s="127" t="str">
        <f>IFERROR(__xludf.DUMMYFUNCTION("""COMPUTED_VALUE"""),"https://www.jstage.jst.go.jp/article/transinf/E102.D/10/E102.D_2018EDP7441/_article/-char/ja/")</f>
        <v>https://www.jstage.jst.go.jp/article/transinf/E102.D/10/E102.D_2018EDP7441/_article/-char/ja/</v>
      </c>
      <c r="D164" s="126" t="str">
        <f>IFERROR(__xludf.DUMMYFUNCTION("""COMPUTED_VALUE"""),"L Li, J Dong, D Zuo, Y Zhao, T Li")</f>
        <v>L Li, J Dong, D Zuo, Y Zhao, T Li</v>
      </c>
      <c r="E164" s="127" t="str">
        <f>IFERROR(__xludf.DUMMYFUNCTION("""COMPUTED_VALUE"""),"jstage.jst.go.jp")</f>
        <v>jstage.jst.go.jp</v>
      </c>
      <c r="F164" s="127" t="str">
        <f>IFERROR(__xludf.DUMMYFUNCTION("""COMPUTED_VALUE"""),"jstage.jst.go.jp")</f>
        <v>jstage.jst.go.jp</v>
      </c>
      <c r="G164" s="128"/>
      <c r="H164" s="130">
        <f>IFERROR(__xludf.DUMMYFUNCTION("""COMPUTED_VALUE"""),2019.0)</f>
        <v>2019</v>
      </c>
      <c r="I164" s="129">
        <f>IFERROR(__xludf.DUMMYFUNCTION("""COMPUTED_VALUE"""),1.0)</f>
        <v>1</v>
      </c>
      <c r="J164" s="130">
        <f>IFERROR(__xludf.DUMMYFUNCTION("""COMPUTED_VALUE"""),1.0)</f>
        <v>1</v>
      </c>
      <c r="K164" s="130">
        <f>IFERROR(__xludf.DUMMYFUNCTION("""COMPUTED_VALUE"""),1.0)</f>
        <v>1</v>
      </c>
      <c r="L164" s="129">
        <f>IFERROR(__xludf.DUMMYFUNCTION("""COMPUTED_VALUE"""),1.0)</f>
        <v>1</v>
      </c>
      <c r="M164" s="130">
        <f>IFERROR(__xludf.DUMMYFUNCTION("""COMPUTED_VALUE"""),1.0)</f>
        <v>1</v>
      </c>
      <c r="N164" s="130">
        <f>IFERROR(__xludf.DUMMYFUNCTION("""COMPUTED_VALUE"""),0.0)</f>
        <v>0</v>
      </c>
      <c r="O164" s="130">
        <f>IFERROR(__xludf.DUMMYFUNCTION("""COMPUTED_VALUE"""),0.0)</f>
        <v>0</v>
      </c>
      <c r="P164" s="130">
        <f>IFERROR(__xludf.DUMMYFUNCTION("""COMPUTED_VALUE"""),0.0)</f>
        <v>0</v>
      </c>
      <c r="Q164" s="130">
        <f>IFERROR(__xludf.DUMMYFUNCTION("""COMPUTED_VALUE"""),0.0)</f>
        <v>0</v>
      </c>
      <c r="R164" s="129">
        <f>IFERROR(__xludf.DUMMYFUNCTION("""COMPUTED_VALUE"""),0.0)</f>
        <v>0</v>
      </c>
      <c r="S164" s="129">
        <f>IFERROR(__xludf.DUMMYFUNCTION("""COMPUTED_VALUE"""),0.0)</f>
        <v>0</v>
      </c>
      <c r="T164" s="129">
        <f>IFERROR(__xludf.DUMMYFUNCTION("""COMPUTED_VALUE"""),0.0)</f>
        <v>0</v>
      </c>
      <c r="U164" s="129">
        <f>IFERROR(__xludf.DUMMYFUNCTION("""COMPUTED_VALUE"""),0.0)</f>
        <v>0</v>
      </c>
      <c r="V164" s="129">
        <f>IFERROR(__xludf.DUMMYFUNCTION("""COMPUTED_VALUE"""),0.0)</f>
        <v>0</v>
      </c>
      <c r="W164" s="126" t="str">
        <f>IFERROR(__xludf.DUMMYFUNCTION("""COMPUTED_VALUE"""),"Yes")</f>
        <v>Yes</v>
      </c>
      <c r="X164" s="126" t="str">
        <f>IFERROR(__xludf.DUMMYFUNCTION("""COMPUTED_VALUE"""),"Yes")</f>
        <v>Yes</v>
      </c>
      <c r="Y164" s="126" t="str">
        <f>IFERROR(__xludf.DUMMYFUNCTION("""COMPUTED_VALUE"""),"C")</f>
        <v>C</v>
      </c>
      <c r="Z164" s="126" t="str">
        <f>IFERROR(__xludf.DUMMYFUNCTION("""COMPUTED_VALUE"""),"vm consolidation")</f>
        <v>vm consolidation</v>
      </c>
      <c r="AA164" s="126"/>
      <c r="AB164" s="126"/>
      <c r="AC164" s="126"/>
      <c r="AD164" s="126"/>
      <c r="AE164" s="126"/>
      <c r="AF164" s="126"/>
      <c r="AG164" s="126"/>
      <c r="AH164" s="126"/>
      <c r="AI164" s="126"/>
      <c r="AJ164" s="126"/>
    </row>
    <row r="165">
      <c r="A165" s="126">
        <f>IFERROR(__xludf.DUMMYFUNCTION("""COMPUTED_VALUE"""),332.0)</f>
        <v>332</v>
      </c>
      <c r="B165" s="126" t="str">
        <f>IFERROR(__xludf.DUMMYFUNCTION("""COMPUTED_VALUE"""),"Energy efficient temporal load aware resource allocation in cloud computing datacenters")</f>
        <v>Energy efficient temporal load aware resource allocation in cloud computing datacenters</v>
      </c>
      <c r="C165" s="127" t="str">
        <f>IFERROR(__xludf.DUMMYFUNCTION("""COMPUTED_VALUE"""),"https://link.springer.com/article/10.1186/s13677-017-0103-2")</f>
        <v>https://link.springer.com/article/10.1186/s13677-017-0103-2</v>
      </c>
      <c r="D165" s="126" t="str">
        <f>IFERROR(__xludf.DUMMYFUNCTION("""COMPUTED_VALUE"""),"S Vakilinia")</f>
        <v>S Vakilinia</v>
      </c>
      <c r="E165" s="126" t="str">
        <f>IFERROR(__xludf.DUMMYFUNCTION("""COMPUTED_VALUE"""),"Springer")</f>
        <v>Springer</v>
      </c>
      <c r="F165" s="126" t="str">
        <f>IFERROR(__xludf.DUMMYFUNCTION("""COMPUTED_VALUE"""),"Springer")</f>
        <v>Springer</v>
      </c>
      <c r="G165" s="128" t="str">
        <f>IFERROR(__xludf.DUMMYFUNCTION("""COMPUTED_VALUE"""),"J")</f>
        <v>J</v>
      </c>
      <c r="H165" s="130">
        <f>IFERROR(__xludf.DUMMYFUNCTION("""COMPUTED_VALUE"""),2018.0)</f>
        <v>2018</v>
      </c>
      <c r="I165" s="130">
        <f>IFERROR(__xludf.DUMMYFUNCTION("""COMPUTED_VALUE"""),1.0)</f>
        <v>1</v>
      </c>
      <c r="J165" s="130">
        <f>IFERROR(__xludf.DUMMYFUNCTION("""COMPUTED_VALUE"""),1.0)</f>
        <v>1</v>
      </c>
      <c r="K165" s="129">
        <f>IFERROR(__xludf.DUMMYFUNCTION("""COMPUTED_VALUE"""),1.0)</f>
        <v>1</v>
      </c>
      <c r="L165" s="129">
        <f>IFERROR(__xludf.DUMMYFUNCTION("""COMPUTED_VALUE"""),0.0)</f>
        <v>0</v>
      </c>
      <c r="M165" s="130">
        <f>IFERROR(__xludf.DUMMYFUNCTION("""COMPUTED_VALUE"""),1.0)</f>
        <v>1</v>
      </c>
      <c r="N165" s="130">
        <f>IFERROR(__xludf.DUMMYFUNCTION("""COMPUTED_VALUE"""),0.0)</f>
        <v>0</v>
      </c>
      <c r="O165" s="130">
        <f>IFERROR(__xludf.DUMMYFUNCTION("""COMPUTED_VALUE"""),0.0)</f>
        <v>0</v>
      </c>
      <c r="P165" s="130">
        <f>IFERROR(__xludf.DUMMYFUNCTION("""COMPUTED_VALUE"""),0.0)</f>
        <v>0</v>
      </c>
      <c r="Q165" s="130">
        <f>IFERROR(__xludf.DUMMYFUNCTION("""COMPUTED_VALUE"""),0.0)</f>
        <v>0</v>
      </c>
      <c r="R165" s="129">
        <f>IFERROR(__xludf.DUMMYFUNCTION("""COMPUTED_VALUE"""),0.0)</f>
        <v>0</v>
      </c>
      <c r="S165" s="129">
        <f>IFERROR(__xludf.DUMMYFUNCTION("""COMPUTED_VALUE"""),0.0)</f>
        <v>0</v>
      </c>
      <c r="T165" s="129">
        <f>IFERROR(__xludf.DUMMYFUNCTION("""COMPUTED_VALUE"""),0.0)</f>
        <v>0</v>
      </c>
      <c r="U165" s="129">
        <f>IFERROR(__xludf.DUMMYFUNCTION("""COMPUTED_VALUE"""),0.0)</f>
        <v>0</v>
      </c>
      <c r="V165" s="129">
        <f>IFERROR(__xludf.DUMMYFUNCTION("""COMPUTED_VALUE"""),0.0)</f>
        <v>0</v>
      </c>
      <c r="W165" s="126" t="str">
        <f>IFERROR(__xludf.DUMMYFUNCTION("""COMPUTED_VALUE"""),"No")</f>
        <v>No</v>
      </c>
      <c r="X165" s="126" t="str">
        <f>IFERROR(__xludf.DUMMYFUNCTION("""COMPUTED_VALUE"""),"Yes")</f>
        <v>Yes</v>
      </c>
      <c r="Y165" s="126" t="str">
        <f>IFERROR(__xludf.DUMMYFUNCTION("""COMPUTED_VALUE"""),"C")</f>
        <v>C</v>
      </c>
      <c r="Z165" s="126" t="str">
        <f>IFERROR(__xludf.DUMMYFUNCTION("""COMPUTED_VALUE"""),"no concrete evaluation")</f>
        <v>no concrete evaluation</v>
      </c>
      <c r="AA165" s="126"/>
      <c r="AB165" s="126"/>
      <c r="AC165" s="126"/>
      <c r="AD165" s="126"/>
      <c r="AE165" s="126"/>
      <c r="AF165" s="126"/>
      <c r="AG165" s="126"/>
      <c r="AH165" s="126"/>
      <c r="AI165" s="126"/>
      <c r="AJ165" s="126"/>
    </row>
    <row r="166">
      <c r="A166" s="126">
        <f>IFERROR(__xludf.DUMMYFUNCTION("""COMPUTED_VALUE"""),333.0)</f>
        <v>333</v>
      </c>
      <c r="B166" s="126" t="str">
        <f>IFERROR(__xludf.DUMMYFUNCTION("""COMPUTED_VALUE"""),"Modeling and analysis of performance and energy consumption in cloud data centers")</f>
        <v>Modeling and analysis of performance and energy consumption in cloud data centers</v>
      </c>
      <c r="C166" s="127" t="str">
        <f>IFERROR(__xludf.DUMMYFUNCTION("""COMPUTED_VALUE"""),"https://link.springer.com/article/10.1007/s13369-018-3196-0")</f>
        <v>https://link.springer.com/article/10.1007/s13369-018-3196-0</v>
      </c>
      <c r="D166" s="131" t="str">
        <f>IFERROR(__xludf.DUMMYFUNCTION("""COMPUTED_VALUE"""),"S El Kafhali, K Salah")</f>
        <v>S El Kafhali, K Salah</v>
      </c>
      <c r="E166" s="131" t="str">
        <f>IFERROR(__xludf.DUMMYFUNCTION("""COMPUTED_VALUE"""),"Springer")</f>
        <v>Springer</v>
      </c>
      <c r="F166" s="126" t="str">
        <f>IFERROR(__xludf.DUMMYFUNCTION("""COMPUTED_VALUE"""),"Springer")</f>
        <v>Springer</v>
      </c>
      <c r="G166" s="132"/>
      <c r="H166" s="130">
        <f>IFERROR(__xludf.DUMMYFUNCTION("""COMPUTED_VALUE"""),2018.0)</f>
        <v>2018</v>
      </c>
      <c r="I166" s="130">
        <f>IFERROR(__xludf.DUMMYFUNCTION("""COMPUTED_VALUE"""),0.0)</f>
        <v>0</v>
      </c>
      <c r="J166" s="130">
        <f>IFERROR(__xludf.DUMMYFUNCTION("""COMPUTED_VALUE"""),1.0)</f>
        <v>1</v>
      </c>
      <c r="K166" s="130">
        <f>IFERROR(__xludf.DUMMYFUNCTION("""COMPUTED_VALUE"""),1.0)</f>
        <v>1</v>
      </c>
      <c r="L166" s="129">
        <f>IFERROR(__xludf.DUMMYFUNCTION("""COMPUTED_VALUE"""),1.0)</f>
        <v>1</v>
      </c>
      <c r="M166" s="130">
        <f>IFERROR(__xludf.DUMMYFUNCTION("""COMPUTED_VALUE"""),1.0)</f>
        <v>1</v>
      </c>
      <c r="N166" s="130">
        <f>IFERROR(__xludf.DUMMYFUNCTION("""COMPUTED_VALUE"""),0.0)</f>
        <v>0</v>
      </c>
      <c r="O166" s="130">
        <f>IFERROR(__xludf.DUMMYFUNCTION("""COMPUTED_VALUE"""),0.0)</f>
        <v>0</v>
      </c>
      <c r="P166" s="130">
        <f>IFERROR(__xludf.DUMMYFUNCTION("""COMPUTED_VALUE"""),0.0)</f>
        <v>0</v>
      </c>
      <c r="Q166" s="130">
        <f>IFERROR(__xludf.DUMMYFUNCTION("""COMPUTED_VALUE"""),0.0)</f>
        <v>0</v>
      </c>
      <c r="R166" s="130">
        <f>IFERROR(__xludf.DUMMYFUNCTION("""COMPUTED_VALUE"""),0.0)</f>
        <v>0</v>
      </c>
      <c r="S166" s="130">
        <f>IFERROR(__xludf.DUMMYFUNCTION("""COMPUTED_VALUE"""),0.0)</f>
        <v>0</v>
      </c>
      <c r="T166" s="130">
        <f>IFERROR(__xludf.DUMMYFUNCTION("""COMPUTED_VALUE"""),0.0)</f>
        <v>0</v>
      </c>
      <c r="U166" s="130">
        <f>IFERROR(__xludf.DUMMYFUNCTION("""COMPUTED_VALUE"""),0.0)</f>
        <v>0</v>
      </c>
      <c r="V166" s="130">
        <f>IFERROR(__xludf.DUMMYFUNCTION("""COMPUTED_VALUE"""),0.0)</f>
        <v>0</v>
      </c>
      <c r="W166" s="131" t="str">
        <f>IFERROR(__xludf.DUMMYFUNCTION("""COMPUTED_VALUE"""),"No")</f>
        <v>No</v>
      </c>
      <c r="X166" s="131" t="str">
        <f>IFERROR(__xludf.DUMMYFUNCTION("""COMPUTED_VALUE"""),"Yes")</f>
        <v>Yes</v>
      </c>
      <c r="Y166" s="131" t="str">
        <f>IFERROR(__xludf.DUMMYFUNCTION("""COMPUTED_VALUE"""),"C")</f>
        <v>C</v>
      </c>
      <c r="Z166" s="131" t="str">
        <f>IFERROR(__xludf.DUMMYFUNCTION("""COMPUTED_VALUE"""),"no strategy for efficiency")</f>
        <v>no strategy for efficiency</v>
      </c>
      <c r="AA166" s="131"/>
      <c r="AB166" s="131"/>
      <c r="AC166" s="131"/>
      <c r="AD166" s="131"/>
      <c r="AE166" s="131"/>
      <c r="AF166" s="131"/>
      <c r="AG166" s="131"/>
      <c r="AH166" s="131"/>
      <c r="AI166" s="131"/>
      <c r="AJ166" s="131"/>
    </row>
    <row r="167">
      <c r="A167" s="126">
        <f>IFERROR(__xludf.DUMMYFUNCTION("""COMPUTED_VALUE"""),334.0)</f>
        <v>334</v>
      </c>
      <c r="B167" s="126" t="str">
        <f>IFERROR(__xludf.DUMMYFUNCTION("""COMPUTED_VALUE"""),"Prediction Method of Energy Consumption Based on Multiple Energy-Related Features in Data Center")</f>
        <v>Prediction Method of Energy Consumption Based on Multiple Energy-Related Features in Data Center</v>
      </c>
      <c r="C167" s="127" t="str">
        <f>IFERROR(__xludf.DUMMYFUNCTION("""COMPUTED_VALUE"""),"https://ieeexplore.ieee.org/abstract/document/9047328/")</f>
        <v>https://ieeexplore.ieee.org/abstract/document/9047328/</v>
      </c>
      <c r="D167" s="131" t="str">
        <f>IFERROR(__xludf.DUMMYFUNCTION("""COMPUTED_VALUE"""),"Y Liang, Z Hu")</f>
        <v>Y Liang, Z Hu</v>
      </c>
      <c r="E167" s="131" t="str">
        <f>IFERROR(__xludf.DUMMYFUNCTION("""COMPUTED_VALUE"""),"Institute of Electrical and Electronics Engineers")</f>
        <v>Institute of Electrical and Electronics Engineers</v>
      </c>
      <c r="F167" s="126" t="str">
        <f>IFERROR(__xludf.DUMMYFUNCTION("""COMPUTED_VALUE"""),"IEEE Xplore")</f>
        <v>IEEE Xplore</v>
      </c>
      <c r="G167" s="128"/>
      <c r="H167" s="130">
        <f>IFERROR(__xludf.DUMMYFUNCTION("""COMPUTED_VALUE"""),2019.0)</f>
        <v>2019</v>
      </c>
      <c r="I167" s="130">
        <f>IFERROR(__xludf.DUMMYFUNCTION("""COMPUTED_VALUE"""),1.0)</f>
        <v>1</v>
      </c>
      <c r="J167" s="130">
        <f>IFERROR(__xludf.DUMMYFUNCTION("""COMPUTED_VALUE"""),1.0)</f>
        <v>1</v>
      </c>
      <c r="K167" s="130">
        <f>IFERROR(__xludf.DUMMYFUNCTION("""COMPUTED_VALUE"""),1.0)</f>
        <v>1</v>
      </c>
      <c r="L167" s="129">
        <f>IFERROR(__xludf.DUMMYFUNCTION("""COMPUTED_VALUE"""),1.0)</f>
        <v>1</v>
      </c>
      <c r="M167" s="130">
        <f>IFERROR(__xludf.DUMMYFUNCTION("""COMPUTED_VALUE"""),1.0)</f>
        <v>1</v>
      </c>
      <c r="N167" s="130">
        <f>IFERROR(__xludf.DUMMYFUNCTION("""COMPUTED_VALUE"""),0.0)</f>
        <v>0</v>
      </c>
      <c r="O167" s="130">
        <f>IFERROR(__xludf.DUMMYFUNCTION("""COMPUTED_VALUE"""),0.0)</f>
        <v>0</v>
      </c>
      <c r="P167" s="130">
        <f>IFERROR(__xludf.DUMMYFUNCTION("""COMPUTED_VALUE"""),0.0)</f>
        <v>0</v>
      </c>
      <c r="Q167" s="130">
        <f>IFERROR(__xludf.DUMMYFUNCTION("""COMPUTED_VALUE"""),0.0)</f>
        <v>0</v>
      </c>
      <c r="R167" s="130">
        <f>IFERROR(__xludf.DUMMYFUNCTION("""COMPUTED_VALUE"""),0.0)</f>
        <v>0</v>
      </c>
      <c r="S167" s="130">
        <f>IFERROR(__xludf.DUMMYFUNCTION("""COMPUTED_VALUE"""),0.0)</f>
        <v>0</v>
      </c>
      <c r="T167" s="130">
        <f>IFERROR(__xludf.DUMMYFUNCTION("""COMPUTED_VALUE"""),0.0)</f>
        <v>0</v>
      </c>
      <c r="U167" s="130">
        <f>IFERROR(__xludf.DUMMYFUNCTION("""COMPUTED_VALUE"""),0.0)</f>
        <v>0</v>
      </c>
      <c r="V167" s="130">
        <f>IFERROR(__xludf.DUMMYFUNCTION("""COMPUTED_VALUE"""),0.0)</f>
        <v>0</v>
      </c>
      <c r="W167" s="131" t="str">
        <f>IFERROR(__xludf.DUMMYFUNCTION("""COMPUTED_VALUE"""),"Yes")</f>
        <v>Yes</v>
      </c>
      <c r="X167" s="131" t="str">
        <f>IFERROR(__xludf.DUMMYFUNCTION("""COMPUTED_VALUE"""),"Yes")</f>
        <v>Yes</v>
      </c>
      <c r="Y167" s="131" t="str">
        <f>IFERROR(__xludf.DUMMYFUNCTION("""COMPUTED_VALUE"""),"C")</f>
        <v>C</v>
      </c>
      <c r="Z167" s="131" t="str">
        <f>IFERROR(__xludf.DUMMYFUNCTION("""COMPUTED_VALUE"""),"energy prediction model")</f>
        <v>energy prediction model</v>
      </c>
      <c r="AA167" s="131"/>
      <c r="AB167" s="131"/>
      <c r="AC167" s="131"/>
      <c r="AD167" s="131"/>
      <c r="AE167" s="131"/>
      <c r="AF167" s="131"/>
      <c r="AG167" s="131"/>
      <c r="AH167" s="131"/>
      <c r="AI167" s="131"/>
      <c r="AJ167" s="131"/>
    </row>
    <row r="168">
      <c r="A168" s="126">
        <f>IFERROR(__xludf.DUMMYFUNCTION("""COMPUTED_VALUE"""),335.0)</f>
        <v>335</v>
      </c>
      <c r="B168" s="126" t="str">
        <f>IFERROR(__xludf.DUMMYFUNCTION("""COMPUTED_VALUE"""),"Energy-Saving Resource Allocation in Cloud Data Centers")</f>
        <v>Energy-Saving Resource Allocation in Cloud Data Centers</v>
      </c>
      <c r="C168" s="127" t="str">
        <f>IFERROR(__xludf.DUMMYFUNCTION("""COMPUTED_VALUE"""),"https://ieeexplore.ieee.org/abstract/document/9022819/")</f>
        <v>https://ieeexplore.ieee.org/abstract/document/9022819/</v>
      </c>
      <c r="D168" s="126" t="str">
        <f>IFERROR(__xludf.DUMMYFUNCTION("""COMPUTED_VALUE"""),"MM Than, T Thein")</f>
        <v>MM Than, T Thein</v>
      </c>
      <c r="E168" s="126" t="str">
        <f>IFERROR(__xludf.DUMMYFUNCTION("""COMPUTED_VALUE"""),"Institute of Electrical and Electronics Engineers")</f>
        <v>Institute of Electrical and Electronics Engineers</v>
      </c>
      <c r="F168" s="126" t="str">
        <f>IFERROR(__xludf.DUMMYFUNCTION("""COMPUTED_VALUE"""),"IEEE Xplore")</f>
        <v>IEEE Xplore</v>
      </c>
      <c r="G168" s="128" t="str">
        <f>IFERROR(__xludf.DUMMYFUNCTION("""COMPUTED_VALUE"""),"C")</f>
        <v>C</v>
      </c>
      <c r="H168" s="129">
        <f>IFERROR(__xludf.DUMMYFUNCTION("""COMPUTED_VALUE"""),2020.0)</f>
        <v>2020</v>
      </c>
      <c r="I168" s="130">
        <f>IFERROR(__xludf.DUMMYFUNCTION("""COMPUTED_VALUE"""),1.0)</f>
        <v>1</v>
      </c>
      <c r="J168" s="129">
        <f>IFERROR(__xludf.DUMMYFUNCTION("""COMPUTED_VALUE"""),1.0)</f>
        <v>1</v>
      </c>
      <c r="K168" s="130">
        <f>IFERROR(__xludf.DUMMYFUNCTION("""COMPUTED_VALUE"""),1.0)</f>
        <v>1</v>
      </c>
      <c r="L168" s="130">
        <f>IFERROR(__xludf.DUMMYFUNCTION("""COMPUTED_VALUE"""),1.0)</f>
        <v>1</v>
      </c>
      <c r="M168" s="130">
        <f>IFERROR(__xludf.DUMMYFUNCTION("""COMPUTED_VALUE"""),1.0)</f>
        <v>1</v>
      </c>
      <c r="N168" s="130">
        <f>IFERROR(__xludf.DUMMYFUNCTION("""COMPUTED_VALUE"""),0.0)</f>
        <v>0</v>
      </c>
      <c r="O168" s="130">
        <f>IFERROR(__xludf.DUMMYFUNCTION("""COMPUTED_VALUE"""),0.0)</f>
        <v>0</v>
      </c>
      <c r="P168" s="130">
        <f>IFERROR(__xludf.DUMMYFUNCTION("""COMPUTED_VALUE"""),0.0)</f>
        <v>0</v>
      </c>
      <c r="Q168" s="130">
        <f>IFERROR(__xludf.DUMMYFUNCTION("""COMPUTED_VALUE"""),0.0)</f>
        <v>0</v>
      </c>
      <c r="R168" s="129">
        <f>IFERROR(__xludf.DUMMYFUNCTION("""COMPUTED_VALUE"""),0.0)</f>
        <v>0</v>
      </c>
      <c r="S168" s="129">
        <f>IFERROR(__xludf.DUMMYFUNCTION("""COMPUTED_VALUE"""),0.0)</f>
        <v>0</v>
      </c>
      <c r="T168" s="129">
        <f>IFERROR(__xludf.DUMMYFUNCTION("""COMPUTED_VALUE"""),0.0)</f>
        <v>0</v>
      </c>
      <c r="U168" s="129">
        <f>IFERROR(__xludf.DUMMYFUNCTION("""COMPUTED_VALUE"""),0.0)</f>
        <v>0</v>
      </c>
      <c r="V168" s="129">
        <f>IFERROR(__xludf.DUMMYFUNCTION("""COMPUTED_VALUE"""),0.0)</f>
        <v>0</v>
      </c>
      <c r="W168" s="126" t="str">
        <f>IFERROR(__xludf.DUMMYFUNCTION("""COMPUTED_VALUE"""),"Yes")</f>
        <v>Yes</v>
      </c>
      <c r="X168" s="126" t="str">
        <f>IFERROR(__xludf.DUMMYFUNCTION("""COMPUTED_VALUE"""),"Yes")</f>
        <v>Yes</v>
      </c>
      <c r="Y168" s="126" t="str">
        <f>IFERROR(__xludf.DUMMYFUNCTION("""COMPUTED_VALUE"""),"C")</f>
        <v>C</v>
      </c>
      <c r="Z168" s="126" t="str">
        <f>IFERROR(__xludf.DUMMYFUNCTION("""COMPUTED_VALUE"""),"resource allocation")</f>
        <v>resource allocation</v>
      </c>
      <c r="AA168" s="126"/>
      <c r="AB168" s="126"/>
      <c r="AC168" s="126"/>
      <c r="AD168" s="126"/>
      <c r="AE168" s="126"/>
      <c r="AF168" s="126"/>
      <c r="AG168" s="126"/>
      <c r="AH168" s="126"/>
      <c r="AI168" s="126"/>
      <c r="AJ168" s="126"/>
    </row>
    <row r="169">
      <c r="A169" s="126">
        <f>IFERROR(__xludf.DUMMYFUNCTION("""COMPUTED_VALUE"""),337.0)</f>
        <v>337</v>
      </c>
      <c r="B169" s="126" t="str">
        <f>IFERROR(__xludf.DUMMYFUNCTION("""COMPUTED_VALUE"""),"Energy-efficient approach to lower the carbon emissions of data centers")</f>
        <v>Energy-efficient approach to lower the carbon emissions of data centers</v>
      </c>
      <c r="C169" s="127" t="str">
        <f>IFERROR(__xludf.DUMMYFUNCTION("""COMPUTED_VALUE"""),"https://link.springer.com/article/10.1007/s00607-020-00889-4")</f>
        <v>https://link.springer.com/article/10.1007/s00607-020-00889-4</v>
      </c>
      <c r="D169" s="126" t="str">
        <f>IFERROR(__xludf.DUMMYFUNCTION("""COMPUTED_VALUE"""),"R Bose, S Roy, H Mondal, DR Chowdhury…")</f>
        <v>R Bose, S Roy, H Mondal, DR Chowdhury…</v>
      </c>
      <c r="E169" s="126" t="str">
        <f>IFERROR(__xludf.DUMMYFUNCTION("""COMPUTED_VALUE"""),"Springer")</f>
        <v>Springer</v>
      </c>
      <c r="F169" s="126" t="str">
        <f>IFERROR(__xludf.DUMMYFUNCTION("""COMPUTED_VALUE"""),"Springer")</f>
        <v>Springer</v>
      </c>
      <c r="G169" s="128" t="str">
        <f>IFERROR(__xludf.DUMMYFUNCTION("""COMPUTED_VALUE"""),"J")</f>
        <v>J</v>
      </c>
      <c r="H169" s="130">
        <f>IFERROR(__xludf.DUMMYFUNCTION("""COMPUTED_VALUE"""),2021.0)</f>
        <v>2021</v>
      </c>
      <c r="I169" s="129">
        <f>IFERROR(__xludf.DUMMYFUNCTION("""COMPUTED_VALUE"""),1.0)</f>
        <v>1</v>
      </c>
      <c r="J169" s="130"/>
      <c r="K169" s="130">
        <f>IFERROR(__xludf.DUMMYFUNCTION("""COMPUTED_VALUE"""),0.0)</f>
        <v>0</v>
      </c>
      <c r="L169" s="130">
        <f>IFERROR(__xludf.DUMMYFUNCTION("""COMPUTED_VALUE"""),1.0)</f>
        <v>1</v>
      </c>
      <c r="M169" s="130"/>
      <c r="N169" s="130"/>
      <c r="O169" s="130"/>
      <c r="P169" s="130">
        <f>IFERROR(__xludf.DUMMYFUNCTION("""COMPUTED_VALUE"""),0.0)</f>
        <v>0</v>
      </c>
      <c r="Q169" s="130">
        <f>IFERROR(__xludf.DUMMYFUNCTION("""COMPUTED_VALUE"""),0.0)</f>
        <v>0</v>
      </c>
      <c r="R169" s="130">
        <f>IFERROR(__xludf.DUMMYFUNCTION("""COMPUTED_VALUE"""),0.0)</f>
        <v>0</v>
      </c>
      <c r="S169" s="130">
        <f>IFERROR(__xludf.DUMMYFUNCTION("""COMPUTED_VALUE"""),0.0)</f>
        <v>0</v>
      </c>
      <c r="T169" s="130">
        <f>IFERROR(__xludf.DUMMYFUNCTION("""COMPUTED_VALUE"""),0.0)</f>
        <v>0</v>
      </c>
      <c r="U169" s="130">
        <f>IFERROR(__xludf.DUMMYFUNCTION("""COMPUTED_VALUE"""),0.0)</f>
        <v>0</v>
      </c>
      <c r="V169" s="130">
        <f>IFERROR(__xludf.DUMMYFUNCTION("""COMPUTED_VALUE"""),0.0)</f>
        <v>0</v>
      </c>
      <c r="W169" s="131" t="str">
        <f>IFERROR(__xludf.DUMMYFUNCTION("""COMPUTED_VALUE"""),"No")</f>
        <v>No</v>
      </c>
      <c r="X169" s="131" t="str">
        <f>IFERROR(__xludf.DUMMYFUNCTION("""COMPUTED_VALUE"""),"Yes")</f>
        <v>Yes</v>
      </c>
      <c r="Y169" s="131" t="str">
        <f>IFERROR(__xludf.DUMMYFUNCTION("""COMPUTED_VALUE"""),"C")</f>
        <v>C</v>
      </c>
      <c r="Z169" s="131" t="str">
        <f>IFERROR(__xludf.DUMMYFUNCTION("""COMPUTED_VALUE"""),"not about ict equipment")</f>
        <v>not about ict equipment</v>
      </c>
      <c r="AA169" s="131"/>
      <c r="AB169" s="131"/>
      <c r="AC169" s="131"/>
      <c r="AD169" s="131"/>
      <c r="AE169" s="131"/>
      <c r="AF169" s="131"/>
      <c r="AG169" s="131"/>
      <c r="AH169" s="131"/>
      <c r="AI169" s="131"/>
      <c r="AJ169" s="131"/>
    </row>
    <row r="170">
      <c r="A170" s="126">
        <f>IFERROR(__xludf.DUMMYFUNCTION("""COMPUTED_VALUE"""),338.0)</f>
        <v>338</v>
      </c>
      <c r="B170" s="126" t="str">
        <f>IFERROR(__xludf.DUMMYFUNCTION("""COMPUTED_VALUE"""),"An Energy-Aware Dynamic Resource Management Technique Using Deep Q-Learning Algorithm and Joint VM and Container Consolidation Approach for Green Computing in Cloud Data Centers")</f>
        <v>An Energy-Aware Dynamic Resource Management Technique Using Deep Q-Learning Algorithm and Joint VM and Container Consolidation Approach for Green Computing in Cloud Data Centers</v>
      </c>
      <c r="C170" s="127" t="str">
        <f>IFERROR(__xludf.DUMMYFUNCTION("""COMPUTED_VALUE"""),"https://link.springer.com/chapter/10.1007/978-3-030-53829-3_26")</f>
        <v>https://link.springer.com/chapter/10.1007/978-3-030-53829-3_26</v>
      </c>
      <c r="D170" s="126" t="str">
        <f>IFERROR(__xludf.DUMMYFUNCTION("""COMPUTED_VALUE"""),"N Gholipour, N Shoeibi, E Arianyan")</f>
        <v>N Gholipour, N Shoeibi, E Arianyan</v>
      </c>
      <c r="E170" s="126" t="str">
        <f>IFERROR(__xludf.DUMMYFUNCTION("""COMPUTED_VALUE"""),"Springer")</f>
        <v>Springer</v>
      </c>
      <c r="F170" s="126" t="str">
        <f>IFERROR(__xludf.DUMMYFUNCTION("""COMPUTED_VALUE"""),"Springer")</f>
        <v>Springer</v>
      </c>
      <c r="G170" s="128" t="str">
        <f>IFERROR(__xludf.DUMMYFUNCTION("""COMPUTED_VALUE"""),"C")</f>
        <v>C</v>
      </c>
      <c r="H170" s="129">
        <f>IFERROR(__xludf.DUMMYFUNCTION("""COMPUTED_VALUE"""),2020.0)</f>
        <v>2020</v>
      </c>
      <c r="I170" s="130">
        <f>IFERROR(__xludf.DUMMYFUNCTION("""COMPUTED_VALUE"""),1.0)</f>
        <v>1</v>
      </c>
      <c r="J170" s="129">
        <f>IFERROR(__xludf.DUMMYFUNCTION("""COMPUTED_VALUE"""),1.0)</f>
        <v>1</v>
      </c>
      <c r="K170" s="130">
        <f>IFERROR(__xludf.DUMMYFUNCTION("""COMPUTED_VALUE"""),1.0)</f>
        <v>1</v>
      </c>
      <c r="L170" s="130">
        <f>IFERROR(__xludf.DUMMYFUNCTION("""COMPUTED_VALUE"""),0.0)</f>
        <v>0</v>
      </c>
      <c r="M170" s="130">
        <f>IFERROR(__xludf.DUMMYFUNCTION("""COMPUTED_VALUE"""),1.0)</f>
        <v>1</v>
      </c>
      <c r="N170" s="130">
        <f>IFERROR(__xludf.DUMMYFUNCTION("""COMPUTED_VALUE"""),0.0)</f>
        <v>0</v>
      </c>
      <c r="O170" s="130">
        <f>IFERROR(__xludf.DUMMYFUNCTION("""COMPUTED_VALUE"""),0.0)</f>
        <v>0</v>
      </c>
      <c r="P170" s="130">
        <f>IFERROR(__xludf.DUMMYFUNCTION("""COMPUTED_VALUE"""),0.0)</f>
        <v>0</v>
      </c>
      <c r="Q170" s="130">
        <f>IFERROR(__xludf.DUMMYFUNCTION("""COMPUTED_VALUE"""),0.0)</f>
        <v>0</v>
      </c>
      <c r="R170" s="130">
        <f>IFERROR(__xludf.DUMMYFUNCTION("""COMPUTED_VALUE"""),0.0)</f>
        <v>0</v>
      </c>
      <c r="S170" s="130">
        <f>IFERROR(__xludf.DUMMYFUNCTION("""COMPUTED_VALUE"""),0.0)</f>
        <v>0</v>
      </c>
      <c r="T170" s="130">
        <f>IFERROR(__xludf.DUMMYFUNCTION("""COMPUTED_VALUE"""),0.0)</f>
        <v>0</v>
      </c>
      <c r="U170" s="130">
        <f>IFERROR(__xludf.DUMMYFUNCTION("""COMPUTED_VALUE"""),0.0)</f>
        <v>0</v>
      </c>
      <c r="V170" s="130">
        <f>IFERROR(__xludf.DUMMYFUNCTION("""COMPUTED_VALUE"""),0.0)</f>
        <v>0</v>
      </c>
      <c r="W170" s="131" t="str">
        <f>IFERROR(__xludf.DUMMYFUNCTION("""COMPUTED_VALUE"""),"No")</f>
        <v>No</v>
      </c>
      <c r="X170" s="131" t="str">
        <f>IFERROR(__xludf.DUMMYFUNCTION("""COMPUTED_VALUE"""),"Yes")</f>
        <v>Yes</v>
      </c>
      <c r="Y170" s="131" t="str">
        <f>IFERROR(__xludf.DUMMYFUNCTION("""COMPUTED_VALUE"""),"C")</f>
        <v>C</v>
      </c>
      <c r="Z170" s="131" t="str">
        <f>IFERROR(__xludf.DUMMYFUNCTION("""COMPUTED_VALUE"""),"no eval")</f>
        <v>no eval</v>
      </c>
      <c r="AA170" s="131"/>
      <c r="AB170" s="131"/>
      <c r="AC170" s="131"/>
      <c r="AD170" s="131"/>
      <c r="AE170" s="131"/>
      <c r="AF170" s="131"/>
      <c r="AG170" s="131"/>
      <c r="AH170" s="131"/>
      <c r="AI170" s="131"/>
      <c r="AJ170" s="131"/>
    </row>
    <row r="171">
      <c r="A171" s="126">
        <f>IFERROR(__xludf.DUMMYFUNCTION("""COMPUTED_VALUE"""),340.0)</f>
        <v>340</v>
      </c>
      <c r="B171" s="126" t="str">
        <f>IFERROR(__xludf.DUMMYFUNCTION("""COMPUTED_VALUE"""),"Energy-Efficient Resource Allocation Technique Using Flower Pollination Algorithm for Cloud Datacenters")</f>
        <v>Energy-Efficient Resource Allocation Technique Using Flower Pollination Algorithm for Cloud Datacenters</v>
      </c>
      <c r="C171" s="127" t="str">
        <f>IFERROR(__xludf.DUMMYFUNCTION("""COMPUTED_VALUE"""),"https://link.springer.com/chapter/10.1007/978-3-319-99007-1_2")</f>
        <v>https://link.springer.com/chapter/10.1007/978-3-319-99007-1_2</v>
      </c>
      <c r="D171" s="126" t="str">
        <f>IFERROR(__xludf.DUMMYFUNCTION("""COMPUTED_VALUE"""),"MJ Usman, AS Ismail, AY Gital, A Aliyu…")</f>
        <v>MJ Usman, AS Ismail, AY Gital, A Aliyu…</v>
      </c>
      <c r="E171" s="126" t="str">
        <f>IFERROR(__xludf.DUMMYFUNCTION("""COMPUTED_VALUE"""),"Springer")</f>
        <v>Springer</v>
      </c>
      <c r="F171" s="126" t="str">
        <f>IFERROR(__xludf.DUMMYFUNCTION("""COMPUTED_VALUE"""),"Springer")</f>
        <v>Springer</v>
      </c>
      <c r="G171" s="128" t="str">
        <f>IFERROR(__xludf.DUMMYFUNCTION("""COMPUTED_VALUE"""),"C")</f>
        <v>C</v>
      </c>
      <c r="H171" s="129">
        <f>IFERROR(__xludf.DUMMYFUNCTION("""COMPUTED_VALUE"""),2018.0)</f>
        <v>2018</v>
      </c>
      <c r="I171" s="130">
        <f>IFERROR(__xludf.DUMMYFUNCTION("""COMPUTED_VALUE"""),1.0)</f>
        <v>1</v>
      </c>
      <c r="J171" s="129">
        <f>IFERROR(__xludf.DUMMYFUNCTION("""COMPUTED_VALUE"""),1.0)</f>
        <v>1</v>
      </c>
      <c r="K171" s="130">
        <f>IFERROR(__xludf.DUMMYFUNCTION("""COMPUTED_VALUE"""),1.0)</f>
        <v>1</v>
      </c>
      <c r="L171" s="130">
        <f>IFERROR(__xludf.DUMMYFUNCTION("""COMPUTED_VALUE"""),1.0)</f>
        <v>1</v>
      </c>
      <c r="M171" s="130">
        <f>IFERROR(__xludf.DUMMYFUNCTION("""COMPUTED_VALUE"""),1.0)</f>
        <v>1</v>
      </c>
      <c r="N171" s="130">
        <f>IFERROR(__xludf.DUMMYFUNCTION("""COMPUTED_VALUE"""),0.0)</f>
        <v>0</v>
      </c>
      <c r="O171" s="130">
        <f>IFERROR(__xludf.DUMMYFUNCTION("""COMPUTED_VALUE"""),0.0)</f>
        <v>0</v>
      </c>
      <c r="P171" s="130">
        <f>IFERROR(__xludf.DUMMYFUNCTION("""COMPUTED_VALUE"""),0.0)</f>
        <v>0</v>
      </c>
      <c r="Q171" s="130">
        <f>IFERROR(__xludf.DUMMYFUNCTION("""COMPUTED_VALUE"""),0.0)</f>
        <v>0</v>
      </c>
      <c r="R171" s="129">
        <f>IFERROR(__xludf.DUMMYFUNCTION("""COMPUTED_VALUE"""),0.0)</f>
        <v>0</v>
      </c>
      <c r="S171" s="129">
        <f>IFERROR(__xludf.DUMMYFUNCTION("""COMPUTED_VALUE"""),0.0)</f>
        <v>0</v>
      </c>
      <c r="T171" s="129">
        <f>IFERROR(__xludf.DUMMYFUNCTION("""COMPUTED_VALUE"""),0.0)</f>
        <v>0</v>
      </c>
      <c r="U171" s="129">
        <f>IFERROR(__xludf.DUMMYFUNCTION("""COMPUTED_VALUE"""),0.0)</f>
        <v>0</v>
      </c>
      <c r="V171" s="129">
        <f>IFERROR(__xludf.DUMMYFUNCTION("""COMPUTED_VALUE"""),0.0)</f>
        <v>0</v>
      </c>
      <c r="W171" s="126" t="str">
        <f>IFERROR(__xludf.DUMMYFUNCTION("""COMPUTED_VALUE"""),"Yes")</f>
        <v>Yes</v>
      </c>
      <c r="X171" s="126" t="str">
        <f>IFERROR(__xludf.DUMMYFUNCTION("""COMPUTED_VALUE"""),"Yes")</f>
        <v>Yes</v>
      </c>
      <c r="Y171" s="126" t="str">
        <f>IFERROR(__xludf.DUMMYFUNCTION("""COMPUTED_VALUE"""),"C")</f>
        <v>C</v>
      </c>
      <c r="Z171" s="126" t="str">
        <f>IFERROR(__xludf.DUMMYFUNCTION("""COMPUTED_VALUE"""),"resource allocation")</f>
        <v>resource allocation</v>
      </c>
      <c r="AA171" s="126"/>
      <c r="AB171" s="126"/>
      <c r="AC171" s="126"/>
      <c r="AD171" s="126"/>
      <c r="AE171" s="126"/>
      <c r="AF171" s="126"/>
      <c r="AG171" s="126"/>
      <c r="AH171" s="126"/>
      <c r="AI171" s="126"/>
      <c r="AJ171" s="126"/>
    </row>
    <row r="172">
      <c r="A172" s="126">
        <f>IFERROR(__xludf.DUMMYFUNCTION("""COMPUTED_VALUE"""),341.0)</f>
        <v>341</v>
      </c>
      <c r="B172" s="126" t="str">
        <f>IFERROR(__xludf.DUMMYFUNCTION("""COMPUTED_VALUE"""),"Machine Learning Approach for Energy Consumption Prediction in Datacenters")</f>
        <v>Machine Learning Approach for Energy Consumption Prediction in Datacenters</v>
      </c>
      <c r="C172" s="127" t="str">
        <f>IFERROR(__xludf.DUMMYFUNCTION("""COMPUTED_VALUE"""),"https://ieeexplore.ieee.org/abstract/document/9046987/")</f>
        <v>https://ieeexplore.ieee.org/abstract/document/9046987/</v>
      </c>
      <c r="D172" s="126" t="str">
        <f>IFERROR(__xludf.DUMMYFUNCTION("""COMPUTED_VALUE"""),"A Merizig, T Bendahmane, S Merzoug…")</f>
        <v>A Merizig, T Bendahmane, S Merzoug…</v>
      </c>
      <c r="E172" s="126" t="str">
        <f>IFERROR(__xludf.DUMMYFUNCTION("""COMPUTED_VALUE"""),"Institute of Electrical and Electronics Engineers")</f>
        <v>Institute of Electrical and Electronics Engineers</v>
      </c>
      <c r="F172" s="126" t="str">
        <f>IFERROR(__xludf.DUMMYFUNCTION("""COMPUTED_VALUE"""),"IEEE Xplore")</f>
        <v>IEEE Xplore</v>
      </c>
      <c r="G172" s="132"/>
      <c r="H172" s="129">
        <f>IFERROR(__xludf.DUMMYFUNCTION("""COMPUTED_VALUE"""),2020.0)</f>
        <v>2020</v>
      </c>
      <c r="I172" s="129">
        <f>IFERROR(__xludf.DUMMYFUNCTION("""COMPUTED_VALUE"""),0.0)</f>
        <v>0</v>
      </c>
      <c r="J172" s="129"/>
      <c r="K172" s="130"/>
      <c r="L172" s="130"/>
      <c r="M172" s="130"/>
      <c r="N172" s="130"/>
      <c r="O172" s="130"/>
      <c r="P172" s="130"/>
      <c r="Q172" s="129"/>
      <c r="R172" s="129"/>
      <c r="S172" s="129"/>
      <c r="T172" s="129"/>
      <c r="U172" s="129">
        <f>IFERROR(__xludf.DUMMYFUNCTION("""COMPUTED_VALUE"""),1.0)</f>
        <v>1</v>
      </c>
      <c r="V172" s="129"/>
      <c r="W172" s="126" t="str">
        <f>IFERROR(__xludf.DUMMYFUNCTION("""COMPUTED_VALUE"""),"No")</f>
        <v>No</v>
      </c>
      <c r="X172" s="126" t="str">
        <f>IFERROR(__xludf.DUMMYFUNCTION("""COMPUTED_VALUE"""),"Yes")</f>
        <v>Yes</v>
      </c>
      <c r="Y172" s="126" t="str">
        <f>IFERROR(__xludf.DUMMYFUNCTION("""COMPUTED_VALUE"""),"C")</f>
        <v>C</v>
      </c>
      <c r="Z172" s="126" t="str">
        <f>IFERROR(__xludf.DUMMYFUNCTION("""COMPUTED_VALUE"""),"prediction features based on old work")</f>
        <v>prediction features based on old work</v>
      </c>
      <c r="AA172" s="126"/>
      <c r="AB172" s="126"/>
      <c r="AC172" s="126"/>
      <c r="AD172" s="126"/>
      <c r="AE172" s="126"/>
      <c r="AF172" s="126"/>
      <c r="AG172" s="126"/>
      <c r="AH172" s="126"/>
      <c r="AI172" s="126"/>
      <c r="AJ172" s="126"/>
    </row>
    <row r="173">
      <c r="A173" s="126">
        <f>IFERROR(__xludf.DUMMYFUNCTION("""COMPUTED_VALUE"""),348.0)</f>
        <v>348</v>
      </c>
      <c r="B173" s="126" t="str">
        <f>IFERROR(__xludf.DUMMYFUNCTION("""COMPUTED_VALUE"""),"An Energy-aware Host Resource Management Framework for Two-tier Virtualized Cloud Data Centers")</f>
        <v>An Energy-aware Host Resource Management Framework for Two-tier Virtualized Cloud Data Centers</v>
      </c>
      <c r="C173" s="127" t="str">
        <f>IFERROR(__xludf.DUMMYFUNCTION("""COMPUTED_VALUE"""),"https://ieeexplore.ieee.org/abstract/document/9309376/")</f>
        <v>https://ieeexplore.ieee.org/abstract/document/9309376/</v>
      </c>
      <c r="D173" s="126" t="str">
        <f>IFERROR(__xludf.DUMMYFUNCTION("""COMPUTED_VALUE"""),"C Zhang, Y Wang, H Wu, H Guo")</f>
        <v>C Zhang, Y Wang, H Wu, H Guo</v>
      </c>
      <c r="E173" s="126" t="str">
        <f>IFERROR(__xludf.DUMMYFUNCTION("""COMPUTED_VALUE"""),"Institute of Electrical and Electronics Engineers")</f>
        <v>Institute of Electrical and Electronics Engineers</v>
      </c>
      <c r="F173" s="126" t="str">
        <f>IFERROR(__xludf.DUMMYFUNCTION("""COMPUTED_VALUE"""),"IEEE Xplore")</f>
        <v>IEEE Xplore</v>
      </c>
      <c r="G173" s="128" t="str">
        <f>IFERROR(__xludf.DUMMYFUNCTION("""COMPUTED_VALUE"""),"J")</f>
        <v>J</v>
      </c>
      <c r="H173" s="130">
        <f>IFERROR(__xludf.DUMMYFUNCTION("""COMPUTED_VALUE"""),2020.0)</f>
        <v>2020</v>
      </c>
      <c r="I173" s="129">
        <f>IFERROR(__xludf.DUMMYFUNCTION("""COMPUTED_VALUE"""),1.0)</f>
        <v>1</v>
      </c>
      <c r="J173" s="130"/>
      <c r="K173" s="130">
        <f>IFERROR(__xludf.DUMMYFUNCTION("""COMPUTED_VALUE"""),1.0)</f>
        <v>1</v>
      </c>
      <c r="L173" s="130"/>
      <c r="M173" s="130">
        <f>IFERROR(__xludf.DUMMYFUNCTION("""COMPUTED_VALUE"""),1.0)</f>
        <v>1</v>
      </c>
      <c r="N173" s="130">
        <f>IFERROR(__xludf.DUMMYFUNCTION("""COMPUTED_VALUE"""),0.0)</f>
        <v>0</v>
      </c>
      <c r="O173" s="130"/>
      <c r="P173" s="129">
        <f>IFERROR(__xludf.DUMMYFUNCTION("""COMPUTED_VALUE"""),0.0)</f>
        <v>0</v>
      </c>
      <c r="Q173" s="130">
        <f>IFERROR(__xludf.DUMMYFUNCTION("""COMPUTED_VALUE"""),0.0)</f>
        <v>0</v>
      </c>
      <c r="R173" s="129">
        <f>IFERROR(__xludf.DUMMYFUNCTION("""COMPUTED_VALUE"""),0.0)</f>
        <v>0</v>
      </c>
      <c r="S173" s="129">
        <f>IFERROR(__xludf.DUMMYFUNCTION("""COMPUTED_VALUE"""),0.0)</f>
        <v>0</v>
      </c>
      <c r="T173" s="129">
        <f>IFERROR(__xludf.DUMMYFUNCTION("""COMPUTED_VALUE"""),0.0)</f>
        <v>0</v>
      </c>
      <c r="U173" s="129">
        <f>IFERROR(__xludf.DUMMYFUNCTION("""COMPUTED_VALUE"""),0.0)</f>
        <v>0</v>
      </c>
      <c r="V173" s="129">
        <f>IFERROR(__xludf.DUMMYFUNCTION("""COMPUTED_VALUE"""),0.0)</f>
        <v>0</v>
      </c>
      <c r="W173" s="126"/>
      <c r="X173" s="126" t="str">
        <f>IFERROR(__xludf.DUMMYFUNCTION("""COMPUTED_VALUE"""),"Yes")</f>
        <v>Yes</v>
      </c>
      <c r="Y173" s="126"/>
      <c r="Z173" s="126" t="str">
        <f>IFERROR(__xludf.DUMMYFUNCTION("""COMPUTED_VALUE"""),"cannot access")</f>
        <v>cannot access</v>
      </c>
      <c r="AA173" s="126"/>
      <c r="AB173" s="126"/>
      <c r="AC173" s="126"/>
      <c r="AD173" s="126"/>
      <c r="AE173" s="126"/>
      <c r="AF173" s="126"/>
      <c r="AG173" s="126"/>
      <c r="AH173" s="126"/>
      <c r="AI173" s="126"/>
      <c r="AJ173" s="126"/>
    </row>
    <row r="174">
      <c r="A174" s="126">
        <f>IFERROR(__xludf.DUMMYFUNCTION("""COMPUTED_VALUE"""),349.0)</f>
        <v>349</v>
      </c>
      <c r="B174" s="126" t="str">
        <f>IFERROR(__xludf.DUMMYFUNCTION("""COMPUTED_VALUE"""),"Energy Efficient Green Consolidator for Cloud Data Centers")</f>
        <v>Energy Efficient Green Consolidator for Cloud Data Centers</v>
      </c>
      <c r="C174" s="127" t="str">
        <f>IFERROR(__xludf.DUMMYFUNCTION("""COMPUTED_VALUE"""),"https://ieeexplore.ieee.org/abstract/document/8991325/")</f>
        <v>https://ieeexplore.ieee.org/abstract/document/8991325/</v>
      </c>
      <c r="D174" s="126" t="str">
        <f>IFERROR(__xludf.DUMMYFUNCTION("""COMPUTED_VALUE"""),"C Dhule, U Shrawankar")</f>
        <v>C Dhule, U Shrawankar</v>
      </c>
      <c r="E174" s="126" t="str">
        <f>IFERROR(__xludf.DUMMYFUNCTION("""COMPUTED_VALUE"""),"Institute of Electrical and Electronics Engineers")</f>
        <v>Institute of Electrical and Electronics Engineers</v>
      </c>
      <c r="F174" s="126" t="str">
        <f>IFERROR(__xludf.DUMMYFUNCTION("""COMPUTED_VALUE"""),"IEEE Xplore")</f>
        <v>IEEE Xplore</v>
      </c>
      <c r="G174" s="128" t="str">
        <f>IFERROR(__xludf.DUMMYFUNCTION("""COMPUTED_VALUE"""),"C")</f>
        <v>C</v>
      </c>
      <c r="H174" s="130">
        <f>IFERROR(__xludf.DUMMYFUNCTION("""COMPUTED_VALUE"""),2019.0)</f>
        <v>2019</v>
      </c>
      <c r="I174" s="130">
        <f>IFERROR(__xludf.DUMMYFUNCTION("""COMPUTED_VALUE"""),1.0)</f>
        <v>1</v>
      </c>
      <c r="J174" s="130">
        <f>IFERROR(__xludf.DUMMYFUNCTION("""COMPUTED_VALUE"""),1.0)</f>
        <v>1</v>
      </c>
      <c r="K174" s="130">
        <f>IFERROR(__xludf.DUMMYFUNCTION("""COMPUTED_VALUE"""),1.0)</f>
        <v>1</v>
      </c>
      <c r="L174" s="129">
        <f>IFERROR(__xludf.DUMMYFUNCTION("""COMPUTED_VALUE"""),1.0)</f>
        <v>1</v>
      </c>
      <c r="M174" s="130">
        <f>IFERROR(__xludf.DUMMYFUNCTION("""COMPUTED_VALUE"""),1.0)</f>
        <v>1</v>
      </c>
      <c r="N174" s="130">
        <f>IFERROR(__xludf.DUMMYFUNCTION("""COMPUTED_VALUE"""),0.0)</f>
        <v>0</v>
      </c>
      <c r="O174" s="130">
        <f>IFERROR(__xludf.DUMMYFUNCTION("""COMPUTED_VALUE"""),0.0)</f>
        <v>0</v>
      </c>
      <c r="P174" s="130">
        <f>IFERROR(__xludf.DUMMYFUNCTION("""COMPUTED_VALUE"""),0.0)</f>
        <v>0</v>
      </c>
      <c r="Q174" s="130">
        <f>IFERROR(__xludf.DUMMYFUNCTION("""COMPUTED_VALUE"""),0.0)</f>
        <v>0</v>
      </c>
      <c r="R174" s="130">
        <f>IFERROR(__xludf.DUMMYFUNCTION("""COMPUTED_VALUE"""),0.0)</f>
        <v>0</v>
      </c>
      <c r="S174" s="130">
        <f>IFERROR(__xludf.DUMMYFUNCTION("""COMPUTED_VALUE"""),0.0)</f>
        <v>0</v>
      </c>
      <c r="T174" s="130">
        <f>IFERROR(__xludf.DUMMYFUNCTION("""COMPUTED_VALUE"""),0.0)</f>
        <v>0</v>
      </c>
      <c r="U174" s="130">
        <f>IFERROR(__xludf.DUMMYFUNCTION("""COMPUTED_VALUE"""),0.0)</f>
        <v>0</v>
      </c>
      <c r="V174" s="130">
        <f>IFERROR(__xludf.DUMMYFUNCTION("""COMPUTED_VALUE"""),0.0)</f>
        <v>0</v>
      </c>
      <c r="W174" s="131"/>
      <c r="X174" s="131" t="str">
        <f>IFERROR(__xludf.DUMMYFUNCTION("""COMPUTED_VALUE"""),"Yes")</f>
        <v>Yes</v>
      </c>
      <c r="Y174" s="131"/>
      <c r="Z174" s="131" t="str">
        <f>IFERROR(__xludf.DUMMYFUNCTION("""COMPUTED_VALUE"""),"cannot access")</f>
        <v>cannot access</v>
      </c>
      <c r="AA174" s="131"/>
      <c r="AB174" s="131"/>
      <c r="AC174" s="131"/>
      <c r="AD174" s="131"/>
      <c r="AE174" s="131"/>
      <c r="AF174" s="131"/>
      <c r="AG174" s="131"/>
      <c r="AH174" s="131"/>
      <c r="AI174" s="131"/>
      <c r="AJ174" s="131"/>
    </row>
    <row r="175">
      <c r="A175" s="126">
        <f>IFERROR(__xludf.DUMMYFUNCTION("""COMPUTED_VALUE"""),350.0)</f>
        <v>350</v>
      </c>
      <c r="B175" s="126" t="str">
        <f>IFERROR(__xludf.DUMMYFUNCTION("""COMPUTED_VALUE"""),"Adaptive Multi-Threshold Energy-Aware Virtual Machine Consolidation in Cloud Data Center")</f>
        <v>Adaptive Multi-Threshold Energy-Aware Virtual Machine Consolidation in Cloud Data Center</v>
      </c>
      <c r="C175" s="127" t="str">
        <f>IFERROR(__xludf.DUMMYFUNCTION("""COMPUTED_VALUE"""),"https://ieeexplore.ieee.org/abstract/document/8963569/")</f>
        <v>https://ieeexplore.ieee.org/abstract/document/8963569/</v>
      </c>
      <c r="D175" s="131" t="str">
        <f>IFERROR(__xludf.DUMMYFUNCTION("""COMPUTED_VALUE"""),"Y Hu, D Ding, K Kang, T Li")</f>
        <v>Y Hu, D Ding, K Kang, T Li</v>
      </c>
      <c r="E175" s="131" t="str">
        <f>IFERROR(__xludf.DUMMYFUNCTION("""COMPUTED_VALUE"""),"Institute of Electrical and Electronics Engineers")</f>
        <v>Institute of Electrical and Electronics Engineers</v>
      </c>
      <c r="F175" s="126" t="str">
        <f>IFERROR(__xludf.DUMMYFUNCTION("""COMPUTED_VALUE"""),"IEEE Xplore")</f>
        <v>IEEE Xplore</v>
      </c>
      <c r="G175" s="128" t="str">
        <f>IFERROR(__xludf.DUMMYFUNCTION("""COMPUTED_VALUE"""),"C")</f>
        <v>C</v>
      </c>
      <c r="H175" s="130">
        <f>IFERROR(__xludf.DUMMYFUNCTION("""COMPUTED_VALUE"""),2019.0)</f>
        <v>2019</v>
      </c>
      <c r="I175" s="130">
        <f>IFERROR(__xludf.DUMMYFUNCTION("""COMPUTED_VALUE"""),1.0)</f>
        <v>1</v>
      </c>
      <c r="J175" s="130">
        <f>IFERROR(__xludf.DUMMYFUNCTION("""COMPUTED_VALUE"""),1.0)</f>
        <v>1</v>
      </c>
      <c r="K175" s="130">
        <f>IFERROR(__xludf.DUMMYFUNCTION("""COMPUTED_VALUE"""),1.0)</f>
        <v>1</v>
      </c>
      <c r="L175" s="129">
        <f>IFERROR(__xludf.DUMMYFUNCTION("""COMPUTED_VALUE"""),1.0)</f>
        <v>1</v>
      </c>
      <c r="M175" s="130">
        <f>IFERROR(__xludf.DUMMYFUNCTION("""COMPUTED_VALUE"""),1.0)</f>
        <v>1</v>
      </c>
      <c r="N175" s="130">
        <f>IFERROR(__xludf.DUMMYFUNCTION("""COMPUTED_VALUE"""),0.0)</f>
        <v>0</v>
      </c>
      <c r="O175" s="130">
        <f>IFERROR(__xludf.DUMMYFUNCTION("""COMPUTED_VALUE"""),0.0)</f>
        <v>0</v>
      </c>
      <c r="P175" s="130">
        <f>IFERROR(__xludf.DUMMYFUNCTION("""COMPUTED_VALUE"""),0.0)</f>
        <v>0</v>
      </c>
      <c r="Q175" s="130">
        <f>IFERROR(__xludf.DUMMYFUNCTION("""COMPUTED_VALUE"""),0.0)</f>
        <v>0</v>
      </c>
      <c r="R175" s="129">
        <f>IFERROR(__xludf.DUMMYFUNCTION("""COMPUTED_VALUE"""),0.0)</f>
        <v>0</v>
      </c>
      <c r="S175" s="129">
        <f>IFERROR(__xludf.DUMMYFUNCTION("""COMPUTED_VALUE"""),0.0)</f>
        <v>0</v>
      </c>
      <c r="T175" s="129">
        <f>IFERROR(__xludf.DUMMYFUNCTION("""COMPUTED_VALUE"""),0.0)</f>
        <v>0</v>
      </c>
      <c r="U175" s="129">
        <f>IFERROR(__xludf.DUMMYFUNCTION("""COMPUTED_VALUE"""),0.0)</f>
        <v>0</v>
      </c>
      <c r="V175" s="129">
        <f>IFERROR(__xludf.DUMMYFUNCTION("""COMPUTED_VALUE"""),0.0)</f>
        <v>0</v>
      </c>
      <c r="W175" s="126" t="str">
        <f>IFERROR(__xludf.DUMMYFUNCTION("""COMPUTED_VALUE"""),"Yes")</f>
        <v>Yes</v>
      </c>
      <c r="X175" s="126" t="str">
        <f>IFERROR(__xludf.DUMMYFUNCTION("""COMPUTED_VALUE"""),"Yes")</f>
        <v>Yes</v>
      </c>
      <c r="Y175" s="126" t="str">
        <f>IFERROR(__xludf.DUMMYFUNCTION("""COMPUTED_VALUE"""),"C")</f>
        <v>C</v>
      </c>
      <c r="Z175" s="126" t="str">
        <f>IFERROR(__xludf.DUMMYFUNCTION("""COMPUTED_VALUE"""),"vm consolidation")</f>
        <v>vm consolidation</v>
      </c>
      <c r="AA175" s="126"/>
      <c r="AB175" s="126"/>
      <c r="AC175" s="126"/>
      <c r="AD175" s="126"/>
      <c r="AE175" s="126"/>
      <c r="AF175" s="126"/>
      <c r="AG175" s="126"/>
      <c r="AH175" s="126"/>
      <c r="AI175" s="126"/>
      <c r="AJ175" s="126"/>
    </row>
    <row r="176">
      <c r="A176" s="126">
        <f>IFERROR(__xludf.DUMMYFUNCTION("""COMPUTED_VALUE"""),351.0)</f>
        <v>351</v>
      </c>
      <c r="B176" s="126" t="str">
        <f>IFERROR(__xludf.DUMMYFUNCTION("""COMPUTED_VALUE"""),"Energy-efficient VM-placement in cloud data center")</f>
        <v>Energy-efficient VM-placement in cloud data center</v>
      </c>
      <c r="C176" s="127" t="str">
        <f>IFERROR(__xludf.DUMMYFUNCTION("""COMPUTED_VALUE"""),"https://www.sciencedirect.com/science/article/pii/S2210537917302536")</f>
        <v>https://www.sciencedirect.com/science/article/pii/S2210537917302536</v>
      </c>
      <c r="D176" s="126" t="str">
        <f>IFERROR(__xludf.DUMMYFUNCTION("""COMPUTED_VALUE"""),"SK Mishra, D Puthal, B Sahoo, PP Jayaraman…")</f>
        <v>SK Mishra, D Puthal, B Sahoo, PP Jayaraman…</v>
      </c>
      <c r="E176" s="126" t="str">
        <f>IFERROR(__xludf.DUMMYFUNCTION("""COMPUTED_VALUE"""),"Elsevier")</f>
        <v>Elsevier</v>
      </c>
      <c r="F176" s="126" t="str">
        <f>IFERROR(__xludf.DUMMYFUNCTION("""COMPUTED_VALUE"""),"Elsevier")</f>
        <v>Elsevier</v>
      </c>
      <c r="G176" s="128" t="str">
        <f>IFERROR(__xludf.DUMMYFUNCTION("""COMPUTED_VALUE"""),"J")</f>
        <v>J</v>
      </c>
      <c r="H176" s="130">
        <f>IFERROR(__xludf.DUMMYFUNCTION("""COMPUTED_VALUE"""),2018.0)</f>
        <v>2018</v>
      </c>
      <c r="I176" s="130">
        <f>IFERROR(__xludf.DUMMYFUNCTION("""COMPUTED_VALUE"""),1.0)</f>
        <v>1</v>
      </c>
      <c r="J176" s="130">
        <f>IFERROR(__xludf.DUMMYFUNCTION("""COMPUTED_VALUE"""),1.0)</f>
        <v>1</v>
      </c>
      <c r="K176" s="130">
        <f>IFERROR(__xludf.DUMMYFUNCTION("""COMPUTED_VALUE"""),1.0)</f>
        <v>1</v>
      </c>
      <c r="L176" s="129">
        <f>IFERROR(__xludf.DUMMYFUNCTION("""COMPUTED_VALUE"""),1.0)</f>
        <v>1</v>
      </c>
      <c r="M176" s="130">
        <f>IFERROR(__xludf.DUMMYFUNCTION("""COMPUTED_VALUE"""),1.0)</f>
        <v>1</v>
      </c>
      <c r="N176" s="130">
        <f>IFERROR(__xludf.DUMMYFUNCTION("""COMPUTED_VALUE"""),0.0)</f>
        <v>0</v>
      </c>
      <c r="O176" s="130">
        <f>IFERROR(__xludf.DUMMYFUNCTION("""COMPUTED_VALUE"""),0.0)</f>
        <v>0</v>
      </c>
      <c r="P176" s="130">
        <f>IFERROR(__xludf.DUMMYFUNCTION("""COMPUTED_VALUE"""),0.0)</f>
        <v>0</v>
      </c>
      <c r="Q176" s="130">
        <f>IFERROR(__xludf.DUMMYFUNCTION("""COMPUTED_VALUE"""),0.0)</f>
        <v>0</v>
      </c>
      <c r="R176" s="129">
        <f>IFERROR(__xludf.DUMMYFUNCTION("""COMPUTED_VALUE"""),0.0)</f>
        <v>0</v>
      </c>
      <c r="S176" s="129">
        <f>IFERROR(__xludf.DUMMYFUNCTION("""COMPUTED_VALUE"""),0.0)</f>
        <v>0</v>
      </c>
      <c r="T176" s="129">
        <f>IFERROR(__xludf.DUMMYFUNCTION("""COMPUTED_VALUE"""),0.0)</f>
        <v>0</v>
      </c>
      <c r="U176" s="129">
        <f>IFERROR(__xludf.DUMMYFUNCTION("""COMPUTED_VALUE"""),0.0)</f>
        <v>0</v>
      </c>
      <c r="V176" s="129">
        <f>IFERROR(__xludf.DUMMYFUNCTION("""COMPUTED_VALUE"""),0.0)</f>
        <v>0</v>
      </c>
      <c r="W176" s="126" t="str">
        <f>IFERROR(__xludf.DUMMYFUNCTION("""COMPUTED_VALUE"""),"Yes")</f>
        <v>Yes</v>
      </c>
      <c r="X176" s="126" t="str">
        <f>IFERROR(__xludf.DUMMYFUNCTION("""COMPUTED_VALUE"""),"Yes")</f>
        <v>Yes</v>
      </c>
      <c r="Y176" s="126" t="str">
        <f>IFERROR(__xludf.DUMMYFUNCTION("""COMPUTED_VALUE"""),"C")</f>
        <v>C</v>
      </c>
      <c r="Z176" s="126" t="str">
        <f>IFERROR(__xludf.DUMMYFUNCTION("""COMPUTED_VALUE"""),"vm placement")</f>
        <v>vm placement</v>
      </c>
      <c r="AA176" s="126"/>
      <c r="AB176" s="126"/>
      <c r="AC176" s="126"/>
      <c r="AD176" s="126"/>
      <c r="AE176" s="126"/>
      <c r="AF176" s="126"/>
      <c r="AG176" s="126"/>
      <c r="AH176" s="126"/>
      <c r="AI176" s="126"/>
      <c r="AJ176" s="126"/>
    </row>
    <row r="177">
      <c r="A177" s="126">
        <f>IFERROR(__xludf.DUMMYFUNCTION("""COMPUTED_VALUE"""),354.0)</f>
        <v>354</v>
      </c>
      <c r="B177" s="126" t="str">
        <f>IFERROR(__xludf.DUMMYFUNCTION("""COMPUTED_VALUE"""),"A Modified Grey Wolf Optimization for Energy Efficiency and Resource Wastage Balancing in Cloud Data-Centers")</f>
        <v>A Modified Grey Wolf Optimization for Energy Efficiency and Resource Wastage Balancing in Cloud Data-Centers</v>
      </c>
      <c r="C177" s="127" t="str">
        <f>IFERROR(__xludf.DUMMYFUNCTION("""COMPUTED_VALUE"""),"https://ieeexplore.ieee.org/abstract/document/9303615/")</f>
        <v>https://ieeexplore.ieee.org/abstract/document/9303615/</v>
      </c>
      <c r="D177" s="126" t="str">
        <f>IFERROR(__xludf.DUMMYFUNCTION("""COMPUTED_VALUE"""),"A Ansari, M Asghari, S Gorgin…")</f>
        <v>A Ansari, M Asghari, S Gorgin…</v>
      </c>
      <c r="E177" s="126" t="str">
        <f>IFERROR(__xludf.DUMMYFUNCTION("""COMPUTED_VALUE"""),"Institute of Electrical and Electronics Engineers")</f>
        <v>Institute of Electrical and Electronics Engineers</v>
      </c>
      <c r="F177" s="126" t="str">
        <f>IFERROR(__xludf.DUMMYFUNCTION("""COMPUTED_VALUE"""),"IEEE Xplore")</f>
        <v>IEEE Xplore</v>
      </c>
      <c r="G177" s="128"/>
      <c r="H177" s="129">
        <f>IFERROR(__xludf.DUMMYFUNCTION("""COMPUTED_VALUE"""),2020.0)</f>
        <v>2020</v>
      </c>
      <c r="I177" s="129"/>
      <c r="J177" s="129"/>
      <c r="K177" s="130"/>
      <c r="L177" s="129"/>
      <c r="M177" s="130"/>
      <c r="N177" s="130"/>
      <c r="O177" s="130"/>
      <c r="P177" s="130"/>
      <c r="Q177" s="129"/>
      <c r="R177" s="129"/>
      <c r="S177" s="129"/>
      <c r="T177" s="129"/>
      <c r="U177" s="129"/>
      <c r="V177" s="129"/>
      <c r="W177" s="126"/>
      <c r="X177" s="126" t="str">
        <f>IFERROR(__xludf.DUMMYFUNCTION("""COMPUTED_VALUE"""),"Yes")</f>
        <v>Yes</v>
      </c>
      <c r="Y177" s="126"/>
      <c r="Z177" s="126" t="str">
        <f>IFERROR(__xludf.DUMMYFUNCTION("""COMPUTED_VALUE"""),"cannot access")</f>
        <v>cannot access</v>
      </c>
      <c r="AA177" s="126"/>
      <c r="AB177" s="126"/>
      <c r="AC177" s="126"/>
      <c r="AD177" s="126"/>
      <c r="AE177" s="126"/>
      <c r="AF177" s="126"/>
      <c r="AG177" s="126"/>
      <c r="AH177" s="126"/>
      <c r="AI177" s="126"/>
      <c r="AJ177" s="126"/>
    </row>
    <row r="178">
      <c r="A178" s="126">
        <f>IFERROR(__xludf.DUMMYFUNCTION("""COMPUTED_VALUE"""),358.0)</f>
        <v>358</v>
      </c>
      <c r="B178" s="126" t="str">
        <f>IFERROR(__xludf.DUMMYFUNCTION("""COMPUTED_VALUE"""),"Energy Flexibility Prediction for Data Center Engagement in Demand Response Programs")</f>
        <v>Energy Flexibility Prediction for Data Center Engagement in Demand Response Programs</v>
      </c>
      <c r="C178" s="127" t="str">
        <f>IFERROR(__xludf.DUMMYFUNCTION("""COMPUTED_VALUE"""),"https://www.mdpi.com/2071-1050/12/4/1417")</f>
        <v>https://www.mdpi.com/2071-1050/12/4/1417</v>
      </c>
      <c r="D178" s="126" t="str">
        <f>IFERROR(__xludf.DUMMYFUNCTION("""COMPUTED_VALUE"""),"AV Vesa, T Cioara, I Anghel, M Antal, C Pop, B Iancu…")</f>
        <v>AV Vesa, T Cioara, I Anghel, M Antal, C Pop, B Iancu…</v>
      </c>
      <c r="E178" s="126" t="str">
        <f>IFERROR(__xludf.DUMMYFUNCTION("""COMPUTED_VALUE"""),"Multidisciplinary Digital Publishing Institute")</f>
        <v>Multidisciplinary Digital Publishing Institute</v>
      </c>
      <c r="F178" s="126" t="str">
        <f>IFERROR(__xludf.DUMMYFUNCTION("""COMPUTED_VALUE"""),"MDPI")</f>
        <v>MDPI</v>
      </c>
      <c r="G178" s="128"/>
      <c r="H178" s="129">
        <f>IFERROR(__xludf.DUMMYFUNCTION("""COMPUTED_VALUE"""),2020.0)</f>
        <v>2020</v>
      </c>
      <c r="I178" s="129"/>
      <c r="J178" s="129"/>
      <c r="K178" s="130"/>
      <c r="L178" s="130"/>
      <c r="M178" s="130"/>
      <c r="N178" s="130"/>
      <c r="O178" s="130"/>
      <c r="P178" s="130">
        <f>IFERROR(__xludf.DUMMYFUNCTION("""COMPUTED_VALUE"""),1.0)</f>
        <v>1</v>
      </c>
      <c r="Q178" s="129"/>
      <c r="R178" s="130"/>
      <c r="S178" s="130"/>
      <c r="T178" s="130"/>
      <c r="U178" s="130"/>
      <c r="V178" s="130"/>
      <c r="W178" s="131" t="str">
        <f>IFERROR(__xludf.DUMMYFUNCTION("""COMPUTED_VALUE"""),"No")</f>
        <v>No</v>
      </c>
      <c r="X178" s="131" t="str">
        <f>IFERROR(__xludf.DUMMYFUNCTION("""COMPUTED_VALUE"""),"Yes")</f>
        <v>Yes</v>
      </c>
      <c r="Y178" s="131" t="str">
        <f>IFERROR(__xludf.DUMMYFUNCTION("""COMPUTED_VALUE"""),"C")</f>
        <v>C</v>
      </c>
      <c r="Z178" s="131" t="str">
        <f>IFERROR(__xludf.DUMMYFUNCTION("""COMPUTED_VALUE"""),"focus on energy grid")</f>
        <v>focus on energy grid</v>
      </c>
      <c r="AA178" s="131"/>
      <c r="AB178" s="131"/>
      <c r="AC178" s="131"/>
      <c r="AD178" s="131"/>
      <c r="AE178" s="131"/>
      <c r="AF178" s="131"/>
      <c r="AG178" s="131"/>
      <c r="AH178" s="131"/>
      <c r="AI178" s="131"/>
      <c r="AJ178" s="131"/>
    </row>
    <row r="179">
      <c r="A179" s="126">
        <f>IFERROR(__xludf.DUMMYFUNCTION("""COMPUTED_VALUE"""),359.0)</f>
        <v>359</v>
      </c>
      <c r="B179" s="126" t="str">
        <f>IFERROR(__xludf.DUMMYFUNCTION("""COMPUTED_VALUE"""),"Prediction-Based Joint Energy Optimization for Virtualized Data Centers")</f>
        <v>Prediction-Based Joint Energy Optimization for Virtualized Data Centers</v>
      </c>
      <c r="C179" s="127" t="str">
        <f>IFERROR(__xludf.DUMMYFUNCTION("""COMPUTED_VALUE"""),"https://dl.acm.org/doi/abs/10.1145/3374135.3385279")</f>
        <v>https://dl.acm.org/doi/abs/10.1145/3374135.3385279</v>
      </c>
      <c r="D179" s="131" t="str">
        <f>IFERROR(__xludf.DUMMYFUNCTION("""COMPUTED_VALUE"""),"M Al-Tarazi, JM Chang")</f>
        <v>M Al-Tarazi, JM Chang</v>
      </c>
      <c r="E179" s="131" t="str">
        <f>IFERROR(__xludf.DUMMYFUNCTION("""COMPUTED_VALUE"""),"Association for Computing Machinery")</f>
        <v>Association for Computing Machinery</v>
      </c>
      <c r="F179" s="126" t="str">
        <f>IFERROR(__xludf.DUMMYFUNCTION("""COMPUTED_VALUE"""),"ACM")</f>
        <v>ACM</v>
      </c>
      <c r="G179" s="128"/>
      <c r="H179" s="130">
        <f>IFERROR(__xludf.DUMMYFUNCTION("""COMPUTED_VALUE"""),2020.0)</f>
        <v>2020</v>
      </c>
      <c r="I179" s="130">
        <f>IFERROR(__xludf.DUMMYFUNCTION("""COMPUTED_VALUE"""),1.0)</f>
        <v>1</v>
      </c>
      <c r="J179" s="130">
        <f>IFERROR(__xludf.DUMMYFUNCTION("""COMPUTED_VALUE"""),1.0)</f>
        <v>1</v>
      </c>
      <c r="K179" s="130">
        <f>IFERROR(__xludf.DUMMYFUNCTION("""COMPUTED_VALUE"""),1.0)</f>
        <v>1</v>
      </c>
      <c r="L179" s="129">
        <f>IFERROR(__xludf.DUMMYFUNCTION("""COMPUTED_VALUE"""),1.0)</f>
        <v>1</v>
      </c>
      <c r="M179" s="130">
        <f>IFERROR(__xludf.DUMMYFUNCTION("""COMPUTED_VALUE"""),1.0)</f>
        <v>1</v>
      </c>
      <c r="N179" s="130">
        <f>IFERROR(__xludf.DUMMYFUNCTION("""COMPUTED_VALUE"""),0.0)</f>
        <v>0</v>
      </c>
      <c r="O179" s="130">
        <f>IFERROR(__xludf.DUMMYFUNCTION("""COMPUTED_VALUE"""),0.0)</f>
        <v>0</v>
      </c>
      <c r="P179" s="130">
        <f>IFERROR(__xludf.DUMMYFUNCTION("""COMPUTED_VALUE"""),0.0)</f>
        <v>0</v>
      </c>
      <c r="Q179" s="130">
        <f>IFERROR(__xludf.DUMMYFUNCTION("""COMPUTED_VALUE"""),0.0)</f>
        <v>0</v>
      </c>
      <c r="R179" s="130">
        <f>IFERROR(__xludf.DUMMYFUNCTION("""COMPUTED_VALUE"""),0.0)</f>
        <v>0</v>
      </c>
      <c r="S179" s="130">
        <f>IFERROR(__xludf.DUMMYFUNCTION("""COMPUTED_VALUE"""),0.0)</f>
        <v>0</v>
      </c>
      <c r="T179" s="130">
        <f>IFERROR(__xludf.DUMMYFUNCTION("""COMPUTED_VALUE"""),0.0)</f>
        <v>0</v>
      </c>
      <c r="U179" s="130">
        <f>IFERROR(__xludf.DUMMYFUNCTION("""COMPUTED_VALUE"""),0.0)</f>
        <v>0</v>
      </c>
      <c r="V179" s="130">
        <f>IFERROR(__xludf.DUMMYFUNCTION("""COMPUTED_VALUE"""),0.0)</f>
        <v>0</v>
      </c>
      <c r="W179" s="131" t="str">
        <f>IFERROR(__xludf.DUMMYFUNCTION("""COMPUTED_VALUE"""),"Yes")</f>
        <v>Yes</v>
      </c>
      <c r="X179" s="131" t="str">
        <f>IFERROR(__xludf.DUMMYFUNCTION("""COMPUTED_VALUE"""),"Yes")</f>
        <v>Yes</v>
      </c>
      <c r="Y179" s="131" t="str">
        <f>IFERROR(__xludf.DUMMYFUNCTION("""COMPUTED_VALUE"""),"C")</f>
        <v>C</v>
      </c>
      <c r="Z179" s="131" t="str">
        <f>IFERROR(__xludf.DUMMYFUNCTION("""COMPUTED_VALUE"""),"vm consolidation")</f>
        <v>vm consolidation</v>
      </c>
      <c r="AA179" s="131"/>
      <c r="AB179" s="131"/>
      <c r="AC179" s="131"/>
      <c r="AD179" s="131"/>
      <c r="AE179" s="131"/>
      <c r="AF179" s="131"/>
      <c r="AG179" s="131"/>
      <c r="AH179" s="131"/>
      <c r="AI179" s="131"/>
      <c r="AJ179" s="131"/>
    </row>
    <row r="180">
      <c r="A180" s="126">
        <f>IFERROR(__xludf.DUMMYFUNCTION("""COMPUTED_VALUE"""),362.0)</f>
        <v>362</v>
      </c>
      <c r="B180" s="126" t="str">
        <f>IFERROR(__xludf.DUMMYFUNCTION("""COMPUTED_VALUE"""),"Renewable energy-aware big data analytics in geo-distributed data centers with reinforcement learning")</f>
        <v>Renewable energy-aware big data analytics in geo-distributed data centers with reinforcement learning</v>
      </c>
      <c r="C180" s="127" t="str">
        <f>IFERROR(__xludf.DUMMYFUNCTION("""COMPUTED_VALUE"""),"https://ieeexplore.ieee.org/abstract/document/8309283/")</f>
        <v>https://ieeexplore.ieee.org/abstract/document/8309283/</v>
      </c>
      <c r="D180" s="126" t="str">
        <f>IFERROR(__xludf.DUMMYFUNCTION("""COMPUTED_VALUE"""),"C Xu, K Wang, P Li, R Xia, S Guo…")</f>
        <v>C Xu, K Wang, P Li, R Xia, S Guo…</v>
      </c>
      <c r="E180" s="126" t="str">
        <f>IFERROR(__xludf.DUMMYFUNCTION("""COMPUTED_VALUE"""),"Institute of Electrical and Electronics Engineers")</f>
        <v>Institute of Electrical and Electronics Engineers</v>
      </c>
      <c r="F180" s="126" t="str">
        <f>IFERROR(__xludf.DUMMYFUNCTION("""COMPUTED_VALUE"""),"IEEE Xplore")</f>
        <v>IEEE Xplore</v>
      </c>
      <c r="G180" s="128"/>
      <c r="H180" s="130">
        <f>IFERROR(__xludf.DUMMYFUNCTION("""COMPUTED_VALUE"""),2018.0)</f>
        <v>2018</v>
      </c>
      <c r="I180" s="130">
        <f>IFERROR(__xludf.DUMMYFUNCTION("""COMPUTED_VALUE"""),1.0)</f>
        <v>1</v>
      </c>
      <c r="J180" s="130">
        <f>IFERROR(__xludf.DUMMYFUNCTION("""COMPUTED_VALUE"""),1.0)</f>
        <v>1</v>
      </c>
      <c r="K180" s="130">
        <f>IFERROR(__xludf.DUMMYFUNCTION("""COMPUTED_VALUE"""),1.0)</f>
        <v>1</v>
      </c>
      <c r="L180" s="129">
        <f>IFERROR(__xludf.DUMMYFUNCTION("""COMPUTED_VALUE"""),1.0)</f>
        <v>1</v>
      </c>
      <c r="M180" s="130">
        <f>IFERROR(__xludf.DUMMYFUNCTION("""COMPUTED_VALUE"""),1.0)</f>
        <v>1</v>
      </c>
      <c r="N180" s="130">
        <f>IFERROR(__xludf.DUMMYFUNCTION("""COMPUTED_VALUE"""),0.0)</f>
        <v>0</v>
      </c>
      <c r="O180" s="130">
        <f>IFERROR(__xludf.DUMMYFUNCTION("""COMPUTED_VALUE"""),0.0)</f>
        <v>0</v>
      </c>
      <c r="P180" s="130">
        <f>IFERROR(__xludf.DUMMYFUNCTION("""COMPUTED_VALUE"""),0.0)</f>
        <v>0</v>
      </c>
      <c r="Q180" s="130">
        <f>IFERROR(__xludf.DUMMYFUNCTION("""COMPUTED_VALUE"""),0.0)</f>
        <v>0</v>
      </c>
      <c r="R180" s="129">
        <f>IFERROR(__xludf.DUMMYFUNCTION("""COMPUTED_VALUE"""),0.0)</f>
        <v>0</v>
      </c>
      <c r="S180" s="129">
        <f>IFERROR(__xludf.DUMMYFUNCTION("""COMPUTED_VALUE"""),0.0)</f>
        <v>0</v>
      </c>
      <c r="T180" s="129">
        <f>IFERROR(__xludf.DUMMYFUNCTION("""COMPUTED_VALUE"""),0.0)</f>
        <v>0</v>
      </c>
      <c r="U180" s="129">
        <f>IFERROR(__xludf.DUMMYFUNCTION("""COMPUTED_VALUE"""),0.0)</f>
        <v>0</v>
      </c>
      <c r="V180" s="129">
        <f>IFERROR(__xludf.DUMMYFUNCTION("""COMPUTED_VALUE"""),0.0)</f>
        <v>0</v>
      </c>
      <c r="W180" s="126" t="str">
        <f>IFERROR(__xludf.DUMMYFUNCTION("""COMPUTED_VALUE"""),"Yes")</f>
        <v>Yes</v>
      </c>
      <c r="X180" s="126" t="str">
        <f>IFERROR(__xludf.DUMMYFUNCTION("""COMPUTED_VALUE"""),"Yes")</f>
        <v>Yes</v>
      </c>
      <c r="Y180" s="126" t="str">
        <f>IFERROR(__xludf.DUMMYFUNCTION("""COMPUTED_VALUE"""),"C")</f>
        <v>C</v>
      </c>
      <c r="Z180" s="126" t="str">
        <f>IFERROR(__xludf.DUMMYFUNCTION("""COMPUTED_VALUE"""),"job scheduling")</f>
        <v>job scheduling</v>
      </c>
      <c r="AA180" s="126"/>
      <c r="AB180" s="126"/>
      <c r="AC180" s="126"/>
      <c r="AD180" s="126"/>
      <c r="AE180" s="126"/>
      <c r="AF180" s="126"/>
      <c r="AG180" s="126"/>
      <c r="AH180" s="126"/>
      <c r="AI180" s="126"/>
      <c r="AJ180" s="126"/>
    </row>
    <row r="181">
      <c r="A181" s="126">
        <f>IFERROR(__xludf.DUMMYFUNCTION("""COMPUTED_VALUE"""),366.0)</f>
        <v>366</v>
      </c>
      <c r="B181" s="126" t="str">
        <f>IFERROR(__xludf.DUMMYFUNCTION("""COMPUTED_VALUE"""),"Multi-elastic datacenters: Auto-scaled virtual clusters on energy-aware physical infrastructures")</f>
        <v>Multi-elastic datacenters: Auto-scaled virtual clusters on energy-aware physical infrastructures</v>
      </c>
      <c r="C181" s="127" t="str">
        <f>IFERROR(__xludf.DUMMYFUNCTION("""COMPUTED_VALUE"""),"https://link.springer.com/article/10.1007/s10723-018-9449-z")</f>
        <v>https://link.springer.com/article/10.1007/s10723-018-9449-z</v>
      </c>
      <c r="D181" s="126" t="str">
        <f>IFERROR(__xludf.DUMMYFUNCTION("""COMPUTED_VALUE"""),"C de Alfonso, M Caballer, A Calatrava, G Moltó…")</f>
        <v>C de Alfonso, M Caballer, A Calatrava, G Moltó…</v>
      </c>
      <c r="E181" s="126" t="str">
        <f>IFERROR(__xludf.DUMMYFUNCTION("""COMPUTED_VALUE"""),"Springer")</f>
        <v>Springer</v>
      </c>
      <c r="F181" s="126" t="str">
        <f>IFERROR(__xludf.DUMMYFUNCTION("""COMPUTED_VALUE"""),"Springer")</f>
        <v>Springer</v>
      </c>
      <c r="G181" s="128"/>
      <c r="H181" s="130">
        <f>IFERROR(__xludf.DUMMYFUNCTION("""COMPUTED_VALUE"""),2019.0)</f>
        <v>2019</v>
      </c>
      <c r="I181" s="129">
        <f>IFERROR(__xludf.DUMMYFUNCTION("""COMPUTED_VALUE"""),1.0)</f>
        <v>1</v>
      </c>
      <c r="J181" s="130"/>
      <c r="K181" s="130">
        <f>IFERROR(__xludf.DUMMYFUNCTION("""COMPUTED_VALUE"""),1.0)</f>
        <v>1</v>
      </c>
      <c r="L181" s="130"/>
      <c r="M181" s="130">
        <f>IFERROR(__xludf.DUMMYFUNCTION("""COMPUTED_VALUE"""),1.0)</f>
        <v>1</v>
      </c>
      <c r="N181" s="130"/>
      <c r="O181" s="130">
        <f>IFERROR(__xludf.DUMMYFUNCTION("""COMPUTED_VALUE"""),0.0)</f>
        <v>0</v>
      </c>
      <c r="P181" s="130">
        <f>IFERROR(__xludf.DUMMYFUNCTION("""COMPUTED_VALUE"""),0.0)</f>
        <v>0</v>
      </c>
      <c r="Q181" s="130">
        <f>IFERROR(__xludf.DUMMYFUNCTION("""COMPUTED_VALUE"""),0.0)</f>
        <v>0</v>
      </c>
      <c r="R181" s="130">
        <f>IFERROR(__xludf.DUMMYFUNCTION("""COMPUTED_VALUE"""),0.0)</f>
        <v>0</v>
      </c>
      <c r="S181" s="130">
        <f>IFERROR(__xludf.DUMMYFUNCTION("""COMPUTED_VALUE"""),0.0)</f>
        <v>0</v>
      </c>
      <c r="T181" s="130">
        <f>IFERROR(__xludf.DUMMYFUNCTION("""COMPUTED_VALUE"""),0.0)</f>
        <v>0</v>
      </c>
      <c r="U181" s="130">
        <f>IFERROR(__xludf.DUMMYFUNCTION("""COMPUTED_VALUE"""),0.0)</f>
        <v>0</v>
      </c>
      <c r="V181" s="130">
        <f>IFERROR(__xludf.DUMMYFUNCTION("""COMPUTED_VALUE"""),0.0)</f>
        <v>0</v>
      </c>
      <c r="W181" s="131" t="str">
        <f>IFERROR(__xludf.DUMMYFUNCTION("""COMPUTED_VALUE"""),"No")</f>
        <v>No</v>
      </c>
      <c r="X181" s="131" t="str">
        <f>IFERROR(__xludf.DUMMYFUNCTION("""COMPUTED_VALUE"""),"Yes")</f>
        <v>Yes</v>
      </c>
      <c r="Y181" s="131" t="str">
        <f>IFERROR(__xludf.DUMMYFUNCTION("""COMPUTED_VALUE"""),"C")</f>
        <v>C</v>
      </c>
      <c r="Z181" s="131" t="str">
        <f>IFERROR(__xludf.DUMMYFUNCTION("""COMPUTED_VALUE"""),"not about energy efficiency")</f>
        <v>not about energy efficiency</v>
      </c>
      <c r="AA181" s="131"/>
      <c r="AB181" s="131"/>
      <c r="AC181" s="131"/>
      <c r="AD181" s="131"/>
      <c r="AE181" s="131"/>
      <c r="AF181" s="131"/>
      <c r="AG181" s="131"/>
      <c r="AH181" s="131"/>
      <c r="AI181" s="131"/>
      <c r="AJ181" s="131"/>
    </row>
    <row r="182">
      <c r="A182" s="126">
        <f>IFERROR(__xludf.DUMMYFUNCTION("""COMPUTED_VALUE"""),367.0)</f>
        <v>367</v>
      </c>
      <c r="B182" s="126" t="str">
        <f>IFERROR(__xludf.DUMMYFUNCTION("""COMPUTED_VALUE"""),"Energy-aware task scheduling strategies with QoS constraint for green computing in cloud data centers")</f>
        <v>Energy-aware task scheduling strategies with QoS constraint for green computing in cloud data centers</v>
      </c>
      <c r="C182" s="127" t="str">
        <f>IFERROR(__xludf.DUMMYFUNCTION("""COMPUTED_VALUE"""),"https://dl.acm.org/doi/abs/10.1145/3264746.3264792")</f>
        <v>https://dl.acm.org/doi/abs/10.1145/3264746.3264792</v>
      </c>
      <c r="D182" s="126" t="str">
        <f>IFERROR(__xludf.DUMMYFUNCTION("""COMPUTED_VALUE"""),"X Liu, P Liu, H Li, Z Li, C Zou, H Zhou, X Yan…")</f>
        <v>X Liu, P Liu, H Li, Z Li, C Zou, H Zhou, X Yan…</v>
      </c>
      <c r="E182" s="126" t="str">
        <f>IFERROR(__xludf.DUMMYFUNCTION("""COMPUTED_VALUE"""),"Association for Computing Machinery")</f>
        <v>Association for Computing Machinery</v>
      </c>
      <c r="F182" s="126" t="str">
        <f>IFERROR(__xludf.DUMMYFUNCTION("""COMPUTED_VALUE"""),"ACM")</f>
        <v>ACM</v>
      </c>
      <c r="G182" s="128"/>
      <c r="H182" s="129">
        <f>IFERROR(__xludf.DUMMYFUNCTION("""COMPUTED_VALUE"""),2018.0)</f>
        <v>2018</v>
      </c>
      <c r="I182" s="129">
        <f>IFERROR(__xludf.DUMMYFUNCTION("""COMPUTED_VALUE"""),1.0)</f>
        <v>1</v>
      </c>
      <c r="J182" s="129"/>
      <c r="K182" s="130">
        <f>IFERROR(__xludf.DUMMYFUNCTION("""COMPUTED_VALUE"""),1.0)</f>
        <v>1</v>
      </c>
      <c r="L182" s="130"/>
      <c r="M182" s="130">
        <f>IFERROR(__xludf.DUMMYFUNCTION("""COMPUTED_VALUE"""),1.0)</f>
        <v>1</v>
      </c>
      <c r="N182" s="130">
        <f>IFERROR(__xludf.DUMMYFUNCTION("""COMPUTED_VALUE"""),1.0)</f>
        <v>1</v>
      </c>
      <c r="O182" s="129">
        <f>IFERROR(__xludf.DUMMYFUNCTION("""COMPUTED_VALUE"""),0.0)</f>
        <v>0</v>
      </c>
      <c r="P182" s="130">
        <f>IFERROR(__xludf.DUMMYFUNCTION("""COMPUTED_VALUE"""),0.0)</f>
        <v>0</v>
      </c>
      <c r="Q182" s="130">
        <f>IFERROR(__xludf.DUMMYFUNCTION("""COMPUTED_VALUE"""),0.0)</f>
        <v>0</v>
      </c>
      <c r="R182" s="129">
        <f>IFERROR(__xludf.DUMMYFUNCTION("""COMPUTED_VALUE"""),0.0)</f>
        <v>0</v>
      </c>
      <c r="S182" s="129">
        <f>IFERROR(__xludf.DUMMYFUNCTION("""COMPUTED_VALUE"""),0.0)</f>
        <v>0</v>
      </c>
      <c r="T182" s="129">
        <f>IFERROR(__xludf.DUMMYFUNCTION("""COMPUTED_VALUE"""),0.0)</f>
        <v>0</v>
      </c>
      <c r="U182" s="129">
        <f>IFERROR(__xludf.DUMMYFUNCTION("""COMPUTED_VALUE"""),0.0)</f>
        <v>0</v>
      </c>
      <c r="V182" s="129">
        <f>IFERROR(__xludf.DUMMYFUNCTION("""COMPUTED_VALUE"""),0.0)</f>
        <v>0</v>
      </c>
      <c r="W182" s="126" t="str">
        <f>IFERROR(__xludf.DUMMYFUNCTION("""COMPUTED_VALUE"""),"No")</f>
        <v>No</v>
      </c>
      <c r="X182" s="126" t="str">
        <f>IFERROR(__xludf.DUMMYFUNCTION("""COMPUTED_VALUE"""),"Yes")</f>
        <v>Yes</v>
      </c>
      <c r="Y182" s="126" t="str">
        <f>IFERROR(__xludf.DUMMYFUNCTION("""COMPUTED_VALUE"""),"C")</f>
        <v>C</v>
      </c>
      <c r="Z182" s="126" t="str">
        <f>IFERROR(__xludf.DUMMYFUNCTION("""COMPUTED_VALUE"""),"hardware")</f>
        <v>hardware</v>
      </c>
      <c r="AA182" s="126"/>
      <c r="AB182" s="126"/>
      <c r="AC182" s="126"/>
      <c r="AD182" s="126"/>
      <c r="AE182" s="126"/>
      <c r="AF182" s="126"/>
      <c r="AG182" s="126"/>
      <c r="AH182" s="126"/>
      <c r="AI182" s="126"/>
      <c r="AJ182" s="126"/>
    </row>
    <row r="183">
      <c r="A183" s="126">
        <f>IFERROR(__xludf.DUMMYFUNCTION("""COMPUTED_VALUE"""),371.0)</f>
        <v>371</v>
      </c>
      <c r="B183" s="126" t="str">
        <f>IFERROR(__xludf.DUMMYFUNCTION("""COMPUTED_VALUE"""),"Classification-based and energy-efficient dynamic task scheduling scheme for virtualized cloud data center")</f>
        <v>Classification-based and energy-efficient dynamic task scheduling scheme for virtualized cloud data center</v>
      </c>
      <c r="C183" s="127" t="str">
        <f>IFERROR(__xludf.DUMMYFUNCTION("""COMPUTED_VALUE"""),"https://ieeexplore.ieee.org/abstract/document/8721126/")</f>
        <v>https://ieeexplore.ieee.org/abstract/document/8721126/</v>
      </c>
      <c r="D183" s="126" t="str">
        <f>IFERROR(__xludf.DUMMYFUNCTION("""COMPUTED_VALUE"""),"A Marahatta, S Pirbhulal, F Zhang…")</f>
        <v>A Marahatta, S Pirbhulal, F Zhang…</v>
      </c>
      <c r="E183" s="126" t="str">
        <f>IFERROR(__xludf.DUMMYFUNCTION("""COMPUTED_VALUE"""),"Institute of Electrical and Electronics Engineers")</f>
        <v>Institute of Electrical and Electronics Engineers</v>
      </c>
      <c r="F183" s="126" t="str">
        <f>IFERROR(__xludf.DUMMYFUNCTION("""COMPUTED_VALUE"""),"IEEE Xplore")</f>
        <v>IEEE Xplore</v>
      </c>
      <c r="G183" s="132"/>
      <c r="H183" s="129">
        <f>IFERROR(__xludf.DUMMYFUNCTION("""COMPUTED_VALUE"""),2019.0)</f>
        <v>2019</v>
      </c>
      <c r="I183" s="129">
        <f>IFERROR(__xludf.DUMMYFUNCTION("""COMPUTED_VALUE"""),1.0)</f>
        <v>1</v>
      </c>
      <c r="J183" s="129">
        <f>IFERROR(__xludf.DUMMYFUNCTION("""COMPUTED_VALUE"""),1.0)</f>
        <v>1</v>
      </c>
      <c r="K183" s="130">
        <f>IFERROR(__xludf.DUMMYFUNCTION("""COMPUTED_VALUE"""),1.0)</f>
        <v>1</v>
      </c>
      <c r="L183" s="130">
        <f>IFERROR(__xludf.DUMMYFUNCTION("""COMPUTED_VALUE"""),1.0)</f>
        <v>1</v>
      </c>
      <c r="M183" s="130">
        <f>IFERROR(__xludf.DUMMYFUNCTION("""COMPUTED_VALUE"""),1.0)</f>
        <v>1</v>
      </c>
      <c r="N183" s="130">
        <f>IFERROR(__xludf.DUMMYFUNCTION("""COMPUTED_VALUE"""),0.0)</f>
        <v>0</v>
      </c>
      <c r="O183" s="130">
        <f>IFERROR(__xludf.DUMMYFUNCTION("""COMPUTED_VALUE"""),0.0)</f>
        <v>0</v>
      </c>
      <c r="P183" s="130">
        <f>IFERROR(__xludf.DUMMYFUNCTION("""COMPUTED_VALUE"""),0.0)</f>
        <v>0</v>
      </c>
      <c r="Q183" s="129">
        <f>IFERROR(__xludf.DUMMYFUNCTION("""COMPUTED_VALUE"""),0.0)</f>
        <v>0</v>
      </c>
      <c r="R183" s="129">
        <f>IFERROR(__xludf.DUMMYFUNCTION("""COMPUTED_VALUE"""),0.0)</f>
        <v>0</v>
      </c>
      <c r="S183" s="129">
        <f>IFERROR(__xludf.DUMMYFUNCTION("""COMPUTED_VALUE"""),0.0)</f>
        <v>0</v>
      </c>
      <c r="T183" s="129">
        <f>IFERROR(__xludf.DUMMYFUNCTION("""COMPUTED_VALUE"""),0.0)</f>
        <v>0</v>
      </c>
      <c r="U183" s="129">
        <f>IFERROR(__xludf.DUMMYFUNCTION("""COMPUTED_VALUE"""),0.0)</f>
        <v>0</v>
      </c>
      <c r="V183" s="129">
        <f>IFERROR(__xludf.DUMMYFUNCTION("""COMPUTED_VALUE"""),0.0)</f>
        <v>0</v>
      </c>
      <c r="W183" s="126" t="str">
        <f>IFERROR(__xludf.DUMMYFUNCTION("""COMPUTED_VALUE"""),"Yes")</f>
        <v>Yes</v>
      </c>
      <c r="X183" s="126" t="str">
        <f>IFERROR(__xludf.DUMMYFUNCTION("""COMPUTED_VALUE"""),"Yes")</f>
        <v>Yes</v>
      </c>
      <c r="Y183" s="126" t="str">
        <f>IFERROR(__xludf.DUMMYFUNCTION("""COMPUTED_VALUE"""),"C")</f>
        <v>C</v>
      </c>
      <c r="Z183" s="126" t="str">
        <f>IFERROR(__xludf.DUMMYFUNCTION("""COMPUTED_VALUE"""),"task scheduling")</f>
        <v>task scheduling</v>
      </c>
      <c r="AA183" s="126"/>
      <c r="AB183" s="126"/>
      <c r="AC183" s="126"/>
      <c r="AD183" s="126"/>
      <c r="AE183" s="126"/>
      <c r="AF183" s="126"/>
      <c r="AG183" s="126"/>
      <c r="AH183" s="126"/>
      <c r="AI183" s="126"/>
      <c r="AJ183" s="126"/>
    </row>
    <row r="184">
      <c r="A184" s="126">
        <f>IFERROR(__xludf.DUMMYFUNCTION("""COMPUTED_VALUE"""),373.0)</f>
        <v>373</v>
      </c>
      <c r="B184" s="126" t="str">
        <f>IFERROR(__xludf.DUMMYFUNCTION("""COMPUTED_VALUE"""),"Delayed Best-Fit Task Scheduling to Reduce Energy Consumption in Cloud Data Centers")</f>
        <v>Delayed Best-Fit Task Scheduling to Reduce Energy Consumption in Cloud Data Centers</v>
      </c>
      <c r="C184" s="127" t="str">
        <f>IFERROR(__xludf.DUMMYFUNCTION("""COMPUTED_VALUE"""),"https://ieeexplore.ieee.org/abstract/document/8875333/")</f>
        <v>https://ieeexplore.ieee.org/abstract/document/8875333/</v>
      </c>
      <c r="D184" s="126" t="str">
        <f>IFERROR(__xludf.DUMMYFUNCTION("""COMPUTED_VALUE"""),"Z Dong, W Zhuang…")</f>
        <v>Z Dong, W Zhuang…</v>
      </c>
      <c r="E184" s="126" t="str">
        <f>IFERROR(__xludf.DUMMYFUNCTION("""COMPUTED_VALUE"""),"Institute of Electrical and Electronics Engineers")</f>
        <v>Institute of Electrical and Electronics Engineers</v>
      </c>
      <c r="F184" s="126" t="str">
        <f>IFERROR(__xludf.DUMMYFUNCTION("""COMPUTED_VALUE"""),"IEEE Xplore")</f>
        <v>IEEE Xplore</v>
      </c>
      <c r="G184" s="128" t="str">
        <f>IFERROR(__xludf.DUMMYFUNCTION("""COMPUTED_VALUE"""),"C")</f>
        <v>C</v>
      </c>
      <c r="H184" s="130">
        <f>IFERROR(__xludf.DUMMYFUNCTION("""COMPUTED_VALUE"""),2019.0)</f>
        <v>2019</v>
      </c>
      <c r="I184" s="129">
        <f>IFERROR(__xludf.DUMMYFUNCTION("""COMPUTED_VALUE"""),1.0)</f>
        <v>1</v>
      </c>
      <c r="J184" s="130">
        <f>IFERROR(__xludf.DUMMYFUNCTION("""COMPUTED_VALUE"""),1.0)</f>
        <v>1</v>
      </c>
      <c r="K184" s="130">
        <f>IFERROR(__xludf.DUMMYFUNCTION("""COMPUTED_VALUE"""),1.0)</f>
        <v>1</v>
      </c>
      <c r="L184" s="130">
        <f>IFERROR(__xludf.DUMMYFUNCTION("""COMPUTED_VALUE"""),1.0)</f>
        <v>1</v>
      </c>
      <c r="M184" s="130">
        <f>IFERROR(__xludf.DUMMYFUNCTION("""COMPUTED_VALUE"""),1.0)</f>
        <v>1</v>
      </c>
      <c r="N184" s="130">
        <f>IFERROR(__xludf.DUMMYFUNCTION("""COMPUTED_VALUE"""),0.0)</f>
        <v>0</v>
      </c>
      <c r="O184" s="130">
        <f>IFERROR(__xludf.DUMMYFUNCTION("""COMPUTED_VALUE"""),0.0)</f>
        <v>0</v>
      </c>
      <c r="P184" s="130">
        <f>IFERROR(__xludf.DUMMYFUNCTION("""COMPUTED_VALUE"""),0.0)</f>
        <v>0</v>
      </c>
      <c r="Q184" s="130">
        <f>IFERROR(__xludf.DUMMYFUNCTION("""COMPUTED_VALUE"""),0.0)</f>
        <v>0</v>
      </c>
      <c r="R184" s="130">
        <f>IFERROR(__xludf.DUMMYFUNCTION("""COMPUTED_VALUE"""),0.0)</f>
        <v>0</v>
      </c>
      <c r="S184" s="130">
        <f>IFERROR(__xludf.DUMMYFUNCTION("""COMPUTED_VALUE"""),0.0)</f>
        <v>0</v>
      </c>
      <c r="T184" s="130">
        <f>IFERROR(__xludf.DUMMYFUNCTION("""COMPUTED_VALUE"""),0.0)</f>
        <v>0</v>
      </c>
      <c r="U184" s="130">
        <f>IFERROR(__xludf.DUMMYFUNCTION("""COMPUTED_VALUE"""),0.0)</f>
        <v>0</v>
      </c>
      <c r="V184" s="130">
        <f>IFERROR(__xludf.DUMMYFUNCTION("""COMPUTED_VALUE"""),0.0)</f>
        <v>0</v>
      </c>
      <c r="W184" s="131" t="str">
        <f>IFERROR(__xludf.DUMMYFUNCTION("""COMPUTED_VALUE"""),"Yes")</f>
        <v>Yes</v>
      </c>
      <c r="X184" s="131" t="str">
        <f>IFERROR(__xludf.DUMMYFUNCTION("""COMPUTED_VALUE"""),"Yes")</f>
        <v>Yes</v>
      </c>
      <c r="Y184" s="131" t="str">
        <f>IFERROR(__xludf.DUMMYFUNCTION("""COMPUTED_VALUE"""),"C")</f>
        <v>C</v>
      </c>
      <c r="Z184" s="131" t="str">
        <f>IFERROR(__xludf.DUMMYFUNCTION("""COMPUTED_VALUE"""),"task scheduling")</f>
        <v>task scheduling</v>
      </c>
      <c r="AA184" s="131"/>
      <c r="AB184" s="131"/>
      <c r="AC184" s="131"/>
      <c r="AD184" s="131"/>
      <c r="AE184" s="131"/>
      <c r="AF184" s="131"/>
      <c r="AG184" s="131"/>
      <c r="AH184" s="131"/>
      <c r="AI184" s="131"/>
      <c r="AJ184" s="131"/>
    </row>
    <row r="185">
      <c r="A185" s="126">
        <f>IFERROR(__xludf.DUMMYFUNCTION("""COMPUTED_VALUE"""),376.0)</f>
        <v>376</v>
      </c>
      <c r="B185" s="126" t="str">
        <f>IFERROR(__xludf.DUMMYFUNCTION("""COMPUTED_VALUE"""),"Energy Efficiency MapReduce Job Scheduling of Shuffle and Reduce Phases in Data Center")</f>
        <v>Energy Efficiency MapReduce Job Scheduling of Shuffle and Reduce Phases in Data Center</v>
      </c>
      <c r="C185" s="127" t="str">
        <f>IFERROR(__xludf.DUMMYFUNCTION("""COMPUTED_VALUE"""),"https://link.springer.com/chapter/10.1007/978-3-030-15127-0_22")</f>
        <v>https://link.springer.com/chapter/10.1007/978-3-030-15127-0_22</v>
      </c>
      <c r="D185" s="126" t="str">
        <f>IFERROR(__xludf.DUMMYFUNCTION("""COMPUTED_VALUE"""),"J Wang, X Li, X Zhu")</f>
        <v>J Wang, X Li, X Zhu</v>
      </c>
      <c r="E185" s="126" t="str">
        <f>IFERROR(__xludf.DUMMYFUNCTION("""COMPUTED_VALUE"""),"Springer")</f>
        <v>Springer</v>
      </c>
      <c r="F185" s="126" t="str">
        <f>IFERROR(__xludf.DUMMYFUNCTION("""COMPUTED_VALUE"""),"Springer")</f>
        <v>Springer</v>
      </c>
      <c r="G185" s="128" t="str">
        <f>IFERROR(__xludf.DUMMYFUNCTION("""COMPUTED_VALUE"""),"C")</f>
        <v>C</v>
      </c>
      <c r="H185" s="130">
        <f>IFERROR(__xludf.DUMMYFUNCTION("""COMPUTED_VALUE"""),2018.0)</f>
        <v>2018</v>
      </c>
      <c r="I185" s="130">
        <f>IFERROR(__xludf.DUMMYFUNCTION("""COMPUTED_VALUE"""),1.0)</f>
        <v>1</v>
      </c>
      <c r="J185" s="130">
        <f>IFERROR(__xludf.DUMMYFUNCTION("""COMPUTED_VALUE"""),1.0)</f>
        <v>1</v>
      </c>
      <c r="K185" s="130">
        <f>IFERROR(__xludf.DUMMYFUNCTION("""COMPUTED_VALUE"""),1.0)</f>
        <v>1</v>
      </c>
      <c r="L185" s="130">
        <f>IFERROR(__xludf.DUMMYFUNCTION("""COMPUTED_VALUE"""),1.0)</f>
        <v>1</v>
      </c>
      <c r="M185" s="130">
        <f>IFERROR(__xludf.DUMMYFUNCTION("""COMPUTED_VALUE"""),1.0)</f>
        <v>1</v>
      </c>
      <c r="N185" s="130">
        <f>IFERROR(__xludf.DUMMYFUNCTION("""COMPUTED_VALUE"""),0.0)</f>
        <v>0</v>
      </c>
      <c r="O185" s="130">
        <f>IFERROR(__xludf.DUMMYFUNCTION("""COMPUTED_VALUE"""),0.0)</f>
        <v>0</v>
      </c>
      <c r="P185" s="130">
        <f>IFERROR(__xludf.DUMMYFUNCTION("""COMPUTED_VALUE"""),0.0)</f>
        <v>0</v>
      </c>
      <c r="Q185" s="130">
        <f>IFERROR(__xludf.DUMMYFUNCTION("""COMPUTED_VALUE"""),0.0)</f>
        <v>0</v>
      </c>
      <c r="R185" s="129">
        <f>IFERROR(__xludf.DUMMYFUNCTION("""COMPUTED_VALUE"""),0.0)</f>
        <v>0</v>
      </c>
      <c r="S185" s="129">
        <f>IFERROR(__xludf.DUMMYFUNCTION("""COMPUTED_VALUE"""),0.0)</f>
        <v>0</v>
      </c>
      <c r="T185" s="129">
        <f>IFERROR(__xludf.DUMMYFUNCTION("""COMPUTED_VALUE"""),0.0)</f>
        <v>0</v>
      </c>
      <c r="U185" s="129">
        <f>IFERROR(__xludf.DUMMYFUNCTION("""COMPUTED_VALUE"""),0.0)</f>
        <v>0</v>
      </c>
      <c r="V185" s="129">
        <f>IFERROR(__xludf.DUMMYFUNCTION("""COMPUTED_VALUE"""),0.0)</f>
        <v>0</v>
      </c>
      <c r="W185" s="126" t="str">
        <f>IFERROR(__xludf.DUMMYFUNCTION("""COMPUTED_VALUE"""),"Yes")</f>
        <v>Yes</v>
      </c>
      <c r="X185" s="126" t="str">
        <f>IFERROR(__xludf.DUMMYFUNCTION("""COMPUTED_VALUE"""),"Yes")</f>
        <v>Yes</v>
      </c>
      <c r="Y185" s="126" t="str">
        <f>IFERROR(__xludf.DUMMYFUNCTION("""COMPUTED_VALUE"""),"C")</f>
        <v>C</v>
      </c>
      <c r="Z185" s="126" t="str">
        <f>IFERROR(__xludf.DUMMYFUNCTION("""COMPUTED_VALUE"""),"job scheduling")</f>
        <v>job scheduling</v>
      </c>
      <c r="AA185" s="126"/>
      <c r="AB185" s="126"/>
      <c r="AC185" s="126"/>
      <c r="AD185" s="126"/>
      <c r="AE185" s="126"/>
      <c r="AF185" s="126"/>
      <c r="AG185" s="126"/>
      <c r="AH185" s="126"/>
      <c r="AI185" s="126"/>
      <c r="AJ185" s="126"/>
    </row>
    <row r="186">
      <c r="A186" s="126">
        <f>IFERROR(__xludf.DUMMYFUNCTION("""COMPUTED_VALUE"""),377.0)</f>
        <v>377</v>
      </c>
      <c r="B186" s="126" t="str">
        <f>IFERROR(__xludf.DUMMYFUNCTION("""COMPUTED_VALUE"""),"MEnSuS: An efficient scheme for energy management with sustainability of cloud data centers in edge–cloud environment")</f>
        <v>MEnSuS: An efficient scheme for energy management with sustainability of cloud data centers in edge–cloud environment</v>
      </c>
      <c r="C186" s="127" t="str">
        <f>IFERROR(__xludf.DUMMYFUNCTION("""COMPUTED_VALUE"""),"https://www.sciencedirect.com/science/article/pii/S0167739X17321581")</f>
        <v>https://www.sciencedirect.com/science/article/pii/S0167739X17321581</v>
      </c>
      <c r="D186" s="126" t="str">
        <f>IFERROR(__xludf.DUMMYFUNCTION("""COMPUTED_VALUE"""),"GS Aujla, N Kumar")</f>
        <v>GS Aujla, N Kumar</v>
      </c>
      <c r="E186" s="126" t="str">
        <f>IFERROR(__xludf.DUMMYFUNCTION("""COMPUTED_VALUE"""),"Elsevier")</f>
        <v>Elsevier</v>
      </c>
      <c r="F186" s="126" t="str">
        <f>IFERROR(__xludf.DUMMYFUNCTION("""COMPUTED_VALUE"""),"Elsevier")</f>
        <v>Elsevier</v>
      </c>
      <c r="G186" s="132"/>
      <c r="H186" s="129">
        <f>IFERROR(__xludf.DUMMYFUNCTION("""COMPUTED_VALUE"""),2018.0)</f>
        <v>2018</v>
      </c>
      <c r="I186" s="129">
        <f>IFERROR(__xludf.DUMMYFUNCTION("""COMPUTED_VALUE"""),1.0)</f>
        <v>1</v>
      </c>
      <c r="J186" s="129">
        <f>IFERROR(__xludf.DUMMYFUNCTION("""COMPUTED_VALUE"""),1.0)</f>
        <v>1</v>
      </c>
      <c r="K186" s="130">
        <f>IFERROR(__xludf.DUMMYFUNCTION("""COMPUTED_VALUE"""),1.0)</f>
        <v>1</v>
      </c>
      <c r="L186" s="130">
        <f>IFERROR(__xludf.DUMMYFUNCTION("""COMPUTED_VALUE"""),1.0)</f>
        <v>1</v>
      </c>
      <c r="M186" s="130">
        <f>IFERROR(__xludf.DUMMYFUNCTION("""COMPUTED_VALUE"""),1.0)</f>
        <v>1</v>
      </c>
      <c r="N186" s="130">
        <f>IFERROR(__xludf.DUMMYFUNCTION("""COMPUTED_VALUE"""),0.0)</f>
        <v>0</v>
      </c>
      <c r="O186" s="130">
        <f>IFERROR(__xludf.DUMMYFUNCTION("""COMPUTED_VALUE"""),0.0)</f>
        <v>0</v>
      </c>
      <c r="P186" s="130">
        <f>IFERROR(__xludf.DUMMYFUNCTION("""COMPUTED_VALUE"""),0.0)</f>
        <v>0</v>
      </c>
      <c r="Q186" s="129">
        <f>IFERROR(__xludf.DUMMYFUNCTION("""COMPUTED_VALUE"""),0.0)</f>
        <v>0</v>
      </c>
      <c r="R186" s="129">
        <f>IFERROR(__xludf.DUMMYFUNCTION("""COMPUTED_VALUE"""),0.0)</f>
        <v>0</v>
      </c>
      <c r="S186" s="129">
        <f>IFERROR(__xludf.DUMMYFUNCTION("""COMPUTED_VALUE"""),0.0)</f>
        <v>0</v>
      </c>
      <c r="T186" s="129">
        <f>IFERROR(__xludf.DUMMYFUNCTION("""COMPUTED_VALUE"""),0.0)</f>
        <v>0</v>
      </c>
      <c r="U186" s="129">
        <f>IFERROR(__xludf.DUMMYFUNCTION("""COMPUTED_VALUE"""),0.0)</f>
        <v>0</v>
      </c>
      <c r="V186" s="129">
        <f>IFERROR(__xludf.DUMMYFUNCTION("""COMPUTED_VALUE"""),0.0)</f>
        <v>0</v>
      </c>
      <c r="W186" s="126" t="str">
        <f>IFERROR(__xludf.DUMMYFUNCTION("""COMPUTED_VALUE"""),"Yes")</f>
        <v>Yes</v>
      </c>
      <c r="X186" s="126" t="str">
        <f>IFERROR(__xludf.DUMMYFUNCTION("""COMPUTED_VALUE"""),"Yes")</f>
        <v>Yes</v>
      </c>
      <c r="Y186" s="126" t="str">
        <f>IFERROR(__xludf.DUMMYFUNCTION("""COMPUTED_VALUE"""),"C")</f>
        <v>C</v>
      </c>
      <c r="Z186" s="126" t="str">
        <f>IFERROR(__xludf.DUMMYFUNCTION("""COMPUTED_VALUE"""),"energy management")</f>
        <v>energy management</v>
      </c>
      <c r="AA186" s="126"/>
      <c r="AB186" s="126"/>
      <c r="AC186" s="126"/>
      <c r="AD186" s="126"/>
      <c r="AE186" s="126"/>
      <c r="AF186" s="126"/>
      <c r="AG186" s="126"/>
      <c r="AH186" s="126"/>
      <c r="AI186" s="126"/>
      <c r="AJ186" s="126"/>
    </row>
    <row r="187">
      <c r="A187" s="126">
        <f>IFERROR(__xludf.DUMMYFUNCTION("""COMPUTED_VALUE"""),378.0)</f>
        <v>378</v>
      </c>
      <c r="B187" s="126" t="str">
        <f>IFERROR(__xludf.DUMMYFUNCTION("""COMPUTED_VALUE"""),"Energy-aware virtual machines allocation by krill herd algorithm in cloud data centers")</f>
        <v>Energy-aware virtual machines allocation by krill herd algorithm in cloud data centers</v>
      </c>
      <c r="C187" s="127" t="str">
        <f>IFERROR(__xludf.DUMMYFUNCTION("""COMPUTED_VALUE"""),"https://www.sciencedirect.com/science/article/pii/S2405844019357263")</f>
        <v>https://www.sciencedirect.com/science/article/pii/S2405844019357263</v>
      </c>
      <c r="D187" s="126" t="str">
        <f>IFERROR(__xludf.DUMMYFUNCTION("""COMPUTED_VALUE"""),"M Soltanshahi, R Asemi, N Shafiei")</f>
        <v>M Soltanshahi, R Asemi, N Shafiei</v>
      </c>
      <c r="E187" s="126" t="str">
        <f>IFERROR(__xludf.DUMMYFUNCTION("""COMPUTED_VALUE"""),"Elsevier")</f>
        <v>Elsevier</v>
      </c>
      <c r="F187" s="126" t="str">
        <f>IFERROR(__xludf.DUMMYFUNCTION("""COMPUTED_VALUE"""),"Elsevier")</f>
        <v>Elsevier</v>
      </c>
      <c r="G187" s="128" t="str">
        <f>IFERROR(__xludf.DUMMYFUNCTION("""COMPUTED_VALUE"""),"J")</f>
        <v>J</v>
      </c>
      <c r="H187" s="130">
        <f>IFERROR(__xludf.DUMMYFUNCTION("""COMPUTED_VALUE"""),2019.0)</f>
        <v>2019</v>
      </c>
      <c r="I187" s="129">
        <f>IFERROR(__xludf.DUMMYFUNCTION("""COMPUTED_VALUE"""),1.0)</f>
        <v>1</v>
      </c>
      <c r="J187" s="130">
        <f>IFERROR(__xludf.DUMMYFUNCTION("""COMPUTED_VALUE"""),1.0)</f>
        <v>1</v>
      </c>
      <c r="K187" s="130">
        <f>IFERROR(__xludf.DUMMYFUNCTION("""COMPUTED_VALUE"""),1.0)</f>
        <v>1</v>
      </c>
      <c r="L187" s="130">
        <f>IFERROR(__xludf.DUMMYFUNCTION("""COMPUTED_VALUE"""),1.0)</f>
        <v>1</v>
      </c>
      <c r="M187" s="130">
        <f>IFERROR(__xludf.DUMMYFUNCTION("""COMPUTED_VALUE"""),1.0)</f>
        <v>1</v>
      </c>
      <c r="N187" s="130">
        <f>IFERROR(__xludf.DUMMYFUNCTION("""COMPUTED_VALUE"""),0.0)</f>
        <v>0</v>
      </c>
      <c r="O187" s="130">
        <f>IFERROR(__xludf.DUMMYFUNCTION("""COMPUTED_VALUE"""),0.0)</f>
        <v>0</v>
      </c>
      <c r="P187" s="130">
        <f>IFERROR(__xludf.DUMMYFUNCTION("""COMPUTED_VALUE"""),0.0)</f>
        <v>0</v>
      </c>
      <c r="Q187" s="130">
        <f>IFERROR(__xludf.DUMMYFUNCTION("""COMPUTED_VALUE"""),0.0)</f>
        <v>0</v>
      </c>
      <c r="R187" s="130">
        <f>IFERROR(__xludf.DUMMYFUNCTION("""COMPUTED_VALUE"""),0.0)</f>
        <v>0</v>
      </c>
      <c r="S187" s="130">
        <f>IFERROR(__xludf.DUMMYFUNCTION("""COMPUTED_VALUE"""),0.0)</f>
        <v>0</v>
      </c>
      <c r="T187" s="130">
        <f>IFERROR(__xludf.DUMMYFUNCTION("""COMPUTED_VALUE"""),0.0)</f>
        <v>0</v>
      </c>
      <c r="U187" s="130">
        <f>IFERROR(__xludf.DUMMYFUNCTION("""COMPUTED_VALUE"""),0.0)</f>
        <v>0</v>
      </c>
      <c r="V187" s="130">
        <f>IFERROR(__xludf.DUMMYFUNCTION("""COMPUTED_VALUE"""),0.0)</f>
        <v>0</v>
      </c>
      <c r="W187" s="131" t="str">
        <f>IFERROR(__xludf.DUMMYFUNCTION("""COMPUTED_VALUE"""),"Yes")</f>
        <v>Yes</v>
      </c>
      <c r="X187" s="131" t="str">
        <f>IFERROR(__xludf.DUMMYFUNCTION("""COMPUTED_VALUE"""),"Yes")</f>
        <v>Yes</v>
      </c>
      <c r="Y187" s="131" t="str">
        <f>IFERROR(__xludf.DUMMYFUNCTION("""COMPUTED_VALUE"""),"C")</f>
        <v>C</v>
      </c>
      <c r="Z187" s="131" t="str">
        <f>IFERROR(__xludf.DUMMYFUNCTION("""COMPUTED_VALUE"""),"vm allocation")</f>
        <v>vm allocation</v>
      </c>
      <c r="AA187" s="131"/>
      <c r="AB187" s="131"/>
      <c r="AC187" s="131"/>
      <c r="AD187" s="131"/>
      <c r="AE187" s="131"/>
      <c r="AF187" s="131"/>
      <c r="AG187" s="131"/>
      <c r="AH187" s="131"/>
      <c r="AI187" s="131"/>
      <c r="AJ187" s="131"/>
    </row>
    <row r="188">
      <c r="A188" s="126">
        <f>IFERROR(__xludf.DUMMYFUNCTION("""COMPUTED_VALUE"""),382.0)</f>
        <v>382</v>
      </c>
      <c r="B188" s="126" t="str">
        <f>IFERROR(__xludf.DUMMYFUNCTION("""COMPUTED_VALUE"""),"Energy-Efficient Algorithm for Load Balancing and VMs Reassignment in Data Centers")</f>
        <v>Energy-Efficient Algorithm for Load Balancing and VMs Reassignment in Data Centers</v>
      </c>
      <c r="C188" s="127" t="str">
        <f>IFERROR(__xludf.DUMMYFUNCTION("""COMPUTED_VALUE"""),"https://ieeexplore.ieee.org/abstract/document/8488203/")</f>
        <v>https://ieeexplore.ieee.org/abstract/document/8488203/</v>
      </c>
      <c r="D188" s="131" t="str">
        <f>IFERROR(__xludf.DUMMYFUNCTION("""COMPUTED_VALUE"""),"N Djennane, R Aoudjit…")</f>
        <v>N Djennane, R Aoudjit…</v>
      </c>
      <c r="E188" s="131" t="str">
        <f>IFERROR(__xludf.DUMMYFUNCTION("""COMPUTED_VALUE"""),"Institute of Electrical and Electronics Engineers")</f>
        <v>Institute of Electrical and Electronics Engineers</v>
      </c>
      <c r="F188" s="126" t="str">
        <f>IFERROR(__xludf.DUMMYFUNCTION("""COMPUTED_VALUE"""),"IEEE Xplore")</f>
        <v>IEEE Xplore</v>
      </c>
      <c r="G188" s="128" t="str">
        <f>IFERROR(__xludf.DUMMYFUNCTION("""COMPUTED_VALUE"""),"C")</f>
        <v>C</v>
      </c>
      <c r="H188" s="130">
        <f>IFERROR(__xludf.DUMMYFUNCTION("""COMPUTED_VALUE"""),2018.0)</f>
        <v>2018</v>
      </c>
      <c r="I188" s="130">
        <f>IFERROR(__xludf.DUMMYFUNCTION("""COMPUTED_VALUE"""),1.0)</f>
        <v>1</v>
      </c>
      <c r="J188" s="130">
        <f>IFERROR(__xludf.DUMMYFUNCTION("""COMPUTED_VALUE"""),1.0)</f>
        <v>1</v>
      </c>
      <c r="K188" s="130">
        <f>IFERROR(__xludf.DUMMYFUNCTION("""COMPUTED_VALUE"""),1.0)</f>
        <v>1</v>
      </c>
      <c r="L188" s="129">
        <f>IFERROR(__xludf.DUMMYFUNCTION("""COMPUTED_VALUE"""),1.0)</f>
        <v>1</v>
      </c>
      <c r="M188" s="130">
        <f>IFERROR(__xludf.DUMMYFUNCTION("""COMPUTED_VALUE"""),1.0)</f>
        <v>1</v>
      </c>
      <c r="N188" s="130">
        <f>IFERROR(__xludf.DUMMYFUNCTION("""COMPUTED_VALUE"""),0.0)</f>
        <v>0</v>
      </c>
      <c r="O188" s="130">
        <f>IFERROR(__xludf.DUMMYFUNCTION("""COMPUTED_VALUE"""),0.0)</f>
        <v>0</v>
      </c>
      <c r="P188" s="130">
        <f>IFERROR(__xludf.DUMMYFUNCTION("""COMPUTED_VALUE"""),0.0)</f>
        <v>0</v>
      </c>
      <c r="Q188" s="130">
        <f>IFERROR(__xludf.DUMMYFUNCTION("""COMPUTED_VALUE"""),0.0)</f>
        <v>0</v>
      </c>
      <c r="R188" s="130">
        <f>IFERROR(__xludf.DUMMYFUNCTION("""COMPUTED_VALUE"""),0.0)</f>
        <v>0</v>
      </c>
      <c r="S188" s="130">
        <f>IFERROR(__xludf.DUMMYFUNCTION("""COMPUTED_VALUE"""),0.0)</f>
        <v>0</v>
      </c>
      <c r="T188" s="130">
        <f>IFERROR(__xludf.DUMMYFUNCTION("""COMPUTED_VALUE"""),0.0)</f>
        <v>0</v>
      </c>
      <c r="U188" s="130">
        <f>IFERROR(__xludf.DUMMYFUNCTION("""COMPUTED_VALUE"""),0.0)</f>
        <v>0</v>
      </c>
      <c r="V188" s="130">
        <f>IFERROR(__xludf.DUMMYFUNCTION("""COMPUTED_VALUE"""),0.0)</f>
        <v>0</v>
      </c>
      <c r="W188" s="131" t="str">
        <f>IFERROR(__xludf.DUMMYFUNCTION("""COMPUTED_VALUE"""),"Yes")</f>
        <v>Yes</v>
      </c>
      <c r="X188" s="131" t="str">
        <f>IFERROR(__xludf.DUMMYFUNCTION("""COMPUTED_VALUE"""),"Yes")</f>
        <v>Yes</v>
      </c>
      <c r="Y188" s="131" t="str">
        <f>IFERROR(__xludf.DUMMYFUNCTION("""COMPUTED_VALUE"""),"C")</f>
        <v>C</v>
      </c>
      <c r="Z188" s="131"/>
      <c r="AA188" s="131"/>
      <c r="AB188" s="131"/>
      <c r="AC188" s="131"/>
      <c r="AD188" s="131"/>
      <c r="AE188" s="131"/>
      <c r="AF188" s="131"/>
      <c r="AG188" s="131"/>
      <c r="AH188" s="131"/>
      <c r="AI188" s="131"/>
      <c r="AJ188" s="131"/>
    </row>
    <row r="189">
      <c r="A189" s="126">
        <f>IFERROR(__xludf.DUMMYFUNCTION("""COMPUTED_VALUE"""),384.0)</f>
        <v>384</v>
      </c>
      <c r="B189" s="126" t="str">
        <f>IFERROR(__xludf.DUMMYFUNCTION("""COMPUTED_VALUE"""),"Efficient techniques for energy saving in data center networks")</f>
        <v>Efficient techniques for energy saving in data center networks</v>
      </c>
      <c r="C189" s="127" t="str">
        <f>IFERROR(__xludf.DUMMYFUNCTION("""COMPUTED_VALUE"""),"https://www.sciencedirect.com/science/article/pii/S014036641830121X")</f>
        <v>https://www.sciencedirect.com/science/article/pii/S014036641830121X</v>
      </c>
      <c r="D189" s="126" t="str">
        <f>IFERROR(__xludf.DUMMYFUNCTION("""COMPUTED_VALUE"""),"Z Chkirbene, A Gouissem, R Hadjidj, S Foufou…")</f>
        <v>Z Chkirbene, A Gouissem, R Hadjidj, S Foufou…</v>
      </c>
      <c r="E189" s="126" t="str">
        <f>IFERROR(__xludf.DUMMYFUNCTION("""COMPUTED_VALUE"""),"Elsevier")</f>
        <v>Elsevier</v>
      </c>
      <c r="F189" s="126" t="str">
        <f>IFERROR(__xludf.DUMMYFUNCTION("""COMPUTED_VALUE"""),"Elsevier")</f>
        <v>Elsevier</v>
      </c>
      <c r="G189" s="128"/>
      <c r="H189" s="129">
        <f>IFERROR(__xludf.DUMMYFUNCTION("""COMPUTED_VALUE"""),2018.0)</f>
        <v>2018</v>
      </c>
      <c r="I189" s="129">
        <f>IFERROR(__xludf.DUMMYFUNCTION("""COMPUTED_VALUE"""),1.0)</f>
        <v>1</v>
      </c>
      <c r="J189" s="129">
        <f>IFERROR(__xludf.DUMMYFUNCTION("""COMPUTED_VALUE"""),1.0)</f>
        <v>1</v>
      </c>
      <c r="K189" s="130">
        <f>IFERROR(__xludf.DUMMYFUNCTION("""COMPUTED_VALUE"""),1.0)</f>
        <v>1</v>
      </c>
      <c r="L189" s="130">
        <f>IFERROR(__xludf.DUMMYFUNCTION("""COMPUTED_VALUE"""),1.0)</f>
        <v>1</v>
      </c>
      <c r="M189" s="130">
        <f>IFERROR(__xludf.DUMMYFUNCTION("""COMPUTED_VALUE"""),1.0)</f>
        <v>1</v>
      </c>
      <c r="N189" s="130">
        <f>IFERROR(__xludf.DUMMYFUNCTION("""COMPUTED_VALUE"""),0.0)</f>
        <v>0</v>
      </c>
      <c r="O189" s="130">
        <f>IFERROR(__xludf.DUMMYFUNCTION("""COMPUTED_VALUE"""),0.0)</f>
        <v>0</v>
      </c>
      <c r="P189" s="130">
        <f>IFERROR(__xludf.DUMMYFUNCTION("""COMPUTED_VALUE"""),0.0)</f>
        <v>0</v>
      </c>
      <c r="Q189" s="129">
        <f>IFERROR(__xludf.DUMMYFUNCTION("""COMPUTED_VALUE"""),0.0)</f>
        <v>0</v>
      </c>
      <c r="R189" s="129">
        <f>IFERROR(__xludf.DUMMYFUNCTION("""COMPUTED_VALUE"""),0.0)</f>
        <v>0</v>
      </c>
      <c r="S189" s="129">
        <f>IFERROR(__xludf.DUMMYFUNCTION("""COMPUTED_VALUE"""),0.0)</f>
        <v>0</v>
      </c>
      <c r="T189" s="129">
        <f>IFERROR(__xludf.DUMMYFUNCTION("""COMPUTED_VALUE"""),0.0)</f>
        <v>0</v>
      </c>
      <c r="U189" s="129">
        <f>IFERROR(__xludf.DUMMYFUNCTION("""COMPUTED_VALUE"""),0.0)</f>
        <v>0</v>
      </c>
      <c r="V189" s="129">
        <f>IFERROR(__xludf.DUMMYFUNCTION("""COMPUTED_VALUE"""),0.0)</f>
        <v>0</v>
      </c>
      <c r="W189" s="126" t="str">
        <f>IFERROR(__xludf.DUMMYFUNCTION("""COMPUTED_VALUE"""),"Yes")</f>
        <v>Yes</v>
      </c>
      <c r="X189" s="126" t="str">
        <f>IFERROR(__xludf.DUMMYFUNCTION("""COMPUTED_VALUE"""),"Yes")</f>
        <v>Yes</v>
      </c>
      <c r="Y189" s="126" t="str">
        <f>IFERROR(__xludf.DUMMYFUNCTION("""COMPUTED_VALUE"""),"C")</f>
        <v>C</v>
      </c>
      <c r="Z189" s="126" t="str">
        <f>IFERROR(__xludf.DUMMYFUNCTION("""COMPUTED_VALUE"""),"network efficiency")</f>
        <v>network efficiency</v>
      </c>
      <c r="AA189" s="126"/>
      <c r="AB189" s="126"/>
      <c r="AC189" s="126"/>
      <c r="AD189" s="126"/>
      <c r="AE189" s="126"/>
      <c r="AF189" s="126"/>
      <c r="AG189" s="126"/>
      <c r="AH189" s="126"/>
      <c r="AI189" s="126"/>
      <c r="AJ189" s="126"/>
    </row>
    <row r="190">
      <c r="A190" s="126">
        <f>IFERROR(__xludf.DUMMYFUNCTION("""COMPUTED_VALUE"""),385.0)</f>
        <v>385</v>
      </c>
      <c r="B190" s="126" t="str">
        <f>IFERROR(__xludf.DUMMYFUNCTION("""COMPUTED_VALUE"""),"Slow Replica and Shared Protection: Energy-Efficient and Reliable Task Assignment in Cloud Data Centers")</f>
        <v>Slow Replica and Shared Protection: Energy-Efficient and Reliable Task Assignment in Cloud Data Centers</v>
      </c>
      <c r="C190" s="127" t="str">
        <f>IFERROR(__xludf.DUMMYFUNCTION("""COMPUTED_VALUE"""),"https://ieeexplore.ieee.org/abstract/document/8759087/")</f>
        <v>https://ieeexplore.ieee.org/abstract/document/8759087/</v>
      </c>
      <c r="D190" s="131" t="str">
        <f>IFERROR(__xludf.DUMMYFUNCTION("""COMPUTED_VALUE"""),"Y Fan, C Wang, W Wu, T Znati…")</f>
        <v>Y Fan, C Wang, W Wu, T Znati…</v>
      </c>
      <c r="E190" s="131" t="str">
        <f>IFERROR(__xludf.DUMMYFUNCTION("""COMPUTED_VALUE"""),"Institute of Electrical and Electronics Engineers")</f>
        <v>Institute of Electrical and Electronics Engineers</v>
      </c>
      <c r="F190" s="126" t="str">
        <f>IFERROR(__xludf.DUMMYFUNCTION("""COMPUTED_VALUE"""),"IEEE Xplore")</f>
        <v>IEEE Xplore</v>
      </c>
      <c r="G190" s="128" t="str">
        <f>IFERROR(__xludf.DUMMYFUNCTION("""COMPUTED_VALUE"""),"J")</f>
        <v>J</v>
      </c>
      <c r="H190" s="130">
        <f>IFERROR(__xludf.DUMMYFUNCTION("""COMPUTED_VALUE"""),2019.0)</f>
        <v>2019</v>
      </c>
      <c r="I190" s="130">
        <f>IFERROR(__xludf.DUMMYFUNCTION("""COMPUTED_VALUE"""),1.0)</f>
        <v>1</v>
      </c>
      <c r="J190" s="130">
        <f>IFERROR(__xludf.DUMMYFUNCTION("""COMPUTED_VALUE"""),1.0)</f>
        <v>1</v>
      </c>
      <c r="K190" s="130">
        <f>IFERROR(__xludf.DUMMYFUNCTION("""COMPUTED_VALUE"""),1.0)</f>
        <v>1</v>
      </c>
      <c r="L190" s="129">
        <f>IFERROR(__xludf.DUMMYFUNCTION("""COMPUTED_VALUE"""),1.0)</f>
        <v>1</v>
      </c>
      <c r="M190" s="130">
        <f>IFERROR(__xludf.DUMMYFUNCTION("""COMPUTED_VALUE"""),1.0)</f>
        <v>1</v>
      </c>
      <c r="N190" s="130">
        <f>IFERROR(__xludf.DUMMYFUNCTION("""COMPUTED_VALUE"""),0.0)</f>
        <v>0</v>
      </c>
      <c r="O190" s="130">
        <f>IFERROR(__xludf.DUMMYFUNCTION("""COMPUTED_VALUE"""),0.0)</f>
        <v>0</v>
      </c>
      <c r="P190" s="130">
        <f>IFERROR(__xludf.DUMMYFUNCTION("""COMPUTED_VALUE"""),0.0)</f>
        <v>0</v>
      </c>
      <c r="Q190" s="130">
        <f>IFERROR(__xludf.DUMMYFUNCTION("""COMPUTED_VALUE"""),0.0)</f>
        <v>0</v>
      </c>
      <c r="R190" s="130">
        <f>IFERROR(__xludf.DUMMYFUNCTION("""COMPUTED_VALUE"""),0.0)</f>
        <v>0</v>
      </c>
      <c r="S190" s="130">
        <f>IFERROR(__xludf.DUMMYFUNCTION("""COMPUTED_VALUE"""),0.0)</f>
        <v>0</v>
      </c>
      <c r="T190" s="130">
        <f>IFERROR(__xludf.DUMMYFUNCTION("""COMPUTED_VALUE"""),0.0)</f>
        <v>0</v>
      </c>
      <c r="U190" s="130">
        <f>IFERROR(__xludf.DUMMYFUNCTION("""COMPUTED_VALUE"""),0.0)</f>
        <v>0</v>
      </c>
      <c r="V190" s="130">
        <f>IFERROR(__xludf.DUMMYFUNCTION("""COMPUTED_VALUE"""),0.0)</f>
        <v>0</v>
      </c>
      <c r="W190" s="131" t="str">
        <f>IFERROR(__xludf.DUMMYFUNCTION("""COMPUTED_VALUE"""),"Yes")</f>
        <v>Yes</v>
      </c>
      <c r="X190" s="131" t="str">
        <f>IFERROR(__xludf.DUMMYFUNCTION("""COMPUTED_VALUE"""),"Yes")</f>
        <v>Yes</v>
      </c>
      <c r="Y190" s="131" t="str">
        <f>IFERROR(__xludf.DUMMYFUNCTION("""COMPUTED_VALUE"""),"C")</f>
        <v>C</v>
      </c>
      <c r="Z190" s="131" t="str">
        <f>IFERROR(__xludf.DUMMYFUNCTION("""COMPUTED_VALUE"""),"task assignment")</f>
        <v>task assignment</v>
      </c>
      <c r="AA190" s="131"/>
      <c r="AB190" s="131"/>
      <c r="AC190" s="131"/>
      <c r="AD190" s="131"/>
      <c r="AE190" s="131"/>
      <c r="AF190" s="131"/>
      <c r="AG190" s="131"/>
      <c r="AH190" s="131"/>
      <c r="AI190" s="131"/>
      <c r="AJ190" s="131"/>
    </row>
    <row r="191">
      <c r="A191" s="126">
        <f>IFERROR(__xludf.DUMMYFUNCTION("""COMPUTED_VALUE"""),386.0)</f>
        <v>386</v>
      </c>
      <c r="B191" s="126" t="str">
        <f>IFERROR(__xludf.DUMMYFUNCTION("""COMPUTED_VALUE"""),"A new indicator for a fair comparison on the energy performance of data centers")</f>
        <v>A new indicator for a fair comparison on the energy performance of data centers</v>
      </c>
      <c r="C191" s="127" t="str">
        <f>IFERROR(__xludf.DUMMYFUNCTION("""COMPUTED_VALUE"""),"https://www.sciencedirect.com/science/article/pii/S0306261920310096")</f>
        <v>https://www.sciencedirect.com/science/article/pii/S0306261920310096</v>
      </c>
      <c r="D191" s="131" t="str">
        <f>IFERROR(__xludf.DUMMYFUNCTION("""COMPUTED_VALUE"""),"J Li, J Jurasz, H Li, WQ Tao, Y Duan, J Yan")</f>
        <v>J Li, J Jurasz, H Li, WQ Tao, Y Duan, J Yan</v>
      </c>
      <c r="E191" s="131" t="str">
        <f>IFERROR(__xludf.DUMMYFUNCTION("""COMPUTED_VALUE"""),"Elsevier")</f>
        <v>Elsevier</v>
      </c>
      <c r="F191" s="126" t="str">
        <f>IFERROR(__xludf.DUMMYFUNCTION("""COMPUTED_VALUE"""),"Elsevier")</f>
        <v>Elsevier</v>
      </c>
      <c r="G191" s="128"/>
      <c r="H191" s="130">
        <f>IFERROR(__xludf.DUMMYFUNCTION("""COMPUTED_VALUE"""),2020.0)</f>
        <v>2020</v>
      </c>
      <c r="I191" s="130">
        <f>IFERROR(__xludf.DUMMYFUNCTION("""COMPUTED_VALUE"""),1.0)</f>
        <v>1</v>
      </c>
      <c r="J191" s="130"/>
      <c r="K191" s="130"/>
      <c r="L191" s="129"/>
      <c r="M191" s="130">
        <f>IFERROR(__xludf.DUMMYFUNCTION("""COMPUTED_VALUE"""),1.0)</f>
        <v>1</v>
      </c>
      <c r="N191" s="130"/>
      <c r="O191" s="129">
        <f>IFERROR(__xludf.DUMMYFUNCTION("""COMPUTED_VALUE"""),1.0)</f>
        <v>1</v>
      </c>
      <c r="P191" s="130">
        <f>IFERROR(__xludf.DUMMYFUNCTION("""COMPUTED_VALUE"""),0.0)</f>
        <v>0</v>
      </c>
      <c r="Q191" s="130">
        <f>IFERROR(__xludf.DUMMYFUNCTION("""COMPUTED_VALUE"""),0.0)</f>
        <v>0</v>
      </c>
      <c r="R191" s="129">
        <f>IFERROR(__xludf.DUMMYFUNCTION("""COMPUTED_VALUE"""),0.0)</f>
        <v>0</v>
      </c>
      <c r="S191" s="129">
        <f>IFERROR(__xludf.DUMMYFUNCTION("""COMPUTED_VALUE"""),0.0)</f>
        <v>0</v>
      </c>
      <c r="T191" s="129">
        <f>IFERROR(__xludf.DUMMYFUNCTION("""COMPUTED_VALUE"""),0.0)</f>
        <v>0</v>
      </c>
      <c r="U191" s="129">
        <f>IFERROR(__xludf.DUMMYFUNCTION("""COMPUTED_VALUE"""),0.0)</f>
        <v>0</v>
      </c>
      <c r="V191" s="129">
        <f>IFERROR(__xludf.DUMMYFUNCTION("""COMPUTED_VALUE"""),0.0)</f>
        <v>0</v>
      </c>
      <c r="W191" s="126" t="str">
        <f>IFERROR(__xludf.DUMMYFUNCTION("""COMPUTED_VALUE"""),"No")</f>
        <v>No</v>
      </c>
      <c r="X191" s="126" t="str">
        <f>IFERROR(__xludf.DUMMYFUNCTION("""COMPUTED_VALUE"""),"Yes")</f>
        <v>Yes</v>
      </c>
      <c r="Y191" s="126" t="str">
        <f>IFERROR(__xludf.DUMMYFUNCTION("""COMPUTED_VALUE"""),"C")</f>
        <v>C</v>
      </c>
      <c r="Z191" s="126" t="str">
        <f>IFERROR(__xludf.DUMMYFUNCTION("""COMPUTED_VALUE"""),"about cooling")</f>
        <v>about cooling</v>
      </c>
      <c r="AA191" s="126"/>
      <c r="AB191" s="126"/>
      <c r="AC191" s="126"/>
      <c r="AD191" s="126"/>
      <c r="AE191" s="126"/>
      <c r="AF191" s="126"/>
      <c r="AG191" s="126"/>
      <c r="AH191" s="126"/>
      <c r="AI191" s="126"/>
      <c r="AJ191" s="126"/>
    </row>
    <row r="192">
      <c r="A192" s="126">
        <f>IFERROR(__xludf.DUMMYFUNCTION("""COMPUTED_VALUE"""),388.0)</f>
        <v>388</v>
      </c>
      <c r="B192" s="126" t="str">
        <f>IFERROR(__xludf.DUMMYFUNCTION("""COMPUTED_VALUE"""),"PREDICTIONS &amp; MODELING ENERGY CONSUMPTION FOR IT DATA CENTER INFRASTRUCTURE")</f>
        <v>PREDICTIONS &amp; MODELING ENERGY CONSUMPTION FOR IT DATA CENTER INFRASTRUCTURE</v>
      </c>
      <c r="C192" s="127" t="str">
        <f>IFERROR(__xludf.DUMMYFUNCTION("""COMPUTED_VALUE"""),"https://hal-univ-pau.archives-ouvertes.fr/hal-02437210/")</f>
        <v>https://hal-univ-pau.archives-ouvertes.fr/hal-02437210/</v>
      </c>
      <c r="D192" s="126" t="str">
        <f>IFERROR(__xludf.DUMMYFUNCTION("""COMPUTED_VALUE"""),"P Roose, M Soltane…")</f>
        <v>P Roose, M Soltane…</v>
      </c>
      <c r="E192" s="127" t="str">
        <f>IFERROR(__xludf.DUMMYFUNCTION("""COMPUTED_VALUE"""),"hal-univ-pau.archives-ouvertes.fr")</f>
        <v>hal-univ-pau.archives-ouvertes.fr</v>
      </c>
      <c r="F192" s="127" t="str">
        <f>IFERROR(__xludf.DUMMYFUNCTION("""COMPUTED_VALUE"""),"hal-univ-pau.archives-ouvertes.fr")</f>
        <v>hal-univ-pau.archives-ouvertes.fr</v>
      </c>
      <c r="G192" s="128"/>
      <c r="H192" s="129">
        <f>IFERROR(__xludf.DUMMYFUNCTION("""COMPUTED_VALUE"""),2018.0)</f>
        <v>2018</v>
      </c>
      <c r="I192" s="130">
        <f>IFERROR(__xludf.DUMMYFUNCTION("""COMPUTED_VALUE"""),0.0)</f>
        <v>0</v>
      </c>
      <c r="J192" s="129"/>
      <c r="K192" s="130"/>
      <c r="L192" s="129"/>
      <c r="M192" s="130"/>
      <c r="N192" s="130"/>
      <c r="O192" s="130"/>
      <c r="P192" s="130"/>
      <c r="Q192" s="130"/>
      <c r="R192" s="130"/>
      <c r="S192" s="130"/>
      <c r="T192" s="130"/>
      <c r="U192" s="130"/>
      <c r="V192" s="130"/>
      <c r="W192" s="131" t="str">
        <f>IFERROR(__xludf.DUMMYFUNCTION("""COMPUTED_VALUE"""),"No")</f>
        <v>No</v>
      </c>
      <c r="X192" s="131" t="str">
        <f>IFERROR(__xludf.DUMMYFUNCTION("""COMPUTED_VALUE"""),"Yes")</f>
        <v>Yes</v>
      </c>
      <c r="Y192" s="131" t="str">
        <f>IFERROR(__xludf.DUMMYFUNCTION("""COMPUTED_VALUE"""),"C")</f>
        <v>C</v>
      </c>
      <c r="Z192" s="131" t="str">
        <f>IFERROR(__xludf.DUMMYFUNCTION("""COMPUTED_VALUE"""),"no energy efficiency model")</f>
        <v>no energy efficiency model</v>
      </c>
      <c r="AA192" s="131"/>
      <c r="AB192" s="131"/>
      <c r="AC192" s="131"/>
      <c r="AD192" s="131"/>
      <c r="AE192" s="131"/>
      <c r="AF192" s="131"/>
      <c r="AG192" s="131"/>
      <c r="AH192" s="131"/>
      <c r="AI192" s="131"/>
      <c r="AJ192" s="131"/>
    </row>
    <row r="193">
      <c r="A193" s="126">
        <f>IFERROR(__xludf.DUMMYFUNCTION("""COMPUTED_VALUE"""),389.0)</f>
        <v>389</v>
      </c>
      <c r="B193" s="126" t="str">
        <f>IFERROR(__xludf.DUMMYFUNCTION("""COMPUTED_VALUE"""),"Evaluation of Energy-efficient VM Consolidation for Cloud Based Data Center-Revisited")</f>
        <v>Evaluation of Energy-efficient VM Consolidation for Cloud Based Data Center-Revisited</v>
      </c>
      <c r="C193" s="127" t="str">
        <f>IFERROR(__xludf.DUMMYFUNCTION("""COMPUTED_VALUE"""),"https://arxiv.org/abs/1812.06255")</f>
        <v>https://arxiv.org/abs/1812.06255</v>
      </c>
      <c r="D193" s="131" t="str">
        <f>IFERROR(__xludf.DUMMYFUNCTION("""COMPUTED_VALUE"""),"N Akhter, M Othman, RK Naha")</f>
        <v>N Akhter, M Othman, RK Naha</v>
      </c>
      <c r="E193" s="133" t="str">
        <f>IFERROR(__xludf.DUMMYFUNCTION("""COMPUTED_VALUE"""),"arxiv.org")</f>
        <v>arxiv.org</v>
      </c>
      <c r="F193" s="127" t="str">
        <f>IFERROR(__xludf.DUMMYFUNCTION("""COMPUTED_VALUE"""),"arxiv.org")</f>
        <v>arxiv.org</v>
      </c>
      <c r="G193" s="128"/>
      <c r="H193" s="130">
        <f>IFERROR(__xludf.DUMMYFUNCTION("""COMPUTED_VALUE"""),2018.0)</f>
        <v>2018</v>
      </c>
      <c r="I193" s="130"/>
      <c r="J193" s="130"/>
      <c r="K193" s="130"/>
      <c r="L193" s="129"/>
      <c r="M193" s="129"/>
      <c r="N193" s="130"/>
      <c r="O193" s="130"/>
      <c r="P193" s="130"/>
      <c r="Q193" s="130"/>
      <c r="R193" s="130"/>
      <c r="S193" s="130"/>
      <c r="T193" s="130"/>
      <c r="U193" s="130">
        <f>IFERROR(__xludf.DUMMYFUNCTION("""COMPUTED_VALUE"""),1.0)</f>
        <v>1</v>
      </c>
      <c r="V193" s="130"/>
      <c r="W193" s="131" t="str">
        <f>IFERROR(__xludf.DUMMYFUNCTION("""COMPUTED_VALUE"""),"No")</f>
        <v>No</v>
      </c>
      <c r="X193" s="131" t="str">
        <f>IFERROR(__xludf.DUMMYFUNCTION("""COMPUTED_VALUE"""),"Yes")</f>
        <v>Yes</v>
      </c>
      <c r="Y193" s="131" t="str">
        <f>IFERROR(__xludf.DUMMYFUNCTION("""COMPUTED_VALUE"""),"C")</f>
        <v>C</v>
      </c>
      <c r="Z193" s="131" t="str">
        <f>IFERROR(__xludf.DUMMYFUNCTION("""COMPUTED_VALUE"""),"re-evaluation")</f>
        <v>re-evaluation</v>
      </c>
      <c r="AA193" s="131"/>
      <c r="AB193" s="131"/>
      <c r="AC193" s="131"/>
      <c r="AD193" s="131"/>
      <c r="AE193" s="131"/>
      <c r="AF193" s="131"/>
      <c r="AG193" s="131"/>
      <c r="AH193" s="131"/>
      <c r="AI193" s="131"/>
      <c r="AJ193" s="131"/>
    </row>
    <row r="194">
      <c r="A194" s="126">
        <f>IFERROR(__xludf.DUMMYFUNCTION("""COMPUTED_VALUE"""),392.0)</f>
        <v>392</v>
      </c>
      <c r="B194" s="126" t="str">
        <f>IFERROR(__xludf.DUMMYFUNCTION("""COMPUTED_VALUE"""),"Evaluating and modeling the energy impacts of data centers, in terms of hardware/software architecture and associated environment")</f>
        <v>Evaluating and modeling the energy impacts of data centers, in terms of hardware/software architecture and associated environment</v>
      </c>
      <c r="C194" s="127" t="str">
        <f>IFERROR(__xludf.DUMMYFUNCTION("""COMPUTED_VALUE"""),"https://tel.archives-ouvertes.fr/tel-02948725/")</f>
        <v>https://tel.archives-ouvertes.fr/tel-02948725/</v>
      </c>
      <c r="D194" s="126" t="str">
        <f>IFERROR(__xludf.DUMMYFUNCTION("""COMPUTED_VALUE"""),"Y Wang")</f>
        <v>Y Wang</v>
      </c>
      <c r="E194" s="127" t="str">
        <f>IFERROR(__xludf.DUMMYFUNCTION("""COMPUTED_VALUE"""),"tel.archives-ouvertes.fr")</f>
        <v>tel.archives-ouvertes.fr</v>
      </c>
      <c r="F194" s="127" t="str">
        <f>IFERROR(__xludf.DUMMYFUNCTION("""COMPUTED_VALUE"""),"tel.archives-ouvertes.fr")</f>
        <v>tel.archives-ouvertes.fr</v>
      </c>
      <c r="G194" s="128"/>
      <c r="H194" s="130">
        <f>IFERROR(__xludf.DUMMYFUNCTION("""COMPUTED_VALUE"""),2020.0)</f>
        <v>2020</v>
      </c>
      <c r="I194" s="129"/>
      <c r="J194" s="130"/>
      <c r="K194" s="130"/>
      <c r="L194" s="130"/>
      <c r="M194" s="130"/>
      <c r="N194" s="130"/>
      <c r="O194" s="130"/>
      <c r="P194" s="130"/>
      <c r="Q194" s="130"/>
      <c r="R194" s="130"/>
      <c r="S194" s="130">
        <f>IFERROR(__xludf.DUMMYFUNCTION("""COMPUTED_VALUE"""),1.0)</f>
        <v>1</v>
      </c>
      <c r="T194" s="130"/>
      <c r="U194" s="130"/>
      <c r="V194" s="130"/>
      <c r="W194" s="131" t="str">
        <f>IFERROR(__xludf.DUMMYFUNCTION("""COMPUTED_VALUE"""),"No")</f>
        <v>No</v>
      </c>
      <c r="X194" s="131" t="str">
        <f>IFERROR(__xludf.DUMMYFUNCTION("""COMPUTED_VALUE"""),"Yes")</f>
        <v>Yes</v>
      </c>
      <c r="Y194" s="131" t="str">
        <f>IFERROR(__xludf.DUMMYFUNCTION("""COMPUTED_VALUE"""),"C")</f>
        <v>C</v>
      </c>
      <c r="Z194" s="131" t="str">
        <f>IFERROR(__xludf.DUMMYFUNCTION("""COMPUTED_VALUE"""),"secondary research")</f>
        <v>secondary research</v>
      </c>
      <c r="AA194" s="131"/>
      <c r="AB194" s="131"/>
      <c r="AC194" s="131"/>
      <c r="AD194" s="131"/>
      <c r="AE194" s="131"/>
      <c r="AF194" s="131"/>
      <c r="AG194" s="131"/>
      <c r="AH194" s="131"/>
      <c r="AI194" s="131"/>
      <c r="AJ194" s="131"/>
    </row>
    <row r="195">
      <c r="A195" s="126">
        <f>IFERROR(__xludf.DUMMYFUNCTION("""COMPUTED_VALUE"""),395.0)</f>
        <v>395</v>
      </c>
      <c r="B195" s="126" t="str">
        <f>IFERROR(__xludf.DUMMYFUNCTION("""COMPUTED_VALUE"""),"A novel scheduling approach to improve the energy efficiency in cloud computing data centers")</f>
        <v>A novel scheduling approach to improve the energy efficiency in cloud computing data centers</v>
      </c>
      <c r="C195" s="127" t="str">
        <f>IFERROR(__xludf.DUMMYFUNCTION("""COMPUTED_VALUE"""),"https://link.springer.com/article/10.1007/s12652-020-02283-6")</f>
        <v>https://link.springer.com/article/10.1007/s12652-020-02283-6</v>
      </c>
      <c r="D195" s="131" t="str">
        <f>IFERROR(__xludf.DUMMYFUNCTION("""COMPUTED_VALUE"""),"JK Jeevitha, G Athisha")</f>
        <v>JK Jeevitha, G Athisha</v>
      </c>
      <c r="E195" s="131" t="str">
        <f>IFERROR(__xludf.DUMMYFUNCTION("""COMPUTED_VALUE"""),"Springer")</f>
        <v>Springer</v>
      </c>
      <c r="F195" s="126" t="str">
        <f>IFERROR(__xludf.DUMMYFUNCTION("""COMPUTED_VALUE"""),"Springer")</f>
        <v>Springer</v>
      </c>
      <c r="G195" s="132"/>
      <c r="H195" s="130">
        <f>IFERROR(__xludf.DUMMYFUNCTION("""COMPUTED_VALUE"""),2020.0)</f>
        <v>2020</v>
      </c>
      <c r="I195" s="130">
        <f>IFERROR(__xludf.DUMMYFUNCTION("""COMPUTED_VALUE"""),1.0)</f>
        <v>1</v>
      </c>
      <c r="J195" s="130">
        <f>IFERROR(__xludf.DUMMYFUNCTION("""COMPUTED_VALUE"""),1.0)</f>
        <v>1</v>
      </c>
      <c r="K195" s="130">
        <f>IFERROR(__xludf.DUMMYFUNCTION("""COMPUTED_VALUE"""),1.0)</f>
        <v>1</v>
      </c>
      <c r="L195" s="130">
        <f>IFERROR(__xludf.DUMMYFUNCTION("""COMPUTED_VALUE"""),1.0)</f>
        <v>1</v>
      </c>
      <c r="M195" s="130">
        <f>IFERROR(__xludf.DUMMYFUNCTION("""COMPUTED_VALUE"""),1.0)</f>
        <v>1</v>
      </c>
      <c r="N195" s="130">
        <f>IFERROR(__xludf.DUMMYFUNCTION("""COMPUTED_VALUE"""),0.0)</f>
        <v>0</v>
      </c>
      <c r="O195" s="129">
        <f>IFERROR(__xludf.DUMMYFUNCTION("""COMPUTED_VALUE"""),0.0)</f>
        <v>0</v>
      </c>
      <c r="P195" s="130">
        <f>IFERROR(__xludf.DUMMYFUNCTION("""COMPUTED_VALUE"""),0.0)</f>
        <v>0</v>
      </c>
      <c r="Q195" s="130">
        <f>IFERROR(__xludf.DUMMYFUNCTION("""COMPUTED_VALUE"""),0.0)</f>
        <v>0</v>
      </c>
      <c r="R195" s="129">
        <f>IFERROR(__xludf.DUMMYFUNCTION("""COMPUTED_VALUE"""),0.0)</f>
        <v>0</v>
      </c>
      <c r="S195" s="129">
        <f>IFERROR(__xludf.DUMMYFUNCTION("""COMPUTED_VALUE"""),0.0)</f>
        <v>0</v>
      </c>
      <c r="T195" s="129">
        <f>IFERROR(__xludf.DUMMYFUNCTION("""COMPUTED_VALUE"""),0.0)</f>
        <v>0</v>
      </c>
      <c r="U195" s="129">
        <f>IFERROR(__xludf.DUMMYFUNCTION("""COMPUTED_VALUE"""),0.0)</f>
        <v>0</v>
      </c>
      <c r="V195" s="129">
        <f>IFERROR(__xludf.DUMMYFUNCTION("""COMPUTED_VALUE"""),0.0)</f>
        <v>0</v>
      </c>
      <c r="W195" s="126" t="str">
        <f>IFERROR(__xludf.DUMMYFUNCTION("""COMPUTED_VALUE"""),"Yes")</f>
        <v>Yes</v>
      </c>
      <c r="X195" s="126" t="str">
        <f>IFERROR(__xludf.DUMMYFUNCTION("""COMPUTED_VALUE"""),"Yes")</f>
        <v>Yes</v>
      </c>
      <c r="Y195" s="126" t="str">
        <f>IFERROR(__xludf.DUMMYFUNCTION("""COMPUTED_VALUE"""),"C")</f>
        <v>C</v>
      </c>
      <c r="Z195" s="126" t="str">
        <f>IFERROR(__xludf.DUMMYFUNCTION("""COMPUTED_VALUE"""),"vm scheduling")</f>
        <v>vm scheduling</v>
      </c>
      <c r="AA195" s="126"/>
      <c r="AB195" s="126"/>
      <c r="AC195" s="126"/>
      <c r="AD195" s="126"/>
      <c r="AE195" s="126"/>
      <c r="AF195" s="126"/>
      <c r="AG195" s="126"/>
      <c r="AH195" s="126"/>
      <c r="AI195" s="126"/>
      <c r="AJ195" s="126"/>
    </row>
    <row r="196">
      <c r="A196" s="126">
        <f>IFERROR(__xludf.DUMMYFUNCTION("""COMPUTED_VALUE"""),399.0)</f>
        <v>399</v>
      </c>
      <c r="B196" s="126" t="str">
        <f>IFERROR(__xludf.DUMMYFUNCTION("""COMPUTED_VALUE"""),"Assessment of Data Center Energy Efficiency. Methods and Metrics")</f>
        <v>Assessment of Data Center Energy Efficiency. Methods and Metrics</v>
      </c>
      <c r="C196" s="127" t="str">
        <f>IFERROR(__xludf.DUMMYFUNCTION("""COMPUTED_VALUE"""),"https://ieeexplore.ieee.org/abstract/document/8559745/")</f>
        <v>https://ieeexplore.ieee.org/abstract/document/8559745/</v>
      </c>
      <c r="D196" s="131" t="str">
        <f>IFERROR(__xludf.DUMMYFUNCTION("""COMPUTED_VALUE"""),"C Dumitrescu, A Plesca, L Dumitrescu…")</f>
        <v>C Dumitrescu, A Plesca, L Dumitrescu…</v>
      </c>
      <c r="E196" s="131" t="str">
        <f>IFERROR(__xludf.DUMMYFUNCTION("""COMPUTED_VALUE"""),"Institute of Electrical and Electronics Engineers")</f>
        <v>Institute of Electrical and Electronics Engineers</v>
      </c>
      <c r="F196" s="126" t="str">
        <f>IFERROR(__xludf.DUMMYFUNCTION("""COMPUTED_VALUE"""),"IEEE Xplore")</f>
        <v>IEEE Xplore</v>
      </c>
      <c r="G196" s="128"/>
      <c r="H196" s="130">
        <f>IFERROR(__xludf.DUMMYFUNCTION("""COMPUTED_VALUE"""),2018.0)</f>
        <v>2018</v>
      </c>
      <c r="I196" s="130">
        <f>IFERROR(__xludf.DUMMYFUNCTION("""COMPUTED_VALUE"""),1.0)</f>
        <v>1</v>
      </c>
      <c r="J196" s="130">
        <f>IFERROR(__xludf.DUMMYFUNCTION("""COMPUTED_VALUE"""),0.0)</f>
        <v>0</v>
      </c>
      <c r="K196" s="130"/>
      <c r="L196" s="130"/>
      <c r="M196" s="130">
        <f>IFERROR(__xludf.DUMMYFUNCTION("""COMPUTED_VALUE"""),1.0)</f>
        <v>1</v>
      </c>
      <c r="N196" s="130"/>
      <c r="O196" s="129"/>
      <c r="P196" s="130">
        <f>IFERROR(__xludf.DUMMYFUNCTION("""COMPUTED_VALUE"""),0.0)</f>
        <v>0</v>
      </c>
      <c r="Q196" s="130">
        <f>IFERROR(__xludf.DUMMYFUNCTION("""COMPUTED_VALUE"""),0.0)</f>
        <v>0</v>
      </c>
      <c r="R196" s="129">
        <f>IFERROR(__xludf.DUMMYFUNCTION("""COMPUTED_VALUE"""),0.0)</f>
        <v>0</v>
      </c>
      <c r="S196" s="129">
        <f>IFERROR(__xludf.DUMMYFUNCTION("""COMPUTED_VALUE"""),0.0)</f>
        <v>0</v>
      </c>
      <c r="T196" s="129">
        <f>IFERROR(__xludf.DUMMYFUNCTION("""COMPUTED_VALUE"""),0.0)</f>
        <v>0</v>
      </c>
      <c r="U196" s="129">
        <f>IFERROR(__xludf.DUMMYFUNCTION("""COMPUTED_VALUE"""),0.0)</f>
        <v>0</v>
      </c>
      <c r="V196" s="129">
        <f>IFERROR(__xludf.DUMMYFUNCTION("""COMPUTED_VALUE"""),0.0)</f>
        <v>0</v>
      </c>
      <c r="W196" s="126" t="str">
        <f>IFERROR(__xludf.DUMMYFUNCTION("""COMPUTED_VALUE"""),"No")</f>
        <v>No</v>
      </c>
      <c r="X196" s="126" t="str">
        <f>IFERROR(__xludf.DUMMYFUNCTION("""COMPUTED_VALUE"""),"Yes")</f>
        <v>Yes</v>
      </c>
      <c r="Y196" s="126" t="str">
        <f>IFERROR(__xludf.DUMMYFUNCTION("""COMPUTED_VALUE"""),"C")</f>
        <v>C</v>
      </c>
      <c r="Z196" s="126" t="str">
        <f>IFERROR(__xludf.DUMMYFUNCTION("""COMPUTED_VALUE"""),"assessment strategy")</f>
        <v>assessment strategy</v>
      </c>
      <c r="AA196" s="126"/>
      <c r="AB196" s="126"/>
      <c r="AC196" s="126"/>
      <c r="AD196" s="126"/>
      <c r="AE196" s="126"/>
      <c r="AF196" s="126"/>
      <c r="AG196" s="126"/>
      <c r="AH196" s="126"/>
      <c r="AI196" s="126"/>
      <c r="AJ196" s="126"/>
    </row>
    <row r="197">
      <c r="A197" s="126">
        <f>IFERROR(__xludf.DUMMYFUNCTION("""COMPUTED_VALUE"""),401.0)</f>
        <v>401</v>
      </c>
      <c r="B197" s="126" t="str">
        <f>IFERROR(__xludf.DUMMYFUNCTION("""COMPUTED_VALUE"""),"An on-line virtual machine consolidation strategy for dual improvement in performance and energy conservation of server clusters in cloud data centers")</f>
        <v>An on-line virtual machine consolidation strategy for dual improvement in performance and energy conservation of server clusters in cloud data centers</v>
      </c>
      <c r="C197" s="127" t="str">
        <f>IFERROR(__xludf.DUMMYFUNCTION("""COMPUTED_VALUE"""),"https://ieeexplore.ieee.org/abstract/document/8937836/")</f>
        <v>https://ieeexplore.ieee.org/abstract/document/8937836/</v>
      </c>
      <c r="D197" s="126" t="str">
        <f>IFERROR(__xludf.DUMMYFUNCTION("""COMPUTED_VALUE"""),"W Lin, W Wu, L He")</f>
        <v>W Lin, W Wu, L He</v>
      </c>
      <c r="E197" s="126" t="str">
        <f>IFERROR(__xludf.DUMMYFUNCTION("""COMPUTED_VALUE"""),"Institute of Electrical and Electronics Engineers")</f>
        <v>Institute of Electrical and Electronics Engineers</v>
      </c>
      <c r="F197" s="126" t="str">
        <f>IFERROR(__xludf.DUMMYFUNCTION("""COMPUTED_VALUE"""),"IEEE Xplore")</f>
        <v>IEEE Xplore</v>
      </c>
      <c r="G197" s="128"/>
      <c r="H197" s="130">
        <f>IFERROR(__xludf.DUMMYFUNCTION("""COMPUTED_VALUE"""),2019.0)</f>
        <v>2019</v>
      </c>
      <c r="I197" s="130">
        <f>IFERROR(__xludf.DUMMYFUNCTION("""COMPUTED_VALUE"""),1.0)</f>
        <v>1</v>
      </c>
      <c r="J197" s="130">
        <f>IFERROR(__xludf.DUMMYFUNCTION("""COMPUTED_VALUE"""),1.0)</f>
        <v>1</v>
      </c>
      <c r="K197" s="129">
        <f>IFERROR(__xludf.DUMMYFUNCTION("""COMPUTED_VALUE"""),1.0)</f>
        <v>1</v>
      </c>
      <c r="L197" s="129">
        <f>IFERROR(__xludf.DUMMYFUNCTION("""COMPUTED_VALUE"""),1.0)</f>
        <v>1</v>
      </c>
      <c r="M197" s="130">
        <f>IFERROR(__xludf.DUMMYFUNCTION("""COMPUTED_VALUE"""),1.0)</f>
        <v>1</v>
      </c>
      <c r="N197" s="130">
        <f>IFERROR(__xludf.DUMMYFUNCTION("""COMPUTED_VALUE"""),0.0)</f>
        <v>0</v>
      </c>
      <c r="O197" s="130">
        <f>IFERROR(__xludf.DUMMYFUNCTION("""COMPUTED_VALUE"""),0.0)</f>
        <v>0</v>
      </c>
      <c r="P197" s="130">
        <f>IFERROR(__xludf.DUMMYFUNCTION("""COMPUTED_VALUE"""),0.0)</f>
        <v>0</v>
      </c>
      <c r="Q197" s="130">
        <f>IFERROR(__xludf.DUMMYFUNCTION("""COMPUTED_VALUE"""),0.0)</f>
        <v>0</v>
      </c>
      <c r="R197" s="130">
        <f>IFERROR(__xludf.DUMMYFUNCTION("""COMPUTED_VALUE"""),0.0)</f>
        <v>0</v>
      </c>
      <c r="S197" s="130">
        <f>IFERROR(__xludf.DUMMYFUNCTION("""COMPUTED_VALUE"""),0.0)</f>
        <v>0</v>
      </c>
      <c r="T197" s="130">
        <f>IFERROR(__xludf.DUMMYFUNCTION("""COMPUTED_VALUE"""),0.0)</f>
        <v>0</v>
      </c>
      <c r="U197" s="130">
        <f>IFERROR(__xludf.DUMMYFUNCTION("""COMPUTED_VALUE"""),0.0)</f>
        <v>0</v>
      </c>
      <c r="V197" s="130">
        <f>IFERROR(__xludf.DUMMYFUNCTION("""COMPUTED_VALUE"""),0.0)</f>
        <v>0</v>
      </c>
      <c r="W197" s="131" t="str">
        <f>IFERROR(__xludf.DUMMYFUNCTION("""COMPUTED_VALUE"""),"Yes")</f>
        <v>Yes</v>
      </c>
      <c r="X197" s="131" t="str">
        <f>IFERROR(__xludf.DUMMYFUNCTION("""COMPUTED_VALUE"""),"Yes")</f>
        <v>Yes</v>
      </c>
      <c r="Y197" s="131" t="str">
        <f>IFERROR(__xludf.DUMMYFUNCTION("""COMPUTED_VALUE"""),"C")</f>
        <v>C</v>
      </c>
      <c r="Z197" s="131" t="str">
        <f>IFERROR(__xludf.DUMMYFUNCTION("""COMPUTED_VALUE"""),"vm consolidation")</f>
        <v>vm consolidation</v>
      </c>
      <c r="AA197" s="131"/>
      <c r="AB197" s="131"/>
      <c r="AC197" s="131"/>
      <c r="AD197" s="131"/>
      <c r="AE197" s="131"/>
      <c r="AF197" s="131"/>
      <c r="AG197" s="131"/>
      <c r="AH197" s="131"/>
      <c r="AI197" s="131"/>
      <c r="AJ197" s="131"/>
    </row>
    <row r="198">
      <c r="A198" s="126">
        <f>IFERROR(__xludf.DUMMYFUNCTION("""COMPUTED_VALUE"""),402.0)</f>
        <v>402</v>
      </c>
      <c r="B198" s="126" t="str">
        <f>IFERROR(__xludf.DUMMYFUNCTION("""COMPUTED_VALUE"""),"Ensuring renewable energy utilization with quality of service guarantee for energy-efficient data center operations")</f>
        <v>Ensuring renewable energy utilization with quality of service guarantee for energy-efficient data center operations</v>
      </c>
      <c r="C198" s="127" t="str">
        <f>IFERROR(__xludf.DUMMYFUNCTION("""COMPUTED_VALUE"""),"https://www.sciencedirect.com/science/article/pii/S0306261920309363")</f>
        <v>https://www.sciencedirect.com/science/article/pii/S0306261920309363</v>
      </c>
      <c r="D198" s="131" t="str">
        <f>IFERROR(__xludf.DUMMYFUNCTION("""COMPUTED_VALUE"""),"S Kwon")</f>
        <v>S Kwon</v>
      </c>
      <c r="E198" s="131" t="str">
        <f>IFERROR(__xludf.DUMMYFUNCTION("""COMPUTED_VALUE"""),"Elsevier")</f>
        <v>Elsevier</v>
      </c>
      <c r="F198" s="126" t="str">
        <f>IFERROR(__xludf.DUMMYFUNCTION("""COMPUTED_VALUE"""),"Elsevier")</f>
        <v>Elsevier</v>
      </c>
      <c r="G198" s="128" t="str">
        <f>IFERROR(__xludf.DUMMYFUNCTION("""COMPUTED_VALUE"""),"J")</f>
        <v>J</v>
      </c>
      <c r="H198" s="130">
        <f>IFERROR(__xludf.DUMMYFUNCTION("""COMPUTED_VALUE"""),2020.0)</f>
        <v>2020</v>
      </c>
      <c r="I198" s="130">
        <f>IFERROR(__xludf.DUMMYFUNCTION("""COMPUTED_VALUE"""),1.0)</f>
        <v>1</v>
      </c>
      <c r="J198" s="130">
        <f>IFERROR(__xludf.DUMMYFUNCTION("""COMPUTED_VALUE"""),0.0)</f>
        <v>0</v>
      </c>
      <c r="K198" s="130"/>
      <c r="L198" s="129"/>
      <c r="M198" s="130">
        <f>IFERROR(__xludf.DUMMYFUNCTION("""COMPUTED_VALUE"""),1.0)</f>
        <v>1</v>
      </c>
      <c r="N198" s="130"/>
      <c r="O198" s="130"/>
      <c r="P198" s="130"/>
      <c r="Q198" s="130">
        <f>IFERROR(__xludf.DUMMYFUNCTION("""COMPUTED_VALUE"""),0.0)</f>
        <v>0</v>
      </c>
      <c r="R198" s="130">
        <f>IFERROR(__xludf.DUMMYFUNCTION("""COMPUTED_VALUE"""),0.0)</f>
        <v>0</v>
      </c>
      <c r="S198" s="130">
        <f>IFERROR(__xludf.DUMMYFUNCTION("""COMPUTED_VALUE"""),0.0)</f>
        <v>0</v>
      </c>
      <c r="T198" s="130">
        <f>IFERROR(__xludf.DUMMYFUNCTION("""COMPUTED_VALUE"""),0.0)</f>
        <v>0</v>
      </c>
      <c r="U198" s="130">
        <f>IFERROR(__xludf.DUMMYFUNCTION("""COMPUTED_VALUE"""),0.0)</f>
        <v>0</v>
      </c>
      <c r="V198" s="130">
        <f>IFERROR(__xludf.DUMMYFUNCTION("""COMPUTED_VALUE"""),0.0)</f>
        <v>0</v>
      </c>
      <c r="W198" s="131" t="str">
        <f>IFERROR(__xludf.DUMMYFUNCTION("""COMPUTED_VALUE"""),"No")</f>
        <v>No</v>
      </c>
      <c r="X198" s="131" t="str">
        <f>IFERROR(__xludf.DUMMYFUNCTION("""COMPUTED_VALUE"""),"Yes")</f>
        <v>Yes</v>
      </c>
      <c r="Y198" s="131" t="str">
        <f>IFERROR(__xludf.DUMMYFUNCTION("""COMPUTED_VALUE"""),"C")</f>
        <v>C</v>
      </c>
      <c r="Z198" s="131" t="str">
        <f>IFERROR(__xludf.DUMMYFUNCTION("""COMPUTED_VALUE"""),"math model renewable energy")</f>
        <v>math model renewable energy</v>
      </c>
      <c r="AA198" s="131"/>
      <c r="AB198" s="131"/>
      <c r="AC198" s="131"/>
      <c r="AD198" s="131"/>
      <c r="AE198" s="131"/>
      <c r="AF198" s="131"/>
      <c r="AG198" s="131"/>
      <c r="AH198" s="131"/>
      <c r="AI198" s="131"/>
      <c r="AJ198" s="131"/>
    </row>
    <row r="199">
      <c r="A199" s="126">
        <f>IFERROR(__xludf.DUMMYFUNCTION("""COMPUTED_VALUE"""),404.0)</f>
        <v>404</v>
      </c>
      <c r="B199" s="126" t="str">
        <f>IFERROR(__xludf.DUMMYFUNCTION("""COMPUTED_VALUE"""),"An optimal task placement strategy in geo-distributed data centers involving renewable energy")</f>
        <v>An optimal task placement strategy in geo-distributed data centers involving renewable energy</v>
      </c>
      <c r="C199" s="127" t="str">
        <f>IFERROR(__xludf.DUMMYFUNCTION("""COMPUTED_VALUE"""),"https://ieeexplore.ieee.org/abstract/document/8493571/")</f>
        <v>https://ieeexplore.ieee.org/abstract/document/8493571/</v>
      </c>
      <c r="D199" s="131" t="str">
        <f>IFERROR(__xludf.DUMMYFUNCTION("""COMPUTED_VALUE"""),"R Wang, Y Lu, K Zhu, J Hao, P Wang, Y Cao")</f>
        <v>R Wang, Y Lu, K Zhu, J Hao, P Wang, Y Cao</v>
      </c>
      <c r="E199" s="131" t="str">
        <f>IFERROR(__xludf.DUMMYFUNCTION("""COMPUTED_VALUE"""),"Institute of Electrical and Electronics Engineers")</f>
        <v>Institute of Electrical and Electronics Engineers</v>
      </c>
      <c r="F199" s="126" t="str">
        <f>IFERROR(__xludf.DUMMYFUNCTION("""COMPUTED_VALUE"""),"IEEE Xplore")</f>
        <v>IEEE Xplore</v>
      </c>
      <c r="G199" s="128"/>
      <c r="H199" s="130">
        <f>IFERROR(__xludf.DUMMYFUNCTION("""COMPUTED_VALUE"""),2018.0)</f>
        <v>2018</v>
      </c>
      <c r="I199" s="129">
        <f>IFERROR(__xludf.DUMMYFUNCTION("""COMPUTED_VALUE"""),1.0)</f>
        <v>1</v>
      </c>
      <c r="J199" s="130"/>
      <c r="K199" s="130"/>
      <c r="L199" s="129"/>
      <c r="M199" s="130">
        <f>IFERROR(__xludf.DUMMYFUNCTION("""COMPUTED_VALUE"""),1.0)</f>
        <v>1</v>
      </c>
      <c r="N199" s="130">
        <f>IFERROR(__xludf.DUMMYFUNCTION("""COMPUTED_VALUE"""),0.0)</f>
        <v>0</v>
      </c>
      <c r="O199" s="130">
        <f>IFERROR(__xludf.DUMMYFUNCTION("""COMPUTED_VALUE"""),0.0)</f>
        <v>0</v>
      </c>
      <c r="P199" s="130">
        <f>IFERROR(__xludf.DUMMYFUNCTION("""COMPUTED_VALUE"""),1.0)</f>
        <v>1</v>
      </c>
      <c r="Q199" s="130">
        <f>IFERROR(__xludf.DUMMYFUNCTION("""COMPUTED_VALUE"""),0.0)</f>
        <v>0</v>
      </c>
      <c r="R199" s="130">
        <f>IFERROR(__xludf.DUMMYFUNCTION("""COMPUTED_VALUE"""),0.0)</f>
        <v>0</v>
      </c>
      <c r="S199" s="130">
        <f>IFERROR(__xludf.DUMMYFUNCTION("""COMPUTED_VALUE"""),0.0)</f>
        <v>0</v>
      </c>
      <c r="T199" s="130">
        <f>IFERROR(__xludf.DUMMYFUNCTION("""COMPUTED_VALUE"""),0.0)</f>
        <v>0</v>
      </c>
      <c r="U199" s="130">
        <f>IFERROR(__xludf.DUMMYFUNCTION("""COMPUTED_VALUE"""),0.0)</f>
        <v>0</v>
      </c>
      <c r="V199" s="130">
        <f>IFERROR(__xludf.DUMMYFUNCTION("""COMPUTED_VALUE"""),0.0)</f>
        <v>0</v>
      </c>
      <c r="W199" s="131" t="str">
        <f>IFERROR(__xludf.DUMMYFUNCTION("""COMPUTED_VALUE"""),"No")</f>
        <v>No</v>
      </c>
      <c r="X199" s="131" t="str">
        <f>IFERROR(__xludf.DUMMYFUNCTION("""COMPUTED_VALUE"""),"Yes")</f>
        <v>Yes</v>
      </c>
      <c r="Y199" s="131" t="str">
        <f>IFERROR(__xludf.DUMMYFUNCTION("""COMPUTED_VALUE"""),"C")</f>
        <v>C</v>
      </c>
      <c r="Z199" s="131" t="str">
        <f>IFERROR(__xludf.DUMMYFUNCTION("""COMPUTED_VALUE"""),"energy supply")</f>
        <v>energy supply</v>
      </c>
      <c r="AA199" s="131"/>
      <c r="AB199" s="131"/>
      <c r="AC199" s="131"/>
      <c r="AD199" s="131"/>
      <c r="AE199" s="131"/>
      <c r="AF199" s="131"/>
      <c r="AG199" s="131"/>
      <c r="AH199" s="131"/>
      <c r="AI199" s="131"/>
      <c r="AJ199" s="131"/>
    </row>
    <row r="200">
      <c r="A200" s="126">
        <f>IFERROR(__xludf.DUMMYFUNCTION("""COMPUTED_VALUE"""),406.0)</f>
        <v>406</v>
      </c>
      <c r="B200" s="126" t="str">
        <f>IFERROR(__xludf.DUMMYFUNCTION("""COMPUTED_VALUE"""),"Joint Energy Optimization of Cooling Systems and Virtual Machine Consolidation in Data Centers")</f>
        <v>Joint Energy Optimization of Cooling Systems and Virtual Machine Consolidation in Data Centers</v>
      </c>
      <c r="C200" s="127" t="str">
        <f>IFERROR(__xludf.DUMMYFUNCTION("""COMPUTED_VALUE"""),"https://ieeexplore.ieee.org/abstract/document/9209712/")</f>
        <v>https://ieeexplore.ieee.org/abstract/document/9209712/</v>
      </c>
      <c r="D200" s="131" t="str">
        <f>IFERROR(__xludf.DUMMYFUNCTION("""COMPUTED_VALUE"""),"H Liu, WK Wong, S Ye…")</f>
        <v>H Liu, WK Wong, S Ye…</v>
      </c>
      <c r="E200" s="131" t="str">
        <f>IFERROR(__xludf.DUMMYFUNCTION("""COMPUTED_VALUE"""),"Institute of Electrical and Electronics Engineers")</f>
        <v>Institute of Electrical and Electronics Engineers</v>
      </c>
      <c r="F200" s="126" t="str">
        <f>IFERROR(__xludf.DUMMYFUNCTION("""COMPUTED_VALUE"""),"IEEE Xplore")</f>
        <v>IEEE Xplore</v>
      </c>
      <c r="G200" s="132"/>
      <c r="H200" s="130">
        <f>IFERROR(__xludf.DUMMYFUNCTION("""COMPUTED_VALUE"""),2020.0)</f>
        <v>2020</v>
      </c>
      <c r="I200" s="130">
        <f>IFERROR(__xludf.DUMMYFUNCTION("""COMPUTED_VALUE"""),1.0)</f>
        <v>1</v>
      </c>
      <c r="J200" s="130">
        <f>IFERROR(__xludf.DUMMYFUNCTION("""COMPUTED_VALUE"""),1.0)</f>
        <v>1</v>
      </c>
      <c r="K200" s="130">
        <f>IFERROR(__xludf.DUMMYFUNCTION("""COMPUTED_VALUE"""),1.0)</f>
        <v>1</v>
      </c>
      <c r="L200" s="129">
        <f>IFERROR(__xludf.DUMMYFUNCTION("""COMPUTED_VALUE"""),1.0)</f>
        <v>1</v>
      </c>
      <c r="M200" s="130">
        <f>IFERROR(__xludf.DUMMYFUNCTION("""COMPUTED_VALUE"""),1.0)</f>
        <v>1</v>
      </c>
      <c r="N200" s="130">
        <f>IFERROR(__xludf.DUMMYFUNCTION("""COMPUTED_VALUE"""),0.0)</f>
        <v>0</v>
      </c>
      <c r="O200" s="130">
        <f>IFERROR(__xludf.DUMMYFUNCTION("""COMPUTED_VALUE"""),0.0)</f>
        <v>0</v>
      </c>
      <c r="P200" s="130">
        <f>IFERROR(__xludf.DUMMYFUNCTION("""COMPUTED_VALUE"""),0.0)</f>
        <v>0</v>
      </c>
      <c r="Q200" s="130">
        <f>IFERROR(__xludf.DUMMYFUNCTION("""COMPUTED_VALUE"""),0.0)</f>
        <v>0</v>
      </c>
      <c r="R200" s="129">
        <f>IFERROR(__xludf.DUMMYFUNCTION("""COMPUTED_VALUE"""),0.0)</f>
        <v>0</v>
      </c>
      <c r="S200" s="129">
        <f>IFERROR(__xludf.DUMMYFUNCTION("""COMPUTED_VALUE"""),0.0)</f>
        <v>0</v>
      </c>
      <c r="T200" s="129">
        <f>IFERROR(__xludf.DUMMYFUNCTION("""COMPUTED_VALUE"""),0.0)</f>
        <v>0</v>
      </c>
      <c r="U200" s="129">
        <f>IFERROR(__xludf.DUMMYFUNCTION("""COMPUTED_VALUE"""),0.0)</f>
        <v>0</v>
      </c>
      <c r="V200" s="129">
        <f>IFERROR(__xludf.DUMMYFUNCTION("""COMPUTED_VALUE"""),0.0)</f>
        <v>0</v>
      </c>
      <c r="W200" s="126" t="str">
        <f>IFERROR(__xludf.DUMMYFUNCTION("""COMPUTED_VALUE"""),"Yes")</f>
        <v>Yes</v>
      </c>
      <c r="X200" s="126" t="str">
        <f>IFERROR(__xludf.DUMMYFUNCTION("""COMPUTED_VALUE"""),"Yes")</f>
        <v>Yes</v>
      </c>
      <c r="Y200" s="126" t="str">
        <f>IFERROR(__xludf.DUMMYFUNCTION("""COMPUTED_VALUE"""),"C")</f>
        <v>C</v>
      </c>
      <c r="Z200" s="126" t="str">
        <f>IFERROR(__xludf.DUMMYFUNCTION("""COMPUTED_VALUE"""),"cooling aware vm consolidation")</f>
        <v>cooling aware vm consolidation</v>
      </c>
      <c r="AA200" s="126"/>
      <c r="AB200" s="126"/>
      <c r="AC200" s="126"/>
      <c r="AD200" s="126"/>
      <c r="AE200" s="126"/>
      <c r="AF200" s="126"/>
      <c r="AG200" s="126"/>
      <c r="AH200" s="126"/>
      <c r="AI200" s="126"/>
      <c r="AJ200" s="126"/>
    </row>
    <row r="201">
      <c r="A201" s="126">
        <f>IFERROR(__xludf.DUMMYFUNCTION("""COMPUTED_VALUE"""),408.0)</f>
        <v>408</v>
      </c>
      <c r="B201" s="126" t="str">
        <f>IFERROR(__xludf.DUMMYFUNCTION("""COMPUTED_VALUE"""),"Reinforcement learning based methodology for energy-efficient resource allocation in cloud data centers")</f>
        <v>Reinforcement learning based methodology for energy-efficient resource allocation in cloud data centers</v>
      </c>
      <c r="C201" s="127" t="str">
        <f>IFERROR(__xludf.DUMMYFUNCTION("""COMPUTED_VALUE"""),"https://www.sciencedirect.com/science/article/pii/S1319157818306554")</f>
        <v>https://www.sciencedirect.com/science/article/pii/S1319157818306554</v>
      </c>
      <c r="D201" s="131" t="str">
        <f>IFERROR(__xludf.DUMMYFUNCTION("""COMPUTED_VALUE"""),"T Thein, MM Myo, S Parvin, A Gawanmeh")</f>
        <v>T Thein, MM Myo, S Parvin, A Gawanmeh</v>
      </c>
      <c r="E201" s="131" t="str">
        <f>IFERROR(__xludf.DUMMYFUNCTION("""COMPUTED_VALUE"""),"Elsevier")</f>
        <v>Elsevier</v>
      </c>
      <c r="F201" s="126" t="str">
        <f>IFERROR(__xludf.DUMMYFUNCTION("""COMPUTED_VALUE"""),"Elsevier")</f>
        <v>Elsevier</v>
      </c>
      <c r="G201" s="128"/>
      <c r="H201" s="130">
        <f>IFERROR(__xludf.DUMMYFUNCTION("""COMPUTED_VALUE"""),2018.0)</f>
        <v>2018</v>
      </c>
      <c r="I201" s="130">
        <f>IFERROR(__xludf.DUMMYFUNCTION("""COMPUTED_VALUE"""),1.0)</f>
        <v>1</v>
      </c>
      <c r="J201" s="130">
        <f>IFERROR(__xludf.DUMMYFUNCTION("""COMPUTED_VALUE"""),1.0)</f>
        <v>1</v>
      </c>
      <c r="K201" s="130">
        <f>IFERROR(__xludf.DUMMYFUNCTION("""COMPUTED_VALUE"""),1.0)</f>
        <v>1</v>
      </c>
      <c r="L201" s="129">
        <f>IFERROR(__xludf.DUMMYFUNCTION("""COMPUTED_VALUE"""),1.0)</f>
        <v>1</v>
      </c>
      <c r="M201" s="130">
        <f>IFERROR(__xludf.DUMMYFUNCTION("""COMPUTED_VALUE"""),1.0)</f>
        <v>1</v>
      </c>
      <c r="N201" s="130">
        <f>IFERROR(__xludf.DUMMYFUNCTION("""COMPUTED_VALUE"""),0.0)</f>
        <v>0</v>
      </c>
      <c r="O201" s="130">
        <f>IFERROR(__xludf.DUMMYFUNCTION("""COMPUTED_VALUE"""),0.0)</f>
        <v>0</v>
      </c>
      <c r="P201" s="130">
        <f>IFERROR(__xludf.DUMMYFUNCTION("""COMPUTED_VALUE"""),0.0)</f>
        <v>0</v>
      </c>
      <c r="Q201" s="130">
        <f>IFERROR(__xludf.DUMMYFUNCTION("""COMPUTED_VALUE"""),0.0)</f>
        <v>0</v>
      </c>
      <c r="R201" s="130">
        <f>IFERROR(__xludf.DUMMYFUNCTION("""COMPUTED_VALUE"""),0.0)</f>
        <v>0</v>
      </c>
      <c r="S201" s="130">
        <f>IFERROR(__xludf.DUMMYFUNCTION("""COMPUTED_VALUE"""),0.0)</f>
        <v>0</v>
      </c>
      <c r="T201" s="130">
        <f>IFERROR(__xludf.DUMMYFUNCTION("""COMPUTED_VALUE"""),0.0)</f>
        <v>0</v>
      </c>
      <c r="U201" s="130">
        <f>IFERROR(__xludf.DUMMYFUNCTION("""COMPUTED_VALUE"""),0.0)</f>
        <v>0</v>
      </c>
      <c r="V201" s="130">
        <f>IFERROR(__xludf.DUMMYFUNCTION("""COMPUTED_VALUE"""),0.0)</f>
        <v>0</v>
      </c>
      <c r="W201" s="131" t="str">
        <f>IFERROR(__xludf.DUMMYFUNCTION("""COMPUTED_VALUE"""),"Yes")</f>
        <v>Yes</v>
      </c>
      <c r="X201" s="131" t="str">
        <f>IFERROR(__xludf.DUMMYFUNCTION("""COMPUTED_VALUE"""),"Yes")</f>
        <v>Yes</v>
      </c>
      <c r="Y201" s="131" t="str">
        <f>IFERROR(__xludf.DUMMYFUNCTION("""COMPUTED_VALUE"""),"C")</f>
        <v>C</v>
      </c>
      <c r="Z201" s="131" t="str">
        <f>IFERROR(__xludf.DUMMYFUNCTION("""COMPUTED_VALUE"""),"resource allocation")</f>
        <v>resource allocation</v>
      </c>
      <c r="AA201" s="131"/>
      <c r="AB201" s="131"/>
      <c r="AC201" s="131"/>
      <c r="AD201" s="131"/>
      <c r="AE201" s="131"/>
      <c r="AF201" s="131"/>
      <c r="AG201" s="131"/>
      <c r="AH201" s="131"/>
      <c r="AI201" s="131"/>
      <c r="AJ201" s="131"/>
    </row>
    <row r="202">
      <c r="A202" s="126">
        <f>IFERROR(__xludf.DUMMYFUNCTION("""COMPUTED_VALUE"""),410.0)</f>
        <v>410</v>
      </c>
      <c r="B202" s="126" t="str">
        <f>IFERROR(__xludf.DUMMYFUNCTION("""COMPUTED_VALUE"""),"An integer linear programming model and adaptive genetic algorithm approach to minimize energy consumption of cloud computing data centers")</f>
        <v>An integer linear programming model and adaptive genetic algorithm approach to minimize energy consumption of cloud computing data centers</v>
      </c>
      <c r="C202" s="127" t="str">
        <f>IFERROR(__xludf.DUMMYFUNCTION("""COMPUTED_VALUE"""),"https://www.sciencedirect.com/science/article/pii/S0045790617319808")</f>
        <v>https://www.sciencedirect.com/science/article/pii/S0045790617319808</v>
      </c>
      <c r="D202" s="126" t="str">
        <f>IFERROR(__xludf.DUMMYFUNCTION("""COMPUTED_VALUE"""),"H Ibrahim, RO Aburukba, K El-Fakih")</f>
        <v>H Ibrahim, RO Aburukba, K El-Fakih</v>
      </c>
      <c r="E202" s="126" t="str">
        <f>IFERROR(__xludf.DUMMYFUNCTION("""COMPUTED_VALUE"""),"Elsevier")</f>
        <v>Elsevier</v>
      </c>
      <c r="F202" s="126" t="str">
        <f>IFERROR(__xludf.DUMMYFUNCTION("""COMPUTED_VALUE"""),"Elsevier")</f>
        <v>Elsevier</v>
      </c>
      <c r="G202" s="128"/>
      <c r="H202" s="130">
        <f>IFERROR(__xludf.DUMMYFUNCTION("""COMPUTED_VALUE"""),2018.0)</f>
        <v>2018</v>
      </c>
      <c r="I202" s="130">
        <f>IFERROR(__xludf.DUMMYFUNCTION("""COMPUTED_VALUE"""),1.0)</f>
        <v>1</v>
      </c>
      <c r="J202" s="130">
        <f>IFERROR(__xludf.DUMMYFUNCTION("""COMPUTED_VALUE"""),1.0)</f>
        <v>1</v>
      </c>
      <c r="K202" s="130">
        <f>IFERROR(__xludf.DUMMYFUNCTION("""COMPUTED_VALUE"""),1.0)</f>
        <v>1</v>
      </c>
      <c r="L202" s="129">
        <f>IFERROR(__xludf.DUMMYFUNCTION("""COMPUTED_VALUE"""),1.0)</f>
        <v>1</v>
      </c>
      <c r="M202" s="130">
        <f>IFERROR(__xludf.DUMMYFUNCTION("""COMPUTED_VALUE"""),1.0)</f>
        <v>1</v>
      </c>
      <c r="N202" s="129">
        <f>IFERROR(__xludf.DUMMYFUNCTION("""COMPUTED_VALUE"""),0.0)</f>
        <v>0</v>
      </c>
      <c r="O202" s="129">
        <f>IFERROR(__xludf.DUMMYFUNCTION("""COMPUTED_VALUE"""),0.0)</f>
        <v>0</v>
      </c>
      <c r="P202" s="129">
        <f>IFERROR(__xludf.DUMMYFUNCTION("""COMPUTED_VALUE"""),0.0)</f>
        <v>0</v>
      </c>
      <c r="Q202" s="130">
        <f>IFERROR(__xludf.DUMMYFUNCTION("""COMPUTED_VALUE"""),0.0)</f>
        <v>0</v>
      </c>
      <c r="R202" s="130">
        <f>IFERROR(__xludf.DUMMYFUNCTION("""COMPUTED_VALUE"""),0.0)</f>
        <v>0</v>
      </c>
      <c r="S202" s="130">
        <f>IFERROR(__xludf.DUMMYFUNCTION("""COMPUTED_VALUE"""),0.0)</f>
        <v>0</v>
      </c>
      <c r="T202" s="130">
        <f>IFERROR(__xludf.DUMMYFUNCTION("""COMPUTED_VALUE"""),0.0)</f>
        <v>0</v>
      </c>
      <c r="U202" s="130">
        <f>IFERROR(__xludf.DUMMYFUNCTION("""COMPUTED_VALUE"""),0.0)</f>
        <v>0</v>
      </c>
      <c r="V202" s="130">
        <f>IFERROR(__xludf.DUMMYFUNCTION("""COMPUTED_VALUE"""),0.0)</f>
        <v>0</v>
      </c>
      <c r="W202" s="131" t="str">
        <f>IFERROR(__xludf.DUMMYFUNCTION("""COMPUTED_VALUE"""),"Yes")</f>
        <v>Yes</v>
      </c>
      <c r="X202" s="131" t="str">
        <f>IFERROR(__xludf.DUMMYFUNCTION("""COMPUTED_VALUE"""),"Yes")</f>
        <v>Yes</v>
      </c>
      <c r="Y202" s="131" t="str">
        <f>IFERROR(__xludf.DUMMYFUNCTION("""COMPUTED_VALUE"""),"C")</f>
        <v>C</v>
      </c>
      <c r="Z202" s="131" t="str">
        <f>IFERROR(__xludf.DUMMYFUNCTION("""COMPUTED_VALUE"""),"dynamic task scheduling")</f>
        <v>dynamic task scheduling</v>
      </c>
      <c r="AA202" s="131"/>
      <c r="AB202" s="131"/>
      <c r="AC202" s="131"/>
      <c r="AD202" s="131"/>
      <c r="AE202" s="131"/>
      <c r="AF202" s="131"/>
      <c r="AG202" s="131"/>
      <c r="AH202" s="131"/>
      <c r="AI202" s="131"/>
      <c r="AJ202" s="131"/>
    </row>
    <row r="203">
      <c r="A203" s="126">
        <f>IFERROR(__xludf.DUMMYFUNCTION("""COMPUTED_VALUE"""),414.0)</f>
        <v>414</v>
      </c>
      <c r="B203" s="126" t="str">
        <f>IFERROR(__xludf.DUMMYFUNCTION("""COMPUTED_VALUE"""),"Embedding individualized machine learning prediction models for energy efficient VM consolidation within Cloud data centers")</f>
        <v>Embedding individualized machine learning prediction models for energy efficient VM consolidation within Cloud data centers</v>
      </c>
      <c r="C203" s="127" t="str">
        <f>IFERROR(__xludf.DUMMYFUNCTION("""COMPUTED_VALUE"""),"https://www.sciencedirect.com/science/article/pii/S0167739X19308969")</f>
        <v>https://www.sciencedirect.com/science/article/pii/S0167739X19308969</v>
      </c>
      <c r="D203" s="126" t="str">
        <f>IFERROR(__xludf.DUMMYFUNCTION("""COMPUTED_VALUE"""),"SM Moghaddam, M O'Sullivan, C Walker…")</f>
        <v>SM Moghaddam, M O'Sullivan, C Walker…</v>
      </c>
      <c r="E203" s="126" t="str">
        <f>IFERROR(__xludf.DUMMYFUNCTION("""COMPUTED_VALUE"""),"Elsevier")</f>
        <v>Elsevier</v>
      </c>
      <c r="F203" s="126" t="str">
        <f>IFERROR(__xludf.DUMMYFUNCTION("""COMPUTED_VALUE"""),"Elsevier")</f>
        <v>Elsevier</v>
      </c>
      <c r="G203" s="128"/>
      <c r="H203" s="129">
        <f>IFERROR(__xludf.DUMMYFUNCTION("""COMPUTED_VALUE"""),2020.0)</f>
        <v>2020</v>
      </c>
      <c r="I203" s="130">
        <f>IFERROR(__xludf.DUMMYFUNCTION("""COMPUTED_VALUE"""),1.0)</f>
        <v>1</v>
      </c>
      <c r="J203" s="129">
        <f>IFERROR(__xludf.DUMMYFUNCTION("""COMPUTED_VALUE"""),1.0)</f>
        <v>1</v>
      </c>
      <c r="K203" s="130">
        <f>IFERROR(__xludf.DUMMYFUNCTION("""COMPUTED_VALUE"""),1.0)</f>
        <v>1</v>
      </c>
      <c r="L203" s="130">
        <f>IFERROR(__xludf.DUMMYFUNCTION("""COMPUTED_VALUE"""),1.0)</f>
        <v>1</v>
      </c>
      <c r="M203" s="130">
        <f>IFERROR(__xludf.DUMMYFUNCTION("""COMPUTED_VALUE"""),1.0)</f>
        <v>1</v>
      </c>
      <c r="N203" s="130">
        <f>IFERROR(__xludf.DUMMYFUNCTION("""COMPUTED_VALUE"""),0.0)</f>
        <v>0</v>
      </c>
      <c r="O203" s="130">
        <f>IFERROR(__xludf.DUMMYFUNCTION("""COMPUTED_VALUE"""),0.0)</f>
        <v>0</v>
      </c>
      <c r="P203" s="130">
        <f>IFERROR(__xludf.DUMMYFUNCTION("""COMPUTED_VALUE"""),0.0)</f>
        <v>0</v>
      </c>
      <c r="Q203" s="130">
        <f>IFERROR(__xludf.DUMMYFUNCTION("""COMPUTED_VALUE"""),0.0)</f>
        <v>0</v>
      </c>
      <c r="R203" s="130">
        <f>IFERROR(__xludf.DUMMYFUNCTION("""COMPUTED_VALUE"""),0.0)</f>
        <v>0</v>
      </c>
      <c r="S203" s="130">
        <f>IFERROR(__xludf.DUMMYFUNCTION("""COMPUTED_VALUE"""),0.0)</f>
        <v>0</v>
      </c>
      <c r="T203" s="130">
        <f>IFERROR(__xludf.DUMMYFUNCTION("""COMPUTED_VALUE"""),0.0)</f>
        <v>0</v>
      </c>
      <c r="U203" s="130">
        <f>IFERROR(__xludf.DUMMYFUNCTION("""COMPUTED_VALUE"""),0.0)</f>
        <v>0</v>
      </c>
      <c r="V203" s="130">
        <f>IFERROR(__xludf.DUMMYFUNCTION("""COMPUTED_VALUE"""),0.0)</f>
        <v>0</v>
      </c>
      <c r="W203" s="131" t="str">
        <f>IFERROR(__xludf.DUMMYFUNCTION("""COMPUTED_VALUE"""),"Yes")</f>
        <v>Yes</v>
      </c>
      <c r="X203" s="131" t="str">
        <f>IFERROR(__xludf.DUMMYFUNCTION("""COMPUTED_VALUE"""),"Yes")</f>
        <v>Yes</v>
      </c>
      <c r="Y203" s="131" t="str">
        <f>IFERROR(__xludf.DUMMYFUNCTION("""COMPUTED_VALUE"""),"C")</f>
        <v>C</v>
      </c>
      <c r="Z203" s="131" t="str">
        <f>IFERROR(__xludf.DUMMYFUNCTION("""COMPUTED_VALUE"""),"vm consolidation")</f>
        <v>vm consolidation</v>
      </c>
      <c r="AA203" s="131"/>
      <c r="AB203" s="131"/>
      <c r="AC203" s="131"/>
      <c r="AD203" s="131"/>
      <c r="AE203" s="131"/>
      <c r="AF203" s="131"/>
      <c r="AG203" s="131"/>
      <c r="AH203" s="131"/>
      <c r="AI203" s="131"/>
      <c r="AJ203" s="131"/>
    </row>
    <row r="204">
      <c r="A204" s="126">
        <f>IFERROR(__xludf.DUMMYFUNCTION("""COMPUTED_VALUE"""),415.0)</f>
        <v>415</v>
      </c>
      <c r="B204" s="126" t="str">
        <f>IFERROR(__xludf.DUMMYFUNCTION("""COMPUTED_VALUE"""),"Energy Efficient Cloud Data Center Using Dynamic Virtual Machine Consolidation Algorithm")</f>
        <v>Energy Efficient Cloud Data Center Using Dynamic Virtual Machine Consolidation Algorithm</v>
      </c>
      <c r="C204" s="127" t="str">
        <f>IFERROR(__xludf.DUMMYFUNCTION("""COMPUTED_VALUE"""),"https://link.springer.com/chapter/10.1007/978-3-030-20485-3_40")</f>
        <v>https://link.springer.com/chapter/10.1007/978-3-030-20485-3_40</v>
      </c>
      <c r="D204" s="126" t="str">
        <f>IFERROR(__xludf.DUMMYFUNCTION("""COMPUTED_VALUE"""),"C Thiam, F Thiam")</f>
        <v>C Thiam, F Thiam</v>
      </c>
      <c r="E204" s="126" t="str">
        <f>IFERROR(__xludf.DUMMYFUNCTION("""COMPUTED_VALUE"""),"Springer")</f>
        <v>Springer</v>
      </c>
      <c r="F204" s="126" t="str">
        <f>IFERROR(__xludf.DUMMYFUNCTION("""COMPUTED_VALUE"""),"Springer")</f>
        <v>Springer</v>
      </c>
      <c r="G204" s="132"/>
      <c r="H204" s="129">
        <f>IFERROR(__xludf.DUMMYFUNCTION("""COMPUTED_VALUE"""),2019.0)</f>
        <v>2019</v>
      </c>
      <c r="I204" s="129">
        <f>IFERROR(__xludf.DUMMYFUNCTION("""COMPUTED_VALUE"""),1.0)</f>
        <v>1</v>
      </c>
      <c r="J204" s="129">
        <f>IFERROR(__xludf.DUMMYFUNCTION("""COMPUTED_VALUE"""),1.0)</f>
        <v>1</v>
      </c>
      <c r="K204" s="130">
        <f>IFERROR(__xludf.DUMMYFUNCTION("""COMPUTED_VALUE"""),1.0)</f>
        <v>1</v>
      </c>
      <c r="L204" s="129">
        <f>IFERROR(__xludf.DUMMYFUNCTION("""COMPUTED_VALUE"""),1.0)</f>
        <v>1</v>
      </c>
      <c r="M204" s="130">
        <f>IFERROR(__xludf.DUMMYFUNCTION("""COMPUTED_VALUE"""),1.0)</f>
        <v>1</v>
      </c>
      <c r="N204" s="130">
        <f>IFERROR(__xludf.DUMMYFUNCTION("""COMPUTED_VALUE"""),0.0)</f>
        <v>0</v>
      </c>
      <c r="O204" s="130">
        <f>IFERROR(__xludf.DUMMYFUNCTION("""COMPUTED_VALUE"""),0.0)</f>
        <v>0</v>
      </c>
      <c r="P204" s="130">
        <f>IFERROR(__xludf.DUMMYFUNCTION("""COMPUTED_VALUE"""),0.0)</f>
        <v>0</v>
      </c>
      <c r="Q204" s="129">
        <f>IFERROR(__xludf.DUMMYFUNCTION("""COMPUTED_VALUE"""),0.0)</f>
        <v>0</v>
      </c>
      <c r="R204" s="130">
        <f>IFERROR(__xludf.DUMMYFUNCTION("""COMPUTED_VALUE"""),0.0)</f>
        <v>0</v>
      </c>
      <c r="S204" s="130">
        <f>IFERROR(__xludf.DUMMYFUNCTION("""COMPUTED_VALUE"""),0.0)</f>
        <v>0</v>
      </c>
      <c r="T204" s="130">
        <f>IFERROR(__xludf.DUMMYFUNCTION("""COMPUTED_VALUE"""),0.0)</f>
        <v>0</v>
      </c>
      <c r="U204" s="130">
        <f>IFERROR(__xludf.DUMMYFUNCTION("""COMPUTED_VALUE"""),0.0)</f>
        <v>0</v>
      </c>
      <c r="V204" s="130">
        <f>IFERROR(__xludf.DUMMYFUNCTION("""COMPUTED_VALUE"""),0.0)</f>
        <v>0</v>
      </c>
      <c r="W204" s="131" t="str">
        <f>IFERROR(__xludf.DUMMYFUNCTION("""COMPUTED_VALUE"""),"Yes")</f>
        <v>Yes</v>
      </c>
      <c r="X204" s="131" t="str">
        <f>IFERROR(__xludf.DUMMYFUNCTION("""COMPUTED_VALUE"""),"Yes")</f>
        <v>Yes</v>
      </c>
      <c r="Y204" s="131" t="str">
        <f>IFERROR(__xludf.DUMMYFUNCTION("""COMPUTED_VALUE"""),"C")</f>
        <v>C</v>
      </c>
      <c r="Z204" s="131" t="str">
        <f>IFERROR(__xludf.DUMMYFUNCTION("""COMPUTED_VALUE"""),"vm consolidation")</f>
        <v>vm consolidation</v>
      </c>
      <c r="AA204" s="131"/>
      <c r="AB204" s="131"/>
      <c r="AC204" s="131"/>
      <c r="AD204" s="131"/>
      <c r="AE204" s="131"/>
      <c r="AF204" s="131"/>
      <c r="AG204" s="131"/>
      <c r="AH204" s="131"/>
      <c r="AI204" s="131"/>
      <c r="AJ204" s="131"/>
    </row>
    <row r="205">
      <c r="A205" s="126">
        <f>IFERROR(__xludf.DUMMYFUNCTION("""COMPUTED_VALUE"""),417.0)</f>
        <v>417</v>
      </c>
      <c r="B205" s="126" t="str">
        <f>IFERROR(__xludf.DUMMYFUNCTION("""COMPUTED_VALUE"""),"Towards Energy Efficiency and Power Trading Exploiting Renewable Energy in Cloud Data Centers")</f>
        <v>Towards Energy Efficiency and Power Trading Exploiting Renewable Energy in Cloud Data Centers</v>
      </c>
      <c r="C205" s="127" t="str">
        <f>IFERROR(__xludf.DUMMYFUNCTION("""COMPUTED_VALUE"""),"https://ieeexplore.ieee.org/abstract/document/9194169/")</f>
        <v>https://ieeexplore.ieee.org/abstract/document/9194169/</v>
      </c>
      <c r="D205" s="126" t="str">
        <f>IFERROR(__xludf.DUMMYFUNCTION("""COMPUTED_VALUE"""),"S Aslam, S Aslam, H Herodotou…")</f>
        <v>S Aslam, S Aslam, H Herodotou…</v>
      </c>
      <c r="E205" s="126" t="str">
        <f>IFERROR(__xludf.DUMMYFUNCTION("""COMPUTED_VALUE"""),"Institute of Electrical and Electronics Engineers")</f>
        <v>Institute of Electrical and Electronics Engineers</v>
      </c>
      <c r="F205" s="126" t="str">
        <f>IFERROR(__xludf.DUMMYFUNCTION("""COMPUTED_VALUE"""),"IEEE Xplore")</f>
        <v>IEEE Xplore</v>
      </c>
      <c r="G205" s="128"/>
      <c r="H205" s="130">
        <f>IFERROR(__xludf.DUMMYFUNCTION("""COMPUTED_VALUE"""),2020.0)</f>
        <v>2020</v>
      </c>
      <c r="I205" s="130"/>
      <c r="J205" s="130"/>
      <c r="K205" s="130"/>
      <c r="L205" s="129"/>
      <c r="M205" s="130"/>
      <c r="N205" s="130"/>
      <c r="O205" s="130"/>
      <c r="P205" s="130">
        <f>IFERROR(__xludf.DUMMYFUNCTION("""COMPUTED_VALUE"""),1.0)</f>
        <v>1</v>
      </c>
      <c r="Q205" s="130"/>
      <c r="R205" s="129"/>
      <c r="S205" s="129"/>
      <c r="T205" s="129"/>
      <c r="U205" s="129"/>
      <c r="V205" s="129"/>
      <c r="W205" s="126" t="str">
        <f>IFERROR(__xludf.DUMMYFUNCTION("""COMPUTED_VALUE"""),"No")</f>
        <v>No</v>
      </c>
      <c r="X205" s="126" t="str">
        <f>IFERROR(__xludf.DUMMYFUNCTION("""COMPUTED_VALUE"""),"Yes")</f>
        <v>Yes</v>
      </c>
      <c r="Y205" s="126" t="str">
        <f>IFERROR(__xludf.DUMMYFUNCTION("""COMPUTED_VALUE"""),"C")</f>
        <v>C</v>
      </c>
      <c r="Z205" s="126" t="str">
        <f>IFERROR(__xludf.DUMMYFUNCTION("""COMPUTED_VALUE"""),"energy supply")</f>
        <v>energy supply</v>
      </c>
      <c r="AA205" s="126"/>
      <c r="AB205" s="126"/>
      <c r="AC205" s="126"/>
      <c r="AD205" s="126"/>
      <c r="AE205" s="126"/>
      <c r="AF205" s="126"/>
      <c r="AG205" s="126"/>
      <c r="AH205" s="126"/>
      <c r="AI205" s="126"/>
      <c r="AJ205" s="126"/>
    </row>
    <row r="206">
      <c r="A206" s="126">
        <f>IFERROR(__xludf.DUMMYFUNCTION("""COMPUTED_VALUE"""),418.0)</f>
        <v>418</v>
      </c>
      <c r="B206" s="126" t="str">
        <f>IFERROR(__xludf.DUMMYFUNCTION("""COMPUTED_VALUE"""),"Bridging Server and Cooling: Toward Effective Energy Management in Data Centers")</f>
        <v>Bridging Server and Cooling: Toward Effective Energy Management in Data Centers</v>
      </c>
      <c r="C206" s="127" t="str">
        <f>IFERROR(__xludf.DUMMYFUNCTION("""COMPUTED_VALUE"""),"https://ieeexplore.ieee.org/abstract/document/8975843/")</f>
        <v>https://ieeexplore.ieee.org/abstract/document/8975843/</v>
      </c>
      <c r="D206" s="126" t="str">
        <f>IFERROR(__xludf.DUMMYFUNCTION("""COMPUTED_VALUE"""),"B Zhou, X Song, X Shi, Y Lu…")</f>
        <v>B Zhou, X Song, X Shi, Y Lu…</v>
      </c>
      <c r="E206" s="126" t="str">
        <f>IFERROR(__xludf.DUMMYFUNCTION("""COMPUTED_VALUE"""),"Institute of Electrical and Electronics Engineers")</f>
        <v>Institute of Electrical and Electronics Engineers</v>
      </c>
      <c r="F206" s="126" t="str">
        <f>IFERROR(__xludf.DUMMYFUNCTION("""COMPUTED_VALUE"""),"IEEE Xplore")</f>
        <v>IEEE Xplore</v>
      </c>
      <c r="G206" s="128"/>
      <c r="H206" s="129">
        <f>IFERROR(__xludf.DUMMYFUNCTION("""COMPUTED_VALUE"""),2019.0)</f>
        <v>2019</v>
      </c>
      <c r="I206" s="129">
        <f>IFERROR(__xludf.DUMMYFUNCTION("""COMPUTED_VALUE"""),1.0)</f>
        <v>1</v>
      </c>
      <c r="J206" s="129">
        <f>IFERROR(__xludf.DUMMYFUNCTION("""COMPUTED_VALUE"""),1.0)</f>
        <v>1</v>
      </c>
      <c r="K206" s="130">
        <f>IFERROR(__xludf.DUMMYFUNCTION("""COMPUTED_VALUE"""),1.0)</f>
        <v>1</v>
      </c>
      <c r="L206" s="130">
        <f>IFERROR(__xludf.DUMMYFUNCTION("""COMPUTED_VALUE"""),1.0)</f>
        <v>1</v>
      </c>
      <c r="M206" s="130">
        <f>IFERROR(__xludf.DUMMYFUNCTION("""COMPUTED_VALUE"""),1.0)</f>
        <v>1</v>
      </c>
      <c r="N206" s="130">
        <f>IFERROR(__xludf.DUMMYFUNCTION("""COMPUTED_VALUE"""),0.0)</f>
        <v>0</v>
      </c>
      <c r="O206" s="130">
        <f>IFERROR(__xludf.DUMMYFUNCTION("""COMPUTED_VALUE"""),0.0)</f>
        <v>0</v>
      </c>
      <c r="P206" s="130">
        <f>IFERROR(__xludf.DUMMYFUNCTION("""COMPUTED_VALUE"""),0.0)</f>
        <v>0</v>
      </c>
      <c r="Q206" s="129">
        <f>IFERROR(__xludf.DUMMYFUNCTION("""COMPUTED_VALUE"""),0.0)</f>
        <v>0</v>
      </c>
      <c r="R206" s="130">
        <f>IFERROR(__xludf.DUMMYFUNCTION("""COMPUTED_VALUE"""),0.0)</f>
        <v>0</v>
      </c>
      <c r="S206" s="130">
        <f>IFERROR(__xludf.DUMMYFUNCTION("""COMPUTED_VALUE"""),0.0)</f>
        <v>0</v>
      </c>
      <c r="T206" s="130">
        <f>IFERROR(__xludf.DUMMYFUNCTION("""COMPUTED_VALUE"""),0.0)</f>
        <v>0</v>
      </c>
      <c r="U206" s="130">
        <f>IFERROR(__xludf.DUMMYFUNCTION("""COMPUTED_VALUE"""),0.0)</f>
        <v>0</v>
      </c>
      <c r="V206" s="130">
        <f>IFERROR(__xludf.DUMMYFUNCTION("""COMPUTED_VALUE"""),0.0)</f>
        <v>0</v>
      </c>
      <c r="W206" s="131" t="str">
        <f>IFERROR(__xludf.DUMMYFUNCTION("""COMPUTED_VALUE"""),"Yes")</f>
        <v>Yes</v>
      </c>
      <c r="X206" s="131" t="str">
        <f>IFERROR(__xludf.DUMMYFUNCTION("""COMPUTED_VALUE"""),"Yes")</f>
        <v>Yes</v>
      </c>
      <c r="Y206" s="131" t="str">
        <f>IFERROR(__xludf.DUMMYFUNCTION("""COMPUTED_VALUE"""),"C")</f>
        <v>C</v>
      </c>
      <c r="Z206" s="131" t="str">
        <f>IFERROR(__xludf.DUMMYFUNCTION("""COMPUTED_VALUE"""),"cooling aware energy efficiency")</f>
        <v>cooling aware energy efficiency</v>
      </c>
      <c r="AA206" s="131"/>
      <c r="AB206" s="131"/>
      <c r="AC206" s="131"/>
      <c r="AD206" s="131"/>
      <c r="AE206" s="131"/>
      <c r="AF206" s="131"/>
      <c r="AG206" s="131"/>
      <c r="AH206" s="131"/>
      <c r="AI206" s="131"/>
      <c r="AJ206" s="131"/>
    </row>
    <row r="207">
      <c r="A207" s="126">
        <f>IFERROR(__xludf.DUMMYFUNCTION("""COMPUTED_VALUE"""),419.0)</f>
        <v>419</v>
      </c>
      <c r="B207" s="126" t="str">
        <f>IFERROR(__xludf.DUMMYFUNCTION("""COMPUTED_VALUE"""),"An Energy-Efficient Task Scheduling Mechanism with Switching On/Sleep Mode of Servers in Virtualized Cloud Data Centers")</f>
        <v>An Energy-Efficient Task Scheduling Mechanism with Switching On/Sleep Mode of Servers in Virtualized Cloud Data Centers</v>
      </c>
      <c r="C207" s="127" t="str">
        <f>IFERROR(__xludf.DUMMYFUNCTION("""COMPUTED_VALUE"""),"https://www.hindawi.com/journals/mpe/2020/4176308/")</f>
        <v>https://www.hindawi.com/journals/mpe/2020/4176308/</v>
      </c>
      <c r="D207" s="126" t="str">
        <f>IFERROR(__xludf.DUMMYFUNCTION("""COMPUTED_VALUE"""),"C Yin, J Liu, S Jin")</f>
        <v>C Yin, J Liu, S Jin</v>
      </c>
      <c r="E207" s="127" t="str">
        <f>IFERROR(__xludf.DUMMYFUNCTION("""COMPUTED_VALUE"""),"hindawi.com")</f>
        <v>hindawi.com</v>
      </c>
      <c r="F207" s="127" t="str">
        <f>IFERROR(__xludf.DUMMYFUNCTION("""COMPUTED_VALUE"""),"hindawi.com")</f>
        <v>hindawi.com</v>
      </c>
      <c r="G207" s="132"/>
      <c r="H207" s="129">
        <f>IFERROR(__xludf.DUMMYFUNCTION("""COMPUTED_VALUE"""),2020.0)</f>
        <v>2020</v>
      </c>
      <c r="I207" s="129">
        <f>IFERROR(__xludf.DUMMYFUNCTION("""COMPUTED_VALUE"""),1.0)</f>
        <v>1</v>
      </c>
      <c r="J207" s="129">
        <f>IFERROR(__xludf.DUMMYFUNCTION("""COMPUTED_VALUE"""),1.0)</f>
        <v>1</v>
      </c>
      <c r="K207" s="130">
        <f>IFERROR(__xludf.DUMMYFUNCTION("""COMPUTED_VALUE"""),1.0)</f>
        <v>1</v>
      </c>
      <c r="L207" s="129">
        <f>IFERROR(__xludf.DUMMYFUNCTION("""COMPUTED_VALUE"""),1.0)</f>
        <v>1</v>
      </c>
      <c r="M207" s="130">
        <f>IFERROR(__xludf.DUMMYFUNCTION("""COMPUTED_VALUE"""),1.0)</f>
        <v>1</v>
      </c>
      <c r="N207" s="130">
        <f>IFERROR(__xludf.DUMMYFUNCTION("""COMPUTED_VALUE"""),0.0)</f>
        <v>0</v>
      </c>
      <c r="O207" s="130">
        <f>IFERROR(__xludf.DUMMYFUNCTION("""COMPUTED_VALUE"""),0.0)</f>
        <v>0</v>
      </c>
      <c r="P207" s="130">
        <f>IFERROR(__xludf.DUMMYFUNCTION("""COMPUTED_VALUE"""),0.0)</f>
        <v>0</v>
      </c>
      <c r="Q207" s="130">
        <f>IFERROR(__xludf.DUMMYFUNCTION("""COMPUTED_VALUE"""),0.0)</f>
        <v>0</v>
      </c>
      <c r="R207" s="130">
        <f>IFERROR(__xludf.DUMMYFUNCTION("""COMPUTED_VALUE"""),0.0)</f>
        <v>0</v>
      </c>
      <c r="S207" s="130">
        <f>IFERROR(__xludf.DUMMYFUNCTION("""COMPUTED_VALUE"""),0.0)</f>
        <v>0</v>
      </c>
      <c r="T207" s="130">
        <f>IFERROR(__xludf.DUMMYFUNCTION("""COMPUTED_VALUE"""),0.0)</f>
        <v>0</v>
      </c>
      <c r="U207" s="130">
        <f>IFERROR(__xludf.DUMMYFUNCTION("""COMPUTED_VALUE"""),0.0)</f>
        <v>0</v>
      </c>
      <c r="V207" s="130">
        <f>IFERROR(__xludf.DUMMYFUNCTION("""COMPUTED_VALUE"""),0.0)</f>
        <v>0</v>
      </c>
      <c r="W207" s="131" t="str">
        <f>IFERROR(__xludf.DUMMYFUNCTION("""COMPUTED_VALUE"""),"Yes")</f>
        <v>Yes</v>
      </c>
      <c r="X207" s="131" t="str">
        <f>IFERROR(__xludf.DUMMYFUNCTION("""COMPUTED_VALUE"""),"Yes")</f>
        <v>Yes</v>
      </c>
      <c r="Y207" s="131" t="str">
        <f>IFERROR(__xludf.DUMMYFUNCTION("""COMPUTED_VALUE"""),"C")</f>
        <v>C</v>
      </c>
      <c r="Z207" s="131" t="str">
        <f>IFERROR(__xludf.DUMMYFUNCTION("""COMPUTED_VALUE"""),"task scheduling")</f>
        <v>task scheduling</v>
      </c>
      <c r="AA207" s="131"/>
      <c r="AB207" s="131"/>
      <c r="AC207" s="131"/>
      <c r="AD207" s="131"/>
      <c r="AE207" s="131"/>
      <c r="AF207" s="131"/>
      <c r="AG207" s="131"/>
      <c r="AH207" s="131"/>
      <c r="AI207" s="131"/>
      <c r="AJ207" s="131"/>
    </row>
    <row r="208">
      <c r="A208" s="126">
        <f>IFERROR(__xludf.DUMMYFUNCTION("""COMPUTED_VALUE"""),420.0)</f>
        <v>420</v>
      </c>
      <c r="B208" s="126" t="str">
        <f>IFERROR(__xludf.DUMMYFUNCTION("""COMPUTED_VALUE"""),"Exact algorithms for energy-efficient virtual machine placement in data centers")</f>
        <v>Exact algorithms for energy-efficient virtual machine placement in data centers</v>
      </c>
      <c r="C208" s="127" t="str">
        <f>IFERROR(__xludf.DUMMYFUNCTION("""COMPUTED_VALUE"""),"https://www.sciencedirect.com/science/article/pii/S0167739X19319594")</f>
        <v>https://www.sciencedirect.com/science/article/pii/S0167739X19319594</v>
      </c>
      <c r="D208" s="126" t="str">
        <f>IFERROR(__xludf.DUMMYFUNCTION("""COMPUTED_VALUE"""),"C Wei, ZH Hu, YG Wang")</f>
        <v>C Wei, ZH Hu, YG Wang</v>
      </c>
      <c r="E208" s="126" t="str">
        <f>IFERROR(__xludf.DUMMYFUNCTION("""COMPUTED_VALUE"""),"Elsevier")</f>
        <v>Elsevier</v>
      </c>
      <c r="F208" s="126" t="str">
        <f>IFERROR(__xludf.DUMMYFUNCTION("""COMPUTED_VALUE"""),"Elsevier")</f>
        <v>Elsevier</v>
      </c>
      <c r="G208" s="128"/>
      <c r="H208" s="129">
        <f>IFERROR(__xludf.DUMMYFUNCTION("""COMPUTED_VALUE"""),2020.0)</f>
        <v>2020</v>
      </c>
      <c r="I208" s="129">
        <f>IFERROR(__xludf.DUMMYFUNCTION("""COMPUTED_VALUE"""),1.0)</f>
        <v>1</v>
      </c>
      <c r="J208" s="129">
        <f>IFERROR(__xludf.DUMMYFUNCTION("""COMPUTED_VALUE"""),1.0)</f>
        <v>1</v>
      </c>
      <c r="K208" s="130">
        <f>IFERROR(__xludf.DUMMYFUNCTION("""COMPUTED_VALUE"""),1.0)</f>
        <v>1</v>
      </c>
      <c r="L208" s="130">
        <f>IFERROR(__xludf.DUMMYFUNCTION("""COMPUTED_VALUE"""),1.0)</f>
        <v>1</v>
      </c>
      <c r="M208" s="130">
        <f>IFERROR(__xludf.DUMMYFUNCTION("""COMPUTED_VALUE"""),1.0)</f>
        <v>1</v>
      </c>
      <c r="N208" s="130">
        <f>IFERROR(__xludf.DUMMYFUNCTION("""COMPUTED_VALUE"""),0.0)</f>
        <v>0</v>
      </c>
      <c r="O208" s="130">
        <f>IFERROR(__xludf.DUMMYFUNCTION("""COMPUTED_VALUE"""),0.0)</f>
        <v>0</v>
      </c>
      <c r="P208" s="130">
        <f>IFERROR(__xludf.DUMMYFUNCTION("""COMPUTED_VALUE"""),0.0)</f>
        <v>0</v>
      </c>
      <c r="Q208" s="129">
        <f>IFERROR(__xludf.DUMMYFUNCTION("""COMPUTED_VALUE"""),0.0)</f>
        <v>0</v>
      </c>
      <c r="R208" s="129">
        <f>IFERROR(__xludf.DUMMYFUNCTION("""COMPUTED_VALUE"""),0.0)</f>
        <v>0</v>
      </c>
      <c r="S208" s="129">
        <f>IFERROR(__xludf.DUMMYFUNCTION("""COMPUTED_VALUE"""),0.0)</f>
        <v>0</v>
      </c>
      <c r="T208" s="129">
        <f>IFERROR(__xludf.DUMMYFUNCTION("""COMPUTED_VALUE"""),0.0)</f>
        <v>0</v>
      </c>
      <c r="U208" s="129">
        <f>IFERROR(__xludf.DUMMYFUNCTION("""COMPUTED_VALUE"""),0.0)</f>
        <v>0</v>
      </c>
      <c r="V208" s="129">
        <f>IFERROR(__xludf.DUMMYFUNCTION("""COMPUTED_VALUE"""),0.0)</f>
        <v>0</v>
      </c>
      <c r="W208" s="126" t="str">
        <f>IFERROR(__xludf.DUMMYFUNCTION("""COMPUTED_VALUE"""),"Yes")</f>
        <v>Yes</v>
      </c>
      <c r="X208" s="126" t="str">
        <f>IFERROR(__xludf.DUMMYFUNCTION("""COMPUTED_VALUE"""),"Yes")</f>
        <v>Yes</v>
      </c>
      <c r="Y208" s="126" t="str">
        <f>IFERROR(__xludf.DUMMYFUNCTION("""COMPUTED_VALUE"""),"C")</f>
        <v>C</v>
      </c>
      <c r="Z208" s="126" t="str">
        <f>IFERROR(__xludf.DUMMYFUNCTION("""COMPUTED_VALUE"""),"vm placement")</f>
        <v>vm placement</v>
      </c>
      <c r="AA208" s="126"/>
      <c r="AB208" s="126"/>
      <c r="AC208" s="126"/>
      <c r="AD208" s="126"/>
      <c r="AE208" s="126"/>
      <c r="AF208" s="126"/>
      <c r="AG208" s="126"/>
      <c r="AH208" s="126"/>
      <c r="AI208" s="126"/>
      <c r="AJ208" s="126"/>
    </row>
    <row r="209">
      <c r="A209" s="126">
        <f>IFERROR(__xludf.DUMMYFUNCTION("""COMPUTED_VALUE"""),422.0)</f>
        <v>422</v>
      </c>
      <c r="B209" s="126" t="str">
        <f>IFERROR(__xludf.DUMMYFUNCTION("""COMPUTED_VALUE"""),"SLA-Aware and Energy-Efficient VM Consolidation in Cloud Data Centers Using Host States Naive Bayesian Prediction Model")</f>
        <v>SLA-Aware and Energy-Efficient VM Consolidation in Cloud Data Centers Using Host States Naive Bayesian Prediction Model</v>
      </c>
      <c r="C209" s="127" t="str">
        <f>IFERROR(__xludf.DUMMYFUNCTION("""COMPUTED_VALUE"""),"https://ieeexplore.ieee.org/abstract/document/8672350/")</f>
        <v>https://ieeexplore.ieee.org/abstract/document/8672350/</v>
      </c>
      <c r="D209" s="126" t="str">
        <f>IFERROR(__xludf.DUMMYFUNCTION("""COMPUTED_VALUE"""),"L Li, J Dong, D Zuo, JI Liu")</f>
        <v>L Li, J Dong, D Zuo, JI Liu</v>
      </c>
      <c r="E209" s="126" t="str">
        <f>IFERROR(__xludf.DUMMYFUNCTION("""COMPUTED_VALUE"""),"Institute of Electrical and Electronics Engineers")</f>
        <v>Institute of Electrical and Electronics Engineers</v>
      </c>
      <c r="F209" s="126" t="str">
        <f>IFERROR(__xludf.DUMMYFUNCTION("""COMPUTED_VALUE"""),"IEEE Xplore")</f>
        <v>IEEE Xplore</v>
      </c>
      <c r="G209" s="128" t="str">
        <f>IFERROR(__xludf.DUMMYFUNCTION("""COMPUTED_VALUE"""),"C")</f>
        <v>C</v>
      </c>
      <c r="H209" s="129">
        <f>IFERROR(__xludf.DUMMYFUNCTION("""COMPUTED_VALUE"""),2018.0)</f>
        <v>2018</v>
      </c>
      <c r="I209" s="129">
        <f>IFERROR(__xludf.DUMMYFUNCTION("""COMPUTED_VALUE"""),1.0)</f>
        <v>1</v>
      </c>
      <c r="J209" s="129">
        <f>IFERROR(__xludf.DUMMYFUNCTION("""COMPUTED_VALUE"""),1.0)</f>
        <v>1</v>
      </c>
      <c r="K209" s="130">
        <f>IFERROR(__xludf.DUMMYFUNCTION("""COMPUTED_VALUE"""),1.0)</f>
        <v>1</v>
      </c>
      <c r="L209" s="130">
        <f>IFERROR(__xludf.DUMMYFUNCTION("""COMPUTED_VALUE"""),1.0)</f>
        <v>1</v>
      </c>
      <c r="M209" s="130">
        <f>IFERROR(__xludf.DUMMYFUNCTION("""COMPUTED_VALUE"""),1.0)</f>
        <v>1</v>
      </c>
      <c r="N209" s="130">
        <f>IFERROR(__xludf.DUMMYFUNCTION("""COMPUTED_VALUE"""),0.0)</f>
        <v>0</v>
      </c>
      <c r="O209" s="130">
        <f>IFERROR(__xludf.DUMMYFUNCTION("""COMPUTED_VALUE"""),0.0)</f>
        <v>0</v>
      </c>
      <c r="P209" s="130">
        <f>IFERROR(__xludf.DUMMYFUNCTION("""COMPUTED_VALUE"""),0.0)</f>
        <v>0</v>
      </c>
      <c r="Q209" s="129">
        <f>IFERROR(__xludf.DUMMYFUNCTION("""COMPUTED_VALUE"""),0.0)</f>
        <v>0</v>
      </c>
      <c r="R209" s="129">
        <f>IFERROR(__xludf.DUMMYFUNCTION("""COMPUTED_VALUE"""),0.0)</f>
        <v>0</v>
      </c>
      <c r="S209" s="129">
        <f>IFERROR(__xludf.DUMMYFUNCTION("""COMPUTED_VALUE"""),0.0)</f>
        <v>0</v>
      </c>
      <c r="T209" s="129">
        <f>IFERROR(__xludf.DUMMYFUNCTION("""COMPUTED_VALUE"""),0.0)</f>
        <v>0</v>
      </c>
      <c r="U209" s="129">
        <f>IFERROR(__xludf.DUMMYFUNCTION("""COMPUTED_VALUE"""),0.0)</f>
        <v>0</v>
      </c>
      <c r="V209" s="129">
        <f>IFERROR(__xludf.DUMMYFUNCTION("""COMPUTED_VALUE"""),0.0)</f>
        <v>0</v>
      </c>
      <c r="W209" s="126" t="str">
        <f>IFERROR(__xludf.DUMMYFUNCTION("""COMPUTED_VALUE"""),"Yes")</f>
        <v>Yes</v>
      </c>
      <c r="X209" s="126" t="str">
        <f>IFERROR(__xludf.DUMMYFUNCTION("""COMPUTED_VALUE"""),"Yes")</f>
        <v>Yes</v>
      </c>
      <c r="Y209" s="126" t="str">
        <f>IFERROR(__xludf.DUMMYFUNCTION("""COMPUTED_VALUE"""),"F")</f>
        <v>F</v>
      </c>
      <c r="Z209" s="126" t="str">
        <f>IFERROR(__xludf.DUMMYFUNCTION("""COMPUTED_VALUE"""),"VM consolidation, reduce E-costs")</f>
        <v>VM consolidation, reduce E-costs</v>
      </c>
      <c r="AA209" s="126"/>
      <c r="AB209" s="126"/>
      <c r="AC209" s="126"/>
      <c r="AD209" s="126"/>
      <c r="AE209" s="126"/>
      <c r="AF209" s="126"/>
      <c r="AG209" s="126"/>
      <c r="AH209" s="126"/>
      <c r="AI209" s="126"/>
      <c r="AJ209" s="126"/>
    </row>
    <row r="210">
      <c r="A210" s="126">
        <f>IFERROR(__xludf.DUMMYFUNCTION("""COMPUTED_VALUE"""),423.0)</f>
        <v>423</v>
      </c>
      <c r="B210" s="126" t="str">
        <f>IFERROR(__xludf.DUMMYFUNCTION("""COMPUTED_VALUE"""),"Virtual machine placement algorithm for energy saving and reliability of servers in cloud data centers")</f>
        <v>Virtual machine placement algorithm for energy saving and reliability of servers in cloud data centers</v>
      </c>
      <c r="C210" s="127" t="str">
        <f>IFERROR(__xludf.DUMMYFUNCTION("""COMPUTED_VALUE"""),"https://link.springer.com/article/10.1007/s10922-018-9462-3")</f>
        <v>https://link.springer.com/article/10.1007/s10922-018-9462-3</v>
      </c>
      <c r="D210" s="126" t="str">
        <f>IFERROR(__xludf.DUMMYFUNCTION("""COMPUTED_VALUE"""),"JY Choi")</f>
        <v>JY Choi</v>
      </c>
      <c r="E210" s="126" t="str">
        <f>IFERROR(__xludf.DUMMYFUNCTION("""COMPUTED_VALUE"""),"Springer")</f>
        <v>Springer</v>
      </c>
      <c r="F210" s="126" t="str">
        <f>IFERROR(__xludf.DUMMYFUNCTION("""COMPUTED_VALUE"""),"Springer")</f>
        <v>Springer</v>
      </c>
      <c r="G210" s="128"/>
      <c r="H210" s="130">
        <f>IFERROR(__xludf.DUMMYFUNCTION("""COMPUTED_VALUE"""),2019.0)</f>
        <v>2019</v>
      </c>
      <c r="I210" s="129">
        <f>IFERROR(__xludf.DUMMYFUNCTION("""COMPUTED_VALUE"""),1.0)</f>
        <v>1</v>
      </c>
      <c r="J210" s="130">
        <f>IFERROR(__xludf.DUMMYFUNCTION("""COMPUTED_VALUE"""),1.0)</f>
        <v>1</v>
      </c>
      <c r="K210" s="130">
        <f>IFERROR(__xludf.DUMMYFUNCTION("""COMPUTED_VALUE"""),1.0)</f>
        <v>1</v>
      </c>
      <c r="L210" s="130"/>
      <c r="M210" s="130">
        <f>IFERROR(__xludf.DUMMYFUNCTION("""COMPUTED_VALUE"""),1.0)</f>
        <v>1</v>
      </c>
      <c r="N210" s="130">
        <f>IFERROR(__xludf.DUMMYFUNCTION("""COMPUTED_VALUE"""),0.0)</f>
        <v>0</v>
      </c>
      <c r="O210" s="130">
        <f>IFERROR(__xludf.DUMMYFUNCTION("""COMPUTED_VALUE"""),1.0)</f>
        <v>1</v>
      </c>
      <c r="P210" s="130">
        <f>IFERROR(__xludf.DUMMYFUNCTION("""COMPUTED_VALUE"""),0.0)</f>
        <v>0</v>
      </c>
      <c r="Q210" s="130">
        <f>IFERROR(__xludf.DUMMYFUNCTION("""COMPUTED_VALUE"""),0.0)</f>
        <v>0</v>
      </c>
      <c r="R210" s="130">
        <f>IFERROR(__xludf.DUMMYFUNCTION("""COMPUTED_VALUE"""),0.0)</f>
        <v>0</v>
      </c>
      <c r="S210" s="130">
        <f>IFERROR(__xludf.DUMMYFUNCTION("""COMPUTED_VALUE"""),0.0)</f>
        <v>0</v>
      </c>
      <c r="T210" s="130">
        <f>IFERROR(__xludf.DUMMYFUNCTION("""COMPUTED_VALUE"""),0.0)</f>
        <v>0</v>
      </c>
      <c r="U210" s="130">
        <f>IFERROR(__xludf.DUMMYFUNCTION("""COMPUTED_VALUE"""),0.0)</f>
        <v>0</v>
      </c>
      <c r="V210" s="130">
        <f>IFERROR(__xludf.DUMMYFUNCTION("""COMPUTED_VALUE"""),0.0)</f>
        <v>0</v>
      </c>
      <c r="W210" s="131" t="str">
        <f>IFERROR(__xludf.DUMMYFUNCTION("""COMPUTED_VALUE"""),"No")</f>
        <v>No</v>
      </c>
      <c r="X210" s="131" t="str">
        <f>IFERROR(__xludf.DUMMYFUNCTION("""COMPUTED_VALUE"""),"Yes")</f>
        <v>Yes</v>
      </c>
      <c r="Y210" s="131" t="str">
        <f>IFERROR(__xludf.DUMMYFUNCTION("""COMPUTED_VALUE"""),"F")</f>
        <v>F</v>
      </c>
      <c r="Z210" s="131" t="str">
        <f>IFERROR(__xludf.DUMMYFUNCTION("""COMPUTED_VALUE"""),"takes heat islands into account ")</f>
        <v>takes heat islands into account </v>
      </c>
      <c r="AA210" s="131"/>
      <c r="AB210" s="131"/>
      <c r="AC210" s="131"/>
      <c r="AD210" s="131"/>
      <c r="AE210" s="131"/>
      <c r="AF210" s="131"/>
      <c r="AG210" s="131"/>
      <c r="AH210" s="131"/>
      <c r="AI210" s="131"/>
      <c r="AJ210" s="131"/>
    </row>
    <row r="211">
      <c r="A211" s="126">
        <f>IFERROR(__xludf.DUMMYFUNCTION("""COMPUTED_VALUE"""),426.0)</f>
        <v>426</v>
      </c>
      <c r="B211" s="126" t="str">
        <f>IFERROR(__xludf.DUMMYFUNCTION("""COMPUTED_VALUE"""),"An empirical evaluation of energy-aware load balancing technique for cloud data center")</f>
        <v>An empirical evaluation of energy-aware load balancing technique for cloud data center</v>
      </c>
      <c r="C211" s="127" t="str">
        <f>IFERROR(__xludf.DUMMYFUNCTION("""COMPUTED_VALUE"""),"https://link.springer.com/content/pdf/10.1007/s10586-017-1166-z.pdf")</f>
        <v>https://link.springer.com/content/pdf/10.1007/s10586-017-1166-z.pdf</v>
      </c>
      <c r="D211" s="131" t="str">
        <f>IFERROR(__xludf.DUMMYFUNCTION("""COMPUTED_VALUE"""),"NJ Kansal, I Chana")</f>
        <v>NJ Kansal, I Chana</v>
      </c>
      <c r="E211" s="131" t="str">
        <f>IFERROR(__xludf.DUMMYFUNCTION("""COMPUTED_VALUE"""),"Springer")</f>
        <v>Springer</v>
      </c>
      <c r="F211" s="126" t="str">
        <f>IFERROR(__xludf.DUMMYFUNCTION("""COMPUTED_VALUE"""),"Springer")</f>
        <v>Springer</v>
      </c>
      <c r="G211" s="128" t="str">
        <f>IFERROR(__xludf.DUMMYFUNCTION("""COMPUTED_VALUE"""),"J")</f>
        <v>J</v>
      </c>
      <c r="H211" s="130">
        <f>IFERROR(__xludf.DUMMYFUNCTION("""COMPUTED_VALUE"""),2018.0)</f>
        <v>2018</v>
      </c>
      <c r="I211" s="129">
        <f>IFERROR(__xludf.DUMMYFUNCTION("""COMPUTED_VALUE"""),1.0)</f>
        <v>1</v>
      </c>
      <c r="J211" s="130">
        <f>IFERROR(__xludf.DUMMYFUNCTION("""COMPUTED_VALUE"""),1.0)</f>
        <v>1</v>
      </c>
      <c r="K211" s="130">
        <f>IFERROR(__xludf.DUMMYFUNCTION("""COMPUTED_VALUE"""),1.0)</f>
        <v>1</v>
      </c>
      <c r="L211" s="130">
        <f>IFERROR(__xludf.DUMMYFUNCTION("""COMPUTED_VALUE"""),1.0)</f>
        <v>1</v>
      </c>
      <c r="M211" s="130">
        <f>IFERROR(__xludf.DUMMYFUNCTION("""COMPUTED_VALUE"""),1.0)</f>
        <v>1</v>
      </c>
      <c r="N211" s="130">
        <f>IFERROR(__xludf.DUMMYFUNCTION("""COMPUTED_VALUE"""),0.0)</f>
        <v>0</v>
      </c>
      <c r="O211" s="130">
        <f>IFERROR(__xludf.DUMMYFUNCTION("""COMPUTED_VALUE"""),0.0)</f>
        <v>0</v>
      </c>
      <c r="P211" s="130">
        <f>IFERROR(__xludf.DUMMYFUNCTION("""COMPUTED_VALUE"""),0.0)</f>
        <v>0</v>
      </c>
      <c r="Q211" s="130">
        <f>IFERROR(__xludf.DUMMYFUNCTION("""COMPUTED_VALUE"""),0.0)</f>
        <v>0</v>
      </c>
      <c r="R211" s="130">
        <f>IFERROR(__xludf.DUMMYFUNCTION("""COMPUTED_VALUE"""),0.0)</f>
        <v>0</v>
      </c>
      <c r="S211" s="130">
        <f>IFERROR(__xludf.DUMMYFUNCTION("""COMPUTED_VALUE"""),0.0)</f>
        <v>0</v>
      </c>
      <c r="T211" s="130">
        <f>IFERROR(__xludf.DUMMYFUNCTION("""COMPUTED_VALUE"""),0.0)</f>
        <v>0</v>
      </c>
      <c r="U211" s="130">
        <f>IFERROR(__xludf.DUMMYFUNCTION("""COMPUTED_VALUE"""),0.0)</f>
        <v>0</v>
      </c>
      <c r="V211" s="130">
        <f>IFERROR(__xludf.DUMMYFUNCTION("""COMPUTED_VALUE"""),0.0)</f>
        <v>0</v>
      </c>
      <c r="W211" s="131" t="str">
        <f>IFERROR(__xludf.DUMMYFUNCTION("""COMPUTED_VALUE"""),"Yes")</f>
        <v>Yes</v>
      </c>
      <c r="X211" s="131" t="str">
        <f>IFERROR(__xludf.DUMMYFUNCTION("""COMPUTED_VALUE"""),"Yes")</f>
        <v>Yes</v>
      </c>
      <c r="Y211" s="131" t="str">
        <f>IFERROR(__xludf.DUMMYFUNCTION("""COMPUTED_VALUE"""),"F")</f>
        <v>F</v>
      </c>
      <c r="Z211" s="131" t="str">
        <f>IFERROR(__xludf.DUMMYFUNCTION("""COMPUTED_VALUE"""),"load balancing technique")</f>
        <v>load balancing technique</v>
      </c>
      <c r="AA211" s="131"/>
      <c r="AB211" s="131"/>
      <c r="AC211" s="131"/>
      <c r="AD211" s="131"/>
      <c r="AE211" s="131"/>
      <c r="AF211" s="131"/>
      <c r="AG211" s="131"/>
      <c r="AH211" s="131"/>
      <c r="AI211" s="131"/>
      <c r="AJ211" s="131"/>
    </row>
    <row r="212">
      <c r="A212" s="126">
        <f>IFERROR(__xludf.DUMMYFUNCTION("""COMPUTED_VALUE"""),427.0)</f>
        <v>427</v>
      </c>
      <c r="B212" s="126" t="str">
        <f>IFERROR(__xludf.DUMMYFUNCTION("""COMPUTED_VALUE"""),"Energy-aware virtual machine allocation and selection in cloud data centers")</f>
        <v>Energy-aware virtual machine allocation and selection in cloud data centers</v>
      </c>
      <c r="C212" s="127" t="str">
        <f>IFERROR(__xludf.DUMMYFUNCTION("""COMPUTED_VALUE"""),"https://link.springer.com/article/10.1007/s00500-017-2905-z")</f>
        <v>https://link.springer.com/article/10.1007/s00500-017-2905-z</v>
      </c>
      <c r="D212" s="126" t="str">
        <f>IFERROR(__xludf.DUMMYFUNCTION("""COMPUTED_VALUE"""),"VD Reddy, GR Gangadharan, GSVRK Rao")</f>
        <v>VD Reddy, GR Gangadharan, GSVRK Rao</v>
      </c>
      <c r="E212" s="126" t="str">
        <f>IFERROR(__xludf.DUMMYFUNCTION("""COMPUTED_VALUE"""),"Springer")</f>
        <v>Springer</v>
      </c>
      <c r="F212" s="126" t="str">
        <f>IFERROR(__xludf.DUMMYFUNCTION("""COMPUTED_VALUE"""),"Springer")</f>
        <v>Springer</v>
      </c>
      <c r="G212" s="128" t="str">
        <f>IFERROR(__xludf.DUMMYFUNCTION("""COMPUTED_VALUE"""),"J")</f>
        <v>J</v>
      </c>
      <c r="H212" s="129">
        <f>IFERROR(__xludf.DUMMYFUNCTION("""COMPUTED_VALUE"""),2019.0)</f>
        <v>2019</v>
      </c>
      <c r="I212" s="130">
        <f>IFERROR(__xludf.DUMMYFUNCTION("""COMPUTED_VALUE"""),1.0)</f>
        <v>1</v>
      </c>
      <c r="J212" s="129">
        <f>IFERROR(__xludf.DUMMYFUNCTION("""COMPUTED_VALUE"""),1.0)</f>
        <v>1</v>
      </c>
      <c r="K212" s="130">
        <f>IFERROR(__xludf.DUMMYFUNCTION("""COMPUTED_VALUE"""),1.0)</f>
        <v>1</v>
      </c>
      <c r="L212" s="130">
        <f>IFERROR(__xludf.DUMMYFUNCTION("""COMPUTED_VALUE"""),1.0)</f>
        <v>1</v>
      </c>
      <c r="M212" s="130">
        <f>IFERROR(__xludf.DUMMYFUNCTION("""COMPUTED_VALUE"""),1.0)</f>
        <v>1</v>
      </c>
      <c r="N212" s="130">
        <f>IFERROR(__xludf.DUMMYFUNCTION("""COMPUTED_VALUE"""),0.0)</f>
        <v>0</v>
      </c>
      <c r="O212" s="130">
        <f>IFERROR(__xludf.DUMMYFUNCTION("""COMPUTED_VALUE"""),0.0)</f>
        <v>0</v>
      </c>
      <c r="P212" s="130">
        <f>IFERROR(__xludf.DUMMYFUNCTION("""COMPUTED_VALUE"""),0.0)</f>
        <v>0</v>
      </c>
      <c r="Q212" s="130">
        <f>IFERROR(__xludf.DUMMYFUNCTION("""COMPUTED_VALUE"""),0.0)</f>
        <v>0</v>
      </c>
      <c r="R212" s="130">
        <f>IFERROR(__xludf.DUMMYFUNCTION("""COMPUTED_VALUE"""),0.0)</f>
        <v>0</v>
      </c>
      <c r="S212" s="130">
        <f>IFERROR(__xludf.DUMMYFUNCTION("""COMPUTED_VALUE"""),0.0)</f>
        <v>0</v>
      </c>
      <c r="T212" s="130">
        <f>IFERROR(__xludf.DUMMYFUNCTION("""COMPUTED_VALUE"""),0.0)</f>
        <v>0</v>
      </c>
      <c r="U212" s="130">
        <f>IFERROR(__xludf.DUMMYFUNCTION("""COMPUTED_VALUE"""),0.0)</f>
        <v>0</v>
      </c>
      <c r="V212" s="130">
        <f>IFERROR(__xludf.DUMMYFUNCTION("""COMPUTED_VALUE"""),0.0)</f>
        <v>0</v>
      </c>
      <c r="W212" s="131" t="str">
        <f>IFERROR(__xludf.DUMMYFUNCTION("""COMPUTED_VALUE"""),"Yes")</f>
        <v>Yes</v>
      </c>
      <c r="X212" s="131" t="str">
        <f>IFERROR(__xludf.DUMMYFUNCTION("""COMPUTED_VALUE"""),"Yes")</f>
        <v>Yes</v>
      </c>
      <c r="Y212" s="131" t="str">
        <f>IFERROR(__xludf.DUMMYFUNCTION("""COMPUTED_VALUE"""),"F")</f>
        <v>F</v>
      </c>
      <c r="Z212" s="131" t="str">
        <f>IFERROR(__xludf.DUMMYFUNCTION("""COMPUTED_VALUE"""),"VM selection and allocation")</f>
        <v>VM selection and allocation</v>
      </c>
      <c r="AA212" s="131"/>
      <c r="AB212" s="131"/>
      <c r="AC212" s="131"/>
      <c r="AD212" s="131"/>
      <c r="AE212" s="131"/>
      <c r="AF212" s="131"/>
      <c r="AG212" s="131"/>
      <c r="AH212" s="131"/>
      <c r="AI212" s="131"/>
      <c r="AJ212" s="131"/>
    </row>
    <row r="213">
      <c r="A213" s="126">
        <f>IFERROR(__xludf.DUMMYFUNCTION("""COMPUTED_VALUE"""),428.0)</f>
        <v>428</v>
      </c>
      <c r="B213" s="126" t="str">
        <f>IFERROR(__xludf.DUMMYFUNCTION("""COMPUTED_VALUE"""),"Energy-efficient and sla-aware virtual machine selection algorithm for dynamic resource allocation in cloud data centers")</f>
        <v>Energy-efficient and sla-aware virtual machine selection algorithm for dynamic resource allocation in cloud data centers</v>
      </c>
      <c r="C213" s="127" t="str">
        <f>IFERROR(__xludf.DUMMYFUNCTION("""COMPUTED_VALUE"""),"https://ieeexplore.ieee.org/abstract/document/8603157/")</f>
        <v>https://ieeexplore.ieee.org/abstract/document/8603157/</v>
      </c>
      <c r="D213" s="126" t="str">
        <f>IFERROR(__xludf.DUMMYFUNCTION("""COMPUTED_VALUE"""),"SM Moghaddam, SF Piraghaj, M OS'ullivan, C Walker, C Unsworth")</f>
        <v>SM Moghaddam, SF Piraghaj, M OS'ullivan, C Walker, C Unsworth</v>
      </c>
      <c r="E213" s="126" t="str">
        <f>IFERROR(__xludf.DUMMYFUNCTION("""COMPUTED_VALUE"""),"Institute of Electrical and Electronics Engineers")</f>
        <v>Institute of Electrical and Electronics Engineers</v>
      </c>
      <c r="F213" s="126" t="str">
        <f>IFERROR(__xludf.DUMMYFUNCTION("""COMPUTED_VALUE"""),"IEEE Xplore")</f>
        <v>IEEE Xplore</v>
      </c>
      <c r="G213" s="128" t="str">
        <f>IFERROR(__xludf.DUMMYFUNCTION("""COMPUTED_VALUE"""),"C")</f>
        <v>C</v>
      </c>
      <c r="H213" s="129">
        <f>IFERROR(__xludf.DUMMYFUNCTION("""COMPUTED_VALUE"""),2018.0)</f>
        <v>2018</v>
      </c>
      <c r="I213" s="130">
        <f>IFERROR(__xludf.DUMMYFUNCTION("""COMPUTED_VALUE"""),1.0)</f>
        <v>1</v>
      </c>
      <c r="J213" s="129">
        <f>IFERROR(__xludf.DUMMYFUNCTION("""COMPUTED_VALUE"""),1.0)</f>
        <v>1</v>
      </c>
      <c r="K213" s="130">
        <f>IFERROR(__xludf.DUMMYFUNCTION("""COMPUTED_VALUE"""),1.0)</f>
        <v>1</v>
      </c>
      <c r="L213" s="130">
        <f>IFERROR(__xludf.DUMMYFUNCTION("""COMPUTED_VALUE"""),1.0)</f>
        <v>1</v>
      </c>
      <c r="M213" s="130">
        <f>IFERROR(__xludf.DUMMYFUNCTION("""COMPUTED_VALUE"""),1.0)</f>
        <v>1</v>
      </c>
      <c r="N213" s="130">
        <f>IFERROR(__xludf.DUMMYFUNCTION("""COMPUTED_VALUE"""),0.0)</f>
        <v>0</v>
      </c>
      <c r="O213" s="130">
        <f>IFERROR(__xludf.DUMMYFUNCTION("""COMPUTED_VALUE"""),0.0)</f>
        <v>0</v>
      </c>
      <c r="P213" s="130">
        <f>IFERROR(__xludf.DUMMYFUNCTION("""COMPUTED_VALUE"""),0.0)</f>
        <v>0</v>
      </c>
      <c r="Q213" s="130">
        <f>IFERROR(__xludf.DUMMYFUNCTION("""COMPUTED_VALUE"""),0.0)</f>
        <v>0</v>
      </c>
      <c r="R213" s="130">
        <f>IFERROR(__xludf.DUMMYFUNCTION("""COMPUTED_VALUE"""),0.0)</f>
        <v>0</v>
      </c>
      <c r="S213" s="130">
        <f>IFERROR(__xludf.DUMMYFUNCTION("""COMPUTED_VALUE"""),0.0)</f>
        <v>0</v>
      </c>
      <c r="T213" s="130">
        <f>IFERROR(__xludf.DUMMYFUNCTION("""COMPUTED_VALUE"""),0.0)</f>
        <v>0</v>
      </c>
      <c r="U213" s="130">
        <f>IFERROR(__xludf.DUMMYFUNCTION("""COMPUTED_VALUE"""),0.0)</f>
        <v>0</v>
      </c>
      <c r="V213" s="130">
        <f>IFERROR(__xludf.DUMMYFUNCTION("""COMPUTED_VALUE"""),0.0)</f>
        <v>0</v>
      </c>
      <c r="W213" s="131" t="str">
        <f>IFERROR(__xludf.DUMMYFUNCTION("""COMPUTED_VALUE"""),"Yes")</f>
        <v>Yes</v>
      </c>
      <c r="X213" s="131" t="str">
        <f>IFERROR(__xludf.DUMMYFUNCTION("""COMPUTED_VALUE"""),"Yes")</f>
        <v>Yes</v>
      </c>
      <c r="Y213" s="131" t="str">
        <f>IFERROR(__xludf.DUMMYFUNCTION("""COMPUTED_VALUE"""),"F")</f>
        <v>F</v>
      </c>
      <c r="Z213" s="131" t="str">
        <f>IFERROR(__xludf.DUMMYFUNCTION("""COMPUTED_VALUE"""),"VM allocation, load balancing")</f>
        <v>VM allocation, load balancing</v>
      </c>
      <c r="AA213" s="131"/>
      <c r="AB213" s="131"/>
      <c r="AC213" s="131"/>
      <c r="AD213" s="131"/>
      <c r="AE213" s="131"/>
      <c r="AF213" s="131"/>
      <c r="AG213" s="131"/>
      <c r="AH213" s="131"/>
      <c r="AI213" s="131"/>
      <c r="AJ213" s="131"/>
    </row>
    <row r="214">
      <c r="A214" s="126">
        <f>IFERROR(__xludf.DUMMYFUNCTION("""COMPUTED_VALUE"""),429.0)</f>
        <v>429</v>
      </c>
      <c r="B214" s="126" t="str">
        <f>IFERROR(__xludf.DUMMYFUNCTION("""COMPUTED_VALUE"""),"EnLoc: Data locality-aware energy-efficient scheduling scheme for cloud data centers")</f>
        <v>EnLoc: Data locality-aware energy-efficient scheduling scheme for cloud data centers</v>
      </c>
      <c r="C214" s="127" t="str">
        <f>IFERROR(__xludf.DUMMYFUNCTION("""COMPUTED_VALUE"""),"https://ieeexplore.ieee.org/abstract/document/8422225/")</f>
        <v>https://ieeexplore.ieee.org/abstract/document/8422225/</v>
      </c>
      <c r="D214" s="126" t="str">
        <f>IFERROR(__xludf.DUMMYFUNCTION("""COMPUTED_VALUE"""),"K Kaur, N Kumar, S Garg, JJPC Rodrigues")</f>
        <v>K Kaur, N Kumar, S Garg, JJPC Rodrigues</v>
      </c>
      <c r="E214" s="126" t="str">
        <f>IFERROR(__xludf.DUMMYFUNCTION("""COMPUTED_VALUE"""),"Institute of Electrical and Electronics Engineers")</f>
        <v>Institute of Electrical and Electronics Engineers</v>
      </c>
      <c r="F214" s="126" t="str">
        <f>IFERROR(__xludf.DUMMYFUNCTION("""COMPUTED_VALUE"""),"IEEE Xplore")</f>
        <v>IEEE Xplore</v>
      </c>
      <c r="G214" s="128" t="str">
        <f>IFERROR(__xludf.DUMMYFUNCTION("""COMPUTED_VALUE"""),"C")</f>
        <v>C</v>
      </c>
      <c r="H214" s="129">
        <f>IFERROR(__xludf.DUMMYFUNCTION("""COMPUTED_VALUE"""),2018.0)</f>
        <v>2018</v>
      </c>
      <c r="I214" s="129">
        <f>IFERROR(__xludf.DUMMYFUNCTION("""COMPUTED_VALUE"""),1.0)</f>
        <v>1</v>
      </c>
      <c r="J214" s="130">
        <f>IFERROR(__xludf.DUMMYFUNCTION("""COMPUTED_VALUE"""),1.0)</f>
        <v>1</v>
      </c>
      <c r="K214" s="130">
        <f>IFERROR(__xludf.DUMMYFUNCTION("""COMPUTED_VALUE"""),1.0)</f>
        <v>1</v>
      </c>
      <c r="L214" s="129">
        <f>IFERROR(__xludf.DUMMYFUNCTION("""COMPUTED_VALUE"""),1.0)</f>
        <v>1</v>
      </c>
      <c r="M214" s="130">
        <f>IFERROR(__xludf.DUMMYFUNCTION("""COMPUTED_VALUE"""),1.0)</f>
        <v>1</v>
      </c>
      <c r="N214" s="130">
        <f>IFERROR(__xludf.DUMMYFUNCTION("""COMPUTED_VALUE"""),0.0)</f>
        <v>0</v>
      </c>
      <c r="O214" s="130">
        <f>IFERROR(__xludf.DUMMYFUNCTION("""COMPUTED_VALUE"""),0.0)</f>
        <v>0</v>
      </c>
      <c r="P214" s="129">
        <f>IFERROR(__xludf.DUMMYFUNCTION("""COMPUTED_VALUE"""),0.0)</f>
        <v>0</v>
      </c>
      <c r="Q214" s="130">
        <f>IFERROR(__xludf.DUMMYFUNCTION("""COMPUTED_VALUE"""),0.0)</f>
        <v>0</v>
      </c>
      <c r="R214" s="129">
        <f>IFERROR(__xludf.DUMMYFUNCTION("""COMPUTED_VALUE"""),0.0)</f>
        <v>0</v>
      </c>
      <c r="S214" s="129">
        <f>IFERROR(__xludf.DUMMYFUNCTION("""COMPUTED_VALUE"""),0.0)</f>
        <v>0</v>
      </c>
      <c r="T214" s="129">
        <f>IFERROR(__xludf.DUMMYFUNCTION("""COMPUTED_VALUE"""),0.0)</f>
        <v>0</v>
      </c>
      <c r="U214" s="129">
        <f>IFERROR(__xludf.DUMMYFUNCTION("""COMPUTED_VALUE"""),0.0)</f>
        <v>0</v>
      </c>
      <c r="V214" s="129">
        <f>IFERROR(__xludf.DUMMYFUNCTION("""COMPUTED_VALUE"""),0.0)</f>
        <v>0</v>
      </c>
      <c r="W214" s="126" t="str">
        <f>IFERROR(__xludf.DUMMYFUNCTION("""COMPUTED_VALUE"""),"Yes")</f>
        <v>Yes</v>
      </c>
      <c r="X214" s="126" t="str">
        <f>IFERROR(__xludf.DUMMYFUNCTION("""COMPUTED_VALUE"""),"Yes")</f>
        <v>Yes</v>
      </c>
      <c r="Y214" s="126" t="str">
        <f>IFERROR(__xludf.DUMMYFUNCTION("""COMPUTED_VALUE"""),"F")</f>
        <v>F</v>
      </c>
      <c r="Z214" s="126" t="str">
        <f>IFERROR(__xludf.DUMMYFUNCTION("""COMPUTED_VALUE"""),"task scheduling")</f>
        <v>task scheduling</v>
      </c>
      <c r="AA214" s="126"/>
      <c r="AB214" s="126"/>
      <c r="AC214" s="126"/>
      <c r="AD214" s="126"/>
      <c r="AE214" s="126"/>
      <c r="AF214" s="126"/>
      <c r="AG214" s="126"/>
      <c r="AH214" s="126"/>
      <c r="AI214" s="126"/>
      <c r="AJ214" s="126"/>
    </row>
    <row r="215">
      <c r="A215" s="126">
        <f>IFERROR(__xludf.DUMMYFUNCTION("""COMPUTED_VALUE"""),431.0)</f>
        <v>431</v>
      </c>
      <c r="B215" s="126" t="str">
        <f>IFERROR(__xludf.DUMMYFUNCTION("""COMPUTED_VALUE"""),"Energy Efficient and Multi-Parameters Based VM Selection for Cloud Data Centers")</f>
        <v>Energy Efficient and Multi-Parameters Based VM Selection for Cloud Data Centers</v>
      </c>
      <c r="C215" s="127" t="str">
        <f>IFERROR(__xludf.DUMMYFUNCTION("""COMPUTED_VALUE"""),"https://papers.ssrn.com/sol3/papers.cfm?abstract_id=3394044")</f>
        <v>https://papers.ssrn.com/sol3/papers.cfm?abstract_id=3394044</v>
      </c>
      <c r="D215" s="126" t="str">
        <f>IFERROR(__xludf.DUMMYFUNCTION("""COMPUTED_VALUE"""),"S Singh, MS Aswal")</f>
        <v>S Singh, MS Aswal</v>
      </c>
      <c r="E215" s="126" t="str">
        <f>IFERROR(__xludf.DUMMYFUNCTION("""COMPUTED_VALUE"""),"International Conference on Advances in Engineering Science Management &amp; Technology")</f>
        <v>International Conference on Advances in Engineering Science Management &amp; Technology</v>
      </c>
      <c r="F215" s="126" t="str">
        <f>IFERROR(__xludf.DUMMYFUNCTION("""COMPUTED_VALUE"""),"ICAESMT")</f>
        <v>ICAESMT</v>
      </c>
      <c r="G215" s="128" t="str">
        <f>IFERROR(__xludf.DUMMYFUNCTION("""COMPUTED_VALUE"""),"C")</f>
        <v>C</v>
      </c>
      <c r="H215" s="129">
        <f>IFERROR(__xludf.DUMMYFUNCTION("""COMPUTED_VALUE"""),2019.0)</f>
        <v>2019</v>
      </c>
      <c r="I215" s="130">
        <f>IFERROR(__xludf.DUMMYFUNCTION("""COMPUTED_VALUE"""),1.0)</f>
        <v>1</v>
      </c>
      <c r="J215" s="129">
        <f>IFERROR(__xludf.DUMMYFUNCTION("""COMPUTED_VALUE"""),1.0)</f>
        <v>1</v>
      </c>
      <c r="K215" s="130">
        <f>IFERROR(__xludf.DUMMYFUNCTION("""COMPUTED_VALUE"""),1.0)</f>
        <v>1</v>
      </c>
      <c r="L215" s="130">
        <f>IFERROR(__xludf.DUMMYFUNCTION("""COMPUTED_VALUE"""),1.0)</f>
        <v>1</v>
      </c>
      <c r="M215" s="130">
        <f>IFERROR(__xludf.DUMMYFUNCTION("""COMPUTED_VALUE"""),1.0)</f>
        <v>1</v>
      </c>
      <c r="N215" s="130">
        <f>IFERROR(__xludf.DUMMYFUNCTION("""COMPUTED_VALUE"""),0.0)</f>
        <v>0</v>
      </c>
      <c r="O215" s="130">
        <f>IFERROR(__xludf.DUMMYFUNCTION("""COMPUTED_VALUE"""),0.0)</f>
        <v>0</v>
      </c>
      <c r="P215" s="130">
        <f>IFERROR(__xludf.DUMMYFUNCTION("""COMPUTED_VALUE"""),0.0)</f>
        <v>0</v>
      </c>
      <c r="Q215" s="130">
        <f>IFERROR(__xludf.DUMMYFUNCTION("""COMPUTED_VALUE"""),0.0)</f>
        <v>0</v>
      </c>
      <c r="R215" s="130">
        <f>IFERROR(__xludf.DUMMYFUNCTION("""COMPUTED_VALUE"""),0.0)</f>
        <v>0</v>
      </c>
      <c r="S215" s="130">
        <f>IFERROR(__xludf.DUMMYFUNCTION("""COMPUTED_VALUE"""),0.0)</f>
        <v>0</v>
      </c>
      <c r="T215" s="130">
        <f>IFERROR(__xludf.DUMMYFUNCTION("""COMPUTED_VALUE"""),0.0)</f>
        <v>0</v>
      </c>
      <c r="U215" s="130">
        <f>IFERROR(__xludf.DUMMYFUNCTION("""COMPUTED_VALUE"""),0.0)</f>
        <v>0</v>
      </c>
      <c r="V215" s="130">
        <f>IFERROR(__xludf.DUMMYFUNCTION("""COMPUTED_VALUE"""),0.0)</f>
        <v>0</v>
      </c>
      <c r="W215" s="131" t="str">
        <f>IFERROR(__xludf.DUMMYFUNCTION("""COMPUTED_VALUE"""),"Yes")</f>
        <v>Yes</v>
      </c>
      <c r="X215" s="131" t="str">
        <f>IFERROR(__xludf.DUMMYFUNCTION("""COMPUTED_VALUE"""),"Yes")</f>
        <v>Yes</v>
      </c>
      <c r="Y215" s="131" t="str">
        <f>IFERROR(__xludf.DUMMYFUNCTION("""COMPUTED_VALUE"""),"F")</f>
        <v>F</v>
      </c>
      <c r="Z215" s="131" t="str">
        <f>IFERROR(__xludf.DUMMYFUNCTION("""COMPUTED_VALUE"""),"VM selection")</f>
        <v>VM selection</v>
      </c>
      <c r="AA215" s="131"/>
      <c r="AB215" s="131"/>
      <c r="AC215" s="131"/>
      <c r="AD215" s="131"/>
      <c r="AE215" s="131"/>
      <c r="AF215" s="131"/>
      <c r="AG215" s="131"/>
      <c r="AH215" s="131"/>
      <c r="AI215" s="131"/>
      <c r="AJ215" s="131"/>
    </row>
    <row r="216">
      <c r="A216" s="126">
        <f>IFERROR(__xludf.DUMMYFUNCTION("""COMPUTED_VALUE"""),433.0)</f>
        <v>433</v>
      </c>
      <c r="B216" s="126" t="str">
        <f>IFERROR(__xludf.DUMMYFUNCTION("""COMPUTED_VALUE"""),"Energy-aware fault-tolerant dynamic task scheduling scheme for virtualized cloud data centers")</f>
        <v>Energy-aware fault-tolerant dynamic task scheduling scheme for virtualized cloud data centers</v>
      </c>
      <c r="C216" s="127" t="str">
        <f>IFERROR(__xludf.DUMMYFUNCTION("""COMPUTED_VALUE"""),"https://link.springer.com/article/10.1007/s11036-018-1062-7")</f>
        <v>https://link.springer.com/article/10.1007/s11036-018-1062-7</v>
      </c>
      <c r="D216" s="126" t="str">
        <f>IFERROR(__xludf.DUMMYFUNCTION("""COMPUTED_VALUE"""),"A Marahatta, Y Wang, F Zhang, AK Sangaiah,  SKS Tyagi, Z Liu")</f>
        <v>A Marahatta, Y Wang, F Zhang, AK Sangaiah,  SKS Tyagi, Z Liu</v>
      </c>
      <c r="E216" s="126" t="str">
        <f>IFERROR(__xludf.DUMMYFUNCTION("""COMPUTED_VALUE"""),"Springer")</f>
        <v>Springer</v>
      </c>
      <c r="F216" s="126" t="str">
        <f>IFERROR(__xludf.DUMMYFUNCTION("""COMPUTED_VALUE"""),"Springer")</f>
        <v>Springer</v>
      </c>
      <c r="G216" s="128" t="str">
        <f>IFERROR(__xludf.DUMMYFUNCTION("""COMPUTED_VALUE"""),"J")</f>
        <v>J</v>
      </c>
      <c r="H216" s="129">
        <f>IFERROR(__xludf.DUMMYFUNCTION("""COMPUTED_VALUE"""),2019.0)</f>
        <v>2019</v>
      </c>
      <c r="I216" s="130">
        <f>IFERROR(__xludf.DUMMYFUNCTION("""COMPUTED_VALUE"""),1.0)</f>
        <v>1</v>
      </c>
      <c r="J216" s="129">
        <f>IFERROR(__xludf.DUMMYFUNCTION("""COMPUTED_VALUE"""),1.0)</f>
        <v>1</v>
      </c>
      <c r="K216" s="130">
        <f>IFERROR(__xludf.DUMMYFUNCTION("""COMPUTED_VALUE"""),1.0)</f>
        <v>1</v>
      </c>
      <c r="L216" s="130">
        <f>IFERROR(__xludf.DUMMYFUNCTION("""COMPUTED_VALUE"""),1.0)</f>
        <v>1</v>
      </c>
      <c r="M216" s="130">
        <f>IFERROR(__xludf.DUMMYFUNCTION("""COMPUTED_VALUE"""),1.0)</f>
        <v>1</v>
      </c>
      <c r="N216" s="130">
        <f>IFERROR(__xludf.DUMMYFUNCTION("""COMPUTED_VALUE"""),0.0)</f>
        <v>0</v>
      </c>
      <c r="O216" s="130">
        <f>IFERROR(__xludf.DUMMYFUNCTION("""COMPUTED_VALUE"""),0.0)</f>
        <v>0</v>
      </c>
      <c r="P216" s="130">
        <f>IFERROR(__xludf.DUMMYFUNCTION("""COMPUTED_VALUE"""),0.0)</f>
        <v>0</v>
      </c>
      <c r="Q216" s="130">
        <f>IFERROR(__xludf.DUMMYFUNCTION("""COMPUTED_VALUE"""),0.0)</f>
        <v>0</v>
      </c>
      <c r="R216" s="129">
        <f>IFERROR(__xludf.DUMMYFUNCTION("""COMPUTED_VALUE"""),0.0)</f>
        <v>0</v>
      </c>
      <c r="S216" s="129">
        <f>IFERROR(__xludf.DUMMYFUNCTION("""COMPUTED_VALUE"""),0.0)</f>
        <v>0</v>
      </c>
      <c r="T216" s="129">
        <f>IFERROR(__xludf.DUMMYFUNCTION("""COMPUTED_VALUE"""),0.0)</f>
        <v>0</v>
      </c>
      <c r="U216" s="129">
        <f>IFERROR(__xludf.DUMMYFUNCTION("""COMPUTED_VALUE"""),0.0)</f>
        <v>0</v>
      </c>
      <c r="V216" s="129">
        <f>IFERROR(__xludf.DUMMYFUNCTION("""COMPUTED_VALUE"""),0.0)</f>
        <v>0</v>
      </c>
      <c r="W216" s="126" t="str">
        <f>IFERROR(__xludf.DUMMYFUNCTION("""COMPUTED_VALUE"""),"Yes")</f>
        <v>Yes</v>
      </c>
      <c r="X216" s="126" t="str">
        <f>IFERROR(__xludf.DUMMYFUNCTION("""COMPUTED_VALUE"""),"Yes")</f>
        <v>Yes</v>
      </c>
      <c r="Y216" s="126" t="str">
        <f>IFERROR(__xludf.DUMMYFUNCTION("""COMPUTED_VALUE"""),"F")</f>
        <v>F</v>
      </c>
      <c r="Z216" s="126" t="str">
        <f>IFERROR(__xludf.DUMMYFUNCTION("""COMPUTED_VALUE"""),"task scheduling scheme")</f>
        <v>task scheduling scheme</v>
      </c>
      <c r="AA216" s="126"/>
      <c r="AB216" s="126"/>
      <c r="AC216" s="126"/>
      <c r="AD216" s="126"/>
      <c r="AE216" s="126"/>
      <c r="AF216" s="126"/>
      <c r="AG216" s="126"/>
      <c r="AH216" s="126"/>
      <c r="AI216" s="126"/>
      <c r="AJ216" s="126"/>
    </row>
    <row r="217">
      <c r="A217" s="126">
        <f>IFERROR(__xludf.DUMMYFUNCTION("""COMPUTED_VALUE"""),435.0)</f>
        <v>435</v>
      </c>
      <c r="B217" s="126" t="str">
        <f>IFERROR(__xludf.DUMMYFUNCTION("""COMPUTED_VALUE"""),"Renewable energy curtailment via incentivized inter-datacenter workload migration")</f>
        <v>Renewable energy curtailment via incentivized inter-datacenter workload migration</v>
      </c>
      <c r="C217" s="127" t="str">
        <f>IFERROR(__xludf.DUMMYFUNCTION("""COMPUTED_VALUE"""),"https://link.springer.com/chapter/10.1007/978-3-319-94295-7_10")</f>
        <v>https://link.springer.com/chapter/10.1007/978-3-319-94295-7_10</v>
      </c>
      <c r="D217" s="126" t="str">
        <f>IFERROR(__xludf.DUMMYFUNCTION("""COMPUTED_VALUE"""),"A Abada, M St-Hilaire")</f>
        <v>A Abada, M St-Hilaire</v>
      </c>
      <c r="E217" s="126" t="str">
        <f>IFERROR(__xludf.DUMMYFUNCTION("""COMPUTED_VALUE"""),"Springer")</f>
        <v>Springer</v>
      </c>
      <c r="F217" s="126" t="str">
        <f>IFERROR(__xludf.DUMMYFUNCTION("""COMPUTED_VALUE"""),"Springer")</f>
        <v>Springer</v>
      </c>
      <c r="G217" s="128"/>
      <c r="H217" s="129">
        <f>IFERROR(__xludf.DUMMYFUNCTION("""COMPUTED_VALUE"""),2018.0)</f>
        <v>2018</v>
      </c>
      <c r="I217" s="130"/>
      <c r="J217" s="129"/>
      <c r="K217" s="130"/>
      <c r="L217" s="130"/>
      <c r="M217" s="130"/>
      <c r="N217" s="130"/>
      <c r="O217" s="130"/>
      <c r="P217" s="130">
        <f>IFERROR(__xludf.DUMMYFUNCTION("""COMPUTED_VALUE"""),1.0)</f>
        <v>1</v>
      </c>
      <c r="Q217" s="130"/>
      <c r="R217" s="130"/>
      <c r="S217" s="130"/>
      <c r="T217" s="130"/>
      <c r="U217" s="130"/>
      <c r="V217" s="130"/>
      <c r="W217" s="131" t="str">
        <f>IFERROR(__xludf.DUMMYFUNCTION("""COMPUTED_VALUE"""),"No")</f>
        <v>No</v>
      </c>
      <c r="X217" s="131" t="str">
        <f>IFERROR(__xludf.DUMMYFUNCTION("""COMPUTED_VALUE"""),"Yes")</f>
        <v>Yes</v>
      </c>
      <c r="Y217" s="131" t="str">
        <f>IFERROR(__xludf.DUMMYFUNCTION("""COMPUTED_VALUE"""),"F")</f>
        <v>F</v>
      </c>
      <c r="Z217" s="131" t="str">
        <f>IFERROR(__xludf.DUMMYFUNCTION("""COMPUTED_VALUE"""),"balancing excess renew. energy")</f>
        <v>balancing excess renew. energy</v>
      </c>
      <c r="AA217" s="131"/>
      <c r="AB217" s="131"/>
      <c r="AC217" s="131"/>
      <c r="AD217" s="131"/>
      <c r="AE217" s="131"/>
      <c r="AF217" s="131"/>
      <c r="AG217" s="131"/>
      <c r="AH217" s="131"/>
      <c r="AI217" s="131"/>
      <c r="AJ217" s="131"/>
    </row>
    <row r="218">
      <c r="A218" s="126">
        <f>IFERROR(__xludf.DUMMYFUNCTION("""COMPUTED_VALUE"""),436.0)</f>
        <v>436</v>
      </c>
      <c r="B218" s="126" t="str">
        <f>IFERROR(__xludf.DUMMYFUNCTION("""COMPUTED_VALUE"""),"An Energy Prediction Model for Cloud Data Centers Through Performance Counter.")</f>
        <v>An Energy Prediction Model for Cloud Data Centers Through Performance Counter.</v>
      </c>
      <c r="C218" s="127" t="str">
        <f>IFERROR(__xludf.DUMMYFUNCTION("""COMPUTED_VALUE"""),"http://search.ebscohost.com/login.aspx?direct=true&amp;profile=ehost&amp;scope=site&amp;authtype=crawler&amp;jrnl=09731318&amp;AN=141016261&amp;h=qwZ%2BpYdlfk%2BzvtM7AVtTzVM%2Frs4veDzSUV5je6ybbkKWBm%2BeTA2vKShbEJm7FRybBjeDPxz80LJa8UdNAVljOA%3D%3D&amp;crl=c")</f>
        <v>http://search.ebscohost.com/login.aspx?direct=true&amp;profile=ehost&amp;scope=site&amp;authtype=crawler&amp;jrnl=09731318&amp;AN=141016261&amp;h=qwZ%2BpYdlfk%2BzvtM7AVtTzVM%2Frs4veDzSUV5je6ybbkKWBm%2BeTA2vKShbEJm7FRybBjeDPxz80LJa8UdNAVljOA%3D%3D&amp;crl=c</v>
      </c>
      <c r="D218" s="126" t="str">
        <f>IFERROR(__xludf.DUMMYFUNCTION("""COMPUTED_VALUE"""),"S Meng, P Sun, J Luo, H Xu")</f>
        <v>S Meng, P Sun, J Luo, H Xu</v>
      </c>
      <c r="E218" s="126" t="str">
        <f>IFERROR(__xludf.DUMMYFUNCTION("""COMPUTED_VALUE"""),"International Journal of Performability Engineering")</f>
        <v>International Journal of Performability Engineering</v>
      </c>
      <c r="F218" s="126" t="str">
        <f>IFERROR(__xludf.DUMMYFUNCTION("""COMPUTED_VALUE"""),"IJPE")</f>
        <v>IJPE</v>
      </c>
      <c r="G218" s="128" t="str">
        <f>IFERROR(__xludf.DUMMYFUNCTION("""COMPUTED_VALUE"""),"J")</f>
        <v>J</v>
      </c>
      <c r="H218" s="130">
        <f>IFERROR(__xludf.DUMMYFUNCTION("""COMPUTED_VALUE"""),2019.0)</f>
        <v>2019</v>
      </c>
      <c r="I218" s="130">
        <f>IFERROR(__xludf.DUMMYFUNCTION("""COMPUTED_VALUE"""),1.0)</f>
        <v>1</v>
      </c>
      <c r="J218" s="130">
        <f>IFERROR(__xludf.DUMMYFUNCTION("""COMPUTED_VALUE"""),1.0)</f>
        <v>1</v>
      </c>
      <c r="K218" s="130">
        <f>IFERROR(__xludf.DUMMYFUNCTION("""COMPUTED_VALUE"""),1.0)</f>
        <v>1</v>
      </c>
      <c r="L218" s="130">
        <f>IFERROR(__xludf.DUMMYFUNCTION("""COMPUTED_VALUE"""),1.0)</f>
        <v>1</v>
      </c>
      <c r="M218" s="130">
        <f>IFERROR(__xludf.DUMMYFUNCTION("""COMPUTED_VALUE"""),1.0)</f>
        <v>1</v>
      </c>
      <c r="N218" s="130">
        <f>IFERROR(__xludf.DUMMYFUNCTION("""COMPUTED_VALUE"""),0.0)</f>
        <v>0</v>
      </c>
      <c r="O218" s="129">
        <f>IFERROR(__xludf.DUMMYFUNCTION("""COMPUTED_VALUE"""),0.0)</f>
        <v>0</v>
      </c>
      <c r="P218" s="130">
        <f>IFERROR(__xludf.DUMMYFUNCTION("""COMPUTED_VALUE"""),0.0)</f>
        <v>0</v>
      </c>
      <c r="Q218" s="130">
        <f>IFERROR(__xludf.DUMMYFUNCTION("""COMPUTED_VALUE"""),0.0)</f>
        <v>0</v>
      </c>
      <c r="R218" s="129">
        <f>IFERROR(__xludf.DUMMYFUNCTION("""COMPUTED_VALUE"""),0.0)</f>
        <v>0</v>
      </c>
      <c r="S218" s="129">
        <f>IFERROR(__xludf.DUMMYFUNCTION("""COMPUTED_VALUE"""),0.0)</f>
        <v>0</v>
      </c>
      <c r="T218" s="129">
        <f>IFERROR(__xludf.DUMMYFUNCTION("""COMPUTED_VALUE"""),0.0)</f>
        <v>0</v>
      </c>
      <c r="U218" s="129">
        <f>IFERROR(__xludf.DUMMYFUNCTION("""COMPUTED_VALUE"""),0.0)</f>
        <v>0</v>
      </c>
      <c r="V218" s="129">
        <f>IFERROR(__xludf.DUMMYFUNCTION("""COMPUTED_VALUE"""),0.0)</f>
        <v>0</v>
      </c>
      <c r="W218" s="126" t="str">
        <f>IFERROR(__xludf.DUMMYFUNCTION("""COMPUTED_VALUE"""),"Yes")</f>
        <v>Yes</v>
      </c>
      <c r="X218" s="126" t="str">
        <f>IFERROR(__xludf.DUMMYFUNCTION("""COMPUTED_VALUE"""),"Yes")</f>
        <v>Yes</v>
      </c>
      <c r="Y218" s="126" t="str">
        <f>IFERROR(__xludf.DUMMYFUNCTION("""COMPUTED_VALUE"""),"F")</f>
        <v>F</v>
      </c>
      <c r="Z218" s="126" t="str">
        <f>IFERROR(__xludf.DUMMYFUNCTION("""COMPUTED_VALUE"""),"energy prediction model")</f>
        <v>energy prediction model</v>
      </c>
      <c r="AA218" s="126"/>
      <c r="AB218" s="126"/>
      <c r="AC218" s="126"/>
      <c r="AD218" s="126"/>
      <c r="AE218" s="126"/>
      <c r="AF218" s="126"/>
      <c r="AG218" s="126"/>
      <c r="AH218" s="126"/>
      <c r="AI218" s="126"/>
      <c r="AJ218" s="126"/>
    </row>
    <row r="219">
      <c r="A219" s="126">
        <f>IFERROR(__xludf.DUMMYFUNCTION("""COMPUTED_VALUE"""),437.0)</f>
        <v>437</v>
      </c>
      <c r="B219" s="126" t="str">
        <f>IFERROR(__xludf.DUMMYFUNCTION("""COMPUTED_VALUE"""),"A learning automata-based algorithm for energy and SLA efficient consolidation of virtual machines in cloud data centers")</f>
        <v>A learning automata-based algorithm for energy and SLA efficient consolidation of virtual machines in cloud data centers</v>
      </c>
      <c r="C219" s="127" t="str">
        <f>IFERROR(__xludf.DUMMYFUNCTION("""COMPUTED_VALUE"""),"https://www.sciencedirect.com/science/article/pii/S074373151730285X")</f>
        <v>https://www.sciencedirect.com/science/article/pii/S074373151730285X</v>
      </c>
      <c r="D219" s="131" t="str">
        <f>IFERROR(__xludf.DUMMYFUNCTION("""COMPUTED_VALUE"""),"M Ranjbari, JA Torkestani")</f>
        <v>M Ranjbari, JA Torkestani</v>
      </c>
      <c r="E219" s="131" t="str">
        <f>IFERROR(__xludf.DUMMYFUNCTION("""COMPUTED_VALUE"""),"Elsevier")</f>
        <v>Elsevier</v>
      </c>
      <c r="F219" s="126" t="str">
        <f>IFERROR(__xludf.DUMMYFUNCTION("""COMPUTED_VALUE"""),"Elsevier")</f>
        <v>Elsevier</v>
      </c>
      <c r="G219" s="128" t="str">
        <f>IFERROR(__xludf.DUMMYFUNCTION("""COMPUTED_VALUE"""),"J")</f>
        <v>J</v>
      </c>
      <c r="H219" s="130">
        <f>IFERROR(__xludf.DUMMYFUNCTION("""COMPUTED_VALUE"""),2018.0)</f>
        <v>2018</v>
      </c>
      <c r="I219" s="130">
        <f>IFERROR(__xludf.DUMMYFUNCTION("""COMPUTED_VALUE"""),1.0)</f>
        <v>1</v>
      </c>
      <c r="J219" s="130">
        <f>IFERROR(__xludf.DUMMYFUNCTION("""COMPUTED_VALUE"""),1.0)</f>
        <v>1</v>
      </c>
      <c r="K219" s="130">
        <f>IFERROR(__xludf.DUMMYFUNCTION("""COMPUTED_VALUE"""),1.0)</f>
        <v>1</v>
      </c>
      <c r="L219" s="129">
        <f>IFERROR(__xludf.DUMMYFUNCTION("""COMPUTED_VALUE"""),1.0)</f>
        <v>1</v>
      </c>
      <c r="M219" s="130">
        <f>IFERROR(__xludf.DUMMYFUNCTION("""COMPUTED_VALUE"""),1.0)</f>
        <v>1</v>
      </c>
      <c r="N219" s="130">
        <f>IFERROR(__xludf.DUMMYFUNCTION("""COMPUTED_VALUE"""),0.0)</f>
        <v>0</v>
      </c>
      <c r="O219" s="130">
        <f>IFERROR(__xludf.DUMMYFUNCTION("""COMPUTED_VALUE"""),0.0)</f>
        <v>0</v>
      </c>
      <c r="P219" s="130">
        <f>IFERROR(__xludf.DUMMYFUNCTION("""COMPUTED_VALUE"""),0.0)</f>
        <v>0</v>
      </c>
      <c r="Q219" s="130">
        <f>IFERROR(__xludf.DUMMYFUNCTION("""COMPUTED_VALUE"""),0.0)</f>
        <v>0</v>
      </c>
      <c r="R219" s="129">
        <f>IFERROR(__xludf.DUMMYFUNCTION("""COMPUTED_VALUE"""),0.0)</f>
        <v>0</v>
      </c>
      <c r="S219" s="129">
        <f>IFERROR(__xludf.DUMMYFUNCTION("""COMPUTED_VALUE"""),0.0)</f>
        <v>0</v>
      </c>
      <c r="T219" s="129">
        <f>IFERROR(__xludf.DUMMYFUNCTION("""COMPUTED_VALUE"""),0.0)</f>
        <v>0</v>
      </c>
      <c r="U219" s="129">
        <f>IFERROR(__xludf.DUMMYFUNCTION("""COMPUTED_VALUE"""),0.0)</f>
        <v>0</v>
      </c>
      <c r="V219" s="129">
        <f>IFERROR(__xludf.DUMMYFUNCTION("""COMPUTED_VALUE"""),0.0)</f>
        <v>0</v>
      </c>
      <c r="W219" s="126" t="str">
        <f>IFERROR(__xludf.DUMMYFUNCTION("""COMPUTED_VALUE"""),"Yes")</f>
        <v>Yes</v>
      </c>
      <c r="X219" s="126" t="str">
        <f>IFERROR(__xludf.DUMMYFUNCTION("""COMPUTED_VALUE"""),"Yes")</f>
        <v>Yes</v>
      </c>
      <c r="Y219" s="126" t="str">
        <f>IFERROR(__xludf.DUMMYFUNCTION("""COMPUTED_VALUE"""),"F")</f>
        <v>F</v>
      </c>
      <c r="Z219" s="126" t="str">
        <f>IFERROR(__xludf.DUMMYFUNCTION("""COMPUTED_VALUE"""),"VM consolidation learning autom.")</f>
        <v>VM consolidation learning autom.</v>
      </c>
      <c r="AA219" s="126"/>
      <c r="AB219" s="126"/>
      <c r="AC219" s="126"/>
      <c r="AD219" s="126"/>
      <c r="AE219" s="126"/>
      <c r="AF219" s="126"/>
      <c r="AG219" s="126"/>
      <c r="AH219" s="126"/>
      <c r="AI219" s="126"/>
      <c r="AJ219" s="126"/>
    </row>
    <row r="220">
      <c r="A220" s="126">
        <f>IFERROR(__xludf.DUMMYFUNCTION("""COMPUTED_VALUE"""),438.0)</f>
        <v>438</v>
      </c>
      <c r="B220" s="126" t="str">
        <f>IFERROR(__xludf.DUMMYFUNCTION("""COMPUTED_VALUE"""),"Energy Consumption Modeling and Prediction in the Cloud Data Centers.")</f>
        <v>Energy Consumption Modeling and Prediction in the Cloud Data Centers.</v>
      </c>
      <c r="C220" s="127" t="str">
        <f>IFERROR(__xludf.DUMMYFUNCTION("""COMPUTED_VALUE"""),"http://www.jestr.org/downloads/Volume13Issue3/fulltext251332020.pdf")</f>
        <v>http://www.jestr.org/downloads/Volume13Issue3/fulltext251332020.pdf</v>
      </c>
      <c r="D220" s="131" t="str">
        <f>IFERROR(__xludf.DUMMYFUNCTION("""COMPUTED_VALUE"""),"S Diouani, H Medromi")</f>
        <v>S Diouani, H Medromi</v>
      </c>
      <c r="E220" s="133" t="str">
        <f>IFERROR(__xludf.DUMMYFUNCTION("""COMPUTED_VALUE"""),"jestr.org")</f>
        <v>jestr.org</v>
      </c>
      <c r="F220" s="127" t="str">
        <f>IFERROR(__xludf.DUMMYFUNCTION("""COMPUTED_VALUE"""),"jestr.org")</f>
        <v>jestr.org</v>
      </c>
      <c r="G220" s="128"/>
      <c r="H220" s="130">
        <f>IFERROR(__xludf.DUMMYFUNCTION("""COMPUTED_VALUE"""),2020.0)</f>
        <v>2020</v>
      </c>
      <c r="I220" s="130">
        <f>IFERROR(__xludf.DUMMYFUNCTION("""COMPUTED_VALUE"""),1.0)</f>
        <v>1</v>
      </c>
      <c r="J220" s="130">
        <f>IFERROR(__xludf.DUMMYFUNCTION("""COMPUTED_VALUE"""),0.0)</f>
        <v>0</v>
      </c>
      <c r="K220" s="130">
        <f>IFERROR(__xludf.DUMMYFUNCTION("""COMPUTED_VALUE"""),1.0)</f>
        <v>1</v>
      </c>
      <c r="L220" s="129">
        <f>IFERROR(__xludf.DUMMYFUNCTION("""COMPUTED_VALUE"""),0.0)</f>
        <v>0</v>
      </c>
      <c r="M220" s="130">
        <f>IFERROR(__xludf.DUMMYFUNCTION("""COMPUTED_VALUE"""),1.0)</f>
        <v>1</v>
      </c>
      <c r="N220" s="130">
        <f>IFERROR(__xludf.DUMMYFUNCTION("""COMPUTED_VALUE"""),0.0)</f>
        <v>0</v>
      </c>
      <c r="O220" s="130">
        <f>IFERROR(__xludf.DUMMYFUNCTION("""COMPUTED_VALUE"""),0.0)</f>
        <v>0</v>
      </c>
      <c r="P220" s="130">
        <f>IFERROR(__xludf.DUMMYFUNCTION("""COMPUTED_VALUE"""),0.0)</f>
        <v>0</v>
      </c>
      <c r="Q220" s="130">
        <f>IFERROR(__xludf.DUMMYFUNCTION("""COMPUTED_VALUE"""),0.0)</f>
        <v>0</v>
      </c>
      <c r="R220" s="130">
        <f>IFERROR(__xludf.DUMMYFUNCTION("""COMPUTED_VALUE"""),0.0)</f>
        <v>0</v>
      </c>
      <c r="S220" s="130">
        <f>IFERROR(__xludf.DUMMYFUNCTION("""COMPUTED_VALUE"""),0.0)</f>
        <v>0</v>
      </c>
      <c r="T220" s="130">
        <f>IFERROR(__xludf.DUMMYFUNCTION("""COMPUTED_VALUE"""),0.0)</f>
        <v>0</v>
      </c>
      <c r="U220" s="130">
        <f>IFERROR(__xludf.DUMMYFUNCTION("""COMPUTED_VALUE"""),0.0)</f>
        <v>0</v>
      </c>
      <c r="V220" s="130">
        <f>IFERROR(__xludf.DUMMYFUNCTION("""COMPUTED_VALUE"""),0.0)</f>
        <v>0</v>
      </c>
      <c r="W220" s="131" t="str">
        <f>IFERROR(__xludf.DUMMYFUNCTION("""COMPUTED_VALUE"""),"No")</f>
        <v>No</v>
      </c>
      <c r="X220" s="131" t="str">
        <f>IFERROR(__xludf.DUMMYFUNCTION("""COMPUTED_VALUE"""),"Yes")</f>
        <v>Yes</v>
      </c>
      <c r="Y220" s="131" t="str">
        <f>IFERROR(__xludf.DUMMYFUNCTION("""COMPUTED_VALUE"""),"F")</f>
        <v>F</v>
      </c>
      <c r="Z220" s="131" t="str">
        <f>IFERROR(__xludf.DUMMYFUNCTION("""COMPUTED_VALUE"""),"proposed formula for calc. EC")</f>
        <v>proposed formula for calc. EC</v>
      </c>
      <c r="AA220" s="131"/>
      <c r="AB220" s="131"/>
      <c r="AC220" s="131"/>
      <c r="AD220" s="131"/>
      <c r="AE220" s="131"/>
      <c r="AF220" s="131"/>
      <c r="AG220" s="131"/>
      <c r="AH220" s="131"/>
      <c r="AI220" s="131"/>
      <c r="AJ220" s="131"/>
    </row>
    <row r="221">
      <c r="A221" s="126">
        <f>IFERROR(__xludf.DUMMYFUNCTION("""COMPUTED_VALUE"""),442.0)</f>
        <v>442</v>
      </c>
      <c r="B221" s="126" t="str">
        <f>IFERROR(__xludf.DUMMYFUNCTION("""COMPUTED_VALUE"""),"Deepee: Joint optimization of job scheduling and cooling control for data center energy efficiency using deep reinforcement learning")</f>
        <v>Deepee: Joint optimization of job scheduling and cooling control for data center energy efficiency using deep reinforcement learning</v>
      </c>
      <c r="C221" s="127" t="str">
        <f>IFERROR(__xludf.DUMMYFUNCTION("""COMPUTED_VALUE"""),"https://ieeexplore.ieee.org/abstract/document/8885255/")</f>
        <v>https://ieeexplore.ieee.org/abstract/document/8885255/</v>
      </c>
      <c r="D221" s="131" t="str">
        <f>IFERROR(__xludf.DUMMYFUNCTION("""COMPUTED_VALUE"""),"Y Ran, H Hu, X Zhou, Y Wen")</f>
        <v>Y Ran, H Hu, X Zhou, Y Wen</v>
      </c>
      <c r="E221" s="131" t="str">
        <f>IFERROR(__xludf.DUMMYFUNCTION("""COMPUTED_VALUE"""),"Institute of Electrical and Electronics Engineers")</f>
        <v>Institute of Electrical and Electronics Engineers</v>
      </c>
      <c r="F221" s="126" t="str">
        <f>IFERROR(__xludf.DUMMYFUNCTION("""COMPUTED_VALUE"""),"IEEE Xplore")</f>
        <v>IEEE Xplore</v>
      </c>
      <c r="G221" s="128" t="str">
        <f>IFERROR(__xludf.DUMMYFUNCTION("""COMPUTED_VALUE"""),"C")</f>
        <v>C</v>
      </c>
      <c r="H221" s="130">
        <f>IFERROR(__xludf.DUMMYFUNCTION("""COMPUTED_VALUE"""),2019.0)</f>
        <v>2019</v>
      </c>
      <c r="I221" s="130">
        <f>IFERROR(__xludf.DUMMYFUNCTION("""COMPUTED_VALUE"""),1.0)</f>
        <v>1</v>
      </c>
      <c r="J221" s="130">
        <f>IFERROR(__xludf.DUMMYFUNCTION("""COMPUTED_VALUE"""),1.0)</f>
        <v>1</v>
      </c>
      <c r="K221" s="129">
        <f>IFERROR(__xludf.DUMMYFUNCTION("""COMPUTED_VALUE"""),1.0)</f>
        <v>1</v>
      </c>
      <c r="L221" s="129">
        <f>IFERROR(__xludf.DUMMYFUNCTION("""COMPUTED_VALUE"""),1.0)</f>
        <v>1</v>
      </c>
      <c r="M221" s="130">
        <f>IFERROR(__xludf.DUMMYFUNCTION("""COMPUTED_VALUE"""),1.0)</f>
        <v>1</v>
      </c>
      <c r="N221" s="130">
        <f>IFERROR(__xludf.DUMMYFUNCTION("""COMPUTED_VALUE"""),0.0)</f>
        <v>0</v>
      </c>
      <c r="O221" s="130">
        <f>IFERROR(__xludf.DUMMYFUNCTION("""COMPUTED_VALUE"""),1.0)</f>
        <v>1</v>
      </c>
      <c r="P221" s="130">
        <f>IFERROR(__xludf.DUMMYFUNCTION("""COMPUTED_VALUE"""),0.0)</f>
        <v>0</v>
      </c>
      <c r="Q221" s="130">
        <f>IFERROR(__xludf.DUMMYFUNCTION("""COMPUTED_VALUE"""),0.0)</f>
        <v>0</v>
      </c>
      <c r="R221" s="130">
        <f>IFERROR(__xludf.DUMMYFUNCTION("""COMPUTED_VALUE"""),0.0)</f>
        <v>0</v>
      </c>
      <c r="S221" s="130">
        <f>IFERROR(__xludf.DUMMYFUNCTION("""COMPUTED_VALUE"""),0.0)</f>
        <v>0</v>
      </c>
      <c r="T221" s="130">
        <f>IFERROR(__xludf.DUMMYFUNCTION("""COMPUTED_VALUE"""),0.0)</f>
        <v>0</v>
      </c>
      <c r="U221" s="130">
        <f>IFERROR(__xludf.DUMMYFUNCTION("""COMPUTED_VALUE"""),0.0)</f>
        <v>0</v>
      </c>
      <c r="V221" s="130">
        <f>IFERROR(__xludf.DUMMYFUNCTION("""COMPUTED_VALUE"""),0.0)</f>
        <v>0</v>
      </c>
      <c r="W221" s="131" t="str">
        <f>IFERROR(__xludf.DUMMYFUNCTION("""COMPUTED_VALUE"""),"No")</f>
        <v>No</v>
      </c>
      <c r="X221" s="131" t="str">
        <f>IFERROR(__xludf.DUMMYFUNCTION("""COMPUTED_VALUE"""),"Yes")</f>
        <v>Yes</v>
      </c>
      <c r="Y221" s="131" t="str">
        <f>IFERROR(__xludf.DUMMYFUNCTION("""COMPUTED_VALUE"""),"F")</f>
        <v>F</v>
      </c>
      <c r="Z221" s="131" t="str">
        <f>IFERROR(__xludf.DUMMYFUNCTION("""COMPUTED_VALUE"""),"sim platform for workload/cooling")</f>
        <v>sim platform for workload/cooling</v>
      </c>
      <c r="AA221" s="131"/>
      <c r="AB221" s="131"/>
      <c r="AC221" s="131"/>
      <c r="AD221" s="131"/>
      <c r="AE221" s="131"/>
      <c r="AF221" s="131"/>
      <c r="AG221" s="131"/>
      <c r="AH221" s="131"/>
      <c r="AI221" s="131"/>
      <c r="AJ221" s="131"/>
    </row>
    <row r="222">
      <c r="A222" s="126">
        <f>IFERROR(__xludf.DUMMYFUNCTION("""COMPUTED_VALUE"""),445.0)</f>
        <v>445</v>
      </c>
      <c r="B222" s="126" t="str">
        <f>IFERROR(__xludf.DUMMYFUNCTION("""COMPUTED_VALUE"""),"Measurement of Energy Efficiency Metrics of Data Centers. Case Study: Higher Education Institution of Barranquilla")</f>
        <v>Measurement of Energy Efficiency Metrics of Data Centers. Case Study: Higher Education Institution of Barranquilla</v>
      </c>
      <c r="C222" s="127" t="str">
        <f>IFERROR(__xludf.DUMMYFUNCTION("""COMPUTED_VALUE"""),"https://link.springer.com/chapter/10.1007/978-3-030-63319-6_3")</f>
        <v>https://link.springer.com/chapter/10.1007/978-3-030-63319-6_3</v>
      </c>
      <c r="D222" s="131" t="str">
        <f>IFERROR(__xludf.DUMMYFUNCTION("""COMPUTED_VALUE"""),"L Hernandez, H Hernandez, M Orozco…")</f>
        <v>L Hernandez, H Hernandez, M Orozco…</v>
      </c>
      <c r="E222" s="131" t="str">
        <f>IFERROR(__xludf.DUMMYFUNCTION("""COMPUTED_VALUE"""),"Springer")</f>
        <v>Springer</v>
      </c>
      <c r="F222" s="126" t="str">
        <f>IFERROR(__xludf.DUMMYFUNCTION("""COMPUTED_VALUE"""),"Springer")</f>
        <v>Springer</v>
      </c>
      <c r="G222" s="128"/>
      <c r="H222" s="130">
        <f>IFERROR(__xludf.DUMMYFUNCTION("""COMPUTED_VALUE"""),2020.0)</f>
        <v>2020</v>
      </c>
      <c r="I222" s="130">
        <f>IFERROR(__xludf.DUMMYFUNCTION("""COMPUTED_VALUE"""),1.0)</f>
        <v>1</v>
      </c>
      <c r="J222" s="130">
        <f>IFERROR(__xludf.DUMMYFUNCTION("""COMPUTED_VALUE"""),0.0)</f>
        <v>0</v>
      </c>
      <c r="K222" s="130"/>
      <c r="L222" s="129">
        <f>IFERROR(__xludf.DUMMYFUNCTION("""COMPUTED_VALUE"""),1.0)</f>
        <v>1</v>
      </c>
      <c r="M222" s="130">
        <f>IFERROR(__xludf.DUMMYFUNCTION("""COMPUTED_VALUE"""),1.0)</f>
        <v>1</v>
      </c>
      <c r="N222" s="130"/>
      <c r="O222" s="130"/>
      <c r="P222" s="130"/>
      <c r="Q222" s="130"/>
      <c r="R222" s="130"/>
      <c r="S222" s="130"/>
      <c r="T222" s="130"/>
      <c r="U222" s="130"/>
      <c r="V222" s="130"/>
      <c r="W222" s="131" t="str">
        <f>IFERROR(__xludf.DUMMYFUNCTION("""COMPUTED_VALUE"""),"No")</f>
        <v>No</v>
      </c>
      <c r="X222" s="131" t="str">
        <f>IFERROR(__xludf.DUMMYFUNCTION("""COMPUTED_VALUE"""),"Yes")</f>
        <v>Yes</v>
      </c>
      <c r="Y222" s="131" t="str">
        <f>IFERROR(__xludf.DUMMYFUNCTION("""COMPUTED_VALUE"""),"F")</f>
        <v>F</v>
      </c>
      <c r="Z222" s="131" t="str">
        <f>IFERROR(__xludf.DUMMYFUNCTION("""COMPUTED_VALUE"""),"uses existing metrics to calc. EE of university DC infrastructure")</f>
        <v>uses existing metrics to calc. EE of university DC infrastructure</v>
      </c>
      <c r="AA222" s="131"/>
      <c r="AB222" s="131"/>
      <c r="AC222" s="131"/>
      <c r="AD222" s="131"/>
      <c r="AE222" s="131"/>
      <c r="AF222" s="131"/>
      <c r="AG222" s="131"/>
      <c r="AH222" s="131"/>
      <c r="AI222" s="131"/>
      <c r="AJ222" s="131"/>
    </row>
    <row r="223">
      <c r="A223" s="126">
        <f>IFERROR(__xludf.DUMMYFUNCTION("""COMPUTED_VALUE"""),446.0)</f>
        <v>446</v>
      </c>
      <c r="B223" s="126" t="str">
        <f>IFERROR(__xludf.DUMMYFUNCTION("""COMPUTED_VALUE"""),"Reallocation of Virtual Machines to Cloud Data Centers to Reduce Service Level Agreement Violation and Energy Consumption Using the FMT Method")</f>
        <v>Reallocation of Virtual Machines to Cloud Data Centers to Reduce Service Level Agreement Violation and Energy Consumption Using the FMT Method</v>
      </c>
      <c r="C223" s="127" t="str">
        <f>IFERROR(__xludf.DUMMYFUNCTION("""COMPUTED_VALUE"""),"https://www.sid.ir/FileServer/JE/5055520192805")</f>
        <v>https://www.sid.ir/FileServer/JE/5055520192805</v>
      </c>
      <c r="D223" s="126" t="str">
        <f>IFERROR(__xludf.DUMMYFUNCTION("""COMPUTED_VALUE"""),"HF Farimani, SRK Tabbakh, D Bahrepour, R Ghaemi")</f>
        <v>HF Farimani, SRK Tabbakh, D Bahrepour, R Ghaemi</v>
      </c>
      <c r="E223" s="126" t="str">
        <f>IFERROR(__xludf.DUMMYFUNCTION("""COMPUTED_VALUE"""),"Journal of Information Systems and Telecommunication")</f>
        <v>Journal of Information Systems and Telecommunication</v>
      </c>
      <c r="F223" s="126" t="str">
        <f>IFERROR(__xludf.DUMMYFUNCTION("""COMPUTED_VALUE"""),"JIST")</f>
        <v>JIST</v>
      </c>
      <c r="G223" s="128" t="str">
        <f>IFERROR(__xludf.DUMMYFUNCTION("""COMPUTED_VALUE"""),"J")</f>
        <v>J</v>
      </c>
      <c r="H223" s="130">
        <f>IFERROR(__xludf.DUMMYFUNCTION("""COMPUTED_VALUE"""),2019.0)</f>
        <v>2019</v>
      </c>
      <c r="I223" s="130">
        <f>IFERROR(__xludf.DUMMYFUNCTION("""COMPUTED_VALUE"""),1.0)</f>
        <v>1</v>
      </c>
      <c r="J223" s="130">
        <f>IFERROR(__xludf.DUMMYFUNCTION("""COMPUTED_VALUE"""),1.0)</f>
        <v>1</v>
      </c>
      <c r="K223" s="130">
        <f>IFERROR(__xludf.DUMMYFUNCTION("""COMPUTED_VALUE"""),1.0)</f>
        <v>1</v>
      </c>
      <c r="L223" s="129">
        <f>IFERROR(__xludf.DUMMYFUNCTION("""COMPUTED_VALUE"""),1.0)</f>
        <v>1</v>
      </c>
      <c r="M223" s="130">
        <f>IFERROR(__xludf.DUMMYFUNCTION("""COMPUTED_VALUE"""),1.0)</f>
        <v>1</v>
      </c>
      <c r="N223" s="130">
        <f>IFERROR(__xludf.DUMMYFUNCTION("""COMPUTED_VALUE"""),0.0)</f>
        <v>0</v>
      </c>
      <c r="O223" s="130">
        <f>IFERROR(__xludf.DUMMYFUNCTION("""COMPUTED_VALUE"""),0.0)</f>
        <v>0</v>
      </c>
      <c r="P223" s="130">
        <f>IFERROR(__xludf.DUMMYFUNCTION("""COMPUTED_VALUE"""),0.0)</f>
        <v>0</v>
      </c>
      <c r="Q223" s="130">
        <f>IFERROR(__xludf.DUMMYFUNCTION("""COMPUTED_VALUE"""),0.0)</f>
        <v>0</v>
      </c>
      <c r="R223" s="130">
        <f>IFERROR(__xludf.DUMMYFUNCTION("""COMPUTED_VALUE"""),0.0)</f>
        <v>0</v>
      </c>
      <c r="S223" s="130">
        <f>IFERROR(__xludf.DUMMYFUNCTION("""COMPUTED_VALUE"""),0.0)</f>
        <v>0</v>
      </c>
      <c r="T223" s="130">
        <f>IFERROR(__xludf.DUMMYFUNCTION("""COMPUTED_VALUE"""),0.0)</f>
        <v>0</v>
      </c>
      <c r="U223" s="130">
        <f>IFERROR(__xludf.DUMMYFUNCTION("""COMPUTED_VALUE"""),0.0)</f>
        <v>0</v>
      </c>
      <c r="V223" s="130">
        <f>IFERROR(__xludf.DUMMYFUNCTION("""COMPUTED_VALUE"""),0.0)</f>
        <v>0</v>
      </c>
      <c r="W223" s="131" t="str">
        <f>IFERROR(__xludf.DUMMYFUNCTION("""COMPUTED_VALUE"""),"Yes")</f>
        <v>Yes</v>
      </c>
      <c r="X223" s="131" t="str">
        <f>IFERROR(__xludf.DUMMYFUNCTION("""COMPUTED_VALUE"""),"Yes")</f>
        <v>Yes</v>
      </c>
      <c r="Y223" s="131" t="str">
        <f>IFERROR(__xludf.DUMMYFUNCTION("""COMPUTED_VALUE"""),"F")</f>
        <v>F</v>
      </c>
      <c r="Z223" s="131" t="str">
        <f>IFERROR(__xludf.DUMMYFUNCTION("""COMPUTED_VALUE"""),"VM allocation")</f>
        <v>VM allocation</v>
      </c>
      <c r="AA223" s="131"/>
      <c r="AB223" s="131"/>
      <c r="AC223" s="131"/>
      <c r="AD223" s="131"/>
      <c r="AE223" s="131"/>
      <c r="AF223" s="131"/>
      <c r="AG223" s="131"/>
      <c r="AH223" s="131"/>
      <c r="AI223" s="131"/>
      <c r="AJ223" s="131"/>
    </row>
    <row r="224">
      <c r="A224" s="126">
        <f>IFERROR(__xludf.DUMMYFUNCTION("""COMPUTED_VALUE"""),448.0)</f>
        <v>448</v>
      </c>
      <c r="B224" s="126" t="str">
        <f>IFERROR(__xludf.DUMMYFUNCTION("""COMPUTED_VALUE"""),"Energy Consumption of IT System in Cloud Data Center: Architecture, Factors and Prediction")</f>
        <v>Energy Consumption of IT System in Cloud Data Center: Architecture, Factors and Prediction</v>
      </c>
      <c r="C224" s="127" t="str">
        <f>IFERROR(__xludf.DUMMYFUNCTION("""COMPUTED_VALUE"""),"https://link.springer.com/chapter/10.1007/978-3-030-30709-7_25")</f>
        <v>https://link.springer.com/chapter/10.1007/978-3-030-30709-7_25</v>
      </c>
      <c r="D224" s="126" t="str">
        <f>IFERROR(__xludf.DUMMYFUNCTION("""COMPUTED_VALUE"""),"H Lin, X Xu, X Wang")</f>
        <v>H Lin, X Xu, X Wang</v>
      </c>
      <c r="E224" s="126" t="str">
        <f>IFERROR(__xludf.DUMMYFUNCTION("""COMPUTED_VALUE"""),"Springer")</f>
        <v>Springer</v>
      </c>
      <c r="F224" s="126" t="str">
        <f>IFERROR(__xludf.DUMMYFUNCTION("""COMPUTED_VALUE"""),"Springer")</f>
        <v>Springer</v>
      </c>
      <c r="G224" s="128" t="str">
        <f>IFERROR(__xludf.DUMMYFUNCTION("""COMPUTED_VALUE"""),"C")</f>
        <v>C</v>
      </c>
      <c r="H224" s="130">
        <f>IFERROR(__xludf.DUMMYFUNCTION("""COMPUTED_VALUE"""),2019.0)</f>
        <v>2019</v>
      </c>
      <c r="I224" s="129">
        <f>IFERROR(__xludf.DUMMYFUNCTION("""COMPUTED_VALUE"""),1.0)</f>
        <v>1</v>
      </c>
      <c r="J224" s="130">
        <f>IFERROR(__xludf.DUMMYFUNCTION("""COMPUTED_VALUE"""),1.0)</f>
        <v>1</v>
      </c>
      <c r="K224" s="130">
        <f>IFERROR(__xludf.DUMMYFUNCTION("""COMPUTED_VALUE"""),1.0)</f>
        <v>1</v>
      </c>
      <c r="L224" s="130">
        <f>IFERROR(__xludf.DUMMYFUNCTION("""COMPUTED_VALUE"""),1.0)</f>
        <v>1</v>
      </c>
      <c r="M224" s="130">
        <f>IFERROR(__xludf.DUMMYFUNCTION("""COMPUTED_VALUE"""),1.0)</f>
        <v>1</v>
      </c>
      <c r="N224" s="130">
        <f>IFERROR(__xludf.DUMMYFUNCTION("""COMPUTED_VALUE"""),0.0)</f>
        <v>0</v>
      </c>
      <c r="O224" s="130">
        <f>IFERROR(__xludf.DUMMYFUNCTION("""COMPUTED_VALUE"""),0.0)</f>
        <v>0</v>
      </c>
      <c r="P224" s="130">
        <f>IFERROR(__xludf.DUMMYFUNCTION("""COMPUTED_VALUE"""),0.0)</f>
        <v>0</v>
      </c>
      <c r="Q224" s="130">
        <f>IFERROR(__xludf.DUMMYFUNCTION("""COMPUTED_VALUE"""),0.0)</f>
        <v>0</v>
      </c>
      <c r="R224" s="130">
        <f>IFERROR(__xludf.DUMMYFUNCTION("""COMPUTED_VALUE"""),0.0)</f>
        <v>0</v>
      </c>
      <c r="S224" s="130">
        <f>IFERROR(__xludf.DUMMYFUNCTION("""COMPUTED_VALUE"""),0.0)</f>
        <v>0</v>
      </c>
      <c r="T224" s="130">
        <f>IFERROR(__xludf.DUMMYFUNCTION("""COMPUTED_VALUE"""),0.0)</f>
        <v>0</v>
      </c>
      <c r="U224" s="130">
        <f>IFERROR(__xludf.DUMMYFUNCTION("""COMPUTED_VALUE"""),0.0)</f>
        <v>0</v>
      </c>
      <c r="V224" s="130">
        <f>IFERROR(__xludf.DUMMYFUNCTION("""COMPUTED_VALUE"""),0.0)</f>
        <v>0</v>
      </c>
      <c r="W224" s="131" t="str">
        <f>IFERROR(__xludf.DUMMYFUNCTION("""COMPUTED_VALUE"""),"Yes")</f>
        <v>Yes</v>
      </c>
      <c r="X224" s="131" t="str">
        <f>IFERROR(__xludf.DUMMYFUNCTION("""COMPUTED_VALUE"""),"Yes")</f>
        <v>Yes</v>
      </c>
      <c r="Y224" s="131" t="str">
        <f>IFERROR(__xludf.DUMMYFUNCTION("""COMPUTED_VALUE"""),"F")</f>
        <v>F</v>
      </c>
      <c r="Z224" s="131" t="str">
        <f>IFERROR(__xludf.DUMMYFUNCTION("""COMPUTED_VALUE"""),"EC prediction framework")</f>
        <v>EC prediction framework</v>
      </c>
      <c r="AA224" s="131"/>
      <c r="AB224" s="131"/>
      <c r="AC224" s="131"/>
      <c r="AD224" s="131"/>
      <c r="AE224" s="131"/>
      <c r="AF224" s="131"/>
      <c r="AG224" s="131"/>
      <c r="AH224" s="131"/>
      <c r="AI224" s="131"/>
      <c r="AJ224" s="131"/>
    </row>
    <row r="225">
      <c r="A225" s="126">
        <f>IFERROR(__xludf.DUMMYFUNCTION("""COMPUTED_VALUE"""),449.0)</f>
        <v>449</v>
      </c>
      <c r="B225" s="126" t="str">
        <f>IFERROR(__xludf.DUMMYFUNCTION("""COMPUTED_VALUE"""),"Design of QoS and Energy Efficient VM Consolidation Framework for Cloud Data Centers")</f>
        <v>Design of QoS and Energy Efficient VM Consolidation Framework for Cloud Data Centers</v>
      </c>
      <c r="C225" s="127" t="str">
        <f>IFERROR(__xludf.DUMMYFUNCTION("""COMPUTED_VALUE"""),"https://link.springer.com/chapter/10.1007/978-981-15-3125-5_19")</f>
        <v>https://link.springer.com/chapter/10.1007/978-981-15-3125-5_19</v>
      </c>
      <c r="D225" s="126" t="str">
        <f>IFERROR(__xludf.DUMMYFUNCTION("""COMPUTED_VALUE"""),"N Songara, MK Jain")</f>
        <v>N Songara, MK Jain</v>
      </c>
      <c r="E225" s="126" t="str">
        <f>IFERROR(__xludf.DUMMYFUNCTION("""COMPUTED_VALUE"""),"Springer")</f>
        <v>Springer</v>
      </c>
      <c r="F225" s="126" t="str">
        <f>IFERROR(__xludf.DUMMYFUNCTION("""COMPUTED_VALUE"""),"Springer")</f>
        <v>Springer</v>
      </c>
      <c r="G225" s="128" t="str">
        <f>IFERROR(__xludf.DUMMYFUNCTION("""COMPUTED_VALUE"""),"J")</f>
        <v>J</v>
      </c>
      <c r="H225" s="130">
        <f>IFERROR(__xludf.DUMMYFUNCTION("""COMPUTED_VALUE"""),2020.0)</f>
        <v>2020</v>
      </c>
      <c r="I225" s="130">
        <f>IFERROR(__xludf.DUMMYFUNCTION("""COMPUTED_VALUE"""),1.0)</f>
        <v>1</v>
      </c>
      <c r="J225" s="130">
        <f>IFERROR(__xludf.DUMMYFUNCTION("""COMPUTED_VALUE"""),1.0)</f>
        <v>1</v>
      </c>
      <c r="K225" s="130">
        <f>IFERROR(__xludf.DUMMYFUNCTION("""COMPUTED_VALUE"""),1.0)</f>
        <v>1</v>
      </c>
      <c r="L225" s="129">
        <f>IFERROR(__xludf.DUMMYFUNCTION("""COMPUTED_VALUE"""),0.0)</f>
        <v>0</v>
      </c>
      <c r="M225" s="130">
        <f>IFERROR(__xludf.DUMMYFUNCTION("""COMPUTED_VALUE"""),1.0)</f>
        <v>1</v>
      </c>
      <c r="N225" s="130">
        <f>IFERROR(__xludf.DUMMYFUNCTION("""COMPUTED_VALUE"""),0.0)</f>
        <v>0</v>
      </c>
      <c r="O225" s="130">
        <f>IFERROR(__xludf.DUMMYFUNCTION("""COMPUTED_VALUE"""),0.0)</f>
        <v>0</v>
      </c>
      <c r="P225" s="130">
        <f>IFERROR(__xludf.DUMMYFUNCTION("""COMPUTED_VALUE"""),0.0)</f>
        <v>0</v>
      </c>
      <c r="Q225" s="130">
        <f>IFERROR(__xludf.DUMMYFUNCTION("""COMPUTED_VALUE"""),0.0)</f>
        <v>0</v>
      </c>
      <c r="R225" s="129">
        <f>IFERROR(__xludf.DUMMYFUNCTION("""COMPUTED_VALUE"""),0.0)</f>
        <v>0</v>
      </c>
      <c r="S225" s="129">
        <f>IFERROR(__xludf.DUMMYFUNCTION("""COMPUTED_VALUE"""),0.0)</f>
        <v>0</v>
      </c>
      <c r="T225" s="129">
        <f>IFERROR(__xludf.DUMMYFUNCTION("""COMPUTED_VALUE"""),0.0)</f>
        <v>0</v>
      </c>
      <c r="U225" s="129">
        <f>IFERROR(__xludf.DUMMYFUNCTION("""COMPUTED_VALUE"""),0.0)</f>
        <v>0</v>
      </c>
      <c r="V225" s="129">
        <f>IFERROR(__xludf.DUMMYFUNCTION("""COMPUTED_VALUE"""),0.0)</f>
        <v>0</v>
      </c>
      <c r="W225" s="126" t="str">
        <f>IFERROR(__xludf.DUMMYFUNCTION("""COMPUTED_VALUE"""),"No")</f>
        <v>No</v>
      </c>
      <c r="X225" s="126" t="str">
        <f>IFERROR(__xludf.DUMMYFUNCTION("""COMPUTED_VALUE"""),"Yes")</f>
        <v>Yes</v>
      </c>
      <c r="Y225" s="126" t="str">
        <f>IFERROR(__xludf.DUMMYFUNCTION("""COMPUTED_VALUE"""),"F")</f>
        <v>F</v>
      </c>
      <c r="Z225" s="126" t="str">
        <f>IFERROR(__xludf.DUMMYFUNCTION("""COMPUTED_VALUE"""),"future work: framework evalution")</f>
        <v>future work: framework evalution</v>
      </c>
      <c r="AA225" s="126"/>
      <c r="AB225" s="126"/>
      <c r="AC225" s="126"/>
      <c r="AD225" s="126"/>
      <c r="AE225" s="126"/>
      <c r="AF225" s="126"/>
      <c r="AG225" s="126"/>
      <c r="AH225" s="126"/>
      <c r="AI225" s="126"/>
      <c r="AJ225" s="126"/>
    </row>
    <row r="226">
      <c r="A226" s="126">
        <f>IFERROR(__xludf.DUMMYFUNCTION("""COMPUTED_VALUE"""),450.0)</f>
        <v>450</v>
      </c>
      <c r="B226" s="126" t="str">
        <f>IFERROR(__xludf.DUMMYFUNCTION("""COMPUTED_VALUE"""),"Measurement, Analysis, and Enhancement of Multipath TCP Energy Efficiency for Datacenters")</f>
        <v>Measurement, Analysis, and Enhancement of Multipath TCP Energy Efficiency for Datacenters</v>
      </c>
      <c r="C226" s="127" t="str">
        <f>IFERROR(__xludf.DUMMYFUNCTION("""COMPUTED_VALUE"""),"https://ieeexplore.ieee.org/abstract/document/8932384/")</f>
        <v>https://ieeexplore.ieee.org/abstract/document/8932384/</v>
      </c>
      <c r="D226" s="126" t="str">
        <f>IFERROR(__xludf.DUMMYFUNCTION("""COMPUTED_VALUE"""),"J Zhao, J Liu, H Wang, C Xu, W Gong, C Xu")</f>
        <v>J Zhao, J Liu, H Wang, C Xu, W Gong, C Xu</v>
      </c>
      <c r="E226" s="126" t="str">
        <f>IFERROR(__xludf.DUMMYFUNCTION("""COMPUTED_VALUE"""),"Institute of Electrical and Electronics Engineers")</f>
        <v>Institute of Electrical and Electronics Engineers</v>
      </c>
      <c r="F226" s="126" t="str">
        <f>IFERROR(__xludf.DUMMYFUNCTION("""COMPUTED_VALUE"""),"IEEE Xplore")</f>
        <v>IEEE Xplore</v>
      </c>
      <c r="G226" s="128" t="str">
        <f>IFERROR(__xludf.DUMMYFUNCTION("""COMPUTED_VALUE"""),"J")</f>
        <v>J</v>
      </c>
      <c r="H226" s="130">
        <f>IFERROR(__xludf.DUMMYFUNCTION("""COMPUTED_VALUE"""),2019.0)</f>
        <v>2019</v>
      </c>
      <c r="I226" s="129">
        <f>IFERROR(__xludf.DUMMYFUNCTION("""COMPUTED_VALUE"""),1.0)</f>
        <v>1</v>
      </c>
      <c r="J226" s="130">
        <f>IFERROR(__xludf.DUMMYFUNCTION("""COMPUTED_VALUE"""),1.0)</f>
        <v>1</v>
      </c>
      <c r="K226" s="130">
        <f>IFERROR(__xludf.DUMMYFUNCTION("""COMPUTED_VALUE"""),1.0)</f>
        <v>1</v>
      </c>
      <c r="L226" s="130">
        <f>IFERROR(__xludf.DUMMYFUNCTION("""COMPUTED_VALUE"""),1.0)</f>
        <v>1</v>
      </c>
      <c r="M226" s="130">
        <f>IFERROR(__xludf.DUMMYFUNCTION("""COMPUTED_VALUE"""),1.0)</f>
        <v>1</v>
      </c>
      <c r="N226" s="130">
        <f>IFERROR(__xludf.DUMMYFUNCTION("""COMPUTED_VALUE"""),0.0)</f>
        <v>0</v>
      </c>
      <c r="O226" s="130">
        <f>IFERROR(__xludf.DUMMYFUNCTION("""COMPUTED_VALUE"""),0.0)</f>
        <v>0</v>
      </c>
      <c r="P226" s="130">
        <f>IFERROR(__xludf.DUMMYFUNCTION("""COMPUTED_VALUE"""),0.0)</f>
        <v>0</v>
      </c>
      <c r="Q226" s="130">
        <f>IFERROR(__xludf.DUMMYFUNCTION("""COMPUTED_VALUE"""),0.0)</f>
        <v>0</v>
      </c>
      <c r="R226" s="129">
        <f>IFERROR(__xludf.DUMMYFUNCTION("""COMPUTED_VALUE"""),0.0)</f>
        <v>0</v>
      </c>
      <c r="S226" s="129">
        <f>IFERROR(__xludf.DUMMYFUNCTION("""COMPUTED_VALUE"""),0.0)</f>
        <v>0</v>
      </c>
      <c r="T226" s="129">
        <f>IFERROR(__xludf.DUMMYFUNCTION("""COMPUTED_VALUE"""),0.0)</f>
        <v>0</v>
      </c>
      <c r="U226" s="129">
        <f>IFERROR(__xludf.DUMMYFUNCTION("""COMPUTED_VALUE"""),0.0)</f>
        <v>0</v>
      </c>
      <c r="V226" s="129">
        <f>IFERROR(__xludf.DUMMYFUNCTION("""COMPUTED_VALUE"""),0.0)</f>
        <v>0</v>
      </c>
      <c r="W226" s="126" t="str">
        <f>IFERROR(__xludf.DUMMYFUNCTION("""COMPUTED_VALUE"""),"Yes")</f>
        <v>Yes</v>
      </c>
      <c r="X226" s="126" t="str">
        <f>IFERROR(__xludf.DUMMYFUNCTION("""COMPUTED_VALUE"""),"Yes")</f>
        <v>Yes</v>
      </c>
      <c r="Y226" s="126" t="str">
        <f>IFERROR(__xludf.DUMMYFUNCTION("""COMPUTED_VALUE"""),"F")</f>
        <v>F</v>
      </c>
      <c r="Z226" s="126" t="str">
        <f>IFERROR(__xludf.DUMMYFUNCTION("""COMPUTED_VALUE"""),"mutipath TCP EE enhancement")</f>
        <v>mutipath TCP EE enhancement</v>
      </c>
      <c r="AA226" s="126"/>
      <c r="AB226" s="126"/>
      <c r="AC226" s="126"/>
      <c r="AD226" s="126"/>
      <c r="AE226" s="126"/>
      <c r="AF226" s="126"/>
      <c r="AG226" s="126"/>
      <c r="AH226" s="126"/>
      <c r="AI226" s="126"/>
      <c r="AJ226" s="126"/>
    </row>
    <row r="227">
      <c r="A227" s="126">
        <f>IFERROR(__xludf.DUMMYFUNCTION("""COMPUTED_VALUE"""),455.0)</f>
        <v>455</v>
      </c>
      <c r="B227" s="126" t="str">
        <f>IFERROR(__xludf.DUMMYFUNCTION("""COMPUTED_VALUE"""),"LACE: A locust-inspired scheduling algorithm to reduce energy consumption in cloud datacenters")</f>
        <v>LACE: A locust-inspired scheduling algorithm to reduce energy consumption in cloud datacenters</v>
      </c>
      <c r="C227" s="127" t="str">
        <f>IFERROR(__xludf.DUMMYFUNCTION("""COMPUTED_VALUE"""),"https://ieeexplore.ieee.org/abstract/document/8401956/")</f>
        <v>https://ieeexplore.ieee.org/abstract/document/8401956/</v>
      </c>
      <c r="D227" s="126" t="str">
        <f>IFERROR(__xludf.DUMMYFUNCTION("""COMPUTED_VALUE"""),"HA Kurdi, SM Alismail, MM Hassan")</f>
        <v>HA Kurdi, SM Alismail, MM Hassan</v>
      </c>
      <c r="E227" s="126" t="str">
        <f>IFERROR(__xludf.DUMMYFUNCTION("""COMPUTED_VALUE"""),"Institute of Electrical and Electronics Engineers")</f>
        <v>Institute of Electrical and Electronics Engineers</v>
      </c>
      <c r="F227" s="126" t="str">
        <f>IFERROR(__xludf.DUMMYFUNCTION("""COMPUTED_VALUE"""),"IEEE Xplore")</f>
        <v>IEEE Xplore</v>
      </c>
      <c r="G227" s="128" t="str">
        <f>IFERROR(__xludf.DUMMYFUNCTION("""COMPUTED_VALUE"""),"J")</f>
        <v>J</v>
      </c>
      <c r="H227" s="130">
        <f>IFERROR(__xludf.DUMMYFUNCTION("""COMPUTED_VALUE"""),2018.0)</f>
        <v>2018</v>
      </c>
      <c r="I227" s="129">
        <f>IFERROR(__xludf.DUMMYFUNCTION("""COMPUTED_VALUE"""),1.0)</f>
        <v>1</v>
      </c>
      <c r="J227" s="130">
        <f>IFERROR(__xludf.DUMMYFUNCTION("""COMPUTED_VALUE"""),1.0)</f>
        <v>1</v>
      </c>
      <c r="K227" s="130">
        <f>IFERROR(__xludf.DUMMYFUNCTION("""COMPUTED_VALUE"""),1.0)</f>
        <v>1</v>
      </c>
      <c r="L227" s="130">
        <f>IFERROR(__xludf.DUMMYFUNCTION("""COMPUTED_VALUE"""),1.0)</f>
        <v>1</v>
      </c>
      <c r="M227" s="130">
        <f>IFERROR(__xludf.DUMMYFUNCTION("""COMPUTED_VALUE"""),1.0)</f>
        <v>1</v>
      </c>
      <c r="N227" s="130">
        <f>IFERROR(__xludf.DUMMYFUNCTION("""COMPUTED_VALUE"""),0.0)</f>
        <v>0</v>
      </c>
      <c r="O227" s="130">
        <f>IFERROR(__xludf.DUMMYFUNCTION("""COMPUTED_VALUE"""),0.0)</f>
        <v>0</v>
      </c>
      <c r="P227" s="130">
        <f>IFERROR(__xludf.DUMMYFUNCTION("""COMPUTED_VALUE"""),0.0)</f>
        <v>0</v>
      </c>
      <c r="Q227" s="130">
        <f>IFERROR(__xludf.DUMMYFUNCTION("""COMPUTED_VALUE"""),0.0)</f>
        <v>0</v>
      </c>
      <c r="R227" s="130">
        <f>IFERROR(__xludf.DUMMYFUNCTION("""COMPUTED_VALUE"""),0.0)</f>
        <v>0</v>
      </c>
      <c r="S227" s="130">
        <f>IFERROR(__xludf.DUMMYFUNCTION("""COMPUTED_VALUE"""),0.0)</f>
        <v>0</v>
      </c>
      <c r="T227" s="130">
        <f>IFERROR(__xludf.DUMMYFUNCTION("""COMPUTED_VALUE"""),0.0)</f>
        <v>0</v>
      </c>
      <c r="U227" s="130">
        <f>IFERROR(__xludf.DUMMYFUNCTION("""COMPUTED_VALUE"""),0.0)</f>
        <v>0</v>
      </c>
      <c r="V227" s="130">
        <f>IFERROR(__xludf.DUMMYFUNCTION("""COMPUTED_VALUE"""),0.0)</f>
        <v>0</v>
      </c>
      <c r="W227" s="131" t="str">
        <f>IFERROR(__xludf.DUMMYFUNCTION("""COMPUTED_VALUE"""),"Yes")</f>
        <v>Yes</v>
      </c>
      <c r="X227" s="131" t="str">
        <f>IFERROR(__xludf.DUMMYFUNCTION("""COMPUTED_VALUE"""),"Yes")</f>
        <v>Yes</v>
      </c>
      <c r="Y227" s="131" t="str">
        <f>IFERROR(__xludf.DUMMYFUNCTION("""COMPUTED_VALUE"""),"F")</f>
        <v>F</v>
      </c>
      <c r="Z227" s="131" t="str">
        <f>IFERROR(__xludf.DUMMYFUNCTION("""COMPUTED_VALUE"""),"green cloud scheduling algorithm")</f>
        <v>green cloud scheduling algorithm</v>
      </c>
      <c r="AA227" s="131"/>
      <c r="AB227" s="131"/>
      <c r="AC227" s="131"/>
      <c r="AD227" s="131"/>
      <c r="AE227" s="131"/>
      <c r="AF227" s="131"/>
      <c r="AG227" s="131"/>
      <c r="AH227" s="131"/>
      <c r="AI227" s="131"/>
      <c r="AJ227" s="131"/>
    </row>
    <row r="228">
      <c r="A228" s="126">
        <f>IFERROR(__xludf.DUMMYFUNCTION("""COMPUTED_VALUE"""),456.0)</f>
        <v>456</v>
      </c>
      <c r="B228" s="126" t="str">
        <f>IFERROR(__xludf.DUMMYFUNCTION("""COMPUTED_VALUE"""),"Virtual machine consolidation framework for energy and performance efficient cloud data centers")</f>
        <v>Virtual machine consolidation framework for energy and performance efficient cloud data centers</v>
      </c>
      <c r="C228" s="127" t="str">
        <f>IFERROR(__xludf.DUMMYFUNCTION("""COMPUTED_VALUE"""),"https://ieeexplore.ieee.org/abstract/document/8878805/")</f>
        <v>https://ieeexplore.ieee.org/abstract/document/8878805/</v>
      </c>
      <c r="D228" s="126" t="str">
        <f>IFERROR(__xludf.DUMMYFUNCTION("""COMPUTED_VALUE"""),"RA Arockia, S Arun")</f>
        <v>RA Arockia, S Arun</v>
      </c>
      <c r="E228" s="126" t="str">
        <f>IFERROR(__xludf.DUMMYFUNCTION("""COMPUTED_VALUE"""),"Institute of Electrical and Electronics Engineers")</f>
        <v>Institute of Electrical and Electronics Engineers</v>
      </c>
      <c r="F228" s="126" t="str">
        <f>IFERROR(__xludf.DUMMYFUNCTION("""COMPUTED_VALUE"""),"IEEE Xplore")</f>
        <v>IEEE Xplore</v>
      </c>
      <c r="G228" s="128" t="str">
        <f>IFERROR(__xludf.DUMMYFUNCTION("""COMPUTED_VALUE"""),"C")</f>
        <v>C</v>
      </c>
      <c r="H228" s="130">
        <f>IFERROR(__xludf.DUMMYFUNCTION("""COMPUTED_VALUE"""),2019.0)</f>
        <v>2019</v>
      </c>
      <c r="I228" s="129">
        <f>IFERROR(__xludf.DUMMYFUNCTION("""COMPUTED_VALUE"""),1.0)</f>
        <v>1</v>
      </c>
      <c r="J228" s="130">
        <f>IFERROR(__xludf.DUMMYFUNCTION("""COMPUTED_VALUE"""),1.0)</f>
        <v>1</v>
      </c>
      <c r="K228" s="130">
        <f>IFERROR(__xludf.DUMMYFUNCTION("""COMPUTED_VALUE"""),1.0)</f>
        <v>1</v>
      </c>
      <c r="L228" s="130">
        <f>IFERROR(__xludf.DUMMYFUNCTION("""COMPUTED_VALUE"""),1.0)</f>
        <v>1</v>
      </c>
      <c r="M228" s="130">
        <f>IFERROR(__xludf.DUMMYFUNCTION("""COMPUTED_VALUE"""),1.0)</f>
        <v>1</v>
      </c>
      <c r="N228" s="130">
        <f>IFERROR(__xludf.DUMMYFUNCTION("""COMPUTED_VALUE"""),0.0)</f>
        <v>0</v>
      </c>
      <c r="O228" s="130">
        <f>IFERROR(__xludf.DUMMYFUNCTION("""COMPUTED_VALUE"""),0.0)</f>
        <v>0</v>
      </c>
      <c r="P228" s="130">
        <f>IFERROR(__xludf.DUMMYFUNCTION("""COMPUTED_VALUE"""),0.0)</f>
        <v>0</v>
      </c>
      <c r="Q228" s="130">
        <f>IFERROR(__xludf.DUMMYFUNCTION("""COMPUTED_VALUE"""),0.0)</f>
        <v>0</v>
      </c>
      <c r="R228" s="130">
        <f>IFERROR(__xludf.DUMMYFUNCTION("""COMPUTED_VALUE"""),0.0)</f>
        <v>0</v>
      </c>
      <c r="S228" s="130">
        <f>IFERROR(__xludf.DUMMYFUNCTION("""COMPUTED_VALUE"""),0.0)</f>
        <v>0</v>
      </c>
      <c r="T228" s="130">
        <f>IFERROR(__xludf.DUMMYFUNCTION("""COMPUTED_VALUE"""),0.0)</f>
        <v>0</v>
      </c>
      <c r="U228" s="130">
        <f>IFERROR(__xludf.DUMMYFUNCTION("""COMPUTED_VALUE"""),0.0)</f>
        <v>0</v>
      </c>
      <c r="V228" s="130">
        <f>IFERROR(__xludf.DUMMYFUNCTION("""COMPUTED_VALUE"""),0.0)</f>
        <v>0</v>
      </c>
      <c r="W228" s="131" t="str">
        <f>IFERROR(__xludf.DUMMYFUNCTION("""COMPUTED_VALUE"""),"Yes")</f>
        <v>Yes</v>
      </c>
      <c r="X228" s="131" t="str">
        <f>IFERROR(__xludf.DUMMYFUNCTION("""COMPUTED_VALUE"""),"Yes")</f>
        <v>Yes</v>
      </c>
      <c r="Y228" s="131" t="str">
        <f>IFERROR(__xludf.DUMMYFUNCTION("""COMPUTED_VALUE"""),"F")</f>
        <v>F</v>
      </c>
      <c r="Z228" s="131" t="str">
        <f>IFERROR(__xludf.DUMMYFUNCTION("""COMPUTED_VALUE"""),"VM consolidation framework")</f>
        <v>VM consolidation framework</v>
      </c>
      <c r="AA228" s="131"/>
      <c r="AB228" s="131"/>
      <c r="AC228" s="131"/>
      <c r="AD228" s="131"/>
      <c r="AE228" s="131"/>
      <c r="AF228" s="131"/>
      <c r="AG228" s="131"/>
      <c r="AH228" s="131"/>
      <c r="AI228" s="131"/>
      <c r="AJ228" s="131"/>
    </row>
    <row r="229">
      <c r="A229" s="126">
        <f>IFERROR(__xludf.DUMMYFUNCTION("""COMPUTED_VALUE"""),458.0)</f>
        <v>458</v>
      </c>
      <c r="B229" s="126" t="str">
        <f>IFERROR(__xludf.DUMMYFUNCTION("""COMPUTED_VALUE"""),"PreMatch: An Adaptive Cost-Effective Energy Scheduling System for Data Centers")</f>
        <v>PreMatch: An Adaptive Cost-Effective Energy Scheduling System for Data Centers</v>
      </c>
      <c r="C229" s="127" t="str">
        <f>IFERROR(__xludf.DUMMYFUNCTION("""COMPUTED_VALUE"""),"https://www.storageconference.us/2020/Papers/19.PreMatch.pdf")</f>
        <v>https://www.storageconference.us/2020/Papers/19.PreMatch.pdf</v>
      </c>
      <c r="D229" s="131" t="str">
        <f>IFERROR(__xludf.DUMMYFUNCTION("""COMPUTED_VALUE"""),"D Li, J Wan, N Zhao, D Wen, C Zhang, F Wu, C Xie")</f>
        <v>D Li, J Wan, N Zhao, D Wen, C Zhang, F Wu, C Xie</v>
      </c>
      <c r="E229" s="131"/>
      <c r="F229" s="126"/>
      <c r="G229" s="128"/>
      <c r="H229" s="130"/>
      <c r="I229" s="130"/>
      <c r="J229" s="130"/>
      <c r="K229" s="130"/>
      <c r="L229" s="129"/>
      <c r="M229" s="130"/>
      <c r="N229" s="130">
        <f>IFERROR(__xludf.DUMMYFUNCTION("""COMPUTED_VALUE"""),1.0)</f>
        <v>1</v>
      </c>
      <c r="O229" s="130"/>
      <c r="P229" s="130"/>
      <c r="Q229" s="130"/>
      <c r="R229" s="130"/>
      <c r="S229" s="130"/>
      <c r="T229" s="130"/>
      <c r="U229" s="130"/>
      <c r="V229" s="130"/>
      <c r="W229" s="131" t="str">
        <f>IFERROR(__xludf.DUMMYFUNCTION("""COMPUTED_VALUE"""),"No")</f>
        <v>No</v>
      </c>
      <c r="X229" s="131" t="str">
        <f>IFERROR(__xludf.DUMMYFUNCTION("""COMPUTED_VALUE"""),"Yes")</f>
        <v>Yes</v>
      </c>
      <c r="Y229" s="131" t="str">
        <f>IFERROR(__xludf.DUMMYFUNCTION("""COMPUTED_VALUE"""),"F")</f>
        <v>F</v>
      </c>
      <c r="Z229" s="131" t="str">
        <f>IFERROR(__xludf.DUMMYFUNCTION("""COMPUTED_VALUE"""),"Storage system (SSD and HDD)")</f>
        <v>Storage system (SSD and HDD)</v>
      </c>
      <c r="AA229" s="131"/>
      <c r="AB229" s="131"/>
      <c r="AC229" s="131"/>
      <c r="AD229" s="131"/>
      <c r="AE229" s="131"/>
      <c r="AF229" s="131"/>
      <c r="AG229" s="131"/>
      <c r="AH229" s="131"/>
      <c r="AI229" s="131"/>
      <c r="AJ229" s="131"/>
    </row>
    <row r="230">
      <c r="A230" s="126">
        <f>IFERROR(__xludf.DUMMYFUNCTION("""COMPUTED_VALUE"""),459.0)</f>
        <v>459</v>
      </c>
      <c r="B230" s="126" t="str">
        <f>IFERROR(__xludf.DUMMYFUNCTION("""COMPUTED_VALUE"""),"PEFS: AI-driven Prediction based Energy-aware Fault-tolerant Scheduling Scheme for Cloud Data Center")</f>
        <v>PEFS: AI-driven Prediction based Energy-aware Fault-tolerant Scheduling Scheme for Cloud Data Center</v>
      </c>
      <c r="C230" s="127" t="str">
        <f>IFERROR(__xludf.DUMMYFUNCTION("""COMPUTED_VALUE"""),"https://ieeexplore.ieee.org/abstract/document/9165232/")</f>
        <v>https://ieeexplore.ieee.org/abstract/document/9165232/</v>
      </c>
      <c r="D230" s="126" t="str">
        <f>IFERROR(__xludf.DUMMYFUNCTION("""COMPUTED_VALUE"""),"A Marahatta, Q Xin, C Chi, F Zhang, Z Liu")</f>
        <v>A Marahatta, Q Xin, C Chi, F Zhang, Z Liu</v>
      </c>
      <c r="E230" s="126" t="str">
        <f>IFERROR(__xludf.DUMMYFUNCTION("""COMPUTED_VALUE"""),"Institute of Electrical and Electronics Engineers")</f>
        <v>Institute of Electrical and Electronics Engineers</v>
      </c>
      <c r="F230" s="126" t="str">
        <f>IFERROR(__xludf.DUMMYFUNCTION("""COMPUTED_VALUE"""),"IEEE Xplore")</f>
        <v>IEEE Xplore</v>
      </c>
      <c r="G230" s="126" t="str">
        <f>IFERROR(__xludf.DUMMYFUNCTION("""COMPUTED_VALUE"""),"J")</f>
        <v>J</v>
      </c>
      <c r="H230" s="129">
        <f>IFERROR(__xludf.DUMMYFUNCTION("""COMPUTED_VALUE"""),2020.0)</f>
        <v>2020</v>
      </c>
      <c r="I230" s="129">
        <f>IFERROR(__xludf.DUMMYFUNCTION("""COMPUTED_VALUE"""),1.0)</f>
        <v>1</v>
      </c>
      <c r="J230" s="129">
        <f>IFERROR(__xludf.DUMMYFUNCTION("""COMPUTED_VALUE"""),1.0)</f>
        <v>1</v>
      </c>
      <c r="K230" s="129">
        <f>IFERROR(__xludf.DUMMYFUNCTION("""COMPUTED_VALUE"""),1.0)</f>
        <v>1</v>
      </c>
      <c r="L230" s="129">
        <f>IFERROR(__xludf.DUMMYFUNCTION("""COMPUTED_VALUE"""),1.0)</f>
        <v>1</v>
      </c>
      <c r="M230" s="129">
        <f>IFERROR(__xludf.DUMMYFUNCTION("""COMPUTED_VALUE"""),1.0)</f>
        <v>1</v>
      </c>
      <c r="N230" s="129">
        <f>IFERROR(__xludf.DUMMYFUNCTION("""COMPUTED_VALUE"""),0.0)</f>
        <v>0</v>
      </c>
      <c r="O230" s="129">
        <f>IFERROR(__xludf.DUMMYFUNCTION("""COMPUTED_VALUE"""),0.0)</f>
        <v>0</v>
      </c>
      <c r="P230" s="129">
        <f>IFERROR(__xludf.DUMMYFUNCTION("""COMPUTED_VALUE"""),0.0)</f>
        <v>0</v>
      </c>
      <c r="Q230" s="129">
        <f>IFERROR(__xludf.DUMMYFUNCTION("""COMPUTED_VALUE"""),0.0)</f>
        <v>0</v>
      </c>
      <c r="R230" s="129">
        <f>IFERROR(__xludf.DUMMYFUNCTION("""COMPUTED_VALUE"""),0.0)</f>
        <v>0</v>
      </c>
      <c r="S230" s="129">
        <f>IFERROR(__xludf.DUMMYFUNCTION("""COMPUTED_VALUE"""),0.0)</f>
        <v>0</v>
      </c>
      <c r="T230" s="129">
        <f>IFERROR(__xludf.DUMMYFUNCTION("""COMPUTED_VALUE"""),0.0)</f>
        <v>0</v>
      </c>
      <c r="U230" s="129">
        <f>IFERROR(__xludf.DUMMYFUNCTION("""COMPUTED_VALUE"""),0.0)</f>
        <v>0</v>
      </c>
      <c r="V230" s="129">
        <f>IFERROR(__xludf.DUMMYFUNCTION("""COMPUTED_VALUE"""),0.0)</f>
        <v>0</v>
      </c>
      <c r="W230" s="126" t="str">
        <f>IFERROR(__xludf.DUMMYFUNCTION("""COMPUTED_VALUE"""),"Yes")</f>
        <v>Yes</v>
      </c>
      <c r="X230" s="126" t="str">
        <f>IFERROR(__xludf.DUMMYFUNCTION("""COMPUTED_VALUE"""),"Yes")</f>
        <v>Yes</v>
      </c>
      <c r="Y230" s="126" t="str">
        <f>IFERROR(__xludf.DUMMYFUNCTION("""COMPUTED_VALUE"""),"F")</f>
        <v>F</v>
      </c>
      <c r="Z230" s="126" t="str">
        <f>IFERROR(__xludf.DUMMYFUNCTION("""COMPUTED_VALUE"""),"prediction of task failures")</f>
        <v>prediction of task failures</v>
      </c>
      <c r="AA230" s="126"/>
      <c r="AB230" s="126"/>
      <c r="AC230" s="126"/>
      <c r="AD230" s="126"/>
      <c r="AE230" s="126"/>
      <c r="AF230" s="126"/>
      <c r="AG230" s="126"/>
      <c r="AH230" s="126"/>
      <c r="AI230" s="126"/>
      <c r="AJ230" s="126"/>
    </row>
    <row r="231">
      <c r="A231" s="126">
        <f>IFERROR(__xludf.DUMMYFUNCTION("""COMPUTED_VALUE"""),460.0)</f>
        <v>460</v>
      </c>
      <c r="B231" s="126" t="str">
        <f>IFERROR(__xludf.DUMMYFUNCTION("""COMPUTED_VALUE"""),"BiTE: a dynamic bi-level traffic engineering model for load balancing and energy efficiency in data center networks")</f>
        <v>BiTE: a dynamic bi-level traffic engineering model for load balancing and energy efficiency in data center networks</v>
      </c>
      <c r="C231" s="127" t="str">
        <f>IFERROR(__xludf.DUMMYFUNCTION("""COMPUTED_VALUE"""),"https://link.springer.com/article/10.1007/s10489-020-02003-9")</f>
        <v>https://link.springer.com/article/10.1007/s10489-020-02003-9</v>
      </c>
      <c r="D231" s="126" t="str">
        <f>IFERROR(__xludf.DUMMYFUNCTION("""COMPUTED_VALUE"""),"N Rikhtegar, M Keshtgari, O Bushehrian, G Pujolle")</f>
        <v>N Rikhtegar, M Keshtgari, O Bushehrian, G Pujolle</v>
      </c>
      <c r="E231" s="126" t="str">
        <f>IFERROR(__xludf.DUMMYFUNCTION("""COMPUTED_VALUE"""),"Springer")</f>
        <v>Springer</v>
      </c>
      <c r="F231" s="126" t="str">
        <f>IFERROR(__xludf.DUMMYFUNCTION("""COMPUTED_VALUE"""),"Springer")</f>
        <v>Springer</v>
      </c>
      <c r="G231" s="128" t="str">
        <f>IFERROR(__xludf.DUMMYFUNCTION("""COMPUTED_VALUE"""),"J")</f>
        <v>J</v>
      </c>
      <c r="H231" s="130">
        <f>IFERROR(__xludf.DUMMYFUNCTION("""COMPUTED_VALUE"""),2021.0)</f>
        <v>2021</v>
      </c>
      <c r="I231" s="130">
        <f>IFERROR(__xludf.DUMMYFUNCTION("""COMPUTED_VALUE"""),1.0)</f>
        <v>1</v>
      </c>
      <c r="J231" s="130">
        <f>IFERROR(__xludf.DUMMYFUNCTION("""COMPUTED_VALUE"""),1.0)</f>
        <v>1</v>
      </c>
      <c r="K231" s="130">
        <f>IFERROR(__xludf.DUMMYFUNCTION("""COMPUTED_VALUE"""),1.0)</f>
        <v>1</v>
      </c>
      <c r="L231" s="129">
        <f>IFERROR(__xludf.DUMMYFUNCTION("""COMPUTED_VALUE"""),1.0)</f>
        <v>1</v>
      </c>
      <c r="M231" s="130">
        <f>IFERROR(__xludf.DUMMYFUNCTION("""COMPUTED_VALUE"""),1.0)</f>
        <v>1</v>
      </c>
      <c r="N231" s="130">
        <f>IFERROR(__xludf.DUMMYFUNCTION("""COMPUTED_VALUE"""),0.0)</f>
        <v>0</v>
      </c>
      <c r="O231" s="130">
        <f>IFERROR(__xludf.DUMMYFUNCTION("""COMPUTED_VALUE"""),0.0)</f>
        <v>0</v>
      </c>
      <c r="P231" s="130">
        <f>IFERROR(__xludf.DUMMYFUNCTION("""COMPUTED_VALUE"""),0.0)</f>
        <v>0</v>
      </c>
      <c r="Q231" s="130">
        <f>IFERROR(__xludf.DUMMYFUNCTION("""COMPUTED_VALUE"""),0.0)</f>
        <v>0</v>
      </c>
      <c r="R231" s="130">
        <f>IFERROR(__xludf.DUMMYFUNCTION("""COMPUTED_VALUE"""),0.0)</f>
        <v>0</v>
      </c>
      <c r="S231" s="130">
        <f>IFERROR(__xludf.DUMMYFUNCTION("""COMPUTED_VALUE"""),0.0)</f>
        <v>0</v>
      </c>
      <c r="T231" s="130">
        <f>IFERROR(__xludf.DUMMYFUNCTION("""COMPUTED_VALUE"""),0.0)</f>
        <v>0</v>
      </c>
      <c r="U231" s="130">
        <f>IFERROR(__xludf.DUMMYFUNCTION("""COMPUTED_VALUE"""),0.0)</f>
        <v>0</v>
      </c>
      <c r="V231" s="130">
        <f>IFERROR(__xludf.DUMMYFUNCTION("""COMPUTED_VALUE"""),0.0)</f>
        <v>0</v>
      </c>
      <c r="W231" s="131" t="str">
        <f>IFERROR(__xludf.DUMMYFUNCTION("""COMPUTED_VALUE"""),"Yes")</f>
        <v>Yes</v>
      </c>
      <c r="X231" s="131" t="str">
        <f>IFERROR(__xludf.DUMMYFUNCTION("""COMPUTED_VALUE"""),"Yes")</f>
        <v>Yes</v>
      </c>
      <c r="Y231" s="131" t="str">
        <f>IFERROR(__xludf.DUMMYFUNCTION("""COMPUTED_VALUE"""),"F")</f>
        <v>F</v>
      </c>
      <c r="Z231" s="131" t="str">
        <f>IFERROR(__xludf.DUMMYFUNCTION("""COMPUTED_VALUE"""),"load balancing scheme")</f>
        <v>load balancing scheme</v>
      </c>
      <c r="AA231" s="131"/>
      <c r="AB231" s="131"/>
      <c r="AC231" s="131"/>
      <c r="AD231" s="131"/>
      <c r="AE231" s="131"/>
      <c r="AF231" s="131"/>
      <c r="AG231" s="131"/>
      <c r="AH231" s="131"/>
      <c r="AI231" s="131"/>
      <c r="AJ231" s="131"/>
    </row>
    <row r="232">
      <c r="A232" s="126">
        <f>IFERROR(__xludf.DUMMYFUNCTION("""COMPUTED_VALUE"""),461.0)</f>
        <v>461</v>
      </c>
      <c r="B232" s="126" t="str">
        <f>IFERROR(__xludf.DUMMYFUNCTION("""COMPUTED_VALUE"""),"J-OPT: A Joint Host and Network Optimization Algorithm for Energy-Efficient Workflow Scheduling in Cloud Data Centers")</f>
        <v>J-OPT: A Joint Host and Network Optimization Algorithm for Energy-Efficient Workflow Scheduling in Cloud Data Centers</v>
      </c>
      <c r="C232" s="127" t="str">
        <f>IFERROR(__xludf.DUMMYFUNCTION("""COMPUTED_VALUE"""),"https://dl.acm.org/doi/abs/10.1145/3344341.3368822")</f>
        <v>https://dl.acm.org/doi/abs/10.1145/3344341.3368822</v>
      </c>
      <c r="D232" s="126" t="str">
        <f>IFERROR(__xludf.DUMMYFUNCTION("""COMPUTED_VALUE"""),"A Jayanetti, R Buyya")</f>
        <v>A Jayanetti, R Buyya</v>
      </c>
      <c r="E232" s="126" t="str">
        <f>IFERROR(__xludf.DUMMYFUNCTION("""COMPUTED_VALUE"""),"Association for Computing Machinery")</f>
        <v>Association for Computing Machinery</v>
      </c>
      <c r="F232" s="126" t="str">
        <f>IFERROR(__xludf.DUMMYFUNCTION("""COMPUTED_VALUE"""),"ACM")</f>
        <v>ACM</v>
      </c>
      <c r="G232" s="128" t="str">
        <f>IFERROR(__xludf.DUMMYFUNCTION("""COMPUTED_VALUE"""),"C")</f>
        <v>C</v>
      </c>
      <c r="H232" s="129">
        <f>IFERROR(__xludf.DUMMYFUNCTION("""COMPUTED_VALUE"""),2019.0)</f>
        <v>2019</v>
      </c>
      <c r="I232" s="130">
        <f>IFERROR(__xludf.DUMMYFUNCTION("""COMPUTED_VALUE"""),1.0)</f>
        <v>1</v>
      </c>
      <c r="J232" s="129">
        <f>IFERROR(__xludf.DUMMYFUNCTION("""COMPUTED_VALUE"""),1.0)</f>
        <v>1</v>
      </c>
      <c r="K232" s="130">
        <f>IFERROR(__xludf.DUMMYFUNCTION("""COMPUTED_VALUE"""),1.0)</f>
        <v>1</v>
      </c>
      <c r="L232" s="130">
        <f>IFERROR(__xludf.DUMMYFUNCTION("""COMPUTED_VALUE"""),1.0)</f>
        <v>1</v>
      </c>
      <c r="M232" s="130">
        <f>IFERROR(__xludf.DUMMYFUNCTION("""COMPUTED_VALUE"""),1.0)</f>
        <v>1</v>
      </c>
      <c r="N232" s="130">
        <f>IFERROR(__xludf.DUMMYFUNCTION("""COMPUTED_VALUE"""),0.0)</f>
        <v>0</v>
      </c>
      <c r="O232" s="129">
        <f>IFERROR(__xludf.DUMMYFUNCTION("""COMPUTED_VALUE"""),0.0)</f>
        <v>0</v>
      </c>
      <c r="P232" s="130">
        <f>IFERROR(__xludf.DUMMYFUNCTION("""COMPUTED_VALUE"""),0.0)</f>
        <v>0</v>
      </c>
      <c r="Q232" s="130">
        <f>IFERROR(__xludf.DUMMYFUNCTION("""COMPUTED_VALUE"""),0.0)</f>
        <v>0</v>
      </c>
      <c r="R232" s="129">
        <f>IFERROR(__xludf.DUMMYFUNCTION("""COMPUTED_VALUE"""),0.0)</f>
        <v>0</v>
      </c>
      <c r="S232" s="129">
        <f>IFERROR(__xludf.DUMMYFUNCTION("""COMPUTED_VALUE"""),0.0)</f>
        <v>0</v>
      </c>
      <c r="T232" s="129">
        <f>IFERROR(__xludf.DUMMYFUNCTION("""COMPUTED_VALUE"""),0.0)</f>
        <v>0</v>
      </c>
      <c r="U232" s="129">
        <f>IFERROR(__xludf.DUMMYFUNCTION("""COMPUTED_VALUE"""),0.0)</f>
        <v>0</v>
      </c>
      <c r="V232" s="129">
        <f>IFERROR(__xludf.DUMMYFUNCTION("""COMPUTED_VALUE"""),0.0)</f>
        <v>0</v>
      </c>
      <c r="W232" s="126" t="str">
        <f>IFERROR(__xludf.DUMMYFUNCTION("""COMPUTED_VALUE"""),"Yes")</f>
        <v>Yes</v>
      </c>
      <c r="X232" s="126" t="str">
        <f>IFERROR(__xludf.DUMMYFUNCTION("""COMPUTED_VALUE"""),"Yes")</f>
        <v>Yes</v>
      </c>
      <c r="Y232" s="126" t="str">
        <f>IFERROR(__xludf.DUMMYFUNCTION("""COMPUTED_VALUE"""),"F")</f>
        <v>F</v>
      </c>
      <c r="Z232" s="126" t="str">
        <f>IFERROR(__xludf.DUMMYFUNCTION("""COMPUTED_VALUE"""),"workflow scheduling approach")</f>
        <v>workflow scheduling approach</v>
      </c>
      <c r="AA232" s="126"/>
      <c r="AB232" s="126"/>
      <c r="AC232" s="126"/>
      <c r="AD232" s="126"/>
      <c r="AE232" s="126"/>
      <c r="AF232" s="126"/>
      <c r="AG232" s="126"/>
      <c r="AH232" s="126"/>
      <c r="AI232" s="126"/>
      <c r="AJ232" s="126"/>
    </row>
    <row r="233">
      <c r="A233" s="126">
        <f>IFERROR(__xludf.DUMMYFUNCTION("""COMPUTED_VALUE"""),462.0)</f>
        <v>462</v>
      </c>
      <c r="B233" s="126" t="str">
        <f>IFERROR(__xludf.DUMMYFUNCTION("""COMPUTED_VALUE"""),"Energy Efficiency of Data Center Network Based on Software Defined Network")</f>
        <v>Energy Efficiency of Data Center Network Based on Software Defined Network</v>
      </c>
      <c r="C233" s="127" t="str">
        <f>IFERROR(__xludf.DUMMYFUNCTION("""COMPUTED_VALUE"""),"https://ieeexplore.ieee.org/abstract/document/8878624/")</f>
        <v>https://ieeexplore.ieee.org/abstract/document/8878624/</v>
      </c>
      <c r="D233" s="126" t="str">
        <f>IFERROR(__xludf.DUMMYFUNCTION("""COMPUTED_VALUE"""),"F Fattah, H Darwis, H Azis, W Astuti…")</f>
        <v>F Fattah, H Darwis, H Azis, W Astuti…</v>
      </c>
      <c r="E233" s="126" t="str">
        <f>IFERROR(__xludf.DUMMYFUNCTION("""COMPUTED_VALUE"""),"Institute of Electrical and Electronics Engineers")</f>
        <v>Institute of Electrical and Electronics Engineers</v>
      </c>
      <c r="F233" s="126" t="str">
        <f>IFERROR(__xludf.DUMMYFUNCTION("""COMPUTED_VALUE"""),"IEEE Xplore")</f>
        <v>IEEE Xplore</v>
      </c>
      <c r="G233" s="128" t="str">
        <f>IFERROR(__xludf.DUMMYFUNCTION("""COMPUTED_VALUE"""),"C")</f>
        <v>C</v>
      </c>
      <c r="H233" s="129">
        <f>IFERROR(__xludf.DUMMYFUNCTION("""COMPUTED_VALUE"""),2018.0)</f>
        <v>2018</v>
      </c>
      <c r="I233" s="130">
        <f>IFERROR(__xludf.DUMMYFUNCTION("""COMPUTED_VALUE"""),0.0)</f>
        <v>0</v>
      </c>
      <c r="J233" s="129">
        <f>IFERROR(__xludf.DUMMYFUNCTION("""COMPUTED_VALUE"""),1.0)</f>
        <v>1</v>
      </c>
      <c r="K233" s="130">
        <f>IFERROR(__xludf.DUMMYFUNCTION("""COMPUTED_VALUE"""),1.0)</f>
        <v>1</v>
      </c>
      <c r="L233" s="130">
        <f>IFERROR(__xludf.DUMMYFUNCTION("""COMPUTED_VALUE"""),0.0)</f>
        <v>0</v>
      </c>
      <c r="M233" s="130">
        <f>IFERROR(__xludf.DUMMYFUNCTION("""COMPUTED_VALUE"""),1.0)</f>
        <v>1</v>
      </c>
      <c r="N233" s="130">
        <f>IFERROR(__xludf.DUMMYFUNCTION("""COMPUTED_VALUE"""),0.0)</f>
        <v>0</v>
      </c>
      <c r="O233" s="130">
        <f>IFERROR(__xludf.DUMMYFUNCTION("""COMPUTED_VALUE"""),0.0)</f>
        <v>0</v>
      </c>
      <c r="P233" s="130">
        <f>IFERROR(__xludf.DUMMYFUNCTION("""COMPUTED_VALUE"""),0.0)</f>
        <v>0</v>
      </c>
      <c r="Q233" s="130">
        <f>IFERROR(__xludf.DUMMYFUNCTION("""COMPUTED_VALUE"""),0.0)</f>
        <v>0</v>
      </c>
      <c r="R233" s="130">
        <f>IFERROR(__xludf.DUMMYFUNCTION("""COMPUTED_VALUE"""),0.0)</f>
        <v>0</v>
      </c>
      <c r="S233" s="130">
        <f>IFERROR(__xludf.DUMMYFUNCTION("""COMPUTED_VALUE"""),1.0)</f>
        <v>1</v>
      </c>
      <c r="T233" s="130">
        <f>IFERROR(__xludf.DUMMYFUNCTION("""COMPUTED_VALUE"""),0.0)</f>
        <v>0</v>
      </c>
      <c r="U233" s="130">
        <f>IFERROR(__xludf.DUMMYFUNCTION("""COMPUTED_VALUE"""),0.0)</f>
        <v>0</v>
      </c>
      <c r="V233" s="130">
        <f>IFERROR(__xludf.DUMMYFUNCTION("""COMPUTED_VALUE"""),0.0)</f>
        <v>0</v>
      </c>
      <c r="W233" s="131" t="str">
        <f>IFERROR(__xludf.DUMMYFUNCTION("""COMPUTED_VALUE"""),"No")</f>
        <v>No</v>
      </c>
      <c r="X233" s="131" t="str">
        <f>IFERROR(__xludf.DUMMYFUNCTION("""COMPUTED_VALUE"""),"Yes")</f>
        <v>Yes</v>
      </c>
      <c r="Y233" s="131" t="str">
        <f>IFERROR(__xludf.DUMMYFUNCTION("""COMPUTED_VALUE"""),"F")</f>
        <v>F</v>
      </c>
      <c r="Z233" s="131" t="str">
        <f>IFERROR(__xludf.DUMMYFUNCTION("""COMPUTED_VALUE"""),"only explaining existing methods ")</f>
        <v>only explaining existing methods </v>
      </c>
      <c r="AA233" s="131"/>
      <c r="AB233" s="131"/>
      <c r="AC233" s="131"/>
      <c r="AD233" s="131"/>
      <c r="AE233" s="131"/>
      <c r="AF233" s="131"/>
      <c r="AG233" s="131"/>
      <c r="AH233" s="131"/>
      <c r="AI233" s="131"/>
      <c r="AJ233" s="131"/>
    </row>
    <row r="234">
      <c r="A234" s="126">
        <f>IFERROR(__xludf.DUMMYFUNCTION("""COMPUTED_VALUE"""),466.0)</f>
        <v>466</v>
      </c>
      <c r="B234" s="126" t="str">
        <f>IFERROR(__xludf.DUMMYFUNCTION("""COMPUTED_VALUE"""),"Energy performance of heuristics and meta-heuristics for real-time joint resource scaling and consolidation in virtualized networked data centers")</f>
        <v>Energy performance of heuristics and meta-heuristics for real-time joint resource scaling and consolidation in virtualized networked data centers</v>
      </c>
      <c r="C234" s="127" t="str">
        <f>IFERROR(__xludf.DUMMYFUNCTION("""COMPUTED_VALUE"""),"https://link.springer.com/article/10.1007/s11227-018-2244-6")</f>
        <v>https://link.springer.com/article/10.1007/s11227-018-2244-6</v>
      </c>
      <c r="D234" s="126" t="str">
        <f>IFERROR(__xludf.DUMMYFUNCTION("""COMPUTED_VALUE"""),"M Scarpiniti, E Baccarelli, PGV Naranjo, A Uncini ")</f>
        <v>M Scarpiniti, E Baccarelli, PGV Naranjo, A Uncini </v>
      </c>
      <c r="E234" s="126" t="str">
        <f>IFERROR(__xludf.DUMMYFUNCTION("""COMPUTED_VALUE"""),"Springer")</f>
        <v>Springer</v>
      </c>
      <c r="F234" s="126" t="str">
        <f>IFERROR(__xludf.DUMMYFUNCTION("""COMPUTED_VALUE"""),"Springer")</f>
        <v>Springer</v>
      </c>
      <c r="G234" s="128" t="str">
        <f>IFERROR(__xludf.DUMMYFUNCTION("""COMPUTED_VALUE"""),"J")</f>
        <v>J</v>
      </c>
      <c r="H234" s="130">
        <f>IFERROR(__xludf.DUMMYFUNCTION("""COMPUTED_VALUE"""),2018.0)</f>
        <v>2018</v>
      </c>
      <c r="I234" s="129">
        <f>IFERROR(__xludf.DUMMYFUNCTION("""COMPUTED_VALUE"""),1.0)</f>
        <v>1</v>
      </c>
      <c r="J234" s="130">
        <f>IFERROR(__xludf.DUMMYFUNCTION("""COMPUTED_VALUE"""),1.0)</f>
        <v>1</v>
      </c>
      <c r="K234" s="130">
        <f>IFERROR(__xludf.DUMMYFUNCTION("""COMPUTED_VALUE"""),1.0)</f>
        <v>1</v>
      </c>
      <c r="L234" s="130">
        <f>IFERROR(__xludf.DUMMYFUNCTION("""COMPUTED_VALUE"""),1.0)</f>
        <v>1</v>
      </c>
      <c r="M234" s="130">
        <f>IFERROR(__xludf.DUMMYFUNCTION("""COMPUTED_VALUE"""),1.0)</f>
        <v>1</v>
      </c>
      <c r="N234" s="130">
        <f>IFERROR(__xludf.DUMMYFUNCTION("""COMPUTED_VALUE"""),0.0)</f>
        <v>0</v>
      </c>
      <c r="O234" s="130">
        <f>IFERROR(__xludf.DUMMYFUNCTION("""COMPUTED_VALUE"""),0.0)</f>
        <v>0</v>
      </c>
      <c r="P234" s="130">
        <f>IFERROR(__xludf.DUMMYFUNCTION("""COMPUTED_VALUE"""),0.0)</f>
        <v>0</v>
      </c>
      <c r="Q234" s="130">
        <f>IFERROR(__xludf.DUMMYFUNCTION("""COMPUTED_VALUE"""),0.0)</f>
        <v>0</v>
      </c>
      <c r="R234" s="130">
        <f>IFERROR(__xludf.DUMMYFUNCTION("""COMPUTED_VALUE"""),0.0)</f>
        <v>0</v>
      </c>
      <c r="S234" s="130">
        <f>IFERROR(__xludf.DUMMYFUNCTION("""COMPUTED_VALUE"""),0.0)</f>
        <v>0</v>
      </c>
      <c r="T234" s="130">
        <f>IFERROR(__xludf.DUMMYFUNCTION("""COMPUTED_VALUE"""),0.0)</f>
        <v>0</v>
      </c>
      <c r="U234" s="130">
        <f>IFERROR(__xludf.DUMMYFUNCTION("""COMPUTED_VALUE"""),0.0)</f>
        <v>0</v>
      </c>
      <c r="V234" s="130">
        <f>IFERROR(__xludf.DUMMYFUNCTION("""COMPUTED_VALUE"""),0.0)</f>
        <v>0</v>
      </c>
      <c r="W234" s="131" t="str">
        <f>IFERROR(__xludf.DUMMYFUNCTION("""COMPUTED_VALUE"""),"Yes")</f>
        <v>Yes</v>
      </c>
      <c r="X234" s="131" t="str">
        <f>IFERROR(__xludf.DUMMYFUNCTION("""COMPUTED_VALUE"""),"Yes")</f>
        <v>Yes</v>
      </c>
      <c r="Y234" s="131" t="str">
        <f>IFERROR(__xludf.DUMMYFUNCTION("""COMPUTED_VALUE"""),"F")</f>
        <v>F</v>
      </c>
      <c r="Z234" s="131" t="str">
        <f>IFERROR(__xludf.DUMMYFUNCTION("""COMPUTED_VALUE"""),"meta-heuristic VM consolidation")</f>
        <v>meta-heuristic VM consolidation</v>
      </c>
      <c r="AA234" s="131"/>
      <c r="AB234" s="131"/>
      <c r="AC234" s="131"/>
      <c r="AD234" s="131"/>
      <c r="AE234" s="131"/>
      <c r="AF234" s="131"/>
      <c r="AG234" s="131"/>
      <c r="AH234" s="131"/>
      <c r="AI234" s="131"/>
      <c r="AJ234" s="131"/>
    </row>
    <row r="235">
      <c r="A235" s="126">
        <f>IFERROR(__xludf.DUMMYFUNCTION("""COMPUTED_VALUE"""),467.0)</f>
        <v>467</v>
      </c>
      <c r="B235" s="126" t="str">
        <f>IFERROR(__xludf.DUMMYFUNCTION("""COMPUTED_VALUE"""),"Dual-Level Cooperative Game Approach for Energy-Aware Resource Allocation in Data Centers")</f>
        <v>Dual-Level Cooperative Game Approach for Energy-Aware Resource Allocation in Data Centers</v>
      </c>
      <c r="C235" s="127" t="str">
        <f>IFERROR(__xludf.DUMMYFUNCTION("""COMPUTED_VALUE"""),"https://ieeexplore.ieee.org/abstract/document/8794793/")</f>
        <v>https://ieeexplore.ieee.org/abstract/document/8794793/</v>
      </c>
      <c r="D235" s="126" t="str">
        <f>IFERROR(__xludf.DUMMYFUNCTION("""COMPUTED_VALUE"""),"S Kim")</f>
        <v>S Kim</v>
      </c>
      <c r="E235" s="126" t="str">
        <f>IFERROR(__xludf.DUMMYFUNCTION("""COMPUTED_VALUE"""),"Institute of Electrical and Electronics Engineers")</f>
        <v>Institute of Electrical and Electronics Engineers</v>
      </c>
      <c r="F235" s="126" t="str">
        <f>IFERROR(__xludf.DUMMYFUNCTION("""COMPUTED_VALUE"""),"IEEE Xplore")</f>
        <v>IEEE Xplore</v>
      </c>
      <c r="G235" s="132"/>
      <c r="H235" s="129">
        <f>IFERROR(__xludf.DUMMYFUNCTION("""COMPUTED_VALUE"""),2019.0)</f>
        <v>2019</v>
      </c>
      <c r="I235" s="129"/>
      <c r="J235" s="129"/>
      <c r="K235" s="130"/>
      <c r="L235" s="130"/>
      <c r="M235" s="130"/>
      <c r="N235" s="130"/>
      <c r="O235" s="130">
        <f>IFERROR(__xludf.DUMMYFUNCTION("""COMPUTED_VALUE"""),1.0)</f>
        <v>1</v>
      </c>
      <c r="P235" s="130"/>
      <c r="Q235" s="129"/>
      <c r="R235" s="129"/>
      <c r="S235" s="129"/>
      <c r="T235" s="129"/>
      <c r="U235" s="129"/>
      <c r="V235" s="129"/>
      <c r="W235" s="126" t="str">
        <f>IFERROR(__xludf.DUMMYFUNCTION("""COMPUTED_VALUE"""),"No")</f>
        <v>No</v>
      </c>
      <c r="X235" s="126" t="str">
        <f>IFERROR(__xludf.DUMMYFUNCTION("""COMPUTED_VALUE"""),"Yes")</f>
        <v>Yes</v>
      </c>
      <c r="Y235" s="126" t="str">
        <f>IFERROR(__xludf.DUMMYFUNCTION("""COMPUTED_VALUE"""),"F")</f>
        <v>F</v>
      </c>
      <c r="Z235" s="126" t="str">
        <f>IFERROR(__xludf.DUMMYFUNCTION("""COMPUTED_VALUE"""),"cooling system control algorithm")</f>
        <v>cooling system control algorithm</v>
      </c>
      <c r="AA235" s="126"/>
      <c r="AB235" s="126"/>
      <c r="AC235" s="126"/>
      <c r="AD235" s="126"/>
      <c r="AE235" s="126"/>
      <c r="AF235" s="126"/>
      <c r="AG235" s="126"/>
      <c r="AH235" s="126"/>
      <c r="AI235" s="126"/>
      <c r="AJ235" s="126"/>
    </row>
    <row r="236">
      <c r="A236" s="126">
        <f>IFERROR(__xludf.DUMMYFUNCTION("""COMPUTED_VALUE"""),470.0)</f>
        <v>470</v>
      </c>
      <c r="B236" s="126" t="str">
        <f>IFERROR(__xludf.DUMMYFUNCTION("""COMPUTED_VALUE"""),"Energy consumption improvement and cost saving by cloud broker in cloud datacenters.")</f>
        <v>Energy consumption improvement and cost saving by cloud broker in cloud datacenters.</v>
      </c>
      <c r="C236" s="127" t="str">
        <f>IFERROR(__xludf.DUMMYFUNCTION("""COMPUTED_VALUE"""),"http://iajit.org/PDF/May%202018,%20No.%203/10882.pdf")</f>
        <v>http://iajit.org/PDF/May%202018,%20No.%203/10882.pdf</v>
      </c>
      <c r="D236" s="126" t="str">
        <f>IFERROR(__xludf.DUMMYFUNCTION("""COMPUTED_VALUE"""),"A Karamollahi, A Chalechale, M Ahmadi")</f>
        <v>A Karamollahi, A Chalechale, M Ahmadi</v>
      </c>
      <c r="E236" s="126" t="str">
        <f>IFERROR(__xludf.DUMMYFUNCTION("""COMPUTED_VALUE"""),"The International Arab Journal of Information Technology")</f>
        <v>The International Arab Journal of Information Technology</v>
      </c>
      <c r="F236" s="126" t="str">
        <f>IFERROR(__xludf.DUMMYFUNCTION("""COMPUTED_VALUE"""),"IAJIT")</f>
        <v>IAJIT</v>
      </c>
      <c r="G236" s="128" t="str">
        <f>IFERROR(__xludf.DUMMYFUNCTION("""COMPUTED_VALUE"""),"J")</f>
        <v>J</v>
      </c>
      <c r="H236" s="130">
        <f>IFERROR(__xludf.DUMMYFUNCTION("""COMPUTED_VALUE"""),2018.0)</f>
        <v>2018</v>
      </c>
      <c r="I236" s="129">
        <f>IFERROR(__xludf.DUMMYFUNCTION("""COMPUTED_VALUE"""),1.0)</f>
        <v>1</v>
      </c>
      <c r="J236" s="130">
        <f>IFERROR(__xludf.DUMMYFUNCTION("""COMPUTED_VALUE"""),1.0)</f>
        <v>1</v>
      </c>
      <c r="K236" s="130">
        <f>IFERROR(__xludf.DUMMYFUNCTION("""COMPUTED_VALUE"""),1.0)</f>
        <v>1</v>
      </c>
      <c r="L236" s="130">
        <f>IFERROR(__xludf.DUMMYFUNCTION("""COMPUTED_VALUE"""),1.0)</f>
        <v>1</v>
      </c>
      <c r="M236" s="130">
        <f>IFERROR(__xludf.DUMMYFUNCTION("""COMPUTED_VALUE"""),1.0)</f>
        <v>1</v>
      </c>
      <c r="N236" s="130">
        <f>IFERROR(__xludf.DUMMYFUNCTION("""COMPUTED_VALUE"""),0.0)</f>
        <v>0</v>
      </c>
      <c r="O236" s="130">
        <f>IFERROR(__xludf.DUMMYFUNCTION("""COMPUTED_VALUE"""),0.0)</f>
        <v>0</v>
      </c>
      <c r="P236" s="130">
        <f>IFERROR(__xludf.DUMMYFUNCTION("""COMPUTED_VALUE"""),0.0)</f>
        <v>0</v>
      </c>
      <c r="Q236" s="130">
        <f>IFERROR(__xludf.DUMMYFUNCTION("""COMPUTED_VALUE"""),0.0)</f>
        <v>0</v>
      </c>
      <c r="R236" s="130">
        <f>IFERROR(__xludf.DUMMYFUNCTION("""COMPUTED_VALUE"""),0.0)</f>
        <v>0</v>
      </c>
      <c r="S236" s="130">
        <f>IFERROR(__xludf.DUMMYFUNCTION("""COMPUTED_VALUE"""),0.0)</f>
        <v>0</v>
      </c>
      <c r="T236" s="130">
        <f>IFERROR(__xludf.DUMMYFUNCTION("""COMPUTED_VALUE"""),0.0)</f>
        <v>0</v>
      </c>
      <c r="U236" s="130">
        <f>IFERROR(__xludf.DUMMYFUNCTION("""COMPUTED_VALUE"""),0.0)</f>
        <v>0</v>
      </c>
      <c r="V236" s="130">
        <f>IFERROR(__xludf.DUMMYFUNCTION("""COMPUTED_VALUE"""),0.0)</f>
        <v>0</v>
      </c>
      <c r="W236" s="131" t="str">
        <f>IFERROR(__xludf.DUMMYFUNCTION("""COMPUTED_VALUE"""),"Yes")</f>
        <v>Yes</v>
      </c>
      <c r="X236" s="131" t="str">
        <f>IFERROR(__xludf.DUMMYFUNCTION("""COMPUTED_VALUE"""),"Yes")</f>
        <v>Yes</v>
      </c>
      <c r="Y236" s="131" t="str">
        <f>IFERROR(__xludf.DUMMYFUNCTION("""COMPUTED_VALUE"""),"F")</f>
        <v>F</v>
      </c>
      <c r="Z236" s="131" t="str">
        <f>IFERROR(__xludf.DUMMYFUNCTION("""COMPUTED_VALUE"""),"cloud broker' algorithm")</f>
        <v>cloud broker' algorithm</v>
      </c>
      <c r="AA236" s="131"/>
      <c r="AB236" s="131"/>
      <c r="AC236" s="131"/>
      <c r="AD236" s="131"/>
      <c r="AE236" s="131"/>
      <c r="AF236" s="131"/>
      <c r="AG236" s="131"/>
      <c r="AH236" s="131"/>
      <c r="AI236" s="131"/>
      <c r="AJ236" s="131"/>
    </row>
    <row r="237">
      <c r="A237" s="126">
        <f>IFERROR(__xludf.DUMMYFUNCTION("""COMPUTED_VALUE"""),472.0)</f>
        <v>472</v>
      </c>
      <c r="B237" s="126" t="str">
        <f>IFERROR(__xludf.DUMMYFUNCTION("""COMPUTED_VALUE"""),"Eawa: Energy-aware workload assignment in data centers")</f>
        <v>Eawa: Energy-aware workload assignment in data centers</v>
      </c>
      <c r="C237" s="127" t="str">
        <f>IFERROR(__xludf.DUMMYFUNCTION("""COMPUTED_VALUE"""),"https://ieeexplore.ieee.org/abstract/document/8514358/")</f>
        <v>https://ieeexplore.ieee.org/abstract/document/8514358/</v>
      </c>
      <c r="D237" s="126" t="str">
        <f>IFERROR(__xludf.DUMMYFUNCTION("""COMPUTED_VALUE"""),"SMM Nejad, G Badawy…")</f>
        <v>SMM Nejad, G Badawy…</v>
      </c>
      <c r="E237" s="126" t="str">
        <f>IFERROR(__xludf.DUMMYFUNCTION("""COMPUTED_VALUE"""),"Institute of Electrical and Electronics Engineers")</f>
        <v>Institute of Electrical and Electronics Engineers</v>
      </c>
      <c r="F237" s="126" t="str">
        <f>IFERROR(__xludf.DUMMYFUNCTION("""COMPUTED_VALUE"""),"IEEE Xplore")</f>
        <v>IEEE Xplore</v>
      </c>
      <c r="G237" s="132" t="str">
        <f>IFERROR(__xludf.DUMMYFUNCTION("""COMPUTED_VALUE"""),"C")</f>
        <v>C</v>
      </c>
      <c r="H237" s="129">
        <f>IFERROR(__xludf.DUMMYFUNCTION("""COMPUTED_VALUE"""),2018.0)</f>
        <v>2018</v>
      </c>
      <c r="I237" s="129">
        <f>IFERROR(__xludf.DUMMYFUNCTION("""COMPUTED_VALUE"""),1.0)</f>
        <v>1</v>
      </c>
      <c r="J237" s="129">
        <f>IFERROR(__xludf.DUMMYFUNCTION("""COMPUTED_VALUE"""),1.0)</f>
        <v>1</v>
      </c>
      <c r="K237" s="130">
        <f>IFERROR(__xludf.DUMMYFUNCTION("""COMPUTED_VALUE"""),1.0)</f>
        <v>1</v>
      </c>
      <c r="L237" s="130">
        <f>IFERROR(__xludf.DUMMYFUNCTION("""COMPUTED_VALUE"""),1.0)</f>
        <v>1</v>
      </c>
      <c r="M237" s="130">
        <f>IFERROR(__xludf.DUMMYFUNCTION("""COMPUTED_VALUE"""),1.0)</f>
        <v>1</v>
      </c>
      <c r="N237" s="130">
        <f>IFERROR(__xludf.DUMMYFUNCTION("""COMPUTED_VALUE"""),1.0)</f>
        <v>1</v>
      </c>
      <c r="O237" s="130">
        <f>IFERROR(__xludf.DUMMYFUNCTION("""COMPUTED_VALUE"""),1.0)</f>
        <v>1</v>
      </c>
      <c r="P237" s="130"/>
      <c r="Q237" s="129">
        <f>IFERROR(__xludf.DUMMYFUNCTION("""COMPUTED_VALUE"""),0.0)</f>
        <v>0</v>
      </c>
      <c r="R237" s="129">
        <f>IFERROR(__xludf.DUMMYFUNCTION("""COMPUTED_VALUE"""),0.0)</f>
        <v>0</v>
      </c>
      <c r="S237" s="129">
        <f>IFERROR(__xludf.DUMMYFUNCTION("""COMPUTED_VALUE"""),0.0)</f>
        <v>0</v>
      </c>
      <c r="T237" s="129">
        <f>IFERROR(__xludf.DUMMYFUNCTION("""COMPUTED_VALUE"""),0.0)</f>
        <v>0</v>
      </c>
      <c r="U237" s="129">
        <f>IFERROR(__xludf.DUMMYFUNCTION("""COMPUTED_VALUE"""),0.0)</f>
        <v>0</v>
      </c>
      <c r="V237" s="129">
        <f>IFERROR(__xludf.DUMMYFUNCTION("""COMPUTED_VALUE"""),0.0)</f>
        <v>0</v>
      </c>
      <c r="W237" s="126" t="str">
        <f>IFERROR(__xludf.DUMMYFUNCTION("""COMPUTED_VALUE"""),"No")</f>
        <v>No</v>
      </c>
      <c r="X237" s="126" t="str">
        <f>IFERROR(__xludf.DUMMYFUNCTION("""COMPUTED_VALUE"""),"Yes")</f>
        <v>Yes</v>
      </c>
      <c r="Y237" s="126" t="str">
        <f>IFERROR(__xludf.DUMMYFUNCTION("""COMPUTED_VALUE"""),"F")</f>
        <v>F</v>
      </c>
      <c r="Z237" s="126" t="str">
        <f>IFERROR(__xludf.DUMMYFUNCTION("""COMPUTED_VALUE"""),"incorporates thermal models")</f>
        <v>incorporates thermal models</v>
      </c>
      <c r="AA237" s="126"/>
      <c r="AB237" s="126"/>
      <c r="AC237" s="126"/>
      <c r="AD237" s="126"/>
      <c r="AE237" s="126"/>
      <c r="AF237" s="126"/>
      <c r="AG237" s="126"/>
      <c r="AH237" s="126"/>
      <c r="AI237" s="126"/>
      <c r="AJ237" s="126"/>
    </row>
    <row r="238">
      <c r="A238" s="126">
        <f>IFERROR(__xludf.DUMMYFUNCTION("""COMPUTED_VALUE"""),473.0)</f>
        <v>473</v>
      </c>
      <c r="B238" s="126" t="str">
        <f>IFERROR(__xludf.DUMMYFUNCTION("""COMPUTED_VALUE"""),"Energy efficiency in virtual machines allocation for cloud data centers with lottery algorithm")</f>
        <v>Energy efficiency in virtual machines allocation for cloud data centers with lottery algorithm</v>
      </c>
      <c r="C238" s="127" t="str">
        <f>IFERROR(__xludf.DUMMYFUNCTION("""COMPUTED_VALUE"""),"http://search.proquest.com/openview/fbc5529f7cfcd78fae1b9de175c55a90/1?pq-origsite=gscholar&amp;cbl=1686344")</f>
        <v>http://search.proquest.com/openview/fbc5529f7cfcd78fae1b9de175c55a90/1?pq-origsite=gscholar&amp;cbl=1686344</v>
      </c>
      <c r="D238" s="126" t="str">
        <f>IFERROR(__xludf.DUMMYFUNCTION("""COMPUTED_VALUE"""),"M Tarahomi, M Izadi")</f>
        <v>M Tarahomi, M Izadi</v>
      </c>
      <c r="E238" s="126" t="str">
        <f>IFERROR(__xludf.DUMMYFUNCTION("""COMPUTED_VALUE"""),"International Journal of Electrical and Computer Engineering")</f>
        <v>International Journal of Electrical and Computer Engineering</v>
      </c>
      <c r="F238" s="126" t="str">
        <f>IFERROR(__xludf.DUMMYFUNCTION("""COMPUTED_VALUE"""),"IJECE")</f>
        <v>IJECE</v>
      </c>
      <c r="G238" s="128" t="str">
        <f>IFERROR(__xludf.DUMMYFUNCTION("""COMPUTED_VALUE"""),"J")</f>
        <v>J</v>
      </c>
      <c r="H238" s="129">
        <f>IFERROR(__xludf.DUMMYFUNCTION("""COMPUTED_VALUE"""),2019.0)</f>
        <v>2019</v>
      </c>
      <c r="I238" s="130">
        <f>IFERROR(__xludf.DUMMYFUNCTION("""COMPUTED_VALUE"""),1.0)</f>
        <v>1</v>
      </c>
      <c r="J238" s="129">
        <f>IFERROR(__xludf.DUMMYFUNCTION("""COMPUTED_VALUE"""),1.0)</f>
        <v>1</v>
      </c>
      <c r="K238" s="130">
        <f>IFERROR(__xludf.DUMMYFUNCTION("""COMPUTED_VALUE"""),1.0)</f>
        <v>1</v>
      </c>
      <c r="L238" s="130">
        <f>IFERROR(__xludf.DUMMYFUNCTION("""COMPUTED_VALUE"""),1.0)</f>
        <v>1</v>
      </c>
      <c r="M238" s="130">
        <f>IFERROR(__xludf.DUMMYFUNCTION("""COMPUTED_VALUE"""),1.0)</f>
        <v>1</v>
      </c>
      <c r="N238" s="130">
        <f>IFERROR(__xludf.DUMMYFUNCTION("""COMPUTED_VALUE"""),0.0)</f>
        <v>0</v>
      </c>
      <c r="O238" s="130">
        <f>IFERROR(__xludf.DUMMYFUNCTION("""COMPUTED_VALUE"""),0.0)</f>
        <v>0</v>
      </c>
      <c r="P238" s="130">
        <f>IFERROR(__xludf.DUMMYFUNCTION("""COMPUTED_VALUE"""),0.0)</f>
        <v>0</v>
      </c>
      <c r="Q238" s="130">
        <f>IFERROR(__xludf.DUMMYFUNCTION("""COMPUTED_VALUE"""),0.0)</f>
        <v>0</v>
      </c>
      <c r="R238" s="130">
        <f>IFERROR(__xludf.DUMMYFUNCTION("""COMPUTED_VALUE"""),0.0)</f>
        <v>0</v>
      </c>
      <c r="S238" s="130">
        <f>IFERROR(__xludf.DUMMYFUNCTION("""COMPUTED_VALUE"""),0.0)</f>
        <v>0</v>
      </c>
      <c r="T238" s="130">
        <f>IFERROR(__xludf.DUMMYFUNCTION("""COMPUTED_VALUE"""),0.0)</f>
        <v>0</v>
      </c>
      <c r="U238" s="130">
        <f>IFERROR(__xludf.DUMMYFUNCTION("""COMPUTED_VALUE"""),0.0)</f>
        <v>0</v>
      </c>
      <c r="V238" s="130">
        <f>IFERROR(__xludf.DUMMYFUNCTION("""COMPUTED_VALUE"""),0.0)</f>
        <v>0</v>
      </c>
      <c r="W238" s="131" t="str">
        <f>IFERROR(__xludf.DUMMYFUNCTION("""COMPUTED_VALUE"""),"Yes")</f>
        <v>Yes</v>
      </c>
      <c r="X238" s="131" t="str">
        <f>IFERROR(__xludf.DUMMYFUNCTION("""COMPUTED_VALUE"""),"Yes")</f>
        <v>Yes</v>
      </c>
      <c r="Y238" s="131" t="str">
        <f>IFERROR(__xludf.DUMMYFUNCTION("""COMPUTED_VALUE"""),"F")</f>
        <v>F</v>
      </c>
      <c r="Z238" s="131" t="str">
        <f>IFERROR(__xludf.DUMMYFUNCTION("""COMPUTED_VALUE"""),"VM allocation")</f>
        <v>VM allocation</v>
      </c>
      <c r="AA238" s="131"/>
      <c r="AB238" s="131"/>
      <c r="AC238" s="131"/>
      <c r="AD238" s="131"/>
      <c r="AE238" s="131"/>
      <c r="AF238" s="131"/>
      <c r="AG238" s="131"/>
      <c r="AH238" s="131"/>
      <c r="AI238" s="131"/>
      <c r="AJ238" s="131"/>
    </row>
    <row r="239">
      <c r="A239" s="126">
        <f>IFERROR(__xludf.DUMMYFUNCTION("""COMPUTED_VALUE"""),474.0)</f>
        <v>474</v>
      </c>
      <c r="B239" s="126" t="str">
        <f>IFERROR(__xludf.DUMMYFUNCTION("""COMPUTED_VALUE"""),"A QoS-Guaranteed Energy-Efficient VM Dynamic Migration Strategy in Cloud Data Centers")</f>
        <v>A QoS-Guaranteed Energy-Efficient VM Dynamic Migration Strategy in Cloud Data Centers</v>
      </c>
      <c r="C239" s="127" t="str">
        <f>IFERROR(__xludf.DUMMYFUNCTION("""COMPUTED_VALUE"""),"https://ieeexplore.ieee.org/abstract/document/8555561/")</f>
        <v>https://ieeexplore.ieee.org/abstract/document/8555561/</v>
      </c>
      <c r="D239" s="126" t="str">
        <f>IFERROR(__xludf.DUMMYFUNCTION("""COMPUTED_VALUE"""),"H Cao, H Sun, M Sheng, Y Shi, J Li")</f>
        <v>H Cao, H Sun, M Sheng, Y Shi, J Li</v>
      </c>
      <c r="E239" s="126" t="str">
        <f>IFERROR(__xludf.DUMMYFUNCTION("""COMPUTED_VALUE"""),"Institute of Electrical and Electronics Engineers")</f>
        <v>Institute of Electrical and Electronics Engineers</v>
      </c>
      <c r="F239" s="126" t="str">
        <f>IFERROR(__xludf.DUMMYFUNCTION("""COMPUTED_VALUE"""),"IEEE Xplore")</f>
        <v>IEEE Xplore</v>
      </c>
      <c r="G239" s="128" t="str">
        <f>IFERROR(__xludf.DUMMYFUNCTION("""COMPUTED_VALUE"""),"C")</f>
        <v>C</v>
      </c>
      <c r="H239" s="130">
        <f>IFERROR(__xludf.DUMMYFUNCTION("""COMPUTED_VALUE"""),2018.0)</f>
        <v>2018</v>
      </c>
      <c r="I239" s="129">
        <f>IFERROR(__xludf.DUMMYFUNCTION("""COMPUTED_VALUE"""),1.0)</f>
        <v>1</v>
      </c>
      <c r="J239" s="130">
        <f>IFERROR(__xludf.DUMMYFUNCTION("""COMPUTED_VALUE"""),1.0)</f>
        <v>1</v>
      </c>
      <c r="K239" s="130">
        <f>IFERROR(__xludf.DUMMYFUNCTION("""COMPUTED_VALUE"""),1.0)</f>
        <v>1</v>
      </c>
      <c r="L239" s="129">
        <f>IFERROR(__xludf.DUMMYFUNCTION("""COMPUTED_VALUE"""),1.0)</f>
        <v>1</v>
      </c>
      <c r="M239" s="130">
        <f>IFERROR(__xludf.DUMMYFUNCTION("""COMPUTED_VALUE"""),1.0)</f>
        <v>1</v>
      </c>
      <c r="N239" s="130">
        <f>IFERROR(__xludf.DUMMYFUNCTION("""COMPUTED_VALUE"""),0.0)</f>
        <v>0</v>
      </c>
      <c r="O239" s="130">
        <f>IFERROR(__xludf.DUMMYFUNCTION("""COMPUTED_VALUE"""),0.0)</f>
        <v>0</v>
      </c>
      <c r="P239" s="130">
        <f>IFERROR(__xludf.DUMMYFUNCTION("""COMPUTED_VALUE"""),0.0)</f>
        <v>0</v>
      </c>
      <c r="Q239" s="130">
        <f>IFERROR(__xludf.DUMMYFUNCTION("""COMPUTED_VALUE"""),0.0)</f>
        <v>0</v>
      </c>
      <c r="R239" s="130">
        <f>IFERROR(__xludf.DUMMYFUNCTION("""COMPUTED_VALUE"""),0.0)</f>
        <v>0</v>
      </c>
      <c r="S239" s="130">
        <f>IFERROR(__xludf.DUMMYFUNCTION("""COMPUTED_VALUE"""),0.0)</f>
        <v>0</v>
      </c>
      <c r="T239" s="130">
        <f>IFERROR(__xludf.DUMMYFUNCTION("""COMPUTED_VALUE"""),0.0)</f>
        <v>0</v>
      </c>
      <c r="U239" s="130">
        <f>IFERROR(__xludf.DUMMYFUNCTION("""COMPUTED_VALUE"""),0.0)</f>
        <v>0</v>
      </c>
      <c r="V239" s="130">
        <f>IFERROR(__xludf.DUMMYFUNCTION("""COMPUTED_VALUE"""),0.0)</f>
        <v>0</v>
      </c>
      <c r="W239" s="131"/>
      <c r="X239" s="131" t="str">
        <f>IFERROR(__xludf.DUMMYFUNCTION("""COMPUTED_VALUE"""),"Yes")</f>
        <v>Yes</v>
      </c>
      <c r="Y239" s="131" t="str">
        <f>IFERROR(__xludf.DUMMYFUNCTION("""COMPUTED_VALUE"""),"F")</f>
        <v>F</v>
      </c>
      <c r="Z239" s="131" t="str">
        <f>IFERROR(__xludf.DUMMYFUNCTION("""COMPUTED_VALUE"""),"VM migration, cannot access!!!")</f>
        <v>VM migration, cannot access!!!</v>
      </c>
      <c r="AA239" s="131"/>
      <c r="AB239" s="131"/>
      <c r="AC239" s="131"/>
      <c r="AD239" s="131"/>
      <c r="AE239" s="131"/>
      <c r="AF239" s="131"/>
      <c r="AG239" s="131"/>
      <c r="AH239" s="131"/>
      <c r="AI239" s="131"/>
      <c r="AJ239" s="131"/>
    </row>
    <row r="240">
      <c r="A240" s="126">
        <f>IFERROR(__xludf.DUMMYFUNCTION("""COMPUTED_VALUE"""),476.0)</f>
        <v>476</v>
      </c>
      <c r="B240" s="126" t="str">
        <f>IFERROR(__xludf.DUMMYFUNCTION("""COMPUTED_VALUE"""),"Energy-aware virtual data center embedding")</f>
        <v>Energy-aware virtual data center embedding</v>
      </c>
      <c r="C240" s="127" t="str">
        <f>IFERROR(__xludf.DUMMYFUNCTION("""COMPUTED_VALUE"""),"http://jips-k.org/full-text/398")</f>
        <v>http://jips-k.org/full-text/398</v>
      </c>
      <c r="D240" s="126" t="str">
        <f>IFERROR(__xludf.DUMMYFUNCTION("""COMPUTED_VALUE"""),"X Ma, Z Zhang, S Su")</f>
        <v>X Ma, Z Zhang, S Su</v>
      </c>
      <c r="E240" s="126" t="str">
        <f>IFERROR(__xludf.DUMMYFUNCTION("""COMPUTED_VALUE"""),"Journal of Information Processing Systems")</f>
        <v>Journal of Information Processing Systems</v>
      </c>
      <c r="F240" s="126" t="str">
        <f>IFERROR(__xludf.DUMMYFUNCTION("""COMPUTED_VALUE"""),"JIPS")</f>
        <v>JIPS</v>
      </c>
      <c r="G240" s="128" t="str">
        <f>IFERROR(__xludf.DUMMYFUNCTION("""COMPUTED_VALUE"""),"J")</f>
        <v>J</v>
      </c>
      <c r="H240" s="130">
        <f>IFERROR(__xludf.DUMMYFUNCTION("""COMPUTED_VALUE"""),2020.0)</f>
        <v>2020</v>
      </c>
      <c r="I240" s="130">
        <f>IFERROR(__xludf.DUMMYFUNCTION("""COMPUTED_VALUE"""),1.0)</f>
        <v>1</v>
      </c>
      <c r="J240" s="130">
        <f>IFERROR(__xludf.DUMMYFUNCTION("""COMPUTED_VALUE"""),1.0)</f>
        <v>1</v>
      </c>
      <c r="K240" s="130">
        <f>IFERROR(__xludf.DUMMYFUNCTION("""COMPUTED_VALUE"""),1.0)</f>
        <v>1</v>
      </c>
      <c r="L240" s="129">
        <f>IFERROR(__xludf.DUMMYFUNCTION("""COMPUTED_VALUE"""),1.0)</f>
        <v>1</v>
      </c>
      <c r="M240" s="130">
        <f>IFERROR(__xludf.DUMMYFUNCTION("""COMPUTED_VALUE"""),1.0)</f>
        <v>1</v>
      </c>
      <c r="N240" s="130">
        <f>IFERROR(__xludf.DUMMYFUNCTION("""COMPUTED_VALUE"""),0.0)</f>
        <v>0</v>
      </c>
      <c r="O240" s="130">
        <f>IFERROR(__xludf.DUMMYFUNCTION("""COMPUTED_VALUE"""),0.0)</f>
        <v>0</v>
      </c>
      <c r="P240" s="130">
        <f>IFERROR(__xludf.DUMMYFUNCTION("""COMPUTED_VALUE"""),0.0)</f>
        <v>0</v>
      </c>
      <c r="Q240" s="130">
        <f>IFERROR(__xludf.DUMMYFUNCTION("""COMPUTED_VALUE"""),0.0)</f>
        <v>0</v>
      </c>
      <c r="R240" s="129">
        <f>IFERROR(__xludf.DUMMYFUNCTION("""COMPUTED_VALUE"""),0.0)</f>
        <v>0</v>
      </c>
      <c r="S240" s="129">
        <f>IFERROR(__xludf.DUMMYFUNCTION("""COMPUTED_VALUE"""),0.0)</f>
        <v>0</v>
      </c>
      <c r="T240" s="129">
        <f>IFERROR(__xludf.DUMMYFUNCTION("""COMPUTED_VALUE"""),0.0)</f>
        <v>0</v>
      </c>
      <c r="U240" s="129">
        <f>IFERROR(__xludf.DUMMYFUNCTION("""COMPUTED_VALUE"""),0.0)</f>
        <v>0</v>
      </c>
      <c r="V240" s="129">
        <f>IFERROR(__xludf.DUMMYFUNCTION("""COMPUTED_VALUE"""),0.0)</f>
        <v>0</v>
      </c>
      <c r="W240" s="126" t="str">
        <f>IFERROR(__xludf.DUMMYFUNCTION("""COMPUTED_VALUE"""),"Yes")</f>
        <v>Yes</v>
      </c>
      <c r="X240" s="126" t="str">
        <f>IFERROR(__xludf.DUMMYFUNCTION("""COMPUTED_VALUE"""),"Yes")</f>
        <v>Yes</v>
      </c>
      <c r="Y240" s="126" t="str">
        <f>IFERROR(__xludf.DUMMYFUNCTION("""COMPUTED_VALUE"""),"F")</f>
        <v>F</v>
      </c>
      <c r="Z240" s="126" t="str">
        <f>IFERROR(__xludf.DUMMYFUNCTION("""COMPUTED_VALUE"""),"VDC embedding algorithm")</f>
        <v>VDC embedding algorithm</v>
      </c>
      <c r="AA240" s="126"/>
      <c r="AB240" s="126"/>
      <c r="AC240" s="126"/>
      <c r="AD240" s="126"/>
      <c r="AE240" s="126"/>
      <c r="AF240" s="126"/>
      <c r="AG240" s="126"/>
      <c r="AH240" s="126"/>
      <c r="AI240" s="126"/>
      <c r="AJ240" s="126"/>
    </row>
    <row r="241">
      <c r="A241" s="126">
        <f>IFERROR(__xludf.DUMMYFUNCTION("""COMPUTED_VALUE"""),477.0)</f>
        <v>477</v>
      </c>
      <c r="B241" s="126" t="str">
        <f>IFERROR(__xludf.DUMMYFUNCTION("""COMPUTED_VALUE"""),"Truthful Double Auction Based VM Allocation for Revenue-Energy Trade-Off in Cloud Data Centers")</f>
        <v>Truthful Double Auction Based VM Allocation for Revenue-Energy Trade-Off in Cloud Data Centers</v>
      </c>
      <c r="C241" s="127" t="str">
        <f>IFERROR(__xludf.DUMMYFUNCTION("""COMPUTED_VALUE"""),"https://ieeexplore.ieee.org/abstract/document/8732201/")</f>
        <v>https://ieeexplore.ieee.org/abstract/document/8732201/</v>
      </c>
      <c r="D241" s="131" t="str">
        <f>IFERROR(__xludf.DUMMYFUNCTION("""COMPUTED_VALUE"""),"YS Patel, A Nighojkar, R Misra")</f>
        <v>YS Patel, A Nighojkar, R Misra</v>
      </c>
      <c r="E241" s="131" t="str">
        <f>IFERROR(__xludf.DUMMYFUNCTION("""COMPUTED_VALUE"""),"Institute of Electrical and Electronics Engineers")</f>
        <v>Institute of Electrical and Electronics Engineers</v>
      </c>
      <c r="F241" s="126" t="str">
        <f>IFERROR(__xludf.DUMMYFUNCTION("""COMPUTED_VALUE"""),"IEEE Xplore")</f>
        <v>IEEE Xplore</v>
      </c>
      <c r="G241" s="128" t="str">
        <f>IFERROR(__xludf.DUMMYFUNCTION("""COMPUTED_VALUE"""),"C")</f>
        <v>C</v>
      </c>
      <c r="H241" s="130">
        <f>IFERROR(__xludf.DUMMYFUNCTION("""COMPUTED_VALUE"""),2019.0)</f>
        <v>2019</v>
      </c>
      <c r="I241" s="130">
        <f>IFERROR(__xludf.DUMMYFUNCTION("""COMPUTED_VALUE"""),1.0)</f>
        <v>1</v>
      </c>
      <c r="J241" s="130">
        <f>IFERROR(__xludf.DUMMYFUNCTION("""COMPUTED_VALUE"""),1.0)</f>
        <v>1</v>
      </c>
      <c r="K241" s="130">
        <f>IFERROR(__xludf.DUMMYFUNCTION("""COMPUTED_VALUE"""),1.0)</f>
        <v>1</v>
      </c>
      <c r="L241" s="129">
        <f>IFERROR(__xludf.DUMMYFUNCTION("""COMPUTED_VALUE"""),1.0)</f>
        <v>1</v>
      </c>
      <c r="M241" s="130">
        <f>IFERROR(__xludf.DUMMYFUNCTION("""COMPUTED_VALUE"""),1.0)</f>
        <v>1</v>
      </c>
      <c r="N241" s="130">
        <f>IFERROR(__xludf.DUMMYFUNCTION("""COMPUTED_VALUE"""),0.0)</f>
        <v>0</v>
      </c>
      <c r="O241" s="130">
        <f>IFERROR(__xludf.DUMMYFUNCTION("""COMPUTED_VALUE"""),0.0)</f>
        <v>0</v>
      </c>
      <c r="P241" s="130">
        <f>IFERROR(__xludf.DUMMYFUNCTION("""COMPUTED_VALUE"""),0.0)</f>
        <v>0</v>
      </c>
      <c r="Q241" s="130">
        <f>IFERROR(__xludf.DUMMYFUNCTION("""COMPUTED_VALUE"""),0.0)</f>
        <v>0</v>
      </c>
      <c r="R241" s="130">
        <f>IFERROR(__xludf.DUMMYFUNCTION("""COMPUTED_VALUE"""),0.0)</f>
        <v>0</v>
      </c>
      <c r="S241" s="130">
        <f>IFERROR(__xludf.DUMMYFUNCTION("""COMPUTED_VALUE"""),0.0)</f>
        <v>0</v>
      </c>
      <c r="T241" s="130">
        <f>IFERROR(__xludf.DUMMYFUNCTION("""COMPUTED_VALUE"""),0.0)</f>
        <v>0</v>
      </c>
      <c r="U241" s="130">
        <f>IFERROR(__xludf.DUMMYFUNCTION("""COMPUTED_VALUE"""),0.0)</f>
        <v>0</v>
      </c>
      <c r="V241" s="130">
        <f>IFERROR(__xludf.DUMMYFUNCTION("""COMPUTED_VALUE"""),0.0)</f>
        <v>0</v>
      </c>
      <c r="W241" s="131" t="str">
        <f>IFERROR(__xludf.DUMMYFUNCTION("""COMPUTED_VALUE"""),"Yes")</f>
        <v>Yes</v>
      </c>
      <c r="X241" s="131" t="str">
        <f>IFERROR(__xludf.DUMMYFUNCTION("""COMPUTED_VALUE"""),"Yes")</f>
        <v>Yes</v>
      </c>
      <c r="Y241" s="131" t="str">
        <f>IFERROR(__xludf.DUMMYFUNCTION("""COMPUTED_VALUE"""),"F")</f>
        <v>F</v>
      </c>
      <c r="Z241" s="131" t="str">
        <f>IFERROR(__xludf.DUMMYFUNCTION("""COMPUTED_VALUE"""),"VM allocation bidding algortihm")</f>
        <v>VM allocation bidding algortihm</v>
      </c>
      <c r="AA241" s="131"/>
      <c r="AB241" s="131"/>
      <c r="AC241" s="131"/>
      <c r="AD241" s="131"/>
      <c r="AE241" s="131"/>
      <c r="AF241" s="131"/>
      <c r="AG241" s="131"/>
      <c r="AH241" s="131"/>
      <c r="AI241" s="131"/>
      <c r="AJ241" s="131"/>
    </row>
    <row r="242">
      <c r="A242" s="126">
        <f>IFERROR(__xludf.DUMMYFUNCTION("""COMPUTED_VALUE"""),478.0)</f>
        <v>478</v>
      </c>
      <c r="B242" s="126" t="str">
        <f>IFERROR(__xludf.DUMMYFUNCTION("""COMPUTED_VALUE"""),"On energy conservation in data centers")</f>
        <v>On energy conservation in data centers</v>
      </c>
      <c r="C242" s="127" t="str">
        <f>IFERROR(__xludf.DUMMYFUNCTION("""COMPUTED_VALUE"""),"https://dl.acm.org/doi/abs/10.1145/3364210")</f>
        <v>https://dl.acm.org/doi/abs/10.1145/3364210</v>
      </c>
      <c r="D242" s="126" t="str">
        <f>IFERROR(__xludf.DUMMYFUNCTION("""COMPUTED_VALUE"""),"S Albers")</f>
        <v>S Albers</v>
      </c>
      <c r="E242" s="126" t="str">
        <f>IFERROR(__xludf.DUMMYFUNCTION("""COMPUTED_VALUE"""),"Association for Computing Machinery")</f>
        <v>Association for Computing Machinery</v>
      </c>
      <c r="F242" s="126" t="str">
        <f>IFERROR(__xludf.DUMMYFUNCTION("""COMPUTED_VALUE"""),"ACM")</f>
        <v>ACM</v>
      </c>
      <c r="G242" s="128"/>
      <c r="H242" s="130">
        <f>IFERROR(__xludf.DUMMYFUNCTION("""COMPUTED_VALUE"""),2019.0)</f>
        <v>2019</v>
      </c>
      <c r="I242" s="129"/>
      <c r="J242" s="130"/>
      <c r="K242" s="130"/>
      <c r="L242" s="129">
        <f>IFERROR(__xludf.DUMMYFUNCTION("""COMPUTED_VALUE"""),0.0)</f>
        <v>0</v>
      </c>
      <c r="M242" s="130"/>
      <c r="N242" s="130"/>
      <c r="O242" s="130"/>
      <c r="P242" s="130"/>
      <c r="Q242" s="130"/>
      <c r="R242" s="130"/>
      <c r="S242" s="130"/>
      <c r="T242" s="130"/>
      <c r="U242" s="130"/>
      <c r="V242" s="130"/>
      <c r="W242" s="131" t="str">
        <f>IFERROR(__xludf.DUMMYFUNCTION("""COMPUTED_VALUE"""),"No")</f>
        <v>No</v>
      </c>
      <c r="X242" s="131" t="str">
        <f>IFERROR(__xludf.DUMMYFUNCTION("""COMPUTED_VALUE"""),"Yes")</f>
        <v>Yes</v>
      </c>
      <c r="Y242" s="131" t="str">
        <f>IFERROR(__xludf.DUMMYFUNCTION("""COMPUTED_VALUE"""),"F")</f>
        <v>F</v>
      </c>
      <c r="Z242" s="131"/>
      <c r="AA242" s="131"/>
      <c r="AB242" s="131"/>
      <c r="AC242" s="131"/>
      <c r="AD242" s="131"/>
      <c r="AE242" s="131"/>
      <c r="AF242" s="131"/>
      <c r="AG242" s="131"/>
      <c r="AH242" s="131"/>
      <c r="AI242" s="131"/>
      <c r="AJ242" s="131"/>
    </row>
    <row r="243">
      <c r="A243" s="126">
        <f>IFERROR(__xludf.DUMMYFUNCTION("""COMPUTED_VALUE"""),479.0)</f>
        <v>479</v>
      </c>
      <c r="B243" s="126" t="str">
        <f>IFERROR(__xludf.DUMMYFUNCTION("""COMPUTED_VALUE"""),"Energy policies for data-center monolithic schedulers")</f>
        <v>Energy policies for data-center monolithic schedulers</v>
      </c>
      <c r="C243" s="127" t="str">
        <f>IFERROR(__xludf.DUMMYFUNCTION("""COMPUTED_VALUE"""),"https://www.sciencedirect.com/science/article/pii/S0957417418303531")</f>
        <v>https://www.sciencedirect.com/science/article/pii/S0957417418303531</v>
      </c>
      <c r="D243" s="126" t="str">
        <f>IFERROR(__xludf.DUMMYFUNCTION("""COMPUTED_VALUE"""),"D Fernández-Cerero, A Fernández-Montes, JA Ortega")</f>
        <v>D Fernández-Cerero, A Fernández-Montes, JA Ortega</v>
      </c>
      <c r="E243" s="126" t="str">
        <f>IFERROR(__xludf.DUMMYFUNCTION("""COMPUTED_VALUE"""),"Elsevier")</f>
        <v>Elsevier</v>
      </c>
      <c r="F243" s="126" t="str">
        <f>IFERROR(__xludf.DUMMYFUNCTION("""COMPUTED_VALUE"""),"Elsevier")</f>
        <v>Elsevier</v>
      </c>
      <c r="G243" s="128" t="str">
        <f>IFERROR(__xludf.DUMMYFUNCTION("""COMPUTED_VALUE"""),"J")</f>
        <v>J</v>
      </c>
      <c r="H243" s="130">
        <f>IFERROR(__xludf.DUMMYFUNCTION("""COMPUTED_VALUE"""),2018.0)</f>
        <v>2018</v>
      </c>
      <c r="I243" s="129">
        <f>IFERROR(__xludf.DUMMYFUNCTION("""COMPUTED_VALUE"""),1.0)</f>
        <v>1</v>
      </c>
      <c r="J243" s="130">
        <f>IFERROR(__xludf.DUMMYFUNCTION("""COMPUTED_VALUE"""),1.0)</f>
        <v>1</v>
      </c>
      <c r="K243" s="130">
        <f>IFERROR(__xludf.DUMMYFUNCTION("""COMPUTED_VALUE"""),1.0)</f>
        <v>1</v>
      </c>
      <c r="L243" s="129">
        <f>IFERROR(__xludf.DUMMYFUNCTION("""COMPUTED_VALUE"""),1.0)</f>
        <v>1</v>
      </c>
      <c r="M243" s="130">
        <f>IFERROR(__xludf.DUMMYFUNCTION("""COMPUTED_VALUE"""),1.0)</f>
        <v>1</v>
      </c>
      <c r="N243" s="130">
        <f>IFERROR(__xludf.DUMMYFUNCTION("""COMPUTED_VALUE"""),0.0)</f>
        <v>0</v>
      </c>
      <c r="O243" s="130">
        <f>IFERROR(__xludf.DUMMYFUNCTION("""COMPUTED_VALUE"""),0.0)</f>
        <v>0</v>
      </c>
      <c r="P243" s="130">
        <f>IFERROR(__xludf.DUMMYFUNCTION("""COMPUTED_VALUE"""),0.0)</f>
        <v>0</v>
      </c>
      <c r="Q243" s="130">
        <f>IFERROR(__xludf.DUMMYFUNCTION("""COMPUTED_VALUE"""),0.0)</f>
        <v>0</v>
      </c>
      <c r="R243" s="130">
        <f>IFERROR(__xludf.DUMMYFUNCTION("""COMPUTED_VALUE"""),0.0)</f>
        <v>0</v>
      </c>
      <c r="S243" s="130">
        <f>IFERROR(__xludf.DUMMYFUNCTION("""COMPUTED_VALUE"""),0.0)</f>
        <v>0</v>
      </c>
      <c r="T243" s="130">
        <f>IFERROR(__xludf.DUMMYFUNCTION("""COMPUTED_VALUE"""),0.0)</f>
        <v>0</v>
      </c>
      <c r="U243" s="130">
        <f>IFERROR(__xludf.DUMMYFUNCTION("""COMPUTED_VALUE"""),0.0)</f>
        <v>0</v>
      </c>
      <c r="V243" s="130">
        <f>IFERROR(__xludf.DUMMYFUNCTION("""COMPUTED_VALUE"""),0.0)</f>
        <v>0</v>
      </c>
      <c r="W243" s="131" t="str">
        <f>IFERROR(__xludf.DUMMYFUNCTION("""COMPUTED_VALUE"""),"Yes")</f>
        <v>Yes</v>
      </c>
      <c r="X243" s="131" t="str">
        <f>IFERROR(__xludf.DUMMYFUNCTION("""COMPUTED_VALUE"""),"Yes")</f>
        <v>Yes</v>
      </c>
      <c r="Y243" s="131" t="str">
        <f>IFERROR(__xludf.DUMMYFUNCTION("""COMPUTED_VALUE"""),"F")</f>
        <v>F</v>
      </c>
      <c r="Z243" s="131" t="str">
        <f>IFERROR(__xludf.DUMMYFUNCTION("""COMPUTED_VALUE"""),"policies for maximizing EE")</f>
        <v>policies for maximizing EE</v>
      </c>
      <c r="AA243" s="131"/>
      <c r="AB243" s="131"/>
      <c r="AC243" s="131"/>
      <c r="AD243" s="131"/>
      <c r="AE243" s="131"/>
      <c r="AF243" s="131"/>
      <c r="AG243" s="131"/>
      <c r="AH243" s="131"/>
      <c r="AI243" s="131"/>
      <c r="AJ243" s="131"/>
    </row>
    <row r="244">
      <c r="A244" s="126">
        <f>IFERROR(__xludf.DUMMYFUNCTION("""COMPUTED_VALUE"""),480.0)</f>
        <v>480</v>
      </c>
      <c r="B244" s="126" t="str">
        <f>IFERROR(__xludf.DUMMYFUNCTION("""COMPUTED_VALUE"""),"Greening cloud data centers in an economical way by energy trading with power grid")</f>
        <v>Greening cloud data centers in an economical way by energy trading with power grid</v>
      </c>
      <c r="C244" s="127" t="str">
        <f>IFERROR(__xludf.DUMMYFUNCTION("""COMPUTED_VALUE"""),"https://www.sciencedirect.com/science/article/pii/S0167739X16308330")</f>
        <v>https://www.sciencedirect.com/science/article/pii/S0167739X16308330</v>
      </c>
      <c r="D244" s="126" t="str">
        <f>IFERROR(__xludf.DUMMYFUNCTION("""COMPUTED_VALUE"""),"C Gu, L Fan, W Wu, H Huang, X Jia")</f>
        <v>C Gu, L Fan, W Wu, H Huang, X Jia</v>
      </c>
      <c r="E244" s="126" t="str">
        <f>IFERROR(__xludf.DUMMYFUNCTION("""COMPUTED_VALUE"""),"Elsevier")</f>
        <v>Elsevier</v>
      </c>
      <c r="F244" s="126" t="str">
        <f>IFERROR(__xludf.DUMMYFUNCTION("""COMPUTED_VALUE"""),"Elsevier")</f>
        <v>Elsevier</v>
      </c>
      <c r="G244" s="128" t="str">
        <f>IFERROR(__xludf.DUMMYFUNCTION("""COMPUTED_VALUE"""),"J")</f>
        <v>J</v>
      </c>
      <c r="H244" s="130">
        <f>IFERROR(__xludf.DUMMYFUNCTION("""COMPUTED_VALUE"""),2018.0)</f>
        <v>2018</v>
      </c>
      <c r="I244" s="130">
        <f>IFERROR(__xludf.DUMMYFUNCTION("""COMPUTED_VALUE"""),1.0)</f>
        <v>1</v>
      </c>
      <c r="J244" s="130">
        <f>IFERROR(__xludf.DUMMYFUNCTION("""COMPUTED_VALUE"""),1.0)</f>
        <v>1</v>
      </c>
      <c r="K244" s="129">
        <f>IFERROR(__xludf.DUMMYFUNCTION("""COMPUTED_VALUE"""),1.0)</f>
        <v>1</v>
      </c>
      <c r="L244" s="130">
        <f>IFERROR(__xludf.DUMMYFUNCTION("""COMPUTED_VALUE"""),1.0)</f>
        <v>1</v>
      </c>
      <c r="M244" s="130">
        <f>IFERROR(__xludf.DUMMYFUNCTION("""COMPUTED_VALUE"""),1.0)</f>
        <v>1</v>
      </c>
      <c r="N244" s="130">
        <f>IFERROR(__xludf.DUMMYFUNCTION("""COMPUTED_VALUE"""),0.0)</f>
        <v>0</v>
      </c>
      <c r="O244" s="130">
        <f>IFERROR(__xludf.DUMMYFUNCTION("""COMPUTED_VALUE"""),0.0)</f>
        <v>0</v>
      </c>
      <c r="P244" s="130">
        <f>IFERROR(__xludf.DUMMYFUNCTION("""COMPUTED_VALUE"""),0.0)</f>
        <v>0</v>
      </c>
      <c r="Q244" s="130">
        <f>IFERROR(__xludf.DUMMYFUNCTION("""COMPUTED_VALUE"""),0.0)</f>
        <v>0</v>
      </c>
      <c r="R244" s="130">
        <f>IFERROR(__xludf.DUMMYFUNCTION("""COMPUTED_VALUE"""),0.0)</f>
        <v>0</v>
      </c>
      <c r="S244" s="130">
        <f>IFERROR(__xludf.DUMMYFUNCTION("""COMPUTED_VALUE"""),0.0)</f>
        <v>0</v>
      </c>
      <c r="T244" s="130">
        <f>IFERROR(__xludf.DUMMYFUNCTION("""COMPUTED_VALUE"""),0.0)</f>
        <v>0</v>
      </c>
      <c r="U244" s="130">
        <f>IFERROR(__xludf.DUMMYFUNCTION("""COMPUTED_VALUE"""),0.0)</f>
        <v>0</v>
      </c>
      <c r="V244" s="130">
        <f>IFERROR(__xludf.DUMMYFUNCTION("""COMPUTED_VALUE"""),0.0)</f>
        <v>0</v>
      </c>
      <c r="W244" s="131" t="str">
        <f>IFERROR(__xludf.DUMMYFUNCTION("""COMPUTED_VALUE"""),"Yes")</f>
        <v>Yes</v>
      </c>
      <c r="X244" s="131" t="str">
        <f>IFERROR(__xludf.DUMMYFUNCTION("""COMPUTED_VALUE"""),"Yes")</f>
        <v>Yes</v>
      </c>
      <c r="Y244" s="131" t="str">
        <f>IFERROR(__xludf.DUMMYFUNCTION("""COMPUTED_VALUE"""),"F")</f>
        <v>F</v>
      </c>
      <c r="Z244" s="131" t="str">
        <f>IFERROR(__xludf.DUMMYFUNCTION("""COMPUTED_VALUE"""),"energy trading with power grid")</f>
        <v>energy trading with power grid</v>
      </c>
      <c r="AA244" s="131"/>
      <c r="AB244" s="131"/>
      <c r="AC244" s="131"/>
      <c r="AD244" s="131"/>
      <c r="AE244" s="131"/>
      <c r="AF244" s="131"/>
      <c r="AG244" s="131"/>
      <c r="AH244" s="131"/>
      <c r="AI244" s="131"/>
      <c r="AJ244" s="131"/>
    </row>
    <row r="245">
      <c r="A245" s="126">
        <f>IFERROR(__xludf.DUMMYFUNCTION("""COMPUTED_VALUE"""),481.0)</f>
        <v>481</v>
      </c>
      <c r="B245" s="126" t="str">
        <f>IFERROR(__xludf.DUMMYFUNCTION("""COMPUTED_VALUE"""),"Flexible Multi-Energy Scheduling Scheme for Data Center to Facilitate Wind Power Integration")</f>
        <v>Flexible Multi-Energy Scheduling Scheme for Data Center to Facilitate Wind Power Integration</v>
      </c>
      <c r="C245" s="127" t="str">
        <f>IFERROR(__xludf.DUMMYFUNCTION("""COMPUTED_VALUE"""),"https://ieeexplore.ieee.org/abstract/document/9078781/")</f>
        <v>https://ieeexplore.ieee.org/abstract/document/9078781/</v>
      </c>
      <c r="D245" s="126" t="str">
        <f>IFERROR(__xludf.DUMMYFUNCTION("""COMPUTED_VALUE"""),"P Wang, Y Cao, Z Ding")</f>
        <v>P Wang, Y Cao, Z Ding</v>
      </c>
      <c r="E245" s="126" t="str">
        <f>IFERROR(__xludf.DUMMYFUNCTION("""COMPUTED_VALUE"""),"Institute of Electrical and Electronics Engineers")</f>
        <v>Institute of Electrical and Electronics Engineers</v>
      </c>
      <c r="F245" s="126" t="str">
        <f>IFERROR(__xludf.DUMMYFUNCTION("""COMPUTED_VALUE"""),"IEEE Xplore")</f>
        <v>IEEE Xplore</v>
      </c>
      <c r="G245" s="128"/>
      <c r="H245" s="130">
        <f>IFERROR(__xludf.DUMMYFUNCTION("""COMPUTED_VALUE"""),2020.0)</f>
        <v>2020</v>
      </c>
      <c r="I245" s="130"/>
      <c r="J245" s="130"/>
      <c r="K245" s="129"/>
      <c r="L245" s="130"/>
      <c r="M245" s="130"/>
      <c r="N245" s="130"/>
      <c r="O245" s="130">
        <f>IFERROR(__xludf.DUMMYFUNCTION("""COMPUTED_VALUE"""),1.0)</f>
        <v>1</v>
      </c>
      <c r="P245" s="130"/>
      <c r="Q245" s="130"/>
      <c r="R245" s="130"/>
      <c r="S245" s="130"/>
      <c r="T245" s="130"/>
      <c r="U245" s="130"/>
      <c r="V245" s="130"/>
      <c r="W245" s="131" t="str">
        <f>IFERROR(__xludf.DUMMYFUNCTION("""COMPUTED_VALUE"""),"No")</f>
        <v>No</v>
      </c>
      <c r="X245" s="131" t="str">
        <f>IFERROR(__xludf.DUMMYFUNCTION("""COMPUTED_VALUE"""),"Yes")</f>
        <v>Yes</v>
      </c>
      <c r="Y245" s="131" t="str">
        <f>IFERROR(__xludf.DUMMYFUNCTION("""COMPUTED_VALUE"""),"F")</f>
        <v>F</v>
      </c>
      <c r="Z245" s="131" t="str">
        <f>IFERROR(__xludf.DUMMYFUNCTION("""COMPUTED_VALUE"""),"thermal units, inc. wind power")</f>
        <v>thermal units, inc. wind power</v>
      </c>
      <c r="AA245" s="131"/>
      <c r="AB245" s="131"/>
      <c r="AC245" s="131"/>
      <c r="AD245" s="131"/>
      <c r="AE245" s="131"/>
      <c r="AF245" s="131"/>
      <c r="AG245" s="131"/>
      <c r="AH245" s="131"/>
      <c r="AI245" s="131"/>
      <c r="AJ245" s="131"/>
    </row>
    <row r="246">
      <c r="A246" s="126">
        <f>IFERROR(__xludf.DUMMYFUNCTION("""COMPUTED_VALUE"""),485.0)</f>
        <v>485</v>
      </c>
      <c r="B246" s="126" t="str">
        <f>IFERROR(__xludf.DUMMYFUNCTION("""COMPUTED_VALUE"""),"GreenEdge: Greening Edge Datacenters with Energy-Harvesting IoT Devices")</f>
        <v>GreenEdge: Greening Edge Datacenters with Energy-Harvesting IoT Devices</v>
      </c>
      <c r="C246" s="127" t="str">
        <f>IFERROR(__xludf.DUMMYFUNCTION("""COMPUTED_VALUE"""),"https://ieeexplore.ieee.org/abstract/document/8888103/")</f>
        <v>https://ieeexplore.ieee.org/abstract/document/8888103/</v>
      </c>
      <c r="D246" s="126" t="str">
        <f>IFERROR(__xludf.DUMMYFUNCTION("""COMPUTED_VALUE"""),"Z Zhou")</f>
        <v>Z Zhou</v>
      </c>
      <c r="E246" s="126" t="str">
        <f>IFERROR(__xludf.DUMMYFUNCTION("""COMPUTED_VALUE"""),"Institute of Electrical and Electronics Engineers")</f>
        <v>Institute of Electrical and Electronics Engineers</v>
      </c>
      <c r="F246" s="126" t="str">
        <f>IFERROR(__xludf.DUMMYFUNCTION("""COMPUTED_VALUE"""),"IEEE Xplore")</f>
        <v>IEEE Xplore</v>
      </c>
      <c r="G246" s="128"/>
      <c r="H246" s="129">
        <f>IFERROR(__xludf.DUMMYFUNCTION("""COMPUTED_VALUE"""),2019.0)</f>
        <v>2019</v>
      </c>
      <c r="I246" s="129"/>
      <c r="J246" s="129"/>
      <c r="K246" s="130"/>
      <c r="L246" s="130">
        <f>IFERROR(__xludf.DUMMYFUNCTION("""COMPUTED_VALUE"""),0.0)</f>
        <v>0</v>
      </c>
      <c r="M246" s="129"/>
      <c r="N246" s="130">
        <f>IFERROR(__xludf.DUMMYFUNCTION("""COMPUTED_VALUE"""),1.0)</f>
        <v>1</v>
      </c>
      <c r="O246" s="129"/>
      <c r="P246" s="130"/>
      <c r="Q246" s="129"/>
      <c r="R246" s="129"/>
      <c r="S246" s="129"/>
      <c r="T246" s="129"/>
      <c r="U246" s="129"/>
      <c r="V246" s="129"/>
      <c r="W246" s="126" t="str">
        <f>IFERROR(__xludf.DUMMYFUNCTION("""COMPUTED_VALUE"""),"No")</f>
        <v>No</v>
      </c>
      <c r="X246" s="126" t="str">
        <f>IFERROR(__xludf.DUMMYFUNCTION("""COMPUTED_VALUE"""),"Yes")</f>
        <v>Yes</v>
      </c>
      <c r="Y246" s="126" t="str">
        <f>IFERROR(__xludf.DUMMYFUNCTION("""COMPUTED_VALUE"""),"F")</f>
        <v>F</v>
      </c>
      <c r="Z246" s="126" t="str">
        <f>IFERROR(__xludf.DUMMYFUNCTION("""COMPUTED_VALUE"""),"IoT devices / smart lighting etc.")</f>
        <v>IoT devices / smart lighting etc.</v>
      </c>
      <c r="AA246" s="126"/>
      <c r="AB246" s="126"/>
      <c r="AC246" s="126"/>
      <c r="AD246" s="126"/>
      <c r="AE246" s="126"/>
      <c r="AF246" s="126"/>
      <c r="AG246" s="126"/>
      <c r="AH246" s="126"/>
      <c r="AI246" s="126"/>
      <c r="AJ246" s="126"/>
    </row>
    <row r="247">
      <c r="A247" s="126">
        <f>IFERROR(__xludf.DUMMYFUNCTION("""COMPUTED_VALUE"""),489.0)</f>
        <v>489</v>
      </c>
      <c r="B247" s="126" t="str">
        <f>IFERROR(__xludf.DUMMYFUNCTION("""COMPUTED_VALUE"""),"An Energy and SLA-Aware Resource Management Strategy in Cloud Data Centers")</f>
        <v>An Energy and SLA-Aware Resource Management Strategy in Cloud Data Centers</v>
      </c>
      <c r="C247" s="127" t="str">
        <f>IFERROR(__xludf.DUMMYFUNCTION("""COMPUTED_VALUE"""),"https://www.hindawi.com/journals/sp/2019/3204346/abs/")</f>
        <v>https://www.hindawi.com/journals/sp/2019/3204346/abs/</v>
      </c>
      <c r="D247" s="131" t="str">
        <f>IFERROR(__xludf.DUMMYFUNCTION("""COMPUTED_VALUE"""),"C Zhang, Y Wang, Y Lv, H Wu, H Guo")</f>
        <v>C Zhang, Y Wang, Y Lv, H Wu, H Guo</v>
      </c>
      <c r="E247" s="131" t="str">
        <f>IFERROR(__xludf.DUMMYFUNCTION("""COMPUTED_VALUE"""),"Hindawi Scientific Programming")</f>
        <v>Hindawi Scientific Programming</v>
      </c>
      <c r="F247" s="126" t="str">
        <f>IFERROR(__xludf.DUMMYFUNCTION("""COMPUTED_VALUE"""),"HSP")</f>
        <v>HSP</v>
      </c>
      <c r="G247" s="128" t="str">
        <f>IFERROR(__xludf.DUMMYFUNCTION("""COMPUTED_VALUE"""),"J")</f>
        <v>J</v>
      </c>
      <c r="H247" s="130">
        <f>IFERROR(__xludf.DUMMYFUNCTION("""COMPUTED_VALUE"""),2019.0)</f>
        <v>2019</v>
      </c>
      <c r="I247" s="130">
        <f>IFERROR(__xludf.DUMMYFUNCTION("""COMPUTED_VALUE"""),1.0)</f>
        <v>1</v>
      </c>
      <c r="J247" s="130">
        <f>IFERROR(__xludf.DUMMYFUNCTION("""COMPUTED_VALUE"""),1.0)</f>
        <v>1</v>
      </c>
      <c r="K247" s="129">
        <f>IFERROR(__xludf.DUMMYFUNCTION("""COMPUTED_VALUE"""),1.0)</f>
        <v>1</v>
      </c>
      <c r="L247" s="129">
        <f>IFERROR(__xludf.DUMMYFUNCTION("""COMPUTED_VALUE"""),1.0)</f>
        <v>1</v>
      </c>
      <c r="M247" s="130">
        <f>IFERROR(__xludf.DUMMYFUNCTION("""COMPUTED_VALUE"""),1.0)</f>
        <v>1</v>
      </c>
      <c r="N247" s="130">
        <f>IFERROR(__xludf.DUMMYFUNCTION("""COMPUTED_VALUE"""),0.0)</f>
        <v>0</v>
      </c>
      <c r="O247" s="130">
        <f>IFERROR(__xludf.DUMMYFUNCTION("""COMPUTED_VALUE"""),0.0)</f>
        <v>0</v>
      </c>
      <c r="P247" s="130">
        <f>IFERROR(__xludf.DUMMYFUNCTION("""COMPUTED_VALUE"""),0.0)</f>
        <v>0</v>
      </c>
      <c r="Q247" s="130">
        <f>IFERROR(__xludf.DUMMYFUNCTION("""COMPUTED_VALUE"""),0.0)</f>
        <v>0</v>
      </c>
      <c r="R247" s="130">
        <f>IFERROR(__xludf.DUMMYFUNCTION("""COMPUTED_VALUE"""),0.0)</f>
        <v>0</v>
      </c>
      <c r="S247" s="130">
        <f>IFERROR(__xludf.DUMMYFUNCTION("""COMPUTED_VALUE"""),0.0)</f>
        <v>0</v>
      </c>
      <c r="T247" s="130">
        <f>IFERROR(__xludf.DUMMYFUNCTION("""COMPUTED_VALUE"""),0.0)</f>
        <v>0</v>
      </c>
      <c r="U247" s="130">
        <f>IFERROR(__xludf.DUMMYFUNCTION("""COMPUTED_VALUE"""),0.0)</f>
        <v>0</v>
      </c>
      <c r="V247" s="130">
        <f>IFERROR(__xludf.DUMMYFUNCTION("""COMPUTED_VALUE"""),0.0)</f>
        <v>0</v>
      </c>
      <c r="W247" s="131" t="str">
        <f>IFERROR(__xludf.DUMMYFUNCTION("""COMPUTED_VALUE"""),"Yes")</f>
        <v>Yes</v>
      </c>
      <c r="X247" s="131" t="str">
        <f>IFERROR(__xludf.DUMMYFUNCTION("""COMPUTED_VALUE"""),"Yes")</f>
        <v>Yes</v>
      </c>
      <c r="Y247" s="131" t="str">
        <f>IFERROR(__xludf.DUMMYFUNCTION("""COMPUTED_VALUE"""),"F")</f>
        <v>F</v>
      </c>
      <c r="Z247" s="131" t="str">
        <f>IFERROR(__xludf.DUMMYFUNCTION("""COMPUTED_VALUE"""),"resource management strategy")</f>
        <v>resource management strategy</v>
      </c>
      <c r="AA247" s="131"/>
      <c r="AB247" s="131"/>
      <c r="AC247" s="131"/>
      <c r="AD247" s="131"/>
      <c r="AE247" s="131"/>
      <c r="AF247" s="131"/>
      <c r="AG247" s="131"/>
      <c r="AH247" s="131"/>
      <c r="AI247" s="131"/>
      <c r="AJ247" s="131"/>
    </row>
    <row r="248">
      <c r="A248" s="126">
        <f>IFERROR(__xludf.DUMMYFUNCTION("""COMPUTED_VALUE"""),491.0)</f>
        <v>491</v>
      </c>
      <c r="B248" s="126" t="str">
        <f>IFERROR(__xludf.DUMMYFUNCTION("""COMPUTED_VALUE"""),"Energy efficient job scheduling with workload prediction on cloud data center")</f>
        <v>Energy efficient job scheduling with workload prediction on cloud data center</v>
      </c>
      <c r="C248" s="127" t="str">
        <f>IFERROR(__xludf.DUMMYFUNCTION("""COMPUTED_VALUE"""),"https://link.springer.com/article/10.1007/s10586-018-2154-7")</f>
        <v>https://link.springer.com/article/10.1007/s10586-018-2154-7</v>
      </c>
      <c r="D248" s="126" t="str">
        <f>IFERROR(__xludf.DUMMYFUNCTION("""COMPUTED_VALUE"""),"X Tang, X Liao, J Zheng, X Yang")</f>
        <v>X Tang, X Liao, J Zheng, X Yang</v>
      </c>
      <c r="E248" s="126" t="str">
        <f>IFERROR(__xludf.DUMMYFUNCTION("""COMPUTED_VALUE"""),"Springer")</f>
        <v>Springer</v>
      </c>
      <c r="F248" s="126" t="str">
        <f>IFERROR(__xludf.DUMMYFUNCTION("""COMPUTED_VALUE"""),"Springer")</f>
        <v>Springer</v>
      </c>
      <c r="G248" s="132" t="str">
        <f>IFERROR(__xludf.DUMMYFUNCTION("""COMPUTED_VALUE"""),"J")</f>
        <v>J</v>
      </c>
      <c r="H248" s="129">
        <f>IFERROR(__xludf.DUMMYFUNCTION("""COMPUTED_VALUE"""),2018.0)</f>
        <v>2018</v>
      </c>
      <c r="I248" s="129">
        <f>IFERROR(__xludf.DUMMYFUNCTION("""COMPUTED_VALUE"""),1.0)</f>
        <v>1</v>
      </c>
      <c r="J248" s="129">
        <f>IFERROR(__xludf.DUMMYFUNCTION("""COMPUTED_VALUE"""),1.0)</f>
        <v>1</v>
      </c>
      <c r="K248" s="130">
        <f>IFERROR(__xludf.DUMMYFUNCTION("""COMPUTED_VALUE"""),1.0)</f>
        <v>1</v>
      </c>
      <c r="L248" s="130">
        <f>IFERROR(__xludf.DUMMYFUNCTION("""COMPUTED_VALUE"""),1.0)</f>
        <v>1</v>
      </c>
      <c r="M248" s="130">
        <f>IFERROR(__xludf.DUMMYFUNCTION("""COMPUTED_VALUE"""),1.0)</f>
        <v>1</v>
      </c>
      <c r="N248" s="130">
        <f>IFERROR(__xludf.DUMMYFUNCTION("""COMPUTED_VALUE"""),0.0)</f>
        <v>0</v>
      </c>
      <c r="O248" s="130">
        <f>IFERROR(__xludf.DUMMYFUNCTION("""COMPUTED_VALUE"""),1.0)</f>
        <v>1</v>
      </c>
      <c r="P248" s="130">
        <f>IFERROR(__xludf.DUMMYFUNCTION("""COMPUTED_VALUE"""),0.0)</f>
        <v>0</v>
      </c>
      <c r="Q248" s="129">
        <f>IFERROR(__xludf.DUMMYFUNCTION("""COMPUTED_VALUE"""),0.0)</f>
        <v>0</v>
      </c>
      <c r="R248" s="129">
        <f>IFERROR(__xludf.DUMMYFUNCTION("""COMPUTED_VALUE"""),0.0)</f>
        <v>0</v>
      </c>
      <c r="S248" s="129">
        <f>IFERROR(__xludf.DUMMYFUNCTION("""COMPUTED_VALUE"""),0.0)</f>
        <v>0</v>
      </c>
      <c r="T248" s="129">
        <f>IFERROR(__xludf.DUMMYFUNCTION("""COMPUTED_VALUE"""),0.0)</f>
        <v>0</v>
      </c>
      <c r="U248" s="129">
        <f>IFERROR(__xludf.DUMMYFUNCTION("""COMPUTED_VALUE"""),0.0)</f>
        <v>0</v>
      </c>
      <c r="V248" s="129">
        <f>IFERROR(__xludf.DUMMYFUNCTION("""COMPUTED_VALUE"""),0.0)</f>
        <v>0</v>
      </c>
      <c r="W248" s="126" t="str">
        <f>IFERROR(__xludf.DUMMYFUNCTION("""COMPUTED_VALUE"""),"No")</f>
        <v>No</v>
      </c>
      <c r="X248" s="126" t="str">
        <f>IFERROR(__xludf.DUMMYFUNCTION("""COMPUTED_VALUE"""),"Yes")</f>
        <v>Yes</v>
      </c>
      <c r="Y248" s="126" t="str">
        <f>IFERROR(__xludf.DUMMYFUNCTION("""COMPUTED_VALUE"""),"F")</f>
        <v>F</v>
      </c>
      <c r="Z248" s="126" t="str">
        <f>IFERROR(__xludf.DUMMYFUNCTION("""COMPUTED_VALUE"""),"considers cooling in PC model")</f>
        <v>considers cooling in PC model</v>
      </c>
      <c r="AA248" s="126"/>
      <c r="AB248" s="126"/>
      <c r="AC248" s="126"/>
      <c r="AD248" s="126"/>
      <c r="AE248" s="126"/>
      <c r="AF248" s="126"/>
      <c r="AG248" s="126"/>
      <c r="AH248" s="126"/>
      <c r="AI248" s="126"/>
      <c r="AJ248" s="126"/>
    </row>
    <row r="249">
      <c r="A249" s="126">
        <f>IFERROR(__xludf.DUMMYFUNCTION("""COMPUTED_VALUE"""),492.0)</f>
        <v>492</v>
      </c>
      <c r="B249" s="126" t="str">
        <f>IFERROR(__xludf.DUMMYFUNCTION("""COMPUTED_VALUE"""),"Evaluation of the Heat and Energy Performance of a Datacenter Using a New Efficiency Index: Energy Usage Effectiveness Design–EUED.")</f>
        <v>Evaluation of the Heat and Energy Performance of a Datacenter Using a New Efficiency Index: Energy Usage Effectiveness Design–EUED.</v>
      </c>
      <c r="C249" s="127" t="str">
        <f>IFERROR(__xludf.DUMMYFUNCTION("""COMPUTED_VALUE"""),"https://www.scielo.br/scielo.php?pid=S1516-89132019000200220&amp;script=sci_arttext")</f>
        <v>https://www.scielo.br/scielo.php?pid=S1516-89132019000200220&amp;script=sci_arttext</v>
      </c>
      <c r="D249" s="126" t="str">
        <f>IFERROR(__xludf.DUMMYFUNCTION("""COMPUTED_VALUE"""),"AF Santos, PD Gaspar, HJL de Souza")</f>
        <v>AF Santos, PD Gaspar, HJL de Souza</v>
      </c>
      <c r="E249" s="126" t="str">
        <f>IFERROR(__xludf.DUMMYFUNCTION("""COMPUTED_VALUE"""),"SciELO Brasil")</f>
        <v>SciELO Brasil</v>
      </c>
      <c r="F249" s="126" t="str">
        <f>IFERROR(__xludf.DUMMYFUNCTION("""COMPUTED_VALUE"""),"SciELO Brasil")</f>
        <v>SciELO Brasil</v>
      </c>
      <c r="G249" s="132"/>
      <c r="H249" s="129">
        <f>IFERROR(__xludf.DUMMYFUNCTION("""COMPUTED_VALUE"""),2019.0)</f>
        <v>2019</v>
      </c>
      <c r="I249" s="129"/>
      <c r="J249" s="129"/>
      <c r="K249" s="130"/>
      <c r="L249" s="130"/>
      <c r="M249" s="130"/>
      <c r="N249" s="130"/>
      <c r="O249" s="130">
        <f>IFERROR(__xludf.DUMMYFUNCTION("""COMPUTED_VALUE"""),1.0)</f>
        <v>1</v>
      </c>
      <c r="P249" s="130"/>
      <c r="Q249" s="129"/>
      <c r="R249" s="129"/>
      <c r="S249" s="129"/>
      <c r="T249" s="129"/>
      <c r="U249" s="129"/>
      <c r="V249" s="129"/>
      <c r="W249" s="126" t="str">
        <f>IFERROR(__xludf.DUMMYFUNCTION("""COMPUTED_VALUE"""),"No")</f>
        <v>No</v>
      </c>
      <c r="X249" s="126" t="str">
        <f>IFERROR(__xludf.DUMMYFUNCTION("""COMPUTED_VALUE"""),"Yes")</f>
        <v>Yes</v>
      </c>
      <c r="Y249" s="126" t="str">
        <f>IFERROR(__xludf.DUMMYFUNCTION("""COMPUTED_VALUE"""),"F")</f>
        <v>F</v>
      </c>
      <c r="Z249" s="126" t="str">
        <f>IFERROR(__xludf.DUMMYFUNCTION("""COMPUTED_VALUE"""),"free cooling' use, considers heat")</f>
        <v>free cooling' use, considers heat</v>
      </c>
      <c r="AA249" s="126"/>
      <c r="AB249" s="126"/>
      <c r="AC249" s="126"/>
      <c r="AD249" s="126"/>
      <c r="AE249" s="126"/>
      <c r="AF249" s="126"/>
      <c r="AG249" s="126"/>
      <c r="AH249" s="126"/>
      <c r="AI249" s="126"/>
      <c r="AJ249" s="126"/>
    </row>
    <row r="250">
      <c r="A250" s="126">
        <f>IFERROR(__xludf.DUMMYFUNCTION("""COMPUTED_VALUE"""),493.0)</f>
        <v>493</v>
      </c>
      <c r="B250" s="126" t="str">
        <f>IFERROR(__xludf.DUMMYFUNCTION("""COMPUTED_VALUE"""),"Ts-batpro: Improving energy efficiency in data centers by leveraging temporal–spatial batching")</f>
        <v>Ts-batpro: Improving energy efficiency in data centers by leveraging temporal–spatial batching</v>
      </c>
      <c r="C250" s="127" t="str">
        <f>IFERROR(__xludf.DUMMYFUNCTION("""COMPUTED_VALUE"""),"https://ieeexplore.ieee.org/abstract/document/8468062/")</f>
        <v>https://ieeexplore.ieee.org/abstract/document/8468062/</v>
      </c>
      <c r="D250" s="131" t="str">
        <f>IFERROR(__xludf.DUMMYFUNCTION("""COMPUTED_VALUE"""),"F Yao, J Wu, G Venkataramani, S Subramaniam")</f>
        <v>F Yao, J Wu, G Venkataramani, S Subramaniam</v>
      </c>
      <c r="E250" s="131" t="str">
        <f>IFERROR(__xludf.DUMMYFUNCTION("""COMPUTED_VALUE"""),"Institute of Electrical and Electronics Engineers")</f>
        <v>Institute of Electrical and Electronics Engineers</v>
      </c>
      <c r="F250" s="126" t="str">
        <f>IFERROR(__xludf.DUMMYFUNCTION("""COMPUTED_VALUE"""),"IEEE Xplore")</f>
        <v>IEEE Xplore</v>
      </c>
      <c r="G250" s="128" t="str">
        <f>IFERROR(__xludf.DUMMYFUNCTION("""COMPUTED_VALUE"""),"J")</f>
        <v>J</v>
      </c>
      <c r="H250" s="130">
        <f>IFERROR(__xludf.DUMMYFUNCTION("""COMPUTED_VALUE"""),2018.0)</f>
        <v>2018</v>
      </c>
      <c r="I250" s="130">
        <f>IFERROR(__xludf.DUMMYFUNCTION("""COMPUTED_VALUE"""),1.0)</f>
        <v>1</v>
      </c>
      <c r="J250" s="130">
        <f>IFERROR(__xludf.DUMMYFUNCTION("""COMPUTED_VALUE"""),1.0)</f>
        <v>1</v>
      </c>
      <c r="K250" s="130">
        <f>IFERROR(__xludf.DUMMYFUNCTION("""COMPUTED_VALUE"""),1.0)</f>
        <v>1</v>
      </c>
      <c r="L250" s="129">
        <f>IFERROR(__xludf.DUMMYFUNCTION("""COMPUTED_VALUE"""),1.0)</f>
        <v>1</v>
      </c>
      <c r="M250" s="130">
        <f>IFERROR(__xludf.DUMMYFUNCTION("""COMPUTED_VALUE"""),1.0)</f>
        <v>1</v>
      </c>
      <c r="N250" s="130">
        <f>IFERROR(__xludf.DUMMYFUNCTION("""COMPUTED_VALUE"""),0.0)</f>
        <v>0</v>
      </c>
      <c r="O250" s="130">
        <f>IFERROR(__xludf.DUMMYFUNCTION("""COMPUTED_VALUE"""),0.0)</f>
        <v>0</v>
      </c>
      <c r="P250" s="130">
        <f>IFERROR(__xludf.DUMMYFUNCTION("""COMPUTED_VALUE"""),0.0)</f>
        <v>0</v>
      </c>
      <c r="Q250" s="130">
        <f>IFERROR(__xludf.DUMMYFUNCTION("""COMPUTED_VALUE"""),0.0)</f>
        <v>0</v>
      </c>
      <c r="R250" s="130">
        <f>IFERROR(__xludf.DUMMYFUNCTION("""COMPUTED_VALUE"""),0.0)</f>
        <v>0</v>
      </c>
      <c r="S250" s="130">
        <f>IFERROR(__xludf.DUMMYFUNCTION("""COMPUTED_VALUE"""),0.0)</f>
        <v>0</v>
      </c>
      <c r="T250" s="130">
        <f>IFERROR(__xludf.DUMMYFUNCTION("""COMPUTED_VALUE"""),0.0)</f>
        <v>0</v>
      </c>
      <c r="U250" s="130">
        <f>IFERROR(__xludf.DUMMYFUNCTION("""COMPUTED_VALUE"""),0.0)</f>
        <v>0</v>
      </c>
      <c r="V250" s="130">
        <f>IFERROR(__xludf.DUMMYFUNCTION("""COMPUTED_VALUE"""),0.0)</f>
        <v>0</v>
      </c>
      <c r="W250" s="131" t="str">
        <f>IFERROR(__xludf.DUMMYFUNCTION("""COMPUTED_VALUE"""),"Yes")</f>
        <v>Yes</v>
      </c>
      <c r="X250" s="131" t="str">
        <f>IFERROR(__xludf.DUMMYFUNCTION("""COMPUTED_VALUE"""),"Yes")</f>
        <v>Yes</v>
      </c>
      <c r="Y250" s="131" t="str">
        <f>IFERROR(__xludf.DUMMYFUNCTION("""COMPUTED_VALUE"""),"F")</f>
        <v>F</v>
      </c>
      <c r="Z250" s="131" t="str">
        <f>IFERROR(__xludf.DUMMYFUNCTION("""COMPUTED_VALUE"""),"job batching and scheduling")</f>
        <v>job batching and scheduling</v>
      </c>
      <c r="AA250" s="131"/>
      <c r="AB250" s="131"/>
      <c r="AC250" s="131"/>
      <c r="AD250" s="131"/>
      <c r="AE250" s="131"/>
      <c r="AF250" s="131"/>
      <c r="AG250" s="131"/>
      <c r="AH250" s="131"/>
      <c r="AI250" s="131"/>
      <c r="AJ250" s="131"/>
    </row>
    <row r="251">
      <c r="A251" s="126">
        <f>IFERROR(__xludf.DUMMYFUNCTION("""COMPUTED_VALUE"""),498.0)</f>
        <v>498</v>
      </c>
      <c r="B251" s="126" t="str">
        <f>IFERROR(__xludf.DUMMYFUNCTION("""COMPUTED_VALUE"""),"Intra-and Inter-Server Smart Task Scheduling for Profit and Energy Optimization of HPC Data Centers")</f>
        <v>Intra-and Inter-Server Smart Task Scheduling for Profit and Energy Optimization of HPC Data Centers</v>
      </c>
      <c r="C251" s="127" t="str">
        <f>IFERROR(__xludf.DUMMYFUNCTION("""COMPUTED_VALUE"""),"https://www.mdpi.com/2079-9268/10/4/32")</f>
        <v>https://www.mdpi.com/2079-9268/10/4/32</v>
      </c>
      <c r="D251" s="126" t="str">
        <f>IFERROR(__xludf.DUMMYFUNCTION("""COMPUTED_VALUE"""),"SA Mamun, A Gilday, AK Singh, A Ganguly, GV Merrett, X Wang, BM Al-Hashimi")</f>
        <v>SA Mamun, A Gilday, AK Singh, A Ganguly, GV Merrett, X Wang, BM Al-Hashimi</v>
      </c>
      <c r="E251" s="126" t="str">
        <f>IFERROR(__xludf.DUMMYFUNCTION("""COMPUTED_VALUE"""),"Multidisciplinary Digital Publishing Institute")</f>
        <v>Multidisciplinary Digital Publishing Institute</v>
      </c>
      <c r="F251" s="126" t="str">
        <f>IFERROR(__xludf.DUMMYFUNCTION("""COMPUTED_VALUE"""),"MDPI")</f>
        <v>MDPI</v>
      </c>
      <c r="G251" s="128" t="str">
        <f>IFERROR(__xludf.DUMMYFUNCTION("""COMPUTED_VALUE"""),"J")</f>
        <v>J</v>
      </c>
      <c r="H251" s="129">
        <f>IFERROR(__xludf.DUMMYFUNCTION("""COMPUTED_VALUE"""),2020.0)</f>
        <v>2020</v>
      </c>
      <c r="I251" s="130">
        <f>IFERROR(__xludf.DUMMYFUNCTION("""COMPUTED_VALUE"""),1.0)</f>
        <v>1</v>
      </c>
      <c r="J251" s="129">
        <f>IFERROR(__xludf.DUMMYFUNCTION("""COMPUTED_VALUE"""),1.0)</f>
        <v>1</v>
      </c>
      <c r="K251" s="130">
        <f>IFERROR(__xludf.DUMMYFUNCTION("""COMPUTED_VALUE"""),1.0)</f>
        <v>1</v>
      </c>
      <c r="L251" s="130">
        <f>IFERROR(__xludf.DUMMYFUNCTION("""COMPUTED_VALUE"""),1.0)</f>
        <v>1</v>
      </c>
      <c r="M251" s="130">
        <f>IFERROR(__xludf.DUMMYFUNCTION("""COMPUTED_VALUE"""),1.0)</f>
        <v>1</v>
      </c>
      <c r="N251" s="130">
        <f>IFERROR(__xludf.DUMMYFUNCTION("""COMPUTED_VALUE"""),0.0)</f>
        <v>0</v>
      </c>
      <c r="O251" s="130">
        <f>IFERROR(__xludf.DUMMYFUNCTION("""COMPUTED_VALUE"""),0.0)</f>
        <v>0</v>
      </c>
      <c r="P251" s="130">
        <f>IFERROR(__xludf.DUMMYFUNCTION("""COMPUTED_VALUE"""),0.0)</f>
        <v>0</v>
      </c>
      <c r="Q251" s="130">
        <f>IFERROR(__xludf.DUMMYFUNCTION("""COMPUTED_VALUE"""),0.0)</f>
        <v>0</v>
      </c>
      <c r="R251" s="130">
        <f>IFERROR(__xludf.DUMMYFUNCTION("""COMPUTED_VALUE"""),0.0)</f>
        <v>0</v>
      </c>
      <c r="S251" s="130">
        <f>IFERROR(__xludf.DUMMYFUNCTION("""COMPUTED_VALUE"""),0.0)</f>
        <v>0</v>
      </c>
      <c r="T251" s="130">
        <f>IFERROR(__xludf.DUMMYFUNCTION("""COMPUTED_VALUE"""),0.0)</f>
        <v>0</v>
      </c>
      <c r="U251" s="130">
        <f>IFERROR(__xludf.DUMMYFUNCTION("""COMPUTED_VALUE"""),0.0)</f>
        <v>0</v>
      </c>
      <c r="V251" s="130">
        <f>IFERROR(__xludf.DUMMYFUNCTION("""COMPUTED_VALUE"""),0.0)</f>
        <v>0</v>
      </c>
      <c r="W251" s="131" t="str">
        <f>IFERROR(__xludf.DUMMYFUNCTION("""COMPUTED_VALUE"""),"Yes")</f>
        <v>Yes</v>
      </c>
      <c r="X251" s="131" t="str">
        <f>IFERROR(__xludf.DUMMYFUNCTION("""COMPUTED_VALUE"""),"Yes")</f>
        <v>Yes</v>
      </c>
      <c r="Y251" s="131" t="str">
        <f>IFERROR(__xludf.DUMMYFUNCTION("""COMPUTED_VALUE"""),"F")</f>
        <v>F</v>
      </c>
      <c r="Z251" s="131" t="str">
        <f>IFERROR(__xludf.DUMMYFUNCTION("""COMPUTED_VALUE"""),"task sch., profit, energy efficiency")</f>
        <v>task sch., profit, energy efficiency</v>
      </c>
      <c r="AA251" s="131"/>
      <c r="AB251" s="131"/>
      <c r="AC251" s="131"/>
      <c r="AD251" s="131"/>
      <c r="AE251" s="131"/>
      <c r="AF251" s="131"/>
      <c r="AG251" s="131"/>
      <c r="AH251" s="131"/>
      <c r="AI251" s="131"/>
      <c r="AJ251" s="131"/>
    </row>
    <row r="252">
      <c r="A252" s="126">
        <f>IFERROR(__xludf.DUMMYFUNCTION("""COMPUTED_VALUE"""),499.0)</f>
        <v>499</v>
      </c>
      <c r="B252" s="126" t="str">
        <f>IFERROR(__xludf.DUMMYFUNCTION("""COMPUTED_VALUE"""),"A Framework for Optimizing Energy Efficiency in Data Centers")</f>
        <v>A Framework for Optimizing Energy Efficiency in Data Centers</v>
      </c>
      <c r="C252" s="127" t="str">
        <f>IFERROR(__xludf.DUMMYFUNCTION("""COMPUTED_VALUE"""),"https://link.springer.com/chapter/10.1007/978-3-319-65687-8_24")</f>
        <v>https://link.springer.com/chapter/10.1007/978-3-319-65687-8_24</v>
      </c>
      <c r="D252" s="126" t="str">
        <f>IFERROR(__xludf.DUMMYFUNCTION("""COMPUTED_VALUE"""),"V Gizli, JM Gómez")</f>
        <v>V Gizli, JM Gómez</v>
      </c>
      <c r="E252" s="126" t="str">
        <f>IFERROR(__xludf.DUMMYFUNCTION("""COMPUTED_VALUE"""),"Springer")</f>
        <v>Springer</v>
      </c>
      <c r="F252" s="126" t="str">
        <f>IFERROR(__xludf.DUMMYFUNCTION("""COMPUTED_VALUE"""),"Springer")</f>
        <v>Springer</v>
      </c>
      <c r="G252" s="128"/>
      <c r="H252" s="130">
        <f>IFERROR(__xludf.DUMMYFUNCTION("""COMPUTED_VALUE"""),2018.0)</f>
        <v>2018</v>
      </c>
      <c r="I252" s="130"/>
      <c r="J252" s="130"/>
      <c r="K252" s="130"/>
      <c r="L252" s="130">
        <f>IFERROR(__xludf.DUMMYFUNCTION("""COMPUTED_VALUE"""),0.0)</f>
        <v>0</v>
      </c>
      <c r="M252" s="129"/>
      <c r="N252" s="130"/>
      <c r="O252" s="130"/>
      <c r="P252" s="130"/>
      <c r="Q252" s="130"/>
      <c r="R252" s="130"/>
      <c r="S252" s="130"/>
      <c r="T252" s="130"/>
      <c r="U252" s="130"/>
      <c r="V252" s="130"/>
      <c r="W252" s="131" t="str">
        <f>IFERROR(__xludf.DUMMYFUNCTION("""COMPUTED_VALUE"""),"No")</f>
        <v>No</v>
      </c>
      <c r="X252" s="131" t="str">
        <f>IFERROR(__xludf.DUMMYFUNCTION("""COMPUTED_VALUE"""),"Yes")</f>
        <v>Yes</v>
      </c>
      <c r="Y252" s="131" t="str">
        <f>IFERROR(__xludf.DUMMYFUNCTION("""COMPUTED_VALUE"""),"F")</f>
        <v>F</v>
      </c>
      <c r="Z252" s="131" t="str">
        <f>IFERROR(__xludf.DUMMYFUNCTION("""COMPUTED_VALUE"""),"allows pre. assessment, no eval.")</f>
        <v>allows pre. assessment, no eval.</v>
      </c>
      <c r="AA252" s="131"/>
      <c r="AB252" s="131"/>
      <c r="AC252" s="131"/>
      <c r="AD252" s="131"/>
      <c r="AE252" s="131"/>
      <c r="AF252" s="131"/>
      <c r="AG252" s="131"/>
      <c r="AH252" s="131"/>
      <c r="AI252" s="131"/>
      <c r="AJ252" s="131"/>
    </row>
    <row r="253">
      <c r="A253" s="126">
        <f>IFERROR(__xludf.DUMMYFUNCTION("""COMPUTED_VALUE"""),507.0)</f>
        <v>507</v>
      </c>
      <c r="B253" s="126" t="str">
        <f>IFERROR(__xludf.DUMMYFUNCTION("""COMPUTED_VALUE"""),"A demonstration of monitoring and measuring data centers for energy efficiency using opensource tools")</f>
        <v>A demonstration of monitoring and measuring data centers for energy efficiency using opensource tools</v>
      </c>
      <c r="C253" s="127" t="str">
        <f>IFERROR(__xludf.DUMMYFUNCTION("""COMPUTED_VALUE"""),"https://dl.acm.org/doi/abs/10.1145/3208903.3213522")</f>
        <v>https://dl.acm.org/doi/abs/10.1145/3208903.3213522</v>
      </c>
      <c r="D253" s="131" t="str">
        <f>IFERROR(__xludf.DUMMYFUNCTION("""COMPUTED_VALUE"""),"J Gustafsson, S Fredriksson, M Nilsson-Mäki…")</f>
        <v>J Gustafsson, S Fredriksson, M Nilsson-Mäki…</v>
      </c>
      <c r="E253" s="131" t="str">
        <f>IFERROR(__xludf.DUMMYFUNCTION("""COMPUTED_VALUE"""),"Association for Computing Machinery")</f>
        <v>Association for Computing Machinery</v>
      </c>
      <c r="F253" s="126" t="str">
        <f>IFERROR(__xludf.DUMMYFUNCTION("""COMPUTED_VALUE"""),"ACM")</f>
        <v>ACM</v>
      </c>
      <c r="G253" s="128" t="str">
        <f>IFERROR(__xludf.DUMMYFUNCTION("""COMPUTED_VALUE"""),"C")</f>
        <v>C</v>
      </c>
      <c r="H253" s="130">
        <f>IFERROR(__xludf.DUMMYFUNCTION("""COMPUTED_VALUE"""),2018.0)</f>
        <v>2018</v>
      </c>
      <c r="I253" s="130">
        <f>IFERROR(__xludf.DUMMYFUNCTION("""COMPUTED_VALUE"""),1.0)</f>
        <v>1</v>
      </c>
      <c r="J253" s="130">
        <f>IFERROR(__xludf.DUMMYFUNCTION("""COMPUTED_VALUE"""),1.0)</f>
        <v>1</v>
      </c>
      <c r="K253" s="130">
        <f>IFERROR(__xludf.DUMMYFUNCTION("""COMPUTED_VALUE"""),1.0)</f>
        <v>1</v>
      </c>
      <c r="L253" s="129">
        <f>IFERROR(__xludf.DUMMYFUNCTION("""COMPUTED_VALUE"""),1.0)</f>
        <v>1</v>
      </c>
      <c r="M253" s="130">
        <f>IFERROR(__xludf.DUMMYFUNCTION("""COMPUTED_VALUE"""),1.0)</f>
        <v>1</v>
      </c>
      <c r="N253" s="130">
        <f>IFERROR(__xludf.DUMMYFUNCTION("""COMPUTED_VALUE"""),0.0)</f>
        <v>0</v>
      </c>
      <c r="O253" s="130">
        <f>IFERROR(__xludf.DUMMYFUNCTION("""COMPUTED_VALUE"""),0.0)</f>
        <v>0</v>
      </c>
      <c r="P253" s="130">
        <f>IFERROR(__xludf.DUMMYFUNCTION("""COMPUTED_VALUE"""),0.0)</f>
        <v>0</v>
      </c>
      <c r="Q253" s="130">
        <f>IFERROR(__xludf.DUMMYFUNCTION("""COMPUTED_VALUE"""),0.0)</f>
        <v>0</v>
      </c>
      <c r="R253" s="130">
        <f>IFERROR(__xludf.DUMMYFUNCTION("""COMPUTED_VALUE"""),0.0)</f>
        <v>0</v>
      </c>
      <c r="S253" s="130">
        <f>IFERROR(__xludf.DUMMYFUNCTION("""COMPUTED_VALUE"""),0.0)</f>
        <v>0</v>
      </c>
      <c r="T253" s="130">
        <f>IFERROR(__xludf.DUMMYFUNCTION("""COMPUTED_VALUE"""),0.0)</f>
        <v>0</v>
      </c>
      <c r="U253" s="130">
        <f>IFERROR(__xludf.DUMMYFUNCTION("""COMPUTED_VALUE"""),0.0)</f>
        <v>0</v>
      </c>
      <c r="V253" s="130">
        <f>IFERROR(__xludf.DUMMYFUNCTION("""COMPUTED_VALUE"""),0.0)</f>
        <v>0</v>
      </c>
      <c r="W253" s="131" t="str">
        <f>IFERROR(__xludf.DUMMYFUNCTION("""COMPUTED_VALUE"""),"Yes")</f>
        <v>Yes</v>
      </c>
      <c r="X253" s="131" t="str">
        <f>IFERROR(__xludf.DUMMYFUNCTION("""COMPUTED_VALUE"""),"Yes")</f>
        <v>Yes</v>
      </c>
      <c r="Y253" s="131" t="str">
        <f>IFERROR(__xludf.DUMMYFUNCTION("""COMPUTED_VALUE"""),"S")</f>
        <v>S</v>
      </c>
      <c r="Z253" s="131"/>
      <c r="AA253" s="131"/>
      <c r="AB253" s="131"/>
      <c r="AC253" s="131"/>
      <c r="AD253" s="131"/>
      <c r="AE253" s="131"/>
      <c r="AF253" s="131"/>
      <c r="AG253" s="131"/>
      <c r="AH253" s="131"/>
      <c r="AI253" s="131"/>
      <c r="AJ253" s="131"/>
    </row>
    <row r="254">
      <c r="A254" s="126">
        <f>IFERROR(__xludf.DUMMYFUNCTION("""COMPUTED_VALUE"""),509.0)</f>
        <v>509</v>
      </c>
      <c r="B254" s="126" t="str">
        <f>IFERROR(__xludf.DUMMYFUNCTION("""COMPUTED_VALUE"""),"Energy Efficient Scheduling Based on Marginal Cost and Task Grouping in Data Centers")</f>
        <v>Energy Efficient Scheduling Based on Marginal Cost and Task Grouping in Data Centers</v>
      </c>
      <c r="C254" s="127" t="str">
        <f>IFERROR(__xludf.DUMMYFUNCTION("""COMPUTED_VALUE"""),"https://dl.acm.org/doi/abs/10.1145/3396851.3402657")</f>
        <v>https://dl.acm.org/doi/abs/10.1145/3396851.3402657</v>
      </c>
      <c r="D254" s="126" t="str">
        <f>IFERROR(__xludf.DUMMYFUNCTION("""COMPUTED_VALUE"""),"K Ji, C Chi, A Marahatta, F Zhang, Z Liu")</f>
        <v>K Ji, C Chi, A Marahatta, F Zhang, Z Liu</v>
      </c>
      <c r="E254" s="126" t="str">
        <f>IFERROR(__xludf.DUMMYFUNCTION("""COMPUTED_VALUE"""),"Association for Computing Machinery")</f>
        <v>Association for Computing Machinery</v>
      </c>
      <c r="F254" s="126" t="str">
        <f>IFERROR(__xludf.DUMMYFUNCTION("""COMPUTED_VALUE"""),"ACM")</f>
        <v>ACM</v>
      </c>
      <c r="G254" s="128" t="str">
        <f>IFERROR(__xludf.DUMMYFUNCTION("""COMPUTED_VALUE"""),"C")</f>
        <v>C</v>
      </c>
      <c r="H254" s="130">
        <f>IFERROR(__xludf.DUMMYFUNCTION("""COMPUTED_VALUE"""),2020.0)</f>
        <v>2020</v>
      </c>
      <c r="I254" s="130">
        <f>IFERROR(__xludf.DUMMYFUNCTION("""COMPUTED_VALUE"""),1.0)</f>
        <v>1</v>
      </c>
      <c r="J254" s="130">
        <f>IFERROR(__xludf.DUMMYFUNCTION("""COMPUTED_VALUE"""),1.0)</f>
        <v>1</v>
      </c>
      <c r="K254" s="130">
        <f>IFERROR(__xludf.DUMMYFUNCTION("""COMPUTED_VALUE"""),1.0)</f>
        <v>1</v>
      </c>
      <c r="L254" s="130">
        <f>IFERROR(__xludf.DUMMYFUNCTION("""COMPUTED_VALUE"""),1.0)</f>
        <v>1</v>
      </c>
      <c r="M254" s="130">
        <f>IFERROR(__xludf.DUMMYFUNCTION("""COMPUTED_VALUE"""),1.0)</f>
        <v>1</v>
      </c>
      <c r="N254" s="130">
        <f>IFERROR(__xludf.DUMMYFUNCTION("""COMPUTED_VALUE"""),0.0)</f>
        <v>0</v>
      </c>
      <c r="O254" s="129">
        <f>IFERROR(__xludf.DUMMYFUNCTION("""COMPUTED_VALUE"""),0.0)</f>
        <v>0</v>
      </c>
      <c r="P254" s="130">
        <f>IFERROR(__xludf.DUMMYFUNCTION("""COMPUTED_VALUE"""),0.0)</f>
        <v>0</v>
      </c>
      <c r="Q254" s="130">
        <f>IFERROR(__xludf.DUMMYFUNCTION("""COMPUTED_VALUE"""),0.0)</f>
        <v>0</v>
      </c>
      <c r="R254" s="129">
        <f>IFERROR(__xludf.DUMMYFUNCTION("""COMPUTED_VALUE"""),0.0)</f>
        <v>0</v>
      </c>
      <c r="S254" s="129">
        <f>IFERROR(__xludf.DUMMYFUNCTION("""COMPUTED_VALUE"""),0.0)</f>
        <v>0</v>
      </c>
      <c r="T254" s="129">
        <f>IFERROR(__xludf.DUMMYFUNCTION("""COMPUTED_VALUE"""),0.0)</f>
        <v>0</v>
      </c>
      <c r="U254" s="129">
        <f>IFERROR(__xludf.DUMMYFUNCTION("""COMPUTED_VALUE"""),0.0)</f>
        <v>0</v>
      </c>
      <c r="V254" s="129">
        <f>IFERROR(__xludf.DUMMYFUNCTION("""COMPUTED_VALUE"""),0.0)</f>
        <v>0</v>
      </c>
      <c r="W254" s="126" t="str">
        <f>IFERROR(__xludf.DUMMYFUNCTION("""COMPUTED_VALUE"""),"Yes")</f>
        <v>Yes</v>
      </c>
      <c r="X254" s="126" t="str">
        <f>IFERROR(__xludf.DUMMYFUNCTION("""COMPUTED_VALUE"""),"Yes")</f>
        <v>Yes</v>
      </c>
      <c r="Y254" s="126" t="str">
        <f>IFERROR(__xludf.DUMMYFUNCTION("""COMPUTED_VALUE"""),"S")</f>
        <v>S</v>
      </c>
      <c r="Z254" s="126"/>
      <c r="AA254" s="126"/>
      <c r="AB254" s="126"/>
      <c r="AC254" s="126"/>
      <c r="AD254" s="126"/>
      <c r="AE254" s="126"/>
      <c r="AF254" s="126"/>
      <c r="AG254" s="126"/>
      <c r="AH254" s="126"/>
      <c r="AI254" s="126"/>
      <c r="AJ254" s="126"/>
    </row>
    <row r="255">
      <c r="A255" s="126">
        <f>IFERROR(__xludf.DUMMYFUNCTION("""COMPUTED_VALUE"""),513.0)</f>
        <v>513</v>
      </c>
      <c r="B255" s="126" t="str">
        <f>IFERROR(__xludf.DUMMYFUNCTION("""COMPUTED_VALUE"""),"Development and Application of Metrics for Evaluation of Cumulative Energy Efficiency for IT Devices in Data Centers")</f>
        <v>Development and Application of Metrics for Evaluation of Cumulative Energy Efficiency for IT Devices in Data Centers</v>
      </c>
      <c r="C255" s="127" t="str">
        <f>IFERROR(__xludf.DUMMYFUNCTION("""COMPUTED_VALUE"""),"https://link.springer.com/chapter/10.1007/978-3-662-57886-5_17")</f>
        <v>https://link.springer.com/chapter/10.1007/978-3-662-57886-5_17</v>
      </c>
      <c r="D255" s="126" t="str">
        <f>IFERROR(__xludf.DUMMYFUNCTION("""COMPUTED_VALUE"""),"F Peñaherrera, K Szczepaniak")</f>
        <v>F Peñaherrera, K Szczepaniak</v>
      </c>
      <c r="E255" s="126" t="str">
        <f>IFERROR(__xludf.DUMMYFUNCTION("""COMPUTED_VALUE"""),"Springer")</f>
        <v>Springer</v>
      </c>
      <c r="F255" s="126" t="str">
        <f>IFERROR(__xludf.DUMMYFUNCTION("""COMPUTED_VALUE"""),"Springer")</f>
        <v>Springer</v>
      </c>
      <c r="G255" s="128" t="str">
        <f>IFERROR(__xludf.DUMMYFUNCTION("""COMPUTED_VALUE"""),"C")</f>
        <v>C</v>
      </c>
      <c r="H255" s="129">
        <f>IFERROR(__xludf.DUMMYFUNCTION("""COMPUTED_VALUE"""),2019.0)</f>
        <v>2019</v>
      </c>
      <c r="I255" s="129">
        <f>IFERROR(__xludf.DUMMYFUNCTION("""COMPUTED_VALUE"""),1.0)</f>
        <v>1</v>
      </c>
      <c r="J255" s="129">
        <f>IFERROR(__xludf.DUMMYFUNCTION("""COMPUTED_VALUE"""),1.0)</f>
        <v>1</v>
      </c>
      <c r="K255" s="130">
        <f>IFERROR(__xludf.DUMMYFUNCTION("""COMPUTED_VALUE"""),1.0)</f>
        <v>1</v>
      </c>
      <c r="L255" s="129">
        <f>IFERROR(__xludf.DUMMYFUNCTION("""COMPUTED_VALUE"""),1.0)</f>
        <v>1</v>
      </c>
      <c r="M255" s="130">
        <f>IFERROR(__xludf.DUMMYFUNCTION("""COMPUTED_VALUE"""),1.0)</f>
        <v>1</v>
      </c>
      <c r="N255" s="130">
        <f>IFERROR(__xludf.DUMMYFUNCTION("""COMPUTED_VALUE"""),0.0)</f>
        <v>0</v>
      </c>
      <c r="O255" s="130">
        <f>IFERROR(__xludf.DUMMYFUNCTION("""COMPUTED_VALUE"""),0.0)</f>
        <v>0</v>
      </c>
      <c r="P255" s="130">
        <f>IFERROR(__xludf.DUMMYFUNCTION("""COMPUTED_VALUE"""),0.0)</f>
        <v>0</v>
      </c>
      <c r="Q255" s="130">
        <f>IFERROR(__xludf.DUMMYFUNCTION("""COMPUTED_VALUE"""),0.0)</f>
        <v>0</v>
      </c>
      <c r="R255" s="130">
        <f>IFERROR(__xludf.DUMMYFUNCTION("""COMPUTED_VALUE"""),0.0)</f>
        <v>0</v>
      </c>
      <c r="S255" s="130">
        <f>IFERROR(__xludf.DUMMYFUNCTION("""COMPUTED_VALUE"""),0.0)</f>
        <v>0</v>
      </c>
      <c r="T255" s="130">
        <f>IFERROR(__xludf.DUMMYFUNCTION("""COMPUTED_VALUE"""),0.0)</f>
        <v>0</v>
      </c>
      <c r="U255" s="130">
        <f>IFERROR(__xludf.DUMMYFUNCTION("""COMPUTED_VALUE"""),0.0)</f>
        <v>0</v>
      </c>
      <c r="V255" s="130">
        <f>IFERROR(__xludf.DUMMYFUNCTION("""COMPUTED_VALUE"""),0.0)</f>
        <v>0</v>
      </c>
      <c r="W255" s="131" t="str">
        <f>IFERROR(__xludf.DUMMYFUNCTION("""COMPUTED_VALUE"""),"Yes")</f>
        <v>Yes</v>
      </c>
      <c r="X255" s="131" t="str">
        <f>IFERROR(__xludf.DUMMYFUNCTION("""COMPUTED_VALUE"""),"Yes")</f>
        <v>Yes</v>
      </c>
      <c r="Y255" s="131" t="str">
        <f>IFERROR(__xludf.DUMMYFUNCTION("""COMPUTED_VALUE"""),"S")</f>
        <v>S</v>
      </c>
      <c r="Z255" s="131"/>
      <c r="AA255" s="131"/>
      <c r="AB255" s="131"/>
      <c r="AC255" s="131"/>
      <c r="AD255" s="131"/>
      <c r="AE255" s="131"/>
      <c r="AF255" s="131"/>
      <c r="AG255" s="131"/>
      <c r="AH255" s="131"/>
      <c r="AI255" s="131"/>
      <c r="AJ255" s="131"/>
    </row>
    <row r="256">
      <c r="A256" s="126">
        <f>IFERROR(__xludf.DUMMYFUNCTION("""COMPUTED_VALUE"""),514.0)</f>
        <v>514</v>
      </c>
      <c r="B256" s="126" t="str">
        <f>IFERROR(__xludf.DUMMYFUNCTION("""COMPUTED_VALUE"""),"Communication-Aware and Energy Saving Virtual Machine Allocation Algorithm in Data Center")</f>
        <v>Communication-Aware and Energy Saving Virtual Machine Allocation Algorithm in Data Center</v>
      </c>
      <c r="C256" s="127" t="str">
        <f>IFERROR(__xludf.DUMMYFUNCTION("""COMPUTED_VALUE"""),"https://ieeexplore.ieee.org/abstract/document/8855662/")</f>
        <v>https://ieeexplore.ieee.org/abstract/document/8855662/</v>
      </c>
      <c r="D256" s="131" t="str">
        <f>IFERROR(__xludf.DUMMYFUNCTION("""COMPUTED_VALUE"""),"J Luo, X Fan, L Yin")</f>
        <v>J Luo, X Fan, L Yin</v>
      </c>
      <c r="E256" s="131" t="str">
        <f>IFERROR(__xludf.DUMMYFUNCTION("""COMPUTED_VALUE"""),"Institute of Electrical and Electronics Engineers")</f>
        <v>Institute of Electrical and Electronics Engineers</v>
      </c>
      <c r="F256" s="126" t="str">
        <f>IFERROR(__xludf.DUMMYFUNCTION("""COMPUTED_VALUE"""),"IEEE Xplore")</f>
        <v>IEEE Xplore</v>
      </c>
      <c r="G256" s="128" t="str">
        <f>IFERROR(__xludf.DUMMYFUNCTION("""COMPUTED_VALUE"""),"C")</f>
        <v>C</v>
      </c>
      <c r="H256" s="130">
        <f>IFERROR(__xludf.DUMMYFUNCTION("""COMPUTED_VALUE"""),2019.0)</f>
        <v>2019</v>
      </c>
      <c r="I256" s="130">
        <f>IFERROR(__xludf.DUMMYFUNCTION("""COMPUTED_VALUE"""),1.0)</f>
        <v>1</v>
      </c>
      <c r="J256" s="130">
        <f>IFERROR(__xludf.DUMMYFUNCTION("""COMPUTED_VALUE"""),1.0)</f>
        <v>1</v>
      </c>
      <c r="K256" s="130">
        <f>IFERROR(__xludf.DUMMYFUNCTION("""COMPUTED_VALUE"""),1.0)</f>
        <v>1</v>
      </c>
      <c r="L256" s="129">
        <f>IFERROR(__xludf.DUMMYFUNCTION("""COMPUTED_VALUE"""),1.0)</f>
        <v>1</v>
      </c>
      <c r="M256" s="130">
        <f>IFERROR(__xludf.DUMMYFUNCTION("""COMPUTED_VALUE"""),1.0)</f>
        <v>1</v>
      </c>
      <c r="N256" s="130">
        <f>IFERROR(__xludf.DUMMYFUNCTION("""COMPUTED_VALUE"""),0.0)</f>
        <v>0</v>
      </c>
      <c r="O256" s="130">
        <f>IFERROR(__xludf.DUMMYFUNCTION("""COMPUTED_VALUE"""),0.0)</f>
        <v>0</v>
      </c>
      <c r="P256" s="130">
        <f>IFERROR(__xludf.DUMMYFUNCTION("""COMPUTED_VALUE"""),0.0)</f>
        <v>0</v>
      </c>
      <c r="Q256" s="130">
        <f>IFERROR(__xludf.DUMMYFUNCTION("""COMPUTED_VALUE"""),0.0)</f>
        <v>0</v>
      </c>
      <c r="R256" s="130">
        <f>IFERROR(__xludf.DUMMYFUNCTION("""COMPUTED_VALUE"""),0.0)</f>
        <v>0</v>
      </c>
      <c r="S256" s="130">
        <f>IFERROR(__xludf.DUMMYFUNCTION("""COMPUTED_VALUE"""),0.0)</f>
        <v>0</v>
      </c>
      <c r="T256" s="130">
        <f>IFERROR(__xludf.DUMMYFUNCTION("""COMPUTED_VALUE"""),0.0)</f>
        <v>0</v>
      </c>
      <c r="U256" s="130">
        <f>IFERROR(__xludf.DUMMYFUNCTION("""COMPUTED_VALUE"""),0.0)</f>
        <v>0</v>
      </c>
      <c r="V256" s="130">
        <f>IFERROR(__xludf.DUMMYFUNCTION("""COMPUTED_VALUE"""),0.0)</f>
        <v>0</v>
      </c>
      <c r="W256" s="131" t="str">
        <f>IFERROR(__xludf.DUMMYFUNCTION("""COMPUTED_VALUE"""),"Yes")</f>
        <v>Yes</v>
      </c>
      <c r="X256" s="131" t="str">
        <f>IFERROR(__xludf.DUMMYFUNCTION("""COMPUTED_VALUE"""),"Yes")</f>
        <v>Yes</v>
      </c>
      <c r="Y256" s="131" t="str">
        <f>IFERROR(__xludf.DUMMYFUNCTION("""COMPUTED_VALUE"""),"S")</f>
        <v>S</v>
      </c>
      <c r="Z256" s="131"/>
      <c r="AA256" s="131"/>
      <c r="AB256" s="131"/>
      <c r="AC256" s="131"/>
      <c r="AD256" s="131"/>
      <c r="AE256" s="131"/>
      <c r="AF256" s="131"/>
      <c r="AG256" s="131"/>
      <c r="AH256" s="131"/>
      <c r="AI256" s="131"/>
      <c r="AJ256" s="131"/>
    </row>
    <row r="257">
      <c r="A257" s="126">
        <f>IFERROR(__xludf.DUMMYFUNCTION("""COMPUTED_VALUE"""),515.0)</f>
        <v>515</v>
      </c>
      <c r="B257" s="126" t="str">
        <f>IFERROR(__xludf.DUMMYFUNCTION("""COMPUTED_VALUE"""),"Genetic algorithm-based tabu search for optimal energy-aware allocation of data center resources")</f>
        <v>Genetic algorithm-based tabu search for optimal energy-aware allocation of data center resources</v>
      </c>
      <c r="C257" s="127" t="str">
        <f>IFERROR(__xludf.DUMMYFUNCTION("""COMPUTED_VALUE"""),"https://link.springer.com/article/10.1007/s00500-020-05240-9")</f>
        <v>https://link.springer.com/article/10.1007/s00500-020-05240-9</v>
      </c>
      <c r="D257" s="126" t="str">
        <f>IFERROR(__xludf.DUMMYFUNCTION("""COMPUTED_VALUE"""),"R Chandran, SR Kumar, N Gayathri")</f>
        <v>R Chandran, SR Kumar, N Gayathri</v>
      </c>
      <c r="E257" s="126" t="str">
        <f>IFERROR(__xludf.DUMMYFUNCTION("""COMPUTED_VALUE"""),"Springer")</f>
        <v>Springer</v>
      </c>
      <c r="F257" s="126" t="str">
        <f>IFERROR(__xludf.DUMMYFUNCTION("""COMPUTED_VALUE"""),"Springer")</f>
        <v>Springer</v>
      </c>
      <c r="G257" s="132" t="str">
        <f>IFERROR(__xludf.DUMMYFUNCTION("""COMPUTED_VALUE"""),"J")</f>
        <v>J</v>
      </c>
      <c r="H257" s="129">
        <f>IFERROR(__xludf.DUMMYFUNCTION("""COMPUTED_VALUE"""),2020.0)</f>
        <v>2020</v>
      </c>
      <c r="I257" s="129">
        <f>IFERROR(__xludf.DUMMYFUNCTION("""COMPUTED_VALUE"""),1.0)</f>
        <v>1</v>
      </c>
      <c r="J257" s="129">
        <f>IFERROR(__xludf.DUMMYFUNCTION("""COMPUTED_VALUE"""),1.0)</f>
        <v>1</v>
      </c>
      <c r="K257" s="130">
        <f>IFERROR(__xludf.DUMMYFUNCTION("""COMPUTED_VALUE"""),1.0)</f>
        <v>1</v>
      </c>
      <c r="L257" s="130">
        <f>IFERROR(__xludf.DUMMYFUNCTION("""COMPUTED_VALUE"""),1.0)</f>
        <v>1</v>
      </c>
      <c r="M257" s="130">
        <f>IFERROR(__xludf.DUMMYFUNCTION("""COMPUTED_VALUE"""),1.0)</f>
        <v>1</v>
      </c>
      <c r="N257" s="130">
        <f>IFERROR(__xludf.DUMMYFUNCTION("""COMPUTED_VALUE"""),0.0)</f>
        <v>0</v>
      </c>
      <c r="O257" s="130">
        <f>IFERROR(__xludf.DUMMYFUNCTION("""COMPUTED_VALUE"""),0.0)</f>
        <v>0</v>
      </c>
      <c r="P257" s="130">
        <f>IFERROR(__xludf.DUMMYFUNCTION("""COMPUTED_VALUE"""),0.0)</f>
        <v>0</v>
      </c>
      <c r="Q257" s="129">
        <f>IFERROR(__xludf.DUMMYFUNCTION("""COMPUTED_VALUE"""),0.0)</f>
        <v>0</v>
      </c>
      <c r="R257" s="129">
        <f>IFERROR(__xludf.DUMMYFUNCTION("""COMPUTED_VALUE"""),0.0)</f>
        <v>0</v>
      </c>
      <c r="S257" s="129">
        <f>IFERROR(__xludf.DUMMYFUNCTION("""COMPUTED_VALUE"""),0.0)</f>
        <v>0</v>
      </c>
      <c r="T257" s="129">
        <f>IFERROR(__xludf.DUMMYFUNCTION("""COMPUTED_VALUE"""),0.0)</f>
        <v>0</v>
      </c>
      <c r="U257" s="129">
        <f>IFERROR(__xludf.DUMMYFUNCTION("""COMPUTED_VALUE"""),0.0)</f>
        <v>0</v>
      </c>
      <c r="V257" s="129">
        <f>IFERROR(__xludf.DUMMYFUNCTION("""COMPUTED_VALUE"""),0.0)</f>
        <v>0</v>
      </c>
      <c r="W257" s="126" t="str">
        <f>IFERROR(__xludf.DUMMYFUNCTION("""COMPUTED_VALUE"""),"Yes")</f>
        <v>Yes</v>
      </c>
      <c r="X257" s="126" t="str">
        <f>IFERROR(__xludf.DUMMYFUNCTION("""COMPUTED_VALUE"""),"Yes")</f>
        <v>Yes</v>
      </c>
      <c r="Y257" s="126" t="str">
        <f>IFERROR(__xludf.DUMMYFUNCTION("""COMPUTED_VALUE"""),"S")</f>
        <v>S</v>
      </c>
      <c r="Z257" s="126"/>
      <c r="AA257" s="126"/>
      <c r="AB257" s="126"/>
      <c r="AC257" s="126"/>
      <c r="AD257" s="126"/>
      <c r="AE257" s="126"/>
      <c r="AF257" s="126"/>
      <c r="AG257" s="126"/>
      <c r="AH257" s="126"/>
      <c r="AI257" s="126"/>
      <c r="AJ257" s="126"/>
    </row>
    <row r="258">
      <c r="A258" s="126">
        <f>IFERROR(__xludf.DUMMYFUNCTION("""COMPUTED_VALUE"""),517.0)</f>
        <v>517</v>
      </c>
      <c r="B258" s="126" t="str">
        <f>IFERROR(__xludf.DUMMYFUNCTION("""COMPUTED_VALUE"""),"SLA-Aware and Energy-Efficient VM Consolidation in Cloud Data Centers Using Host State 3rd-Order Markov Chain Model")</f>
        <v>SLA-Aware and Energy-Efficient VM Consolidation in Cloud Data Centers Using Host State 3rd-Order Markov Chain Model</v>
      </c>
      <c r="C258" s="127" t="str">
        <f>IFERROR(__xludf.DUMMYFUNCTION("""COMPUTED_VALUE"""),"https://digital-library.theiet.org/content/journals/10.1049/cje.2020.10.008")</f>
        <v>https://digital-library.theiet.org/content/journals/10.1049/cje.2020.10.008</v>
      </c>
      <c r="D258" s="126" t="str">
        <f>IFERROR(__xludf.DUMMYFUNCTION("""COMPUTED_VALUE"""),"L Li, J Dong, D Zuo, S Ji")</f>
        <v>L Li, J Dong, D Zuo, S Ji</v>
      </c>
      <c r="E258" s="126" t="str">
        <f>IFERROR(__xludf.DUMMYFUNCTION("""COMPUTED_VALUE"""),"IET")</f>
        <v>IET</v>
      </c>
      <c r="F258" s="126" t="str">
        <f>IFERROR(__xludf.DUMMYFUNCTION("""COMPUTED_VALUE"""),"IET")</f>
        <v>IET</v>
      </c>
      <c r="G258" s="128"/>
      <c r="H258" s="130">
        <f>IFERROR(__xludf.DUMMYFUNCTION("""COMPUTED_VALUE"""),2020.0)</f>
        <v>2020</v>
      </c>
      <c r="I258" s="129"/>
      <c r="J258" s="130"/>
      <c r="K258" s="130"/>
      <c r="L258" s="129"/>
      <c r="M258" s="130"/>
      <c r="N258" s="130"/>
      <c r="O258" s="130"/>
      <c r="P258" s="130"/>
      <c r="Q258" s="130"/>
      <c r="R258" s="130"/>
      <c r="S258" s="130"/>
      <c r="T258" s="130"/>
      <c r="U258" s="130"/>
      <c r="V258" s="130">
        <f>IFERROR(__xludf.DUMMYFUNCTION("""COMPUTED_VALUE"""),1.0)</f>
        <v>1</v>
      </c>
      <c r="W258" s="131"/>
      <c r="X258" s="131" t="str">
        <f>IFERROR(__xludf.DUMMYFUNCTION("""COMPUTED_VALUE"""),"Yes")</f>
        <v>Yes</v>
      </c>
      <c r="Y258" s="131" t="str">
        <f>IFERROR(__xludf.DUMMYFUNCTION("""COMPUTED_VALUE"""),"S")</f>
        <v>S</v>
      </c>
      <c r="Z258" s="131" t="str">
        <f>IFERROR(__xludf.DUMMYFUNCTION("""COMPUTED_VALUE"""),"Cannot access (IET)")</f>
        <v>Cannot access (IET)</v>
      </c>
      <c r="AA258" s="131"/>
      <c r="AB258" s="131"/>
      <c r="AC258" s="131"/>
      <c r="AD258" s="131"/>
      <c r="AE258" s="131"/>
      <c r="AF258" s="131"/>
      <c r="AG258" s="131"/>
      <c r="AH258" s="131"/>
      <c r="AI258" s="131"/>
      <c r="AJ258" s="131"/>
    </row>
    <row r="259">
      <c r="A259" s="126">
        <f>IFERROR(__xludf.DUMMYFUNCTION("""COMPUTED_VALUE"""),518.0)</f>
        <v>518</v>
      </c>
      <c r="B259" s="126" t="str">
        <f>IFERROR(__xludf.DUMMYFUNCTION("""COMPUTED_VALUE"""),"Prediction-based underutilized and destination host selection approaches for energy-efficient dynamic VM consolidation in data centers")</f>
        <v>Prediction-based underutilized and destination host selection approaches for energy-efficient dynamic VM consolidation in data centers</v>
      </c>
      <c r="C259" s="127" t="str">
        <f>IFERROR(__xludf.DUMMYFUNCTION("""COMPUTED_VALUE"""),"https://link.springer.com/content/pdf/10.1007/s11227-020-03248-4.pdf")</f>
        <v>https://link.springer.com/content/pdf/10.1007/s11227-020-03248-4.pdf</v>
      </c>
      <c r="D259" s="126" t="str">
        <f>IFERROR(__xludf.DUMMYFUNCTION("""COMPUTED_VALUE"""),"K Haghshenas, S Mohammadi")</f>
        <v>K Haghshenas, S Mohammadi</v>
      </c>
      <c r="E259" s="126" t="str">
        <f>IFERROR(__xludf.DUMMYFUNCTION("""COMPUTED_VALUE"""),"Springer")</f>
        <v>Springer</v>
      </c>
      <c r="F259" s="126" t="str">
        <f>IFERROR(__xludf.DUMMYFUNCTION("""COMPUTED_VALUE"""),"Springer")</f>
        <v>Springer</v>
      </c>
      <c r="G259" s="128" t="str">
        <f>IFERROR(__xludf.DUMMYFUNCTION("""COMPUTED_VALUE"""),"J")</f>
        <v>J</v>
      </c>
      <c r="H259" s="130">
        <f>IFERROR(__xludf.DUMMYFUNCTION("""COMPUTED_VALUE"""),2020.0)</f>
        <v>2020</v>
      </c>
      <c r="I259" s="129">
        <f>IFERROR(__xludf.DUMMYFUNCTION("""COMPUTED_VALUE"""),1.0)</f>
        <v>1</v>
      </c>
      <c r="J259" s="130">
        <f>IFERROR(__xludf.DUMMYFUNCTION("""COMPUTED_VALUE"""),1.0)</f>
        <v>1</v>
      </c>
      <c r="K259" s="130">
        <f>IFERROR(__xludf.DUMMYFUNCTION("""COMPUTED_VALUE"""),1.0)</f>
        <v>1</v>
      </c>
      <c r="L259" s="129">
        <f>IFERROR(__xludf.DUMMYFUNCTION("""COMPUTED_VALUE"""),1.0)</f>
        <v>1</v>
      </c>
      <c r="M259" s="130">
        <f>IFERROR(__xludf.DUMMYFUNCTION("""COMPUTED_VALUE"""),1.0)</f>
        <v>1</v>
      </c>
      <c r="N259" s="130">
        <f>IFERROR(__xludf.DUMMYFUNCTION("""COMPUTED_VALUE"""),0.0)</f>
        <v>0</v>
      </c>
      <c r="O259" s="130">
        <f>IFERROR(__xludf.DUMMYFUNCTION("""COMPUTED_VALUE"""),0.0)</f>
        <v>0</v>
      </c>
      <c r="P259" s="130">
        <f>IFERROR(__xludf.DUMMYFUNCTION("""COMPUTED_VALUE"""),0.0)</f>
        <v>0</v>
      </c>
      <c r="Q259" s="130">
        <f>IFERROR(__xludf.DUMMYFUNCTION("""COMPUTED_VALUE"""),0.0)</f>
        <v>0</v>
      </c>
      <c r="R259" s="130">
        <f>IFERROR(__xludf.DUMMYFUNCTION("""COMPUTED_VALUE"""),0.0)</f>
        <v>0</v>
      </c>
      <c r="S259" s="130">
        <f>IFERROR(__xludf.DUMMYFUNCTION("""COMPUTED_VALUE"""),0.0)</f>
        <v>0</v>
      </c>
      <c r="T259" s="130">
        <f>IFERROR(__xludf.DUMMYFUNCTION("""COMPUTED_VALUE"""),0.0)</f>
        <v>0</v>
      </c>
      <c r="U259" s="130">
        <f>IFERROR(__xludf.DUMMYFUNCTION("""COMPUTED_VALUE"""),0.0)</f>
        <v>0</v>
      </c>
      <c r="V259" s="130">
        <f>IFERROR(__xludf.DUMMYFUNCTION("""COMPUTED_VALUE"""),0.0)</f>
        <v>0</v>
      </c>
      <c r="W259" s="131" t="str">
        <f>IFERROR(__xludf.DUMMYFUNCTION("""COMPUTED_VALUE"""),"Yes")</f>
        <v>Yes</v>
      </c>
      <c r="X259" s="131" t="str">
        <f>IFERROR(__xludf.DUMMYFUNCTION("""COMPUTED_VALUE"""),"Yes")</f>
        <v>Yes</v>
      </c>
      <c r="Y259" s="131" t="str">
        <f>IFERROR(__xludf.DUMMYFUNCTION("""COMPUTED_VALUE"""),"S")</f>
        <v>S</v>
      </c>
      <c r="Z259" s="131"/>
      <c r="AA259" s="131"/>
      <c r="AB259" s="131"/>
      <c r="AC259" s="131"/>
      <c r="AD259" s="131"/>
      <c r="AE259" s="131"/>
      <c r="AF259" s="131"/>
      <c r="AG259" s="131"/>
      <c r="AH259" s="131"/>
      <c r="AI259" s="131"/>
      <c r="AJ259" s="131"/>
    </row>
    <row r="260">
      <c r="A260" s="126">
        <f>IFERROR(__xludf.DUMMYFUNCTION("""COMPUTED_VALUE"""),522.0)</f>
        <v>522</v>
      </c>
      <c r="B260" s="126" t="str">
        <f>IFERROR(__xludf.DUMMYFUNCTION("""COMPUTED_VALUE"""),"Energy Efficient Measures for Sustainable Development of Data Centers")</f>
        <v>Energy Efficient Measures for Sustainable Development of Data Centers</v>
      </c>
      <c r="C260" s="127" t="str">
        <f>IFERROR(__xludf.DUMMYFUNCTION("""COMPUTED_VALUE"""),"https://link.springer.com/chapter/10.1007/978-981-10-8533-8_2")</f>
        <v>https://link.springer.com/chapter/10.1007/978-981-10-8533-8_2</v>
      </c>
      <c r="D260" s="126" t="str">
        <f>IFERROR(__xludf.DUMMYFUNCTION("""COMPUTED_VALUE"""),"T Aggarwal, S Khatri, A Singla")</f>
        <v>T Aggarwal, S Khatri, A Singla</v>
      </c>
      <c r="E260" s="126" t="str">
        <f>IFERROR(__xludf.DUMMYFUNCTION("""COMPUTED_VALUE"""),"Springer")</f>
        <v>Springer</v>
      </c>
      <c r="F260" s="126" t="str">
        <f>IFERROR(__xludf.DUMMYFUNCTION("""COMPUTED_VALUE"""),"Springer")</f>
        <v>Springer</v>
      </c>
      <c r="G260" s="128"/>
      <c r="H260" s="129">
        <f>IFERROR(__xludf.DUMMYFUNCTION("""COMPUTED_VALUE"""),2018.0)</f>
        <v>2018</v>
      </c>
      <c r="I260" s="129"/>
      <c r="J260" s="129"/>
      <c r="K260" s="130"/>
      <c r="L260" s="130"/>
      <c r="M260" s="130"/>
      <c r="N260" s="130"/>
      <c r="O260" s="130"/>
      <c r="P260" s="130"/>
      <c r="Q260" s="130"/>
      <c r="R260" s="130"/>
      <c r="S260" s="130">
        <f>IFERROR(__xludf.DUMMYFUNCTION("""COMPUTED_VALUE"""),1.0)</f>
        <v>1</v>
      </c>
      <c r="T260" s="130"/>
      <c r="U260" s="130"/>
      <c r="V260" s="130"/>
      <c r="W260" s="131" t="str">
        <f>IFERROR(__xludf.DUMMYFUNCTION("""COMPUTED_VALUE"""),"No")</f>
        <v>No</v>
      </c>
      <c r="X260" s="131" t="str">
        <f>IFERROR(__xludf.DUMMYFUNCTION("""COMPUTED_VALUE"""),"Yes")</f>
        <v>Yes</v>
      </c>
      <c r="Y260" s="131" t="str">
        <f>IFERROR(__xludf.DUMMYFUNCTION("""COMPUTED_VALUE"""),"S")</f>
        <v>S</v>
      </c>
      <c r="Z260" s="131"/>
      <c r="AA260" s="131"/>
      <c r="AB260" s="131"/>
      <c r="AC260" s="131"/>
      <c r="AD260" s="131"/>
      <c r="AE260" s="131"/>
      <c r="AF260" s="131"/>
      <c r="AG260" s="131"/>
      <c r="AH260" s="131"/>
      <c r="AI260" s="131"/>
      <c r="AJ260" s="131"/>
    </row>
    <row r="261">
      <c r="A261" s="126">
        <f>IFERROR(__xludf.DUMMYFUNCTION("""COMPUTED_VALUE"""),523.0)</f>
        <v>523</v>
      </c>
      <c r="B261" s="126" t="str">
        <f>IFERROR(__xludf.DUMMYFUNCTION("""COMPUTED_VALUE"""),"A novel host readiness factor for energy-efficient VM consolidation in cloud data centers")</f>
        <v>A novel host readiness factor for energy-efficient VM consolidation in cloud data centers</v>
      </c>
      <c r="C261" s="127" t="str">
        <f>IFERROR(__xludf.DUMMYFUNCTION("""COMPUTED_VALUE"""),"https://ieeexplore.ieee.org/abstract/document/8880271/")</f>
        <v>https://ieeexplore.ieee.org/abstract/document/8880271/</v>
      </c>
      <c r="D261" s="126" t="str">
        <f>IFERROR(__xludf.DUMMYFUNCTION("""COMPUTED_VALUE"""),"S Ismaeel, A Miri, A Al-Khazraji")</f>
        <v>S Ismaeel, A Miri, A Al-Khazraji</v>
      </c>
      <c r="E261" s="126" t="str">
        <f>IFERROR(__xludf.DUMMYFUNCTION("""COMPUTED_VALUE"""),"Institute of Electrical and Electronics Engineers")</f>
        <v>Institute of Electrical and Electronics Engineers</v>
      </c>
      <c r="F261" s="126" t="str">
        <f>IFERROR(__xludf.DUMMYFUNCTION("""COMPUTED_VALUE"""),"IEEE Xplore")</f>
        <v>IEEE Xplore</v>
      </c>
      <c r="G261" s="128" t="str">
        <f>IFERROR(__xludf.DUMMYFUNCTION("""COMPUTED_VALUE"""),"C")</f>
        <v>C</v>
      </c>
      <c r="H261" s="129">
        <f>IFERROR(__xludf.DUMMYFUNCTION("""COMPUTED_VALUE"""),2019.0)</f>
        <v>2019</v>
      </c>
      <c r="I261" s="130">
        <f>IFERROR(__xludf.DUMMYFUNCTION("""COMPUTED_VALUE"""),1.0)</f>
        <v>1</v>
      </c>
      <c r="J261" s="129">
        <f>IFERROR(__xludf.DUMMYFUNCTION("""COMPUTED_VALUE"""),1.0)</f>
        <v>1</v>
      </c>
      <c r="K261" s="130">
        <f>IFERROR(__xludf.DUMMYFUNCTION("""COMPUTED_VALUE"""),1.0)</f>
        <v>1</v>
      </c>
      <c r="L261" s="130">
        <f>IFERROR(__xludf.DUMMYFUNCTION("""COMPUTED_VALUE"""),1.0)</f>
        <v>1</v>
      </c>
      <c r="M261" s="130">
        <f>IFERROR(__xludf.DUMMYFUNCTION("""COMPUTED_VALUE"""),1.0)</f>
        <v>1</v>
      </c>
      <c r="N261" s="130">
        <f>IFERROR(__xludf.DUMMYFUNCTION("""COMPUTED_VALUE"""),0.0)</f>
        <v>0</v>
      </c>
      <c r="O261" s="130">
        <f>IFERROR(__xludf.DUMMYFUNCTION("""COMPUTED_VALUE"""),0.0)</f>
        <v>0</v>
      </c>
      <c r="P261" s="130">
        <f>IFERROR(__xludf.DUMMYFUNCTION("""COMPUTED_VALUE"""),0.0)</f>
        <v>0</v>
      </c>
      <c r="Q261" s="130">
        <f>IFERROR(__xludf.DUMMYFUNCTION("""COMPUTED_VALUE"""),0.0)</f>
        <v>0</v>
      </c>
      <c r="R261" s="130">
        <f>IFERROR(__xludf.DUMMYFUNCTION("""COMPUTED_VALUE"""),0.0)</f>
        <v>0</v>
      </c>
      <c r="S261" s="130">
        <f>IFERROR(__xludf.DUMMYFUNCTION("""COMPUTED_VALUE"""),0.0)</f>
        <v>0</v>
      </c>
      <c r="T261" s="130">
        <f>IFERROR(__xludf.DUMMYFUNCTION("""COMPUTED_VALUE"""),0.0)</f>
        <v>0</v>
      </c>
      <c r="U261" s="130">
        <f>IFERROR(__xludf.DUMMYFUNCTION("""COMPUTED_VALUE"""),0.0)</f>
        <v>0</v>
      </c>
      <c r="V261" s="130">
        <f>IFERROR(__xludf.DUMMYFUNCTION("""COMPUTED_VALUE"""),0.0)</f>
        <v>0</v>
      </c>
      <c r="W261" s="131" t="str">
        <f>IFERROR(__xludf.DUMMYFUNCTION("""COMPUTED_VALUE"""),"Yes")</f>
        <v>Yes</v>
      </c>
      <c r="X261" s="131" t="str">
        <f>IFERROR(__xludf.DUMMYFUNCTION("""COMPUTED_VALUE"""),"Yes")</f>
        <v>Yes</v>
      </c>
      <c r="Y261" s="131" t="str">
        <f>IFERROR(__xludf.DUMMYFUNCTION("""COMPUTED_VALUE"""),"S")</f>
        <v>S</v>
      </c>
      <c r="Z261" s="131"/>
      <c r="AA261" s="131"/>
      <c r="AB261" s="131"/>
      <c r="AC261" s="131"/>
      <c r="AD261" s="131"/>
      <c r="AE261" s="131"/>
      <c r="AF261" s="131"/>
      <c r="AG261" s="131"/>
      <c r="AH261" s="131"/>
      <c r="AI261" s="131"/>
      <c r="AJ261" s="131"/>
    </row>
    <row r="262">
      <c r="A262" s="126">
        <f>IFERROR(__xludf.DUMMYFUNCTION("""COMPUTED_VALUE"""),525.0)</f>
        <v>525</v>
      </c>
      <c r="B262" s="126" t="str">
        <f>IFERROR(__xludf.DUMMYFUNCTION("""COMPUTED_VALUE"""),"Smart deployment of virtual machines to reduce energy consumption of cloud computing based data centers using gray wolf optimizer")</f>
        <v>Smart deployment of virtual machines to reduce energy consumption of cloud computing based data centers using gray wolf optimizer</v>
      </c>
      <c r="C262" s="127" t="str">
        <f>IFERROR(__xludf.DUMMYFUNCTION("""COMPUTED_VALUE"""),"https://link.springer.com/chapter/10.1007/978-3-319-99972-2_13")</f>
        <v>https://link.springer.com/chapter/10.1007/978-3-319-99972-2_13</v>
      </c>
      <c r="D262" s="131" t="str">
        <f>IFERROR(__xludf.DUMMYFUNCTION("""COMPUTED_VALUE"""),"H Shahbazi, S Jamshidi-Nejad")</f>
        <v>H Shahbazi, S Jamshidi-Nejad</v>
      </c>
      <c r="E262" s="131" t="str">
        <f>IFERROR(__xludf.DUMMYFUNCTION("""COMPUTED_VALUE"""),"Springer")</f>
        <v>Springer</v>
      </c>
      <c r="F262" s="126" t="str">
        <f>IFERROR(__xludf.DUMMYFUNCTION("""COMPUTED_VALUE"""),"Springer")</f>
        <v>Springer</v>
      </c>
      <c r="G262" s="132" t="str">
        <f>IFERROR(__xludf.DUMMYFUNCTION("""COMPUTED_VALUE"""),"C")</f>
        <v>C</v>
      </c>
      <c r="H262" s="129">
        <f>IFERROR(__xludf.DUMMYFUNCTION("""COMPUTED_VALUE"""),2018.0)</f>
        <v>2018</v>
      </c>
      <c r="I262" s="129">
        <f>IFERROR(__xludf.DUMMYFUNCTION("""COMPUTED_VALUE"""),1.0)</f>
        <v>1</v>
      </c>
      <c r="J262" s="129">
        <f>IFERROR(__xludf.DUMMYFUNCTION("""COMPUTED_VALUE"""),1.0)</f>
        <v>1</v>
      </c>
      <c r="K262" s="130">
        <f>IFERROR(__xludf.DUMMYFUNCTION("""COMPUTED_VALUE"""),1.0)</f>
        <v>1</v>
      </c>
      <c r="L262" s="130">
        <f>IFERROR(__xludf.DUMMYFUNCTION("""COMPUTED_VALUE"""),1.0)</f>
        <v>1</v>
      </c>
      <c r="M262" s="130">
        <f>IFERROR(__xludf.DUMMYFUNCTION("""COMPUTED_VALUE"""),1.0)</f>
        <v>1</v>
      </c>
      <c r="N262" s="130">
        <f>IFERROR(__xludf.DUMMYFUNCTION("""COMPUTED_VALUE"""),0.0)</f>
        <v>0</v>
      </c>
      <c r="O262" s="130">
        <f>IFERROR(__xludf.DUMMYFUNCTION("""COMPUTED_VALUE"""),0.0)</f>
        <v>0</v>
      </c>
      <c r="P262" s="130">
        <f>IFERROR(__xludf.DUMMYFUNCTION("""COMPUTED_VALUE"""),0.0)</f>
        <v>0</v>
      </c>
      <c r="Q262" s="129">
        <f>IFERROR(__xludf.DUMMYFUNCTION("""COMPUTED_VALUE"""),0.0)</f>
        <v>0</v>
      </c>
      <c r="R262" s="129">
        <f>IFERROR(__xludf.DUMMYFUNCTION("""COMPUTED_VALUE"""),0.0)</f>
        <v>0</v>
      </c>
      <c r="S262" s="129">
        <f>IFERROR(__xludf.DUMMYFUNCTION("""COMPUTED_VALUE"""),0.0)</f>
        <v>0</v>
      </c>
      <c r="T262" s="129">
        <f>IFERROR(__xludf.DUMMYFUNCTION("""COMPUTED_VALUE"""),0.0)</f>
        <v>0</v>
      </c>
      <c r="U262" s="129">
        <f>IFERROR(__xludf.DUMMYFUNCTION("""COMPUTED_VALUE"""),0.0)</f>
        <v>0</v>
      </c>
      <c r="V262" s="129">
        <f>IFERROR(__xludf.DUMMYFUNCTION("""COMPUTED_VALUE"""),0.0)</f>
        <v>0</v>
      </c>
      <c r="W262" s="126" t="str">
        <f>IFERROR(__xludf.DUMMYFUNCTION("""COMPUTED_VALUE"""),"Yes")</f>
        <v>Yes</v>
      </c>
      <c r="X262" s="126" t="str">
        <f>IFERROR(__xludf.DUMMYFUNCTION("""COMPUTED_VALUE"""),"Yes")</f>
        <v>Yes</v>
      </c>
      <c r="Y262" s="126" t="str">
        <f>IFERROR(__xludf.DUMMYFUNCTION("""COMPUTED_VALUE"""),"S")</f>
        <v>S</v>
      </c>
      <c r="Z262" s="126"/>
      <c r="AA262" s="126"/>
      <c r="AB262" s="126"/>
      <c r="AC262" s="126"/>
      <c r="AD262" s="126"/>
      <c r="AE262" s="126"/>
      <c r="AF262" s="126"/>
      <c r="AG262" s="126"/>
      <c r="AH262" s="126"/>
      <c r="AI262" s="126"/>
      <c r="AJ262" s="126"/>
    </row>
    <row r="263">
      <c r="A263" s="126">
        <f>IFERROR(__xludf.DUMMYFUNCTION("""COMPUTED_VALUE"""),526.0)</f>
        <v>526</v>
      </c>
      <c r="B263" s="126" t="str">
        <f>IFERROR(__xludf.DUMMYFUNCTION("""COMPUTED_VALUE"""),"An ant colony system for energy-efficient dynamic virtual machine placement in data centers")</f>
        <v>An ant colony system for energy-efficient dynamic virtual machine placement in data centers</v>
      </c>
      <c r="C263" s="127" t="str">
        <f>IFERROR(__xludf.DUMMYFUNCTION("""COMPUTED_VALUE"""),"https://www.sciencedirect.com/science/article/pii/S0957417418307498")</f>
        <v>https://www.sciencedirect.com/science/article/pii/S0957417418307498</v>
      </c>
      <c r="D263" s="126" t="str">
        <f>IFERROR(__xludf.DUMMYFUNCTION("""COMPUTED_VALUE"""),"F Alharbi, YC Tian, M Tang, WZ Zhang, C Peng, M Fei")</f>
        <v>F Alharbi, YC Tian, M Tang, WZ Zhang, C Peng, M Fei</v>
      </c>
      <c r="E263" s="126" t="str">
        <f>IFERROR(__xludf.DUMMYFUNCTION("""COMPUTED_VALUE"""),"Elsevier")</f>
        <v>Elsevier</v>
      </c>
      <c r="F263" s="126" t="str">
        <f>IFERROR(__xludf.DUMMYFUNCTION("""COMPUTED_VALUE"""),"Elsevier")</f>
        <v>Elsevier</v>
      </c>
      <c r="G263" s="128" t="str">
        <f>IFERROR(__xludf.DUMMYFUNCTION("""COMPUTED_VALUE"""),"J")</f>
        <v>J</v>
      </c>
      <c r="H263" s="129">
        <f>IFERROR(__xludf.DUMMYFUNCTION("""COMPUTED_VALUE"""),2019.0)</f>
        <v>2019</v>
      </c>
      <c r="I263" s="129">
        <f>IFERROR(__xludf.DUMMYFUNCTION("""COMPUTED_VALUE"""),1.0)</f>
        <v>1</v>
      </c>
      <c r="J263" s="129">
        <f>IFERROR(__xludf.DUMMYFUNCTION("""COMPUTED_VALUE"""),1.0)</f>
        <v>1</v>
      </c>
      <c r="K263" s="130">
        <f>IFERROR(__xludf.DUMMYFUNCTION("""COMPUTED_VALUE"""),1.0)</f>
        <v>1</v>
      </c>
      <c r="L263" s="130">
        <f>IFERROR(__xludf.DUMMYFUNCTION("""COMPUTED_VALUE"""),1.0)</f>
        <v>1</v>
      </c>
      <c r="M263" s="130">
        <f>IFERROR(__xludf.DUMMYFUNCTION("""COMPUTED_VALUE"""),1.0)</f>
        <v>1</v>
      </c>
      <c r="N263" s="130">
        <f>IFERROR(__xludf.DUMMYFUNCTION("""COMPUTED_VALUE"""),0.0)</f>
        <v>0</v>
      </c>
      <c r="O263" s="130">
        <f>IFERROR(__xludf.DUMMYFUNCTION("""COMPUTED_VALUE"""),0.0)</f>
        <v>0</v>
      </c>
      <c r="P263" s="130">
        <f>IFERROR(__xludf.DUMMYFUNCTION("""COMPUTED_VALUE"""),0.0)</f>
        <v>0</v>
      </c>
      <c r="Q263" s="130">
        <f>IFERROR(__xludf.DUMMYFUNCTION("""COMPUTED_VALUE"""),0.0)</f>
        <v>0</v>
      </c>
      <c r="R263" s="129">
        <f>IFERROR(__xludf.DUMMYFUNCTION("""COMPUTED_VALUE"""),0.0)</f>
        <v>0</v>
      </c>
      <c r="S263" s="129">
        <f>IFERROR(__xludf.DUMMYFUNCTION("""COMPUTED_VALUE"""),0.0)</f>
        <v>0</v>
      </c>
      <c r="T263" s="129">
        <f>IFERROR(__xludf.DUMMYFUNCTION("""COMPUTED_VALUE"""),0.0)</f>
        <v>0</v>
      </c>
      <c r="U263" s="129">
        <f>IFERROR(__xludf.DUMMYFUNCTION("""COMPUTED_VALUE"""),0.0)</f>
        <v>0</v>
      </c>
      <c r="V263" s="129">
        <f>IFERROR(__xludf.DUMMYFUNCTION("""COMPUTED_VALUE"""),0.0)</f>
        <v>0</v>
      </c>
      <c r="W263" s="126" t="str">
        <f>IFERROR(__xludf.DUMMYFUNCTION("""COMPUTED_VALUE"""),"Yes")</f>
        <v>Yes</v>
      </c>
      <c r="X263" s="126" t="str">
        <f>IFERROR(__xludf.DUMMYFUNCTION("""COMPUTED_VALUE"""),"Yes")</f>
        <v>Yes</v>
      </c>
      <c r="Y263" s="126" t="str">
        <f>IFERROR(__xludf.DUMMYFUNCTION("""COMPUTED_VALUE"""),"S")</f>
        <v>S</v>
      </c>
      <c r="Z263" s="126"/>
      <c r="AA263" s="126"/>
      <c r="AB263" s="126"/>
      <c r="AC263" s="126"/>
      <c r="AD263" s="126"/>
      <c r="AE263" s="126"/>
      <c r="AF263" s="126"/>
      <c r="AG263" s="126"/>
      <c r="AH263" s="126"/>
      <c r="AI263" s="126"/>
      <c r="AJ263" s="126"/>
    </row>
    <row r="264">
      <c r="A264" s="126">
        <f>IFERROR(__xludf.DUMMYFUNCTION("""COMPUTED_VALUE"""),527.0)</f>
        <v>527</v>
      </c>
      <c r="B264" s="126" t="str">
        <f>IFERROR(__xludf.DUMMYFUNCTION("""COMPUTED_VALUE"""),"Holistic energy and failure aware workload scheduling in Cloud datacenters")</f>
        <v>Holistic energy and failure aware workload scheduling in Cloud datacenters</v>
      </c>
      <c r="C264" s="127" t="str">
        <f>IFERROR(__xludf.DUMMYFUNCTION("""COMPUTED_VALUE"""),"https://www.sciencedirect.com/science/article/pii/S0167739X17315650")</f>
        <v>https://www.sciencedirect.com/science/article/pii/S0167739X17315650</v>
      </c>
      <c r="D264" s="131" t="str">
        <f>IFERROR(__xludf.DUMMYFUNCTION("""COMPUTED_VALUE"""),"X Li, X Jiang, P Garraghan, Z Wu")</f>
        <v>X Li, X Jiang, P Garraghan, Z Wu</v>
      </c>
      <c r="E264" s="131" t="str">
        <f>IFERROR(__xludf.DUMMYFUNCTION("""COMPUTED_VALUE"""),"Elsevier")</f>
        <v>Elsevier</v>
      </c>
      <c r="F264" s="126" t="str">
        <f>IFERROR(__xludf.DUMMYFUNCTION("""COMPUTED_VALUE"""),"Elsevier")</f>
        <v>Elsevier</v>
      </c>
      <c r="G264" s="132" t="str">
        <f>IFERROR(__xludf.DUMMYFUNCTION("""COMPUTED_VALUE"""),"J")</f>
        <v>J</v>
      </c>
      <c r="H264" s="130">
        <f>IFERROR(__xludf.DUMMYFUNCTION("""COMPUTED_VALUE"""),2018.0)</f>
        <v>2018</v>
      </c>
      <c r="I264" s="130">
        <f>IFERROR(__xludf.DUMMYFUNCTION("""COMPUTED_VALUE"""),1.0)</f>
        <v>1</v>
      </c>
      <c r="J264" s="130">
        <f>IFERROR(__xludf.DUMMYFUNCTION("""COMPUTED_VALUE"""),1.0)</f>
        <v>1</v>
      </c>
      <c r="K264" s="130">
        <f>IFERROR(__xludf.DUMMYFUNCTION("""COMPUTED_VALUE"""),1.0)</f>
        <v>1</v>
      </c>
      <c r="L264" s="129">
        <f>IFERROR(__xludf.DUMMYFUNCTION("""COMPUTED_VALUE"""),1.0)</f>
        <v>1</v>
      </c>
      <c r="M264" s="130">
        <f>IFERROR(__xludf.DUMMYFUNCTION("""COMPUTED_VALUE"""),1.0)</f>
        <v>1</v>
      </c>
      <c r="N264" s="130">
        <f>IFERROR(__xludf.DUMMYFUNCTION("""COMPUTED_VALUE"""),0.0)</f>
        <v>0</v>
      </c>
      <c r="O264" s="130">
        <f>IFERROR(__xludf.DUMMYFUNCTION("""COMPUTED_VALUE"""),0.0)</f>
        <v>0</v>
      </c>
      <c r="P264" s="130">
        <f>IFERROR(__xludf.DUMMYFUNCTION("""COMPUTED_VALUE"""),0.0)</f>
        <v>0</v>
      </c>
      <c r="Q264" s="130">
        <f>IFERROR(__xludf.DUMMYFUNCTION("""COMPUTED_VALUE"""),0.0)</f>
        <v>0</v>
      </c>
      <c r="R264" s="130">
        <f>IFERROR(__xludf.DUMMYFUNCTION("""COMPUTED_VALUE"""),0.0)</f>
        <v>0</v>
      </c>
      <c r="S264" s="130">
        <f>IFERROR(__xludf.DUMMYFUNCTION("""COMPUTED_VALUE"""),0.0)</f>
        <v>0</v>
      </c>
      <c r="T264" s="130">
        <f>IFERROR(__xludf.DUMMYFUNCTION("""COMPUTED_VALUE"""),0.0)</f>
        <v>0</v>
      </c>
      <c r="U264" s="130">
        <f>IFERROR(__xludf.DUMMYFUNCTION("""COMPUTED_VALUE"""),0.0)</f>
        <v>0</v>
      </c>
      <c r="V264" s="130">
        <f>IFERROR(__xludf.DUMMYFUNCTION("""COMPUTED_VALUE"""),0.0)</f>
        <v>0</v>
      </c>
      <c r="W264" s="131" t="str">
        <f>IFERROR(__xludf.DUMMYFUNCTION("""COMPUTED_VALUE"""),"Yes")</f>
        <v>Yes</v>
      </c>
      <c r="X264" s="131" t="str">
        <f>IFERROR(__xludf.DUMMYFUNCTION("""COMPUTED_VALUE"""),"Yes")</f>
        <v>Yes</v>
      </c>
      <c r="Y264" s="131" t="str">
        <f>IFERROR(__xludf.DUMMYFUNCTION("""COMPUTED_VALUE"""),"S")</f>
        <v>S</v>
      </c>
      <c r="Z264" s="131"/>
      <c r="AA264" s="131"/>
      <c r="AB264" s="131"/>
      <c r="AC264" s="131"/>
      <c r="AD264" s="131"/>
      <c r="AE264" s="131"/>
      <c r="AF264" s="131"/>
      <c r="AG264" s="131"/>
      <c r="AH264" s="131"/>
      <c r="AI264" s="131"/>
      <c r="AJ264" s="131"/>
    </row>
    <row r="265">
      <c r="A265" s="126">
        <f>IFERROR(__xludf.DUMMYFUNCTION("""COMPUTED_VALUE"""),530.0)</f>
        <v>530</v>
      </c>
      <c r="B265" s="126" t="str">
        <f>IFERROR(__xludf.DUMMYFUNCTION("""COMPUTED_VALUE"""),"EATSDCD: A green energy-aware scheduling algorithm for parallel task-based application using clustering, duplication and DVFS technique in cloud datacenters")</f>
        <v>EATSDCD: A green energy-aware scheduling algorithm for parallel task-based application using clustering, duplication and DVFS technique in cloud datacenters</v>
      </c>
      <c r="C265" s="127" t="str">
        <f>IFERROR(__xludf.DUMMYFUNCTION("""COMPUTED_VALUE"""),"https://content.iospress.com/articles/journal-of-intelligent-and-fuzzy-systems/ifs171927")</f>
        <v>https://content.iospress.com/articles/journal-of-intelligent-and-fuzzy-systems/ifs171927</v>
      </c>
      <c r="D265" s="126" t="str">
        <f>IFERROR(__xludf.DUMMYFUNCTION("""COMPUTED_VALUE"""),"B Barzegar, H Motameni, A Movaghar")</f>
        <v>B Barzegar, H Motameni, A Movaghar</v>
      </c>
      <c r="E265" s="126" t="str">
        <f>IFERROR(__xludf.DUMMYFUNCTION("""COMPUTED_VALUE"""),"IOS Press Content Library")</f>
        <v>IOS Press Content Library</v>
      </c>
      <c r="F265" s="126" t="str">
        <f>IFERROR(__xludf.DUMMYFUNCTION("""COMPUTED_VALUE"""),"IOS Press")</f>
        <v>IOS Press</v>
      </c>
      <c r="G265" s="128" t="str">
        <f>IFERROR(__xludf.DUMMYFUNCTION("""COMPUTED_VALUE"""),"J")</f>
        <v>J</v>
      </c>
      <c r="H265" s="130">
        <f>IFERROR(__xludf.DUMMYFUNCTION("""COMPUTED_VALUE"""),2019.0)</f>
        <v>2019</v>
      </c>
      <c r="I265" s="129">
        <f>IFERROR(__xludf.DUMMYFUNCTION("""COMPUTED_VALUE"""),1.0)</f>
        <v>1</v>
      </c>
      <c r="J265" s="130">
        <f>IFERROR(__xludf.DUMMYFUNCTION("""COMPUTED_VALUE"""),1.0)</f>
        <v>1</v>
      </c>
      <c r="K265" s="130">
        <f>IFERROR(__xludf.DUMMYFUNCTION("""COMPUTED_VALUE"""),1.0)</f>
        <v>1</v>
      </c>
      <c r="L265" s="130">
        <f>IFERROR(__xludf.DUMMYFUNCTION("""COMPUTED_VALUE"""),1.0)</f>
        <v>1</v>
      </c>
      <c r="M265" s="130">
        <f>IFERROR(__xludf.DUMMYFUNCTION("""COMPUTED_VALUE"""),1.0)</f>
        <v>1</v>
      </c>
      <c r="N265" s="130">
        <f>IFERROR(__xludf.DUMMYFUNCTION("""COMPUTED_VALUE"""),0.0)</f>
        <v>0</v>
      </c>
      <c r="O265" s="130">
        <f>IFERROR(__xludf.DUMMYFUNCTION("""COMPUTED_VALUE"""),0.0)</f>
        <v>0</v>
      </c>
      <c r="P265" s="130">
        <f>IFERROR(__xludf.DUMMYFUNCTION("""COMPUTED_VALUE"""),0.0)</f>
        <v>0</v>
      </c>
      <c r="Q265" s="130">
        <f>IFERROR(__xludf.DUMMYFUNCTION("""COMPUTED_VALUE"""),0.0)</f>
        <v>0</v>
      </c>
      <c r="R265" s="129">
        <f>IFERROR(__xludf.DUMMYFUNCTION("""COMPUTED_VALUE"""),0.0)</f>
        <v>0</v>
      </c>
      <c r="S265" s="129">
        <f>IFERROR(__xludf.DUMMYFUNCTION("""COMPUTED_VALUE"""),0.0)</f>
        <v>0</v>
      </c>
      <c r="T265" s="129">
        <f>IFERROR(__xludf.DUMMYFUNCTION("""COMPUTED_VALUE"""),0.0)</f>
        <v>0</v>
      </c>
      <c r="U265" s="129">
        <f>IFERROR(__xludf.DUMMYFUNCTION("""COMPUTED_VALUE"""),0.0)</f>
        <v>0</v>
      </c>
      <c r="V265" s="129">
        <f>IFERROR(__xludf.DUMMYFUNCTION("""COMPUTED_VALUE"""),0.0)</f>
        <v>0</v>
      </c>
      <c r="W265" s="126" t="str">
        <f>IFERROR(__xludf.DUMMYFUNCTION("""COMPUTED_VALUE"""),"Yes")</f>
        <v>Yes</v>
      </c>
      <c r="X265" s="126" t="str">
        <f>IFERROR(__xludf.DUMMYFUNCTION("""COMPUTED_VALUE"""),"Yes")</f>
        <v>Yes</v>
      </c>
      <c r="Y265" s="126" t="str">
        <f>IFERROR(__xludf.DUMMYFUNCTION("""COMPUTED_VALUE"""),"S")</f>
        <v>S</v>
      </c>
      <c r="Z265" s="126"/>
      <c r="AA265" s="126"/>
      <c r="AB265" s="126"/>
      <c r="AC265" s="126"/>
      <c r="AD265" s="126"/>
      <c r="AE265" s="126"/>
      <c r="AF265" s="126"/>
      <c r="AG265" s="126"/>
      <c r="AH265" s="126"/>
      <c r="AI265" s="126"/>
      <c r="AJ265" s="126"/>
    </row>
    <row r="266">
      <c r="A266" s="126">
        <f>IFERROR(__xludf.DUMMYFUNCTION("""COMPUTED_VALUE"""),532.0)</f>
        <v>532</v>
      </c>
      <c r="B266" s="126" t="str">
        <f>IFERROR(__xludf.DUMMYFUNCTION("""COMPUTED_VALUE"""),"Energy proportionality in near-threshold computing servers and cloud data centers: Consolidating or Not?")</f>
        <v>Energy proportionality in near-threshold computing servers and cloud data centers: Consolidating or Not?</v>
      </c>
      <c r="C266" s="127" t="str">
        <f>IFERROR(__xludf.DUMMYFUNCTION("""COMPUTED_VALUE"""),"https://ieeexplore.ieee.org/abstract/document/8341994/")</f>
        <v>https://ieeexplore.ieee.org/abstract/document/8341994/</v>
      </c>
      <c r="D266" s="126" t="str">
        <f>IFERROR(__xludf.DUMMYFUNCTION("""COMPUTED_VALUE"""),"A Pahlevan, YM Qureshi, M Zapater, A Bartolini, D Rossi, L Benini, D Atienza")</f>
        <v>A Pahlevan, YM Qureshi, M Zapater, A Bartolini, D Rossi, L Benini, D Atienza</v>
      </c>
      <c r="E266" s="126" t="str">
        <f>IFERROR(__xludf.DUMMYFUNCTION("""COMPUTED_VALUE"""),"Institute of Electrical and Electronics Engineers")</f>
        <v>Institute of Electrical and Electronics Engineers</v>
      </c>
      <c r="F266" s="126" t="str">
        <f>IFERROR(__xludf.DUMMYFUNCTION("""COMPUTED_VALUE"""),"IEEE Xplore")</f>
        <v>IEEE Xplore</v>
      </c>
      <c r="G266" s="128" t="str">
        <f>IFERROR(__xludf.DUMMYFUNCTION("""COMPUTED_VALUE"""),"C")</f>
        <v>C</v>
      </c>
      <c r="H266" s="130">
        <f>IFERROR(__xludf.DUMMYFUNCTION("""COMPUTED_VALUE"""),2018.0)</f>
        <v>2018</v>
      </c>
      <c r="I266" s="130">
        <f>IFERROR(__xludf.DUMMYFUNCTION("""COMPUTED_VALUE"""),1.0)</f>
        <v>1</v>
      </c>
      <c r="J266" s="130">
        <f>IFERROR(__xludf.DUMMYFUNCTION("""COMPUTED_VALUE"""),1.0)</f>
        <v>1</v>
      </c>
      <c r="K266" s="130">
        <f>IFERROR(__xludf.DUMMYFUNCTION("""COMPUTED_VALUE"""),1.0)</f>
        <v>1</v>
      </c>
      <c r="L266" s="129">
        <f>IFERROR(__xludf.DUMMYFUNCTION("""COMPUTED_VALUE"""),1.0)</f>
        <v>1</v>
      </c>
      <c r="M266" s="130">
        <f>IFERROR(__xludf.DUMMYFUNCTION("""COMPUTED_VALUE"""),1.0)</f>
        <v>1</v>
      </c>
      <c r="N266" s="130">
        <f>IFERROR(__xludf.DUMMYFUNCTION("""COMPUTED_VALUE"""),0.0)</f>
        <v>0</v>
      </c>
      <c r="O266" s="130">
        <f>IFERROR(__xludf.DUMMYFUNCTION("""COMPUTED_VALUE"""),0.0)</f>
        <v>0</v>
      </c>
      <c r="P266" s="130">
        <f>IFERROR(__xludf.DUMMYFUNCTION("""COMPUTED_VALUE"""),0.0)</f>
        <v>0</v>
      </c>
      <c r="Q266" s="130">
        <f>IFERROR(__xludf.DUMMYFUNCTION("""COMPUTED_VALUE"""),0.0)</f>
        <v>0</v>
      </c>
      <c r="R266" s="129">
        <f>IFERROR(__xludf.DUMMYFUNCTION("""COMPUTED_VALUE"""),0.0)</f>
        <v>0</v>
      </c>
      <c r="S266" s="129">
        <f>IFERROR(__xludf.DUMMYFUNCTION("""COMPUTED_VALUE"""),0.0)</f>
        <v>0</v>
      </c>
      <c r="T266" s="129">
        <f>IFERROR(__xludf.DUMMYFUNCTION("""COMPUTED_VALUE"""),0.0)</f>
        <v>0</v>
      </c>
      <c r="U266" s="129">
        <f>IFERROR(__xludf.DUMMYFUNCTION("""COMPUTED_VALUE"""),0.0)</f>
        <v>0</v>
      </c>
      <c r="V266" s="129">
        <f>IFERROR(__xludf.DUMMYFUNCTION("""COMPUTED_VALUE"""),0.0)</f>
        <v>0</v>
      </c>
      <c r="W266" s="126" t="str">
        <f>IFERROR(__xludf.DUMMYFUNCTION("""COMPUTED_VALUE"""),"Yes")</f>
        <v>Yes</v>
      </c>
      <c r="X266" s="126" t="str">
        <f>IFERROR(__xludf.DUMMYFUNCTION("""COMPUTED_VALUE"""),"Yes")</f>
        <v>Yes</v>
      </c>
      <c r="Y266" s="126" t="str">
        <f>IFERROR(__xludf.DUMMYFUNCTION("""COMPUTED_VALUE"""),"S")</f>
        <v>S</v>
      </c>
      <c r="Z266" s="126"/>
      <c r="AA266" s="126"/>
      <c r="AB266" s="126"/>
      <c r="AC266" s="126"/>
      <c r="AD266" s="126"/>
      <c r="AE266" s="126"/>
      <c r="AF266" s="126"/>
      <c r="AG266" s="126"/>
      <c r="AH266" s="126"/>
      <c r="AI266" s="126"/>
      <c r="AJ266" s="126"/>
    </row>
    <row r="267">
      <c r="A267" s="126">
        <f>IFERROR(__xludf.DUMMYFUNCTION("""COMPUTED_VALUE"""),537.0)</f>
        <v>537</v>
      </c>
      <c r="B267" s="126" t="str">
        <f>IFERROR(__xludf.DUMMYFUNCTION("""COMPUTED_VALUE"""),"Sharing with Live Migration Energy Optimization Scheduler for Cloud Computing Data Centers")</f>
        <v>Sharing with Live Migration Energy Optimization Scheduler for Cloud Computing Data Centers</v>
      </c>
      <c r="C267" s="127" t="str">
        <f>IFERROR(__xludf.DUMMYFUNCTION("""COMPUTED_VALUE"""),"https://www.mdpi.com/1999-5903/10/9/86")</f>
        <v>https://www.mdpi.com/1999-5903/10/9/86</v>
      </c>
      <c r="D267" s="131" t="str">
        <f>IFERROR(__xludf.DUMMYFUNCTION("""COMPUTED_VALUE"""),"S Alshathri, B Ghita, N Clarke")</f>
        <v>S Alshathri, B Ghita, N Clarke</v>
      </c>
      <c r="E267" s="131" t="str">
        <f>IFERROR(__xludf.DUMMYFUNCTION("""COMPUTED_VALUE"""),"Multidisciplinary Digital Publishing Institute")</f>
        <v>Multidisciplinary Digital Publishing Institute</v>
      </c>
      <c r="F267" s="126" t="str">
        <f>IFERROR(__xludf.DUMMYFUNCTION("""COMPUTED_VALUE"""),"MDPI")</f>
        <v>MDPI</v>
      </c>
      <c r="G267" s="128" t="str">
        <f>IFERROR(__xludf.DUMMYFUNCTION("""COMPUTED_VALUE"""),"J")</f>
        <v>J</v>
      </c>
      <c r="H267" s="130">
        <f>IFERROR(__xludf.DUMMYFUNCTION("""COMPUTED_VALUE"""),2018.0)</f>
        <v>2018</v>
      </c>
      <c r="I267" s="130">
        <f>IFERROR(__xludf.DUMMYFUNCTION("""COMPUTED_VALUE"""),1.0)</f>
        <v>1</v>
      </c>
      <c r="J267" s="130">
        <f>IFERROR(__xludf.DUMMYFUNCTION("""COMPUTED_VALUE"""),1.0)</f>
        <v>1</v>
      </c>
      <c r="K267" s="130">
        <f>IFERROR(__xludf.DUMMYFUNCTION("""COMPUTED_VALUE"""),1.0)</f>
        <v>1</v>
      </c>
      <c r="L267" s="129">
        <f>IFERROR(__xludf.DUMMYFUNCTION("""COMPUTED_VALUE"""),1.0)</f>
        <v>1</v>
      </c>
      <c r="M267" s="130">
        <f>IFERROR(__xludf.DUMMYFUNCTION("""COMPUTED_VALUE"""),1.0)</f>
        <v>1</v>
      </c>
      <c r="N267" s="130">
        <f>IFERROR(__xludf.DUMMYFUNCTION("""COMPUTED_VALUE"""),0.0)</f>
        <v>0</v>
      </c>
      <c r="O267" s="130">
        <f>IFERROR(__xludf.DUMMYFUNCTION("""COMPUTED_VALUE"""),0.0)</f>
        <v>0</v>
      </c>
      <c r="P267" s="130">
        <f>IFERROR(__xludf.DUMMYFUNCTION("""COMPUTED_VALUE"""),0.0)</f>
        <v>0</v>
      </c>
      <c r="Q267" s="130">
        <f>IFERROR(__xludf.DUMMYFUNCTION("""COMPUTED_VALUE"""),0.0)</f>
        <v>0</v>
      </c>
      <c r="R267" s="130">
        <f>IFERROR(__xludf.DUMMYFUNCTION("""COMPUTED_VALUE"""),0.0)</f>
        <v>0</v>
      </c>
      <c r="S267" s="130">
        <f>IFERROR(__xludf.DUMMYFUNCTION("""COMPUTED_VALUE"""),0.0)</f>
        <v>0</v>
      </c>
      <c r="T267" s="130">
        <f>IFERROR(__xludf.DUMMYFUNCTION("""COMPUTED_VALUE"""),0.0)</f>
        <v>0</v>
      </c>
      <c r="U267" s="130">
        <f>IFERROR(__xludf.DUMMYFUNCTION("""COMPUTED_VALUE"""),0.0)</f>
        <v>0</v>
      </c>
      <c r="V267" s="130">
        <f>IFERROR(__xludf.DUMMYFUNCTION("""COMPUTED_VALUE"""),0.0)</f>
        <v>0</v>
      </c>
      <c r="W267" s="131" t="str">
        <f>IFERROR(__xludf.DUMMYFUNCTION("""COMPUTED_VALUE"""),"Yes")</f>
        <v>Yes</v>
      </c>
      <c r="X267" s="131" t="str">
        <f>IFERROR(__xludf.DUMMYFUNCTION("""COMPUTED_VALUE"""),"Yes")</f>
        <v>Yes</v>
      </c>
      <c r="Y267" s="131" t="str">
        <f>IFERROR(__xludf.DUMMYFUNCTION("""COMPUTED_VALUE"""),"S")</f>
        <v>S</v>
      </c>
      <c r="Z267" s="131"/>
      <c r="AA267" s="131"/>
      <c r="AB267" s="131"/>
      <c r="AC267" s="131"/>
      <c r="AD267" s="131"/>
      <c r="AE267" s="131"/>
      <c r="AF267" s="131"/>
      <c r="AG267" s="131"/>
      <c r="AH267" s="131"/>
      <c r="AI267" s="131"/>
      <c r="AJ267" s="131"/>
    </row>
    <row r="268">
      <c r="A268" s="126">
        <f>IFERROR(__xludf.DUMMYFUNCTION("""COMPUTED_VALUE"""),538.0)</f>
        <v>538</v>
      </c>
      <c r="B268" s="126" t="str">
        <f>IFERROR(__xludf.DUMMYFUNCTION("""COMPUTED_VALUE"""),"Energy-Aware Multi-Objective Placement of Virtual Machines in Cloud Data Centers")</f>
        <v>Energy-Aware Multi-Objective Placement of Virtual Machines in Cloud Data Centers</v>
      </c>
      <c r="C268" s="127" t="str">
        <f>IFERROR(__xludf.DUMMYFUNCTION("""COMPUTED_VALUE"""),"https://dl.acm.org/doi/abs/10.1145/3239264.3239275")</f>
        <v>https://dl.acm.org/doi/abs/10.1145/3239264.3239275</v>
      </c>
      <c r="D268" s="126" t="str">
        <f>IFERROR(__xludf.DUMMYFUNCTION("""COMPUTED_VALUE"""),"HA Al-shehri, K Hamdi")</f>
        <v>HA Al-shehri, K Hamdi</v>
      </c>
      <c r="E268" s="126" t="str">
        <f>IFERROR(__xludf.DUMMYFUNCTION("""COMPUTED_VALUE"""),"Association for Computing Machinery")</f>
        <v>Association for Computing Machinery</v>
      </c>
      <c r="F268" s="126" t="str">
        <f>IFERROR(__xludf.DUMMYFUNCTION("""COMPUTED_VALUE"""),"ACM")</f>
        <v>ACM</v>
      </c>
      <c r="G268" s="132" t="str">
        <f>IFERROR(__xludf.DUMMYFUNCTION("""COMPUTED_VALUE"""),"C")</f>
        <v>C</v>
      </c>
      <c r="H268" s="129">
        <f>IFERROR(__xludf.DUMMYFUNCTION("""COMPUTED_VALUE"""),2018.0)</f>
        <v>2018</v>
      </c>
      <c r="I268" s="129">
        <f>IFERROR(__xludf.DUMMYFUNCTION("""COMPUTED_VALUE"""),1.0)</f>
        <v>1</v>
      </c>
      <c r="J268" s="129">
        <f>IFERROR(__xludf.DUMMYFUNCTION("""COMPUTED_VALUE"""),1.0)</f>
        <v>1</v>
      </c>
      <c r="K268" s="130">
        <f>IFERROR(__xludf.DUMMYFUNCTION("""COMPUTED_VALUE"""),1.0)</f>
        <v>1</v>
      </c>
      <c r="L268" s="130">
        <f>IFERROR(__xludf.DUMMYFUNCTION("""COMPUTED_VALUE"""),1.0)</f>
        <v>1</v>
      </c>
      <c r="M268" s="130">
        <f>IFERROR(__xludf.DUMMYFUNCTION("""COMPUTED_VALUE"""),1.0)</f>
        <v>1</v>
      </c>
      <c r="N268" s="130">
        <f>IFERROR(__xludf.DUMMYFUNCTION("""COMPUTED_VALUE"""),0.0)</f>
        <v>0</v>
      </c>
      <c r="O268" s="130">
        <f>IFERROR(__xludf.DUMMYFUNCTION("""COMPUTED_VALUE"""),0.0)</f>
        <v>0</v>
      </c>
      <c r="P268" s="130">
        <f>IFERROR(__xludf.DUMMYFUNCTION("""COMPUTED_VALUE"""),0.0)</f>
        <v>0</v>
      </c>
      <c r="Q268" s="129">
        <f>IFERROR(__xludf.DUMMYFUNCTION("""COMPUTED_VALUE"""),0.0)</f>
        <v>0</v>
      </c>
      <c r="R268" s="129">
        <f>IFERROR(__xludf.DUMMYFUNCTION("""COMPUTED_VALUE"""),0.0)</f>
        <v>0</v>
      </c>
      <c r="S268" s="129">
        <f>IFERROR(__xludf.DUMMYFUNCTION("""COMPUTED_VALUE"""),0.0)</f>
        <v>0</v>
      </c>
      <c r="T268" s="129">
        <f>IFERROR(__xludf.DUMMYFUNCTION("""COMPUTED_VALUE"""),0.0)</f>
        <v>0</v>
      </c>
      <c r="U268" s="129">
        <f>IFERROR(__xludf.DUMMYFUNCTION("""COMPUTED_VALUE"""),0.0)</f>
        <v>0</v>
      </c>
      <c r="V268" s="129">
        <f>IFERROR(__xludf.DUMMYFUNCTION("""COMPUTED_VALUE"""),0.0)</f>
        <v>0</v>
      </c>
      <c r="W268" s="126" t="str">
        <f>IFERROR(__xludf.DUMMYFUNCTION("""COMPUTED_VALUE"""),"Yes")</f>
        <v>Yes</v>
      </c>
      <c r="X268" s="126" t="str">
        <f>IFERROR(__xludf.DUMMYFUNCTION("""COMPUTED_VALUE"""),"Yes")</f>
        <v>Yes</v>
      </c>
      <c r="Y268" s="126" t="str">
        <f>IFERROR(__xludf.DUMMYFUNCTION("""COMPUTED_VALUE"""),"S")</f>
        <v>S</v>
      </c>
      <c r="Z268" s="126"/>
      <c r="AA268" s="126"/>
      <c r="AB268" s="126"/>
      <c r="AC268" s="126"/>
      <c r="AD268" s="126"/>
      <c r="AE268" s="126"/>
      <c r="AF268" s="126"/>
      <c r="AG268" s="126"/>
      <c r="AH268" s="126"/>
      <c r="AI268" s="126"/>
      <c r="AJ268" s="126"/>
    </row>
    <row r="269">
      <c r="A269" s="126">
        <f>IFERROR(__xludf.DUMMYFUNCTION("""COMPUTED_VALUE"""),540.0)</f>
        <v>540</v>
      </c>
      <c r="B269" s="126" t="str">
        <f>IFERROR(__xludf.DUMMYFUNCTION("""COMPUTED_VALUE"""),"A cloud data center virtual machine placement scheme based on energy optimization")</f>
        <v>A cloud data center virtual machine placement scheme based on energy optimization</v>
      </c>
      <c r="C269" s="127" t="str">
        <f>IFERROR(__xludf.DUMMYFUNCTION("""COMPUTED_VALUE"""),"https://ieeexplore.ieee.org/abstract/document/8644591/")</f>
        <v>https://ieeexplore.ieee.org/abstract/document/8644591/</v>
      </c>
      <c r="D269" s="126" t="str">
        <f>IFERROR(__xludf.DUMMYFUNCTION("""COMPUTED_VALUE"""),"S Zhang, F Meng, Z Zhang")</f>
        <v>S Zhang, F Meng, Z Zhang</v>
      </c>
      <c r="E269" s="126" t="str">
        <f>IFERROR(__xludf.DUMMYFUNCTION("""COMPUTED_VALUE"""),"Institute of Electrical and Electronics Engineers")</f>
        <v>Institute of Electrical and Electronics Engineers</v>
      </c>
      <c r="F269" s="126" t="str">
        <f>IFERROR(__xludf.DUMMYFUNCTION("""COMPUTED_VALUE"""),"IEEE Xplore")</f>
        <v>IEEE Xplore</v>
      </c>
      <c r="G269" s="128" t="str">
        <f>IFERROR(__xludf.DUMMYFUNCTION("""COMPUTED_VALUE"""),"C")</f>
        <v>C</v>
      </c>
      <c r="H269" s="129">
        <f>IFERROR(__xludf.DUMMYFUNCTION("""COMPUTED_VALUE"""),2018.0)</f>
        <v>2018</v>
      </c>
      <c r="I269" s="130">
        <f>IFERROR(__xludf.DUMMYFUNCTION("""COMPUTED_VALUE"""),1.0)</f>
        <v>1</v>
      </c>
      <c r="J269" s="129">
        <f>IFERROR(__xludf.DUMMYFUNCTION("""COMPUTED_VALUE"""),1.0)</f>
        <v>1</v>
      </c>
      <c r="K269" s="130">
        <f>IFERROR(__xludf.DUMMYFUNCTION("""COMPUTED_VALUE"""),1.0)</f>
        <v>1</v>
      </c>
      <c r="L269" s="129">
        <f>IFERROR(__xludf.DUMMYFUNCTION("""COMPUTED_VALUE"""),1.0)</f>
        <v>1</v>
      </c>
      <c r="M269" s="130">
        <f>IFERROR(__xludf.DUMMYFUNCTION("""COMPUTED_VALUE"""),1.0)</f>
        <v>1</v>
      </c>
      <c r="N269" s="130">
        <f>IFERROR(__xludf.DUMMYFUNCTION("""COMPUTED_VALUE"""),0.0)</f>
        <v>0</v>
      </c>
      <c r="O269" s="130">
        <f>IFERROR(__xludf.DUMMYFUNCTION("""COMPUTED_VALUE"""),0.0)</f>
        <v>0</v>
      </c>
      <c r="P269" s="130">
        <f>IFERROR(__xludf.DUMMYFUNCTION("""COMPUTED_VALUE"""),0.0)</f>
        <v>0</v>
      </c>
      <c r="Q269" s="130">
        <f>IFERROR(__xludf.DUMMYFUNCTION("""COMPUTED_VALUE"""),0.0)</f>
        <v>0</v>
      </c>
      <c r="R269" s="130">
        <f>IFERROR(__xludf.DUMMYFUNCTION("""COMPUTED_VALUE"""),0.0)</f>
        <v>0</v>
      </c>
      <c r="S269" s="130">
        <f>IFERROR(__xludf.DUMMYFUNCTION("""COMPUTED_VALUE"""),0.0)</f>
        <v>0</v>
      </c>
      <c r="T269" s="130">
        <f>IFERROR(__xludf.DUMMYFUNCTION("""COMPUTED_VALUE"""),0.0)</f>
        <v>0</v>
      </c>
      <c r="U269" s="130">
        <f>IFERROR(__xludf.DUMMYFUNCTION("""COMPUTED_VALUE"""),0.0)</f>
        <v>0</v>
      </c>
      <c r="V269" s="130">
        <f>IFERROR(__xludf.DUMMYFUNCTION("""COMPUTED_VALUE"""),0.0)</f>
        <v>0</v>
      </c>
      <c r="W269" s="131" t="str">
        <f>IFERROR(__xludf.DUMMYFUNCTION("""COMPUTED_VALUE"""),"Yes")</f>
        <v>Yes</v>
      </c>
      <c r="X269" s="131" t="str">
        <f>IFERROR(__xludf.DUMMYFUNCTION("""COMPUTED_VALUE"""),"Yes")</f>
        <v>Yes</v>
      </c>
      <c r="Y269" s="131" t="str">
        <f>IFERROR(__xludf.DUMMYFUNCTION("""COMPUTED_VALUE"""),"S")</f>
        <v>S</v>
      </c>
      <c r="Z269" s="131"/>
      <c r="AA269" s="131"/>
      <c r="AB269" s="131"/>
      <c r="AC269" s="131"/>
      <c r="AD269" s="131"/>
      <c r="AE269" s="131"/>
      <c r="AF269" s="131"/>
      <c r="AG269" s="131"/>
      <c r="AH269" s="131"/>
      <c r="AI269" s="131"/>
      <c r="AJ269" s="131"/>
    </row>
    <row r="270">
      <c r="A270" s="126">
        <f>IFERROR(__xludf.DUMMYFUNCTION("""COMPUTED_VALUE"""),542.0)</f>
        <v>542</v>
      </c>
      <c r="B270" s="126" t="str">
        <f>IFERROR(__xludf.DUMMYFUNCTION("""COMPUTED_VALUE"""),"An adaptive heuristic for managing energy consumption and overloaded hosts in a cloud data center")</f>
        <v>An adaptive heuristic for managing energy consumption and overloaded hosts in a cloud data center</v>
      </c>
      <c r="C270" s="127" t="str">
        <f>IFERROR(__xludf.DUMMYFUNCTION("""COMPUTED_VALUE"""),"https://link.springer.com/article/10.1007/s11276-018-1874-1")</f>
        <v>https://link.springer.com/article/10.1007/s11276-018-1874-1</v>
      </c>
      <c r="D270" s="131" t="str">
        <f>IFERROR(__xludf.DUMMYFUNCTION("""COMPUTED_VALUE"""),"R Yadav, W Zhang, K Li, C Liu, M Shafiq, NK Karn")</f>
        <v>R Yadav, W Zhang, K Li, C Liu, M Shafiq, NK Karn</v>
      </c>
      <c r="E270" s="131" t="str">
        <f>IFERROR(__xludf.DUMMYFUNCTION("""COMPUTED_VALUE"""),"Springer")</f>
        <v>Springer</v>
      </c>
      <c r="F270" s="126" t="str">
        <f>IFERROR(__xludf.DUMMYFUNCTION("""COMPUTED_VALUE"""),"Springer")</f>
        <v>Springer</v>
      </c>
      <c r="G270" s="128" t="str">
        <f>IFERROR(__xludf.DUMMYFUNCTION("""COMPUTED_VALUE"""),"J")</f>
        <v>J</v>
      </c>
      <c r="H270" s="130">
        <f>IFERROR(__xludf.DUMMYFUNCTION("""COMPUTED_VALUE"""),2018.0)</f>
        <v>2018</v>
      </c>
      <c r="I270" s="130">
        <f>IFERROR(__xludf.DUMMYFUNCTION("""COMPUTED_VALUE"""),1.0)</f>
        <v>1</v>
      </c>
      <c r="J270" s="130">
        <f>IFERROR(__xludf.DUMMYFUNCTION("""COMPUTED_VALUE"""),1.0)</f>
        <v>1</v>
      </c>
      <c r="K270" s="130">
        <f>IFERROR(__xludf.DUMMYFUNCTION("""COMPUTED_VALUE"""),1.0)</f>
        <v>1</v>
      </c>
      <c r="L270" s="129">
        <f>IFERROR(__xludf.DUMMYFUNCTION("""COMPUTED_VALUE"""),1.0)</f>
        <v>1</v>
      </c>
      <c r="M270" s="130">
        <f>IFERROR(__xludf.DUMMYFUNCTION("""COMPUTED_VALUE"""),1.0)</f>
        <v>1</v>
      </c>
      <c r="N270" s="130">
        <f>IFERROR(__xludf.DUMMYFUNCTION("""COMPUTED_VALUE"""),0.0)</f>
        <v>0</v>
      </c>
      <c r="O270" s="130">
        <f>IFERROR(__xludf.DUMMYFUNCTION("""COMPUTED_VALUE"""),0.0)</f>
        <v>0</v>
      </c>
      <c r="P270" s="130">
        <f>IFERROR(__xludf.DUMMYFUNCTION("""COMPUTED_VALUE"""),0.0)</f>
        <v>0</v>
      </c>
      <c r="Q270" s="130">
        <f>IFERROR(__xludf.DUMMYFUNCTION("""COMPUTED_VALUE"""),0.0)</f>
        <v>0</v>
      </c>
      <c r="R270" s="130">
        <f>IFERROR(__xludf.DUMMYFUNCTION("""COMPUTED_VALUE"""),0.0)</f>
        <v>0</v>
      </c>
      <c r="S270" s="130">
        <f>IFERROR(__xludf.DUMMYFUNCTION("""COMPUTED_VALUE"""),0.0)</f>
        <v>0</v>
      </c>
      <c r="T270" s="130">
        <f>IFERROR(__xludf.DUMMYFUNCTION("""COMPUTED_VALUE"""),0.0)</f>
        <v>0</v>
      </c>
      <c r="U270" s="130">
        <f>IFERROR(__xludf.DUMMYFUNCTION("""COMPUTED_VALUE"""),0.0)</f>
        <v>0</v>
      </c>
      <c r="V270" s="130">
        <f>IFERROR(__xludf.DUMMYFUNCTION("""COMPUTED_VALUE"""),0.0)</f>
        <v>0</v>
      </c>
      <c r="W270" s="131" t="str">
        <f>IFERROR(__xludf.DUMMYFUNCTION("""COMPUTED_VALUE"""),"Yes")</f>
        <v>Yes</v>
      </c>
      <c r="X270" s="131" t="str">
        <f>IFERROR(__xludf.DUMMYFUNCTION("""COMPUTED_VALUE"""),"Yes")</f>
        <v>Yes</v>
      </c>
      <c r="Y270" s="131" t="str">
        <f>IFERROR(__xludf.DUMMYFUNCTION("""COMPUTED_VALUE"""),"S")</f>
        <v>S</v>
      </c>
      <c r="Z270" s="131"/>
      <c r="AA270" s="131"/>
      <c r="AB270" s="131"/>
      <c r="AC270" s="131"/>
      <c r="AD270" s="131"/>
      <c r="AE270" s="131"/>
      <c r="AF270" s="131"/>
      <c r="AG270" s="131"/>
      <c r="AH270" s="131"/>
      <c r="AI270" s="131"/>
      <c r="AJ270" s="131"/>
    </row>
    <row r="271">
      <c r="A271" s="126">
        <f>IFERROR(__xludf.DUMMYFUNCTION("""COMPUTED_VALUE"""),544.0)</f>
        <v>544</v>
      </c>
      <c r="B271" s="126" t="str">
        <f>IFERROR(__xludf.DUMMYFUNCTION("""COMPUTED_VALUE"""),"Design of Large Data Center Based on High Standard of Safety and Energy Saving")</f>
        <v>Design of Large Data Center Based on High Standard of Safety and Energy Saving</v>
      </c>
      <c r="C271" s="127" t="str">
        <f>IFERROR(__xludf.DUMMYFUNCTION("""COMPUTED_VALUE"""),"http://en.cnki.com.cn/Article_en/CJFDTotal-ZWJC201807042.htm")</f>
        <v>http://en.cnki.com.cn/Article_en/CJFDTotal-ZWJC201807042.htm</v>
      </c>
      <c r="D271" s="131" t="str">
        <f>IFERROR(__xludf.DUMMYFUNCTION("""COMPUTED_VALUE"""),"C Guang")</f>
        <v>C Guang</v>
      </c>
      <c r="E271" s="133" t="str">
        <f>IFERROR(__xludf.DUMMYFUNCTION("""COMPUTED_VALUE"""),"en.cnki.com.cn")</f>
        <v>en.cnki.com.cn</v>
      </c>
      <c r="F271" s="127" t="str">
        <f>IFERROR(__xludf.DUMMYFUNCTION("""COMPUTED_VALUE"""),"en.cnki.com.cn")</f>
        <v>en.cnki.com.cn</v>
      </c>
      <c r="G271" s="128"/>
      <c r="H271" s="130">
        <f>IFERROR(__xludf.DUMMYFUNCTION("""COMPUTED_VALUE"""),2018.0)</f>
        <v>2018</v>
      </c>
      <c r="I271" s="130"/>
      <c r="J271" s="130"/>
      <c r="K271" s="130"/>
      <c r="L271" s="129"/>
      <c r="M271" s="130"/>
      <c r="N271" s="130">
        <f>IFERROR(__xludf.DUMMYFUNCTION("""COMPUTED_VALUE"""),1.0)</f>
        <v>1</v>
      </c>
      <c r="O271" s="130">
        <f>IFERROR(__xludf.DUMMYFUNCTION("""COMPUTED_VALUE"""),1.0)</f>
        <v>1</v>
      </c>
      <c r="P271" s="130">
        <f>IFERROR(__xludf.DUMMYFUNCTION("""COMPUTED_VALUE"""),1.0)</f>
        <v>1</v>
      </c>
      <c r="Q271" s="130"/>
      <c r="R271" s="130"/>
      <c r="S271" s="130"/>
      <c r="T271" s="130"/>
      <c r="U271" s="130"/>
      <c r="V271" s="130"/>
      <c r="W271" s="131" t="str">
        <f>IFERROR(__xludf.DUMMYFUNCTION("""COMPUTED_VALUE"""),"No")</f>
        <v>No</v>
      </c>
      <c r="X271" s="131" t="str">
        <f>IFERROR(__xludf.DUMMYFUNCTION("""COMPUTED_VALUE"""),"Yes")</f>
        <v>Yes</v>
      </c>
      <c r="Y271" s="131" t="str">
        <f>IFERROR(__xludf.DUMMYFUNCTION("""COMPUTED_VALUE"""),"S")</f>
        <v>S</v>
      </c>
      <c r="Z271" s="131"/>
      <c r="AA271" s="131"/>
      <c r="AB271" s="131"/>
      <c r="AC271" s="131"/>
      <c r="AD271" s="131"/>
      <c r="AE271" s="131"/>
      <c r="AF271" s="131"/>
      <c r="AG271" s="131"/>
      <c r="AH271" s="131"/>
      <c r="AI271" s="131"/>
      <c r="AJ271" s="131"/>
    </row>
    <row r="272">
      <c r="A272" s="126">
        <f>IFERROR(__xludf.DUMMYFUNCTION("""COMPUTED_VALUE"""),546.0)</f>
        <v>546</v>
      </c>
      <c r="B272" s="126" t="str">
        <f>IFERROR(__xludf.DUMMYFUNCTION("""COMPUTED_VALUE"""),"Distributed Energy Management for Multiple Data Centers with Renewable Resources and Energy Storages")</f>
        <v>Distributed Energy Management for Multiple Data Centers with Renewable Resources and Energy Storages</v>
      </c>
      <c r="C272" s="127" t="str">
        <f>IFERROR(__xludf.DUMMYFUNCTION("""COMPUTED_VALUE"""),"https://ieeexplore.ieee.org/abstract/document/9234691/")</f>
        <v>https://ieeexplore.ieee.org/abstract/document/9234691/</v>
      </c>
      <c r="D272" s="126" t="str">
        <f>IFERROR(__xludf.DUMMYFUNCTION("""COMPUTED_VALUE"""),"G Zhang, S Zhang, W Zhang, Z Shen, L Wang")</f>
        <v>G Zhang, S Zhang, W Zhang, Z Shen, L Wang</v>
      </c>
      <c r="E272" s="126" t="str">
        <f>IFERROR(__xludf.DUMMYFUNCTION("""COMPUTED_VALUE"""),"Institute of Electrical and Electronics Engineers")</f>
        <v>Institute of Electrical and Electronics Engineers</v>
      </c>
      <c r="F272" s="126" t="str">
        <f>IFERROR(__xludf.DUMMYFUNCTION("""COMPUTED_VALUE"""),"IEEE Xplore")</f>
        <v>IEEE Xplore</v>
      </c>
      <c r="G272" s="128" t="str">
        <f>IFERROR(__xludf.DUMMYFUNCTION("""COMPUTED_VALUE"""),"J")</f>
        <v>J</v>
      </c>
      <c r="H272" s="130">
        <f>IFERROR(__xludf.DUMMYFUNCTION("""COMPUTED_VALUE"""),2020.0)</f>
        <v>2020</v>
      </c>
      <c r="I272" s="129">
        <f>IFERROR(__xludf.DUMMYFUNCTION("""COMPUTED_VALUE"""),1.0)</f>
        <v>1</v>
      </c>
      <c r="J272" s="130">
        <f>IFERROR(__xludf.DUMMYFUNCTION("""COMPUTED_VALUE"""),1.0)</f>
        <v>1</v>
      </c>
      <c r="K272" s="130">
        <f>IFERROR(__xludf.DUMMYFUNCTION("""COMPUTED_VALUE"""),1.0)</f>
        <v>1</v>
      </c>
      <c r="L272" s="130">
        <f>IFERROR(__xludf.DUMMYFUNCTION("""COMPUTED_VALUE"""),1.0)</f>
        <v>1</v>
      </c>
      <c r="M272" s="130">
        <f>IFERROR(__xludf.DUMMYFUNCTION("""COMPUTED_VALUE"""),1.0)</f>
        <v>1</v>
      </c>
      <c r="N272" s="130">
        <f>IFERROR(__xludf.DUMMYFUNCTION("""COMPUTED_VALUE"""),0.0)</f>
        <v>0</v>
      </c>
      <c r="O272" s="130">
        <f>IFERROR(__xludf.DUMMYFUNCTION("""COMPUTED_VALUE"""),0.0)</f>
        <v>0</v>
      </c>
      <c r="P272" s="130">
        <f>IFERROR(__xludf.DUMMYFUNCTION("""COMPUTED_VALUE"""),0.0)</f>
        <v>0</v>
      </c>
      <c r="Q272" s="130">
        <f>IFERROR(__xludf.DUMMYFUNCTION("""COMPUTED_VALUE"""),0.0)</f>
        <v>0</v>
      </c>
      <c r="R272" s="129">
        <f>IFERROR(__xludf.DUMMYFUNCTION("""COMPUTED_VALUE"""),0.0)</f>
        <v>0</v>
      </c>
      <c r="S272" s="129">
        <f>IFERROR(__xludf.DUMMYFUNCTION("""COMPUTED_VALUE"""),0.0)</f>
        <v>0</v>
      </c>
      <c r="T272" s="129">
        <f>IFERROR(__xludf.DUMMYFUNCTION("""COMPUTED_VALUE"""),0.0)</f>
        <v>0</v>
      </c>
      <c r="U272" s="129">
        <f>IFERROR(__xludf.DUMMYFUNCTION("""COMPUTED_VALUE"""),0.0)</f>
        <v>0</v>
      </c>
      <c r="V272" s="129">
        <f>IFERROR(__xludf.DUMMYFUNCTION("""COMPUTED_VALUE"""),0.0)</f>
        <v>0</v>
      </c>
      <c r="W272" s="126" t="str">
        <f>IFERROR(__xludf.DUMMYFUNCTION("""COMPUTED_VALUE"""),"Yes")</f>
        <v>Yes</v>
      </c>
      <c r="X272" s="126" t="str">
        <f>IFERROR(__xludf.DUMMYFUNCTION("""COMPUTED_VALUE"""),"Yes")</f>
        <v>Yes</v>
      </c>
      <c r="Y272" s="126" t="str">
        <f>IFERROR(__xludf.DUMMYFUNCTION("""COMPUTED_VALUE"""),"S")</f>
        <v>S</v>
      </c>
      <c r="Z272" s="126"/>
      <c r="AA272" s="126"/>
      <c r="AB272" s="126"/>
      <c r="AC272" s="126"/>
      <c r="AD272" s="126"/>
      <c r="AE272" s="126"/>
      <c r="AF272" s="126"/>
      <c r="AG272" s="126"/>
      <c r="AH272" s="126"/>
      <c r="AI272" s="126"/>
      <c r="AJ272" s="126"/>
    </row>
    <row r="273">
      <c r="A273" s="126">
        <f>IFERROR(__xludf.DUMMYFUNCTION("""COMPUTED_VALUE"""),548.0)</f>
        <v>548</v>
      </c>
      <c r="B273" s="126" t="str">
        <f>IFERROR(__xludf.DUMMYFUNCTION("""COMPUTED_VALUE"""),"An artificial neural network based approach for energy efficient task scheduling in cloud data centers")</f>
        <v>An artificial neural network based approach for energy efficient task scheduling in cloud data centers</v>
      </c>
      <c r="C273" s="127" t="str">
        <f>IFERROR(__xludf.DUMMYFUNCTION("""COMPUTED_VALUE"""),"https://www.sciencedirect.com/science/article/pii/S2210537918302798")</f>
        <v>https://www.sciencedirect.com/science/article/pii/S2210537918302798</v>
      </c>
      <c r="D273" s="126" t="str">
        <f>IFERROR(__xludf.DUMMYFUNCTION("""COMPUTED_VALUE"""),"M Sharma, R Garg")</f>
        <v>M Sharma, R Garg</v>
      </c>
      <c r="E273" s="126" t="str">
        <f>IFERROR(__xludf.DUMMYFUNCTION("""COMPUTED_VALUE"""),"Elsevier")</f>
        <v>Elsevier</v>
      </c>
      <c r="F273" s="126" t="str">
        <f>IFERROR(__xludf.DUMMYFUNCTION("""COMPUTED_VALUE"""),"Elsevier")</f>
        <v>Elsevier</v>
      </c>
      <c r="G273" s="128" t="str">
        <f>IFERROR(__xludf.DUMMYFUNCTION("""COMPUTED_VALUE"""),"J")</f>
        <v>J</v>
      </c>
      <c r="H273" s="130">
        <f>IFERROR(__xludf.DUMMYFUNCTION("""COMPUTED_VALUE"""),2020.0)</f>
        <v>2020</v>
      </c>
      <c r="I273" s="129">
        <f>IFERROR(__xludf.DUMMYFUNCTION("""COMPUTED_VALUE"""),1.0)</f>
        <v>1</v>
      </c>
      <c r="J273" s="130">
        <f>IFERROR(__xludf.DUMMYFUNCTION("""COMPUTED_VALUE"""),1.0)</f>
        <v>1</v>
      </c>
      <c r="K273" s="130">
        <f>IFERROR(__xludf.DUMMYFUNCTION("""COMPUTED_VALUE"""),1.0)</f>
        <v>1</v>
      </c>
      <c r="L273" s="129">
        <f>IFERROR(__xludf.DUMMYFUNCTION("""COMPUTED_VALUE"""),1.0)</f>
        <v>1</v>
      </c>
      <c r="M273" s="130">
        <f>IFERROR(__xludf.DUMMYFUNCTION("""COMPUTED_VALUE"""),1.0)</f>
        <v>1</v>
      </c>
      <c r="N273" s="130">
        <f>IFERROR(__xludf.DUMMYFUNCTION("""COMPUTED_VALUE"""),0.0)</f>
        <v>0</v>
      </c>
      <c r="O273" s="130">
        <f>IFERROR(__xludf.DUMMYFUNCTION("""COMPUTED_VALUE"""),0.0)</f>
        <v>0</v>
      </c>
      <c r="P273" s="130">
        <f>IFERROR(__xludf.DUMMYFUNCTION("""COMPUTED_VALUE"""),0.0)</f>
        <v>0</v>
      </c>
      <c r="Q273" s="130">
        <f>IFERROR(__xludf.DUMMYFUNCTION("""COMPUTED_VALUE"""),0.0)</f>
        <v>0</v>
      </c>
      <c r="R273" s="129">
        <f>IFERROR(__xludf.DUMMYFUNCTION("""COMPUTED_VALUE"""),0.0)</f>
        <v>0</v>
      </c>
      <c r="S273" s="129">
        <f>IFERROR(__xludf.DUMMYFUNCTION("""COMPUTED_VALUE"""),0.0)</f>
        <v>0</v>
      </c>
      <c r="T273" s="129">
        <f>IFERROR(__xludf.DUMMYFUNCTION("""COMPUTED_VALUE"""),0.0)</f>
        <v>0</v>
      </c>
      <c r="U273" s="129">
        <f>IFERROR(__xludf.DUMMYFUNCTION("""COMPUTED_VALUE"""),0.0)</f>
        <v>0</v>
      </c>
      <c r="V273" s="129">
        <f>IFERROR(__xludf.DUMMYFUNCTION("""COMPUTED_VALUE"""),0.0)</f>
        <v>0</v>
      </c>
      <c r="W273" s="126" t="str">
        <f>IFERROR(__xludf.DUMMYFUNCTION("""COMPUTED_VALUE"""),"Yes")</f>
        <v>Yes</v>
      </c>
      <c r="X273" s="126" t="str">
        <f>IFERROR(__xludf.DUMMYFUNCTION("""COMPUTED_VALUE"""),"Yes")</f>
        <v>Yes</v>
      </c>
      <c r="Y273" s="126" t="str">
        <f>IFERROR(__xludf.DUMMYFUNCTION("""COMPUTED_VALUE"""),"S")</f>
        <v>S</v>
      </c>
      <c r="Z273" s="126"/>
      <c r="AA273" s="126"/>
      <c r="AB273" s="126"/>
      <c r="AC273" s="126"/>
      <c r="AD273" s="126"/>
      <c r="AE273" s="126"/>
      <c r="AF273" s="126"/>
      <c r="AG273" s="126"/>
      <c r="AH273" s="126"/>
      <c r="AI273" s="126"/>
      <c r="AJ273" s="126"/>
    </row>
    <row r="274">
      <c r="A274" s="126">
        <f>IFERROR(__xludf.DUMMYFUNCTION("""COMPUTED_VALUE"""),549.0)</f>
        <v>549</v>
      </c>
      <c r="B274" s="126" t="str">
        <f>IFERROR(__xludf.DUMMYFUNCTION("""COMPUTED_VALUE"""),"CSL-driven and energy-efficient resource scheduling in cloud data center")</f>
        <v>CSL-driven and energy-efficient resource scheduling in cloud data center</v>
      </c>
      <c r="C274" s="127" t="str">
        <f>IFERROR(__xludf.DUMMYFUNCTION("""COMPUTED_VALUE"""),"https://link.springer.com/article/10.1007/s11227-019-03036-9")</f>
        <v>https://link.springer.com/article/10.1007/s11227-019-03036-9</v>
      </c>
      <c r="D274" s="131" t="str">
        <f>IFERROR(__xludf.DUMMYFUNCTION("""COMPUTED_VALUE"""),"H Li, Y Zhao, S Fang")</f>
        <v>H Li, Y Zhao, S Fang</v>
      </c>
      <c r="E274" s="131" t="str">
        <f>IFERROR(__xludf.DUMMYFUNCTION("""COMPUTED_VALUE"""),"Springer")</f>
        <v>Springer</v>
      </c>
      <c r="F274" s="126" t="str">
        <f>IFERROR(__xludf.DUMMYFUNCTION("""COMPUTED_VALUE"""),"Springer")</f>
        <v>Springer</v>
      </c>
      <c r="G274" s="128" t="str">
        <f>IFERROR(__xludf.DUMMYFUNCTION("""COMPUTED_VALUE"""),"J")</f>
        <v>J</v>
      </c>
      <c r="H274" s="130">
        <f>IFERROR(__xludf.DUMMYFUNCTION("""COMPUTED_VALUE"""),2020.0)</f>
        <v>2020</v>
      </c>
      <c r="I274" s="130">
        <f>IFERROR(__xludf.DUMMYFUNCTION("""COMPUTED_VALUE"""),1.0)</f>
        <v>1</v>
      </c>
      <c r="J274" s="130">
        <f>IFERROR(__xludf.DUMMYFUNCTION("""COMPUTED_VALUE"""),1.0)</f>
        <v>1</v>
      </c>
      <c r="K274" s="130">
        <f>IFERROR(__xludf.DUMMYFUNCTION("""COMPUTED_VALUE"""),1.0)</f>
        <v>1</v>
      </c>
      <c r="L274" s="129">
        <f>IFERROR(__xludf.DUMMYFUNCTION("""COMPUTED_VALUE"""),1.0)</f>
        <v>1</v>
      </c>
      <c r="M274" s="130">
        <f>IFERROR(__xludf.DUMMYFUNCTION("""COMPUTED_VALUE"""),1.0)</f>
        <v>1</v>
      </c>
      <c r="N274" s="130">
        <f>IFERROR(__xludf.DUMMYFUNCTION("""COMPUTED_VALUE"""),0.0)</f>
        <v>0</v>
      </c>
      <c r="O274" s="130">
        <f>IFERROR(__xludf.DUMMYFUNCTION("""COMPUTED_VALUE"""),0.0)</f>
        <v>0</v>
      </c>
      <c r="P274" s="130">
        <f>IFERROR(__xludf.DUMMYFUNCTION("""COMPUTED_VALUE"""),0.0)</f>
        <v>0</v>
      </c>
      <c r="Q274" s="130">
        <f>IFERROR(__xludf.DUMMYFUNCTION("""COMPUTED_VALUE"""),0.0)</f>
        <v>0</v>
      </c>
      <c r="R274" s="130">
        <f>IFERROR(__xludf.DUMMYFUNCTION("""COMPUTED_VALUE"""),0.0)</f>
        <v>0</v>
      </c>
      <c r="S274" s="130">
        <f>IFERROR(__xludf.DUMMYFUNCTION("""COMPUTED_VALUE"""),0.0)</f>
        <v>0</v>
      </c>
      <c r="T274" s="130">
        <f>IFERROR(__xludf.DUMMYFUNCTION("""COMPUTED_VALUE"""),0.0)</f>
        <v>0</v>
      </c>
      <c r="U274" s="130">
        <f>IFERROR(__xludf.DUMMYFUNCTION("""COMPUTED_VALUE"""),0.0)</f>
        <v>0</v>
      </c>
      <c r="V274" s="130">
        <f>IFERROR(__xludf.DUMMYFUNCTION("""COMPUTED_VALUE"""),0.0)</f>
        <v>0</v>
      </c>
      <c r="W274" s="131" t="str">
        <f>IFERROR(__xludf.DUMMYFUNCTION("""COMPUTED_VALUE"""),"Yes")</f>
        <v>Yes</v>
      </c>
      <c r="X274" s="131" t="str">
        <f>IFERROR(__xludf.DUMMYFUNCTION("""COMPUTED_VALUE"""),"Yes")</f>
        <v>Yes</v>
      </c>
      <c r="Y274" s="131" t="str">
        <f>IFERROR(__xludf.DUMMYFUNCTION("""COMPUTED_VALUE"""),"S")</f>
        <v>S</v>
      </c>
      <c r="Z274" s="131"/>
      <c r="AA274" s="131"/>
      <c r="AB274" s="131"/>
      <c r="AC274" s="131"/>
      <c r="AD274" s="131"/>
      <c r="AE274" s="131"/>
      <c r="AF274" s="131"/>
      <c r="AG274" s="131"/>
      <c r="AH274" s="131"/>
      <c r="AI274" s="131"/>
      <c r="AJ274" s="131"/>
    </row>
    <row r="275">
      <c r="A275" s="126">
        <f>IFERROR(__xludf.DUMMYFUNCTION("""COMPUTED_VALUE"""),550.0)</f>
        <v>550</v>
      </c>
      <c r="B275" s="126" t="str">
        <f>IFERROR(__xludf.DUMMYFUNCTION("""COMPUTED_VALUE"""),"Evaluating the upper bound of energy cost saving by proactive data center management")</f>
        <v>Evaluating the upper bound of energy cost saving by proactive data center management</v>
      </c>
      <c r="C275" s="127" t="str">
        <f>IFERROR(__xludf.DUMMYFUNCTION("""COMPUTED_VALUE"""),"https://ieeexplore.ieee.org/abstract/document/9069318/")</f>
        <v>https://ieeexplore.ieee.org/abstract/document/9069318/</v>
      </c>
      <c r="D275" s="131" t="str">
        <f>IFERROR(__xludf.DUMMYFUNCTION("""COMPUTED_VALUE"""),"R Milocco, P Minet, E Renault, S Boumerdassi")</f>
        <v>R Milocco, P Minet, E Renault, S Boumerdassi</v>
      </c>
      <c r="E275" s="131" t="str">
        <f>IFERROR(__xludf.DUMMYFUNCTION("""COMPUTED_VALUE"""),"Institute of Electrical and Electronics Engineers")</f>
        <v>Institute of Electrical and Electronics Engineers</v>
      </c>
      <c r="F275" s="126" t="str">
        <f>IFERROR(__xludf.DUMMYFUNCTION("""COMPUTED_VALUE"""),"IEEE Xplore")</f>
        <v>IEEE Xplore</v>
      </c>
      <c r="G275" s="128" t="str">
        <f>IFERROR(__xludf.DUMMYFUNCTION("""COMPUTED_VALUE"""),"J")</f>
        <v>J</v>
      </c>
      <c r="H275" s="130">
        <f>IFERROR(__xludf.DUMMYFUNCTION("""COMPUTED_VALUE"""),2020.0)</f>
        <v>2020</v>
      </c>
      <c r="I275" s="130">
        <f>IFERROR(__xludf.DUMMYFUNCTION("""COMPUTED_VALUE"""),1.0)</f>
        <v>1</v>
      </c>
      <c r="J275" s="130">
        <f>IFERROR(__xludf.DUMMYFUNCTION("""COMPUTED_VALUE"""),1.0)</f>
        <v>1</v>
      </c>
      <c r="K275" s="130">
        <f>IFERROR(__xludf.DUMMYFUNCTION("""COMPUTED_VALUE"""),1.0)</f>
        <v>1</v>
      </c>
      <c r="L275" s="129">
        <f>IFERROR(__xludf.DUMMYFUNCTION("""COMPUTED_VALUE"""),1.0)</f>
        <v>1</v>
      </c>
      <c r="M275" s="130">
        <f>IFERROR(__xludf.DUMMYFUNCTION("""COMPUTED_VALUE"""),1.0)</f>
        <v>1</v>
      </c>
      <c r="N275" s="130">
        <f>IFERROR(__xludf.DUMMYFUNCTION("""COMPUTED_VALUE"""),0.0)</f>
        <v>0</v>
      </c>
      <c r="O275" s="130">
        <f>IFERROR(__xludf.DUMMYFUNCTION("""COMPUTED_VALUE"""),0.0)</f>
        <v>0</v>
      </c>
      <c r="P275" s="130">
        <f>IFERROR(__xludf.DUMMYFUNCTION("""COMPUTED_VALUE"""),0.0)</f>
        <v>0</v>
      </c>
      <c r="Q275" s="130">
        <f>IFERROR(__xludf.DUMMYFUNCTION("""COMPUTED_VALUE"""),0.0)</f>
        <v>0</v>
      </c>
      <c r="R275" s="130">
        <f>IFERROR(__xludf.DUMMYFUNCTION("""COMPUTED_VALUE"""),0.0)</f>
        <v>0</v>
      </c>
      <c r="S275" s="130">
        <f>IFERROR(__xludf.DUMMYFUNCTION("""COMPUTED_VALUE"""),0.0)</f>
        <v>0</v>
      </c>
      <c r="T275" s="130">
        <f>IFERROR(__xludf.DUMMYFUNCTION("""COMPUTED_VALUE"""),0.0)</f>
        <v>0</v>
      </c>
      <c r="U275" s="130">
        <f>IFERROR(__xludf.DUMMYFUNCTION("""COMPUTED_VALUE"""),0.0)</f>
        <v>0</v>
      </c>
      <c r="V275" s="130">
        <f>IFERROR(__xludf.DUMMYFUNCTION("""COMPUTED_VALUE"""),0.0)</f>
        <v>0</v>
      </c>
      <c r="W275" s="131" t="str">
        <f>IFERROR(__xludf.DUMMYFUNCTION("""COMPUTED_VALUE"""),"Yes")</f>
        <v>Yes</v>
      </c>
      <c r="X275" s="131" t="str">
        <f>IFERROR(__xludf.DUMMYFUNCTION("""COMPUTED_VALUE"""),"Yes")</f>
        <v>Yes</v>
      </c>
      <c r="Y275" s="131" t="str">
        <f>IFERROR(__xludf.DUMMYFUNCTION("""COMPUTED_VALUE"""),"S")</f>
        <v>S</v>
      </c>
      <c r="Z275" s="131"/>
      <c r="AA275" s="131"/>
      <c r="AB275" s="131"/>
      <c r="AC275" s="131"/>
      <c r="AD275" s="131"/>
      <c r="AE275" s="131"/>
      <c r="AF275" s="131"/>
      <c r="AG275" s="131"/>
      <c r="AH275" s="131"/>
      <c r="AI275" s="131"/>
      <c r="AJ275" s="131"/>
    </row>
    <row r="276">
      <c r="A276" s="126">
        <f>IFERROR(__xludf.DUMMYFUNCTION("""COMPUTED_VALUE"""),551.0)</f>
        <v>551</v>
      </c>
      <c r="B276" s="126" t="str">
        <f>IFERROR(__xludf.DUMMYFUNCTION("""COMPUTED_VALUE"""),"A framework to optimize energy efficiency in data centers based on certified KPIs")</f>
        <v>A framework to optimize energy efficiency in data centers based on certified KPIs</v>
      </c>
      <c r="C276" s="127" t="str">
        <f>IFERROR(__xludf.DUMMYFUNCTION("""COMPUTED_VALUE"""),"https://www.mdpi.com/2227-7080/6/3/87")</f>
        <v>https://www.mdpi.com/2227-7080/6/3/87</v>
      </c>
      <c r="D276" s="131" t="str">
        <f>IFERROR(__xludf.DUMMYFUNCTION("""COMPUTED_VALUE"""),"V Gizli, J Marx Gómez")</f>
        <v>V Gizli, J Marx Gómez</v>
      </c>
      <c r="E276" s="131" t="str">
        <f>IFERROR(__xludf.DUMMYFUNCTION("""COMPUTED_VALUE"""),"Multidisciplinary Digital Publishing Institute")</f>
        <v>Multidisciplinary Digital Publishing Institute</v>
      </c>
      <c r="F276" s="126" t="str">
        <f>IFERROR(__xludf.DUMMYFUNCTION("""COMPUTED_VALUE"""),"MDPI")</f>
        <v>MDPI</v>
      </c>
      <c r="G276" s="128" t="str">
        <f>IFERROR(__xludf.DUMMYFUNCTION("""COMPUTED_VALUE"""),"J")</f>
        <v>J</v>
      </c>
      <c r="H276" s="130">
        <f>IFERROR(__xludf.DUMMYFUNCTION("""COMPUTED_VALUE"""),2018.0)</f>
        <v>2018</v>
      </c>
      <c r="I276" s="130">
        <f>IFERROR(__xludf.DUMMYFUNCTION("""COMPUTED_VALUE"""),1.0)</f>
        <v>1</v>
      </c>
      <c r="J276" s="130">
        <f>IFERROR(__xludf.DUMMYFUNCTION("""COMPUTED_VALUE"""),1.0)</f>
        <v>1</v>
      </c>
      <c r="K276" s="130">
        <f>IFERROR(__xludf.DUMMYFUNCTION("""COMPUTED_VALUE"""),1.0)</f>
        <v>1</v>
      </c>
      <c r="L276" s="129">
        <f>IFERROR(__xludf.DUMMYFUNCTION("""COMPUTED_VALUE"""),1.0)</f>
        <v>1</v>
      </c>
      <c r="M276" s="130">
        <f>IFERROR(__xludf.DUMMYFUNCTION("""COMPUTED_VALUE"""),1.0)</f>
        <v>1</v>
      </c>
      <c r="N276" s="130">
        <f>IFERROR(__xludf.DUMMYFUNCTION("""COMPUTED_VALUE"""),0.0)</f>
        <v>0</v>
      </c>
      <c r="O276" s="130">
        <f>IFERROR(__xludf.DUMMYFUNCTION("""COMPUTED_VALUE"""),0.0)</f>
        <v>0</v>
      </c>
      <c r="P276" s="130">
        <f>IFERROR(__xludf.DUMMYFUNCTION("""COMPUTED_VALUE"""),0.0)</f>
        <v>0</v>
      </c>
      <c r="Q276" s="130">
        <f>IFERROR(__xludf.DUMMYFUNCTION("""COMPUTED_VALUE"""),0.0)</f>
        <v>0</v>
      </c>
      <c r="R276" s="130">
        <f>IFERROR(__xludf.DUMMYFUNCTION("""COMPUTED_VALUE"""),0.0)</f>
        <v>0</v>
      </c>
      <c r="S276" s="130">
        <f>IFERROR(__xludf.DUMMYFUNCTION("""COMPUTED_VALUE"""),0.0)</f>
        <v>0</v>
      </c>
      <c r="T276" s="130">
        <f>IFERROR(__xludf.DUMMYFUNCTION("""COMPUTED_VALUE"""),0.0)</f>
        <v>0</v>
      </c>
      <c r="U276" s="130">
        <f>IFERROR(__xludf.DUMMYFUNCTION("""COMPUTED_VALUE"""),0.0)</f>
        <v>0</v>
      </c>
      <c r="V276" s="130">
        <f>IFERROR(__xludf.DUMMYFUNCTION("""COMPUTED_VALUE"""),0.0)</f>
        <v>0</v>
      </c>
      <c r="W276" s="131" t="str">
        <f>IFERROR(__xludf.DUMMYFUNCTION("""COMPUTED_VALUE"""),"Yes")</f>
        <v>Yes</v>
      </c>
      <c r="X276" s="131" t="str">
        <f>IFERROR(__xludf.DUMMYFUNCTION("""COMPUTED_VALUE"""),"Yes")</f>
        <v>Yes</v>
      </c>
      <c r="Y276" s="131" t="str">
        <f>IFERROR(__xludf.DUMMYFUNCTION("""COMPUTED_VALUE"""),"S")</f>
        <v>S</v>
      </c>
      <c r="Z276" s="131"/>
      <c r="AA276" s="131"/>
      <c r="AB276" s="131"/>
      <c r="AC276" s="131"/>
      <c r="AD276" s="131"/>
      <c r="AE276" s="131"/>
      <c r="AF276" s="131"/>
      <c r="AG276" s="131"/>
      <c r="AH276" s="131"/>
      <c r="AI276" s="131"/>
      <c r="AJ276" s="131"/>
    </row>
    <row r="277">
      <c r="A277" s="126">
        <f>IFERROR(__xludf.DUMMYFUNCTION("""COMPUTED_VALUE"""),554.0)</f>
        <v>554</v>
      </c>
      <c r="B277" s="126" t="str">
        <f>IFERROR(__xludf.DUMMYFUNCTION("""COMPUTED_VALUE"""),"Energy-aware resource prediction in virtualized data centers: A machine learning approach")</f>
        <v>Energy-aware resource prediction in virtualized data centers: A machine learning approach</v>
      </c>
      <c r="C277" s="127" t="str">
        <f>IFERROR(__xludf.DUMMYFUNCTION("""COMPUTED_VALUE"""),"https://ieeexplore.ieee.org/abstract/document/8552101/")</f>
        <v>https://ieeexplore.ieee.org/abstract/document/8552101/</v>
      </c>
      <c r="D277" s="126" t="str">
        <f>IFERROR(__xludf.DUMMYFUNCTION("""COMPUTED_VALUE"""),"A Rayan, Y Nah")</f>
        <v>A Rayan, Y Nah</v>
      </c>
      <c r="E277" s="126" t="str">
        <f>IFERROR(__xludf.DUMMYFUNCTION("""COMPUTED_VALUE"""),"Institute of Electrical and Electronics Engineers")</f>
        <v>Institute of Electrical and Electronics Engineers</v>
      </c>
      <c r="F277" s="126" t="str">
        <f>IFERROR(__xludf.DUMMYFUNCTION("""COMPUTED_VALUE"""),"IEEE Xplore")</f>
        <v>IEEE Xplore</v>
      </c>
      <c r="G277" s="128" t="str">
        <f>IFERROR(__xludf.DUMMYFUNCTION("""COMPUTED_VALUE"""),"C")</f>
        <v>C</v>
      </c>
      <c r="H277" s="130">
        <f>IFERROR(__xludf.DUMMYFUNCTION("""COMPUTED_VALUE"""),2018.0)</f>
        <v>2018</v>
      </c>
      <c r="I277" s="129">
        <f>IFERROR(__xludf.DUMMYFUNCTION("""COMPUTED_VALUE"""),1.0)</f>
        <v>1</v>
      </c>
      <c r="J277" s="130">
        <f>IFERROR(__xludf.DUMMYFUNCTION("""COMPUTED_VALUE"""),1.0)</f>
        <v>1</v>
      </c>
      <c r="K277" s="130">
        <f>IFERROR(__xludf.DUMMYFUNCTION("""COMPUTED_VALUE"""),1.0)</f>
        <v>1</v>
      </c>
      <c r="L277" s="130">
        <f>IFERROR(__xludf.DUMMYFUNCTION("""COMPUTED_VALUE"""),1.0)</f>
        <v>1</v>
      </c>
      <c r="M277" s="130">
        <f>IFERROR(__xludf.DUMMYFUNCTION("""COMPUTED_VALUE"""),1.0)</f>
        <v>1</v>
      </c>
      <c r="N277" s="130">
        <f>IFERROR(__xludf.DUMMYFUNCTION("""COMPUTED_VALUE"""),0.0)</f>
        <v>0</v>
      </c>
      <c r="O277" s="130">
        <f>IFERROR(__xludf.DUMMYFUNCTION("""COMPUTED_VALUE"""),0.0)</f>
        <v>0</v>
      </c>
      <c r="P277" s="130">
        <f>IFERROR(__xludf.DUMMYFUNCTION("""COMPUTED_VALUE"""),0.0)</f>
        <v>0</v>
      </c>
      <c r="Q277" s="130">
        <f>IFERROR(__xludf.DUMMYFUNCTION("""COMPUTED_VALUE"""),0.0)</f>
        <v>0</v>
      </c>
      <c r="R277" s="130">
        <f>IFERROR(__xludf.DUMMYFUNCTION("""COMPUTED_VALUE"""),0.0)</f>
        <v>0</v>
      </c>
      <c r="S277" s="130">
        <f>IFERROR(__xludf.DUMMYFUNCTION("""COMPUTED_VALUE"""),0.0)</f>
        <v>0</v>
      </c>
      <c r="T277" s="130">
        <f>IFERROR(__xludf.DUMMYFUNCTION("""COMPUTED_VALUE"""),0.0)</f>
        <v>0</v>
      </c>
      <c r="U277" s="130">
        <f>IFERROR(__xludf.DUMMYFUNCTION("""COMPUTED_VALUE"""),0.0)</f>
        <v>0</v>
      </c>
      <c r="V277" s="130">
        <f>IFERROR(__xludf.DUMMYFUNCTION("""COMPUTED_VALUE"""),1.0)</f>
        <v>1</v>
      </c>
      <c r="W277" s="131"/>
      <c r="X277" s="131" t="str">
        <f>IFERROR(__xludf.DUMMYFUNCTION("""COMPUTED_VALUE"""),"Yes")</f>
        <v>Yes</v>
      </c>
      <c r="Y277" s="131" t="str">
        <f>IFERROR(__xludf.DUMMYFUNCTION("""COMPUTED_VALUE"""),"S")</f>
        <v>S</v>
      </c>
      <c r="Z277" s="131" t="str">
        <f>IFERROR(__xludf.DUMMYFUNCTION("""COMPUTED_VALUE"""),"Cannot access (IEEE)")</f>
        <v>Cannot access (IEEE)</v>
      </c>
      <c r="AA277" s="131"/>
      <c r="AB277" s="131"/>
      <c r="AC277" s="131"/>
      <c r="AD277" s="131"/>
      <c r="AE277" s="131"/>
      <c r="AF277" s="131"/>
      <c r="AG277" s="131"/>
      <c r="AH277" s="131"/>
      <c r="AI277" s="131"/>
      <c r="AJ277" s="131"/>
    </row>
    <row r="278">
      <c r="A278" s="126">
        <f>IFERROR(__xludf.DUMMYFUNCTION("""COMPUTED_VALUE"""),556.0)</f>
        <v>556</v>
      </c>
      <c r="B278" s="126" t="str">
        <f>IFERROR(__xludf.DUMMYFUNCTION("""COMPUTED_VALUE"""),"Welcome to zombieland: Practical and energy-efficient memory disaggregation in a datacenter")</f>
        <v>Welcome to zombieland: Practical and energy-efficient memory disaggregation in a datacenter</v>
      </c>
      <c r="C278" s="127" t="str">
        <f>IFERROR(__xludf.DUMMYFUNCTION("""COMPUTED_VALUE"""),"https://dl.acm.org/doi/abs/10.1145/3190508.3190537")</f>
        <v>https://dl.acm.org/doi/abs/10.1145/3190508.3190537</v>
      </c>
      <c r="D278" s="126" t="str">
        <f>IFERROR(__xludf.DUMMYFUNCTION("""COMPUTED_VALUE"""),"V Nitu, B Teabe, A Tchana, C Isci, D Hagimont")</f>
        <v>V Nitu, B Teabe, A Tchana, C Isci, D Hagimont</v>
      </c>
      <c r="E278" s="126" t="str">
        <f>IFERROR(__xludf.DUMMYFUNCTION("""COMPUTED_VALUE"""),"Association for Computing Machinery")</f>
        <v>Association for Computing Machinery</v>
      </c>
      <c r="F278" s="126" t="str">
        <f>IFERROR(__xludf.DUMMYFUNCTION("""COMPUTED_VALUE"""),"ACM")</f>
        <v>ACM</v>
      </c>
      <c r="G278" s="128" t="str">
        <f>IFERROR(__xludf.DUMMYFUNCTION("""COMPUTED_VALUE"""),"C")</f>
        <v>C</v>
      </c>
      <c r="H278" s="130">
        <f>IFERROR(__xludf.DUMMYFUNCTION("""COMPUTED_VALUE"""),2018.0)</f>
        <v>2018</v>
      </c>
      <c r="I278" s="130">
        <f>IFERROR(__xludf.DUMMYFUNCTION("""COMPUTED_VALUE"""),1.0)</f>
        <v>1</v>
      </c>
      <c r="J278" s="130">
        <f>IFERROR(__xludf.DUMMYFUNCTION("""COMPUTED_VALUE"""),0.0)</f>
        <v>0</v>
      </c>
      <c r="K278" s="130">
        <f>IFERROR(__xludf.DUMMYFUNCTION("""COMPUTED_VALUE"""),1.0)</f>
        <v>1</v>
      </c>
      <c r="L278" s="129">
        <f>IFERROR(__xludf.DUMMYFUNCTION("""COMPUTED_VALUE"""),1.0)</f>
        <v>1</v>
      </c>
      <c r="M278" s="130">
        <f>IFERROR(__xludf.DUMMYFUNCTION("""COMPUTED_VALUE"""),1.0)</f>
        <v>1</v>
      </c>
      <c r="N278" s="130">
        <f>IFERROR(__xludf.DUMMYFUNCTION("""COMPUTED_VALUE"""),1.0)</f>
        <v>1</v>
      </c>
      <c r="O278" s="130">
        <f>IFERROR(__xludf.DUMMYFUNCTION("""COMPUTED_VALUE"""),0.0)</f>
        <v>0</v>
      </c>
      <c r="P278" s="129">
        <f>IFERROR(__xludf.DUMMYFUNCTION("""COMPUTED_VALUE"""),0.0)</f>
        <v>0</v>
      </c>
      <c r="Q278" s="130">
        <f>IFERROR(__xludf.DUMMYFUNCTION("""COMPUTED_VALUE"""),0.0)</f>
        <v>0</v>
      </c>
      <c r="R278" s="129">
        <f>IFERROR(__xludf.DUMMYFUNCTION("""COMPUTED_VALUE"""),0.0)</f>
        <v>0</v>
      </c>
      <c r="S278" s="129">
        <f>IFERROR(__xludf.DUMMYFUNCTION("""COMPUTED_VALUE"""),0.0)</f>
        <v>0</v>
      </c>
      <c r="T278" s="129">
        <f>IFERROR(__xludf.DUMMYFUNCTION("""COMPUTED_VALUE"""),0.0)</f>
        <v>0</v>
      </c>
      <c r="U278" s="129">
        <f>IFERROR(__xludf.DUMMYFUNCTION("""COMPUTED_VALUE"""),0.0)</f>
        <v>0</v>
      </c>
      <c r="V278" s="129">
        <f>IFERROR(__xludf.DUMMYFUNCTION("""COMPUTED_VALUE"""),0.0)</f>
        <v>0</v>
      </c>
      <c r="W278" s="126" t="str">
        <f>IFERROR(__xludf.DUMMYFUNCTION("""COMPUTED_VALUE"""),"No")</f>
        <v>No</v>
      </c>
      <c r="X278" s="126" t="str">
        <f>IFERROR(__xludf.DUMMYFUNCTION("""COMPUTED_VALUE"""),"Yes")</f>
        <v>Yes</v>
      </c>
      <c r="Y278" s="126" t="str">
        <f>IFERROR(__xludf.DUMMYFUNCTION("""COMPUTED_VALUE"""),"S")</f>
        <v>S</v>
      </c>
      <c r="Z278" s="126" t="str">
        <f>IFERROR(__xludf.DUMMYFUNCTION("""COMPUTED_VALUE"""),"resource disaggregation requires changes in hardware")</f>
        <v>resource disaggregation requires changes in hardware</v>
      </c>
      <c r="AA278" s="126"/>
      <c r="AB278" s="126"/>
      <c r="AC278" s="126"/>
      <c r="AD278" s="126"/>
      <c r="AE278" s="126"/>
      <c r="AF278" s="126"/>
      <c r="AG278" s="126"/>
      <c r="AH278" s="126"/>
      <c r="AI278" s="126"/>
      <c r="AJ278" s="126"/>
    </row>
    <row r="279">
      <c r="A279" s="126">
        <f>IFERROR(__xludf.DUMMYFUNCTION("""COMPUTED_VALUE"""),557.0)</f>
        <v>557</v>
      </c>
      <c r="B279" s="126" t="str">
        <f>IFERROR(__xludf.DUMMYFUNCTION("""COMPUTED_VALUE"""),"An Energy-Efficient Allocation Technique for Distributing Resources in a Heterogeneous Data Center")</f>
        <v>An Energy-Efficient Allocation Technique for Distributing Resources in a Heterogeneous Data Center</v>
      </c>
      <c r="C279" s="127" t="str">
        <f>IFERROR(__xludf.DUMMYFUNCTION("""COMPUTED_VALUE"""),"https://ieeexplore.ieee.org/abstract/document/9079973/")</f>
        <v>https://ieeexplore.ieee.org/abstract/document/9079973/</v>
      </c>
      <c r="D279" s="131" t="str">
        <f>IFERROR(__xludf.DUMMYFUNCTION("""COMPUTED_VALUE"""),"M Mursleen, Y Kothyari")</f>
        <v>M Mursleen, Y Kothyari</v>
      </c>
      <c r="E279" s="131" t="str">
        <f>IFERROR(__xludf.DUMMYFUNCTION("""COMPUTED_VALUE"""),"Institute of Electrical and Electronics Engineers")</f>
        <v>Institute of Electrical and Electronics Engineers</v>
      </c>
      <c r="F279" s="126" t="str">
        <f>IFERROR(__xludf.DUMMYFUNCTION("""COMPUTED_VALUE"""),"IEEE Xplore")</f>
        <v>IEEE Xplore</v>
      </c>
      <c r="G279" s="128" t="str">
        <f>IFERROR(__xludf.DUMMYFUNCTION("""COMPUTED_VALUE"""),"C")</f>
        <v>C</v>
      </c>
      <c r="H279" s="129">
        <f>IFERROR(__xludf.DUMMYFUNCTION("""COMPUTED_VALUE"""),2019.0)</f>
        <v>2019</v>
      </c>
      <c r="I279" s="130">
        <f>IFERROR(__xludf.DUMMYFUNCTION("""COMPUTED_VALUE"""),1.0)</f>
        <v>1</v>
      </c>
      <c r="J279" s="129">
        <f>IFERROR(__xludf.DUMMYFUNCTION("""COMPUTED_VALUE"""),1.0)</f>
        <v>1</v>
      </c>
      <c r="K279" s="130">
        <f>IFERROR(__xludf.DUMMYFUNCTION("""COMPUTED_VALUE"""),1.0)</f>
        <v>1</v>
      </c>
      <c r="L279" s="129">
        <f>IFERROR(__xludf.DUMMYFUNCTION("""COMPUTED_VALUE"""),1.0)</f>
        <v>1</v>
      </c>
      <c r="M279" s="130">
        <f>IFERROR(__xludf.DUMMYFUNCTION("""COMPUTED_VALUE"""),1.0)</f>
        <v>1</v>
      </c>
      <c r="N279" s="130">
        <f>IFERROR(__xludf.DUMMYFUNCTION("""COMPUTED_VALUE"""),0.0)</f>
        <v>0</v>
      </c>
      <c r="O279" s="130">
        <f>IFERROR(__xludf.DUMMYFUNCTION("""COMPUTED_VALUE"""),0.0)</f>
        <v>0</v>
      </c>
      <c r="P279" s="130">
        <f>IFERROR(__xludf.DUMMYFUNCTION("""COMPUTED_VALUE"""),0.0)</f>
        <v>0</v>
      </c>
      <c r="Q279" s="130">
        <f>IFERROR(__xludf.DUMMYFUNCTION("""COMPUTED_VALUE"""),0.0)</f>
        <v>0</v>
      </c>
      <c r="R279" s="130">
        <f>IFERROR(__xludf.DUMMYFUNCTION("""COMPUTED_VALUE"""),0.0)</f>
        <v>0</v>
      </c>
      <c r="S279" s="130">
        <f>IFERROR(__xludf.DUMMYFUNCTION("""COMPUTED_VALUE"""),0.0)</f>
        <v>0</v>
      </c>
      <c r="T279" s="130">
        <f>IFERROR(__xludf.DUMMYFUNCTION("""COMPUTED_VALUE"""),0.0)</f>
        <v>0</v>
      </c>
      <c r="U279" s="130">
        <f>IFERROR(__xludf.DUMMYFUNCTION("""COMPUTED_VALUE"""),0.0)</f>
        <v>0</v>
      </c>
      <c r="V279" s="130">
        <f>IFERROR(__xludf.DUMMYFUNCTION("""COMPUTED_VALUE"""),0.0)</f>
        <v>0</v>
      </c>
      <c r="W279" s="131" t="str">
        <f>IFERROR(__xludf.DUMMYFUNCTION("""COMPUTED_VALUE"""),"Yes")</f>
        <v>Yes</v>
      </c>
      <c r="X279" s="131" t="str">
        <f>IFERROR(__xludf.DUMMYFUNCTION("""COMPUTED_VALUE"""),"Yes")</f>
        <v>Yes</v>
      </c>
      <c r="Y279" s="131" t="str">
        <f>IFERROR(__xludf.DUMMYFUNCTION("""COMPUTED_VALUE"""),"S")</f>
        <v>S</v>
      </c>
      <c r="Z279" s="131"/>
      <c r="AA279" s="131"/>
      <c r="AB279" s="131"/>
      <c r="AC279" s="131"/>
      <c r="AD279" s="131"/>
      <c r="AE279" s="131"/>
      <c r="AF279" s="131"/>
      <c r="AG279" s="131"/>
      <c r="AH279" s="131"/>
      <c r="AI279" s="131"/>
      <c r="AJ279" s="131"/>
    </row>
    <row r="280">
      <c r="A280" s="126">
        <f>IFERROR(__xludf.DUMMYFUNCTION("""COMPUTED_VALUE"""),561.0)</f>
        <v>561</v>
      </c>
      <c r="B280" s="126" t="str">
        <f>IFERROR(__xludf.DUMMYFUNCTION("""COMPUTED_VALUE"""),"An Energy Dynamic Control Algorithm Based on Reinforcement Learning for Data Centers")</f>
        <v>An Energy Dynamic Control Algorithm Based on Reinforcement Learning for Data Centers</v>
      </c>
      <c r="C280" s="127" t="str">
        <f>IFERROR(__xludf.DUMMYFUNCTION("""COMPUTED_VALUE"""),"https://www.worldscientific.com/doi/abs/10.1142/S0218001419510091")</f>
        <v>https://www.worldscientific.com/doi/abs/10.1142/S0218001419510091</v>
      </c>
      <c r="D280" s="126" t="str">
        <f>IFERROR(__xludf.DUMMYFUNCTION("""COMPUTED_VALUE"""),"Y Xiang, J Yuan, R Luo, X Zhong, T Li")</f>
        <v>Y Xiang, J Yuan, R Luo, X Zhong, T Li</v>
      </c>
      <c r="E280" s="126" t="str">
        <f>IFERROR(__xludf.DUMMYFUNCTION("""COMPUTED_VALUE"""),"International Journal of Pattern Recognition and Artificial Intelligence")</f>
        <v>International Journal of Pattern Recognition and Artificial Intelligence</v>
      </c>
      <c r="F280" s="126" t="str">
        <f>IFERROR(__xludf.DUMMYFUNCTION("""COMPUTED_VALUE"""),"IJPRAI")</f>
        <v>IJPRAI</v>
      </c>
      <c r="G280" s="128" t="str">
        <f>IFERROR(__xludf.DUMMYFUNCTION("""COMPUTED_VALUE"""),"J")</f>
        <v>J</v>
      </c>
      <c r="H280" s="130">
        <f>IFERROR(__xludf.DUMMYFUNCTION("""COMPUTED_VALUE"""),2019.0)</f>
        <v>2019</v>
      </c>
      <c r="I280" s="130">
        <f>IFERROR(__xludf.DUMMYFUNCTION("""COMPUTED_VALUE"""),1.0)</f>
        <v>1</v>
      </c>
      <c r="J280" s="130">
        <f>IFERROR(__xludf.DUMMYFUNCTION("""COMPUTED_VALUE"""),1.0)</f>
        <v>1</v>
      </c>
      <c r="K280" s="130">
        <f>IFERROR(__xludf.DUMMYFUNCTION("""COMPUTED_VALUE"""),1.0)</f>
        <v>1</v>
      </c>
      <c r="L280" s="129">
        <f>IFERROR(__xludf.DUMMYFUNCTION("""COMPUTED_VALUE"""),1.0)</f>
        <v>1</v>
      </c>
      <c r="M280" s="130">
        <f>IFERROR(__xludf.DUMMYFUNCTION("""COMPUTED_VALUE"""),1.0)</f>
        <v>1</v>
      </c>
      <c r="N280" s="130">
        <f>IFERROR(__xludf.DUMMYFUNCTION("""COMPUTED_VALUE"""),0.0)</f>
        <v>0</v>
      </c>
      <c r="O280" s="130">
        <f>IFERROR(__xludf.DUMMYFUNCTION("""COMPUTED_VALUE"""),0.0)</f>
        <v>0</v>
      </c>
      <c r="P280" s="130">
        <f>IFERROR(__xludf.DUMMYFUNCTION("""COMPUTED_VALUE"""),0.0)</f>
        <v>0</v>
      </c>
      <c r="Q280" s="130">
        <f>IFERROR(__xludf.DUMMYFUNCTION("""COMPUTED_VALUE"""),0.0)</f>
        <v>0</v>
      </c>
      <c r="R280" s="130">
        <f>IFERROR(__xludf.DUMMYFUNCTION("""COMPUTED_VALUE"""),0.0)</f>
        <v>0</v>
      </c>
      <c r="S280" s="130">
        <f>IFERROR(__xludf.DUMMYFUNCTION("""COMPUTED_VALUE"""),0.0)</f>
        <v>0</v>
      </c>
      <c r="T280" s="130">
        <f>IFERROR(__xludf.DUMMYFUNCTION("""COMPUTED_VALUE"""),0.0)</f>
        <v>0</v>
      </c>
      <c r="U280" s="130">
        <f>IFERROR(__xludf.DUMMYFUNCTION("""COMPUTED_VALUE"""),0.0)</f>
        <v>0</v>
      </c>
      <c r="V280" s="130">
        <f>IFERROR(__xludf.DUMMYFUNCTION("""COMPUTED_VALUE"""),0.0)</f>
        <v>0</v>
      </c>
      <c r="W280" s="131" t="str">
        <f>IFERROR(__xludf.DUMMYFUNCTION("""COMPUTED_VALUE"""),"Yes")</f>
        <v>Yes</v>
      </c>
      <c r="X280" s="131" t="str">
        <f>IFERROR(__xludf.DUMMYFUNCTION("""COMPUTED_VALUE"""),"Yes")</f>
        <v>Yes</v>
      </c>
      <c r="Y280" s="131" t="str">
        <f>IFERROR(__xludf.DUMMYFUNCTION("""COMPUTED_VALUE"""),"S")</f>
        <v>S</v>
      </c>
      <c r="Z280" s="131"/>
      <c r="AA280" s="131"/>
      <c r="AB280" s="131"/>
      <c r="AC280" s="131"/>
      <c r="AD280" s="131"/>
      <c r="AE280" s="131"/>
      <c r="AF280" s="131"/>
      <c r="AG280" s="131"/>
      <c r="AH280" s="131"/>
      <c r="AI280" s="131"/>
      <c r="AJ280" s="131"/>
    </row>
    <row r="281">
      <c r="A281" s="126">
        <f>IFERROR(__xludf.DUMMYFUNCTION("""COMPUTED_VALUE"""),567.0)</f>
        <v>567</v>
      </c>
      <c r="B281" s="126" t="str">
        <f>IFERROR(__xludf.DUMMYFUNCTION("""COMPUTED_VALUE"""),"Data center network energy consumption minimization: a hierarchical FAT-tree approach")</f>
        <v>Data center network energy consumption minimization: a hierarchical FAT-tree approach</v>
      </c>
      <c r="C281" s="127" t="str">
        <f>IFERROR(__xludf.DUMMYFUNCTION("""COMPUTED_VALUE"""),"https://link.springer.com/article/10.1007/s41870-018-0258-1")</f>
        <v>https://link.springer.com/article/10.1007/s41870-018-0258-1</v>
      </c>
      <c r="D281" s="126" t="str">
        <f>IFERROR(__xludf.DUMMYFUNCTION("""COMPUTED_VALUE"""),"J Mishra, J Sheetlani, KHK Reddy")</f>
        <v>J Mishra, J Sheetlani, KHK Reddy</v>
      </c>
      <c r="E281" s="126" t="str">
        <f>IFERROR(__xludf.DUMMYFUNCTION("""COMPUTED_VALUE"""),"Springer")</f>
        <v>Springer</v>
      </c>
      <c r="F281" s="126" t="str">
        <f>IFERROR(__xludf.DUMMYFUNCTION("""COMPUTED_VALUE"""),"Springer")</f>
        <v>Springer</v>
      </c>
      <c r="G281" s="128" t="str">
        <f>IFERROR(__xludf.DUMMYFUNCTION("""COMPUTED_VALUE"""),"J")</f>
        <v>J</v>
      </c>
      <c r="H281" s="130">
        <f>IFERROR(__xludf.DUMMYFUNCTION("""COMPUTED_VALUE"""),2018.0)</f>
        <v>2018</v>
      </c>
      <c r="I281" s="130">
        <f>IFERROR(__xludf.DUMMYFUNCTION("""COMPUTED_VALUE"""),1.0)</f>
        <v>1</v>
      </c>
      <c r="J281" s="130">
        <f>IFERROR(__xludf.DUMMYFUNCTION("""COMPUTED_VALUE"""),1.0)</f>
        <v>1</v>
      </c>
      <c r="K281" s="130">
        <f>IFERROR(__xludf.DUMMYFUNCTION("""COMPUTED_VALUE"""),1.0)</f>
        <v>1</v>
      </c>
      <c r="L281" s="129">
        <f>IFERROR(__xludf.DUMMYFUNCTION("""COMPUTED_VALUE"""),1.0)</f>
        <v>1</v>
      </c>
      <c r="M281" s="130">
        <f>IFERROR(__xludf.DUMMYFUNCTION("""COMPUTED_VALUE"""),1.0)</f>
        <v>1</v>
      </c>
      <c r="N281" s="130">
        <f>IFERROR(__xludf.DUMMYFUNCTION("""COMPUTED_VALUE"""),0.0)</f>
        <v>0</v>
      </c>
      <c r="O281" s="130">
        <f>IFERROR(__xludf.DUMMYFUNCTION("""COMPUTED_VALUE"""),0.0)</f>
        <v>0</v>
      </c>
      <c r="P281" s="130">
        <f>IFERROR(__xludf.DUMMYFUNCTION("""COMPUTED_VALUE"""),0.0)</f>
        <v>0</v>
      </c>
      <c r="Q281" s="130">
        <f>IFERROR(__xludf.DUMMYFUNCTION("""COMPUTED_VALUE"""),0.0)</f>
        <v>0</v>
      </c>
      <c r="R281" s="130">
        <f>IFERROR(__xludf.DUMMYFUNCTION("""COMPUTED_VALUE"""),0.0)</f>
        <v>0</v>
      </c>
      <c r="S281" s="130">
        <f>IFERROR(__xludf.DUMMYFUNCTION("""COMPUTED_VALUE"""),0.0)</f>
        <v>0</v>
      </c>
      <c r="T281" s="130">
        <f>IFERROR(__xludf.DUMMYFUNCTION("""COMPUTED_VALUE"""),0.0)</f>
        <v>0</v>
      </c>
      <c r="U281" s="130">
        <f>IFERROR(__xludf.DUMMYFUNCTION("""COMPUTED_VALUE"""),0.0)</f>
        <v>0</v>
      </c>
      <c r="V281" s="130">
        <f>IFERROR(__xludf.DUMMYFUNCTION("""COMPUTED_VALUE"""),0.0)</f>
        <v>0</v>
      </c>
      <c r="W281" s="131" t="str">
        <f>IFERROR(__xludf.DUMMYFUNCTION("""COMPUTED_VALUE"""),"Yes")</f>
        <v>Yes</v>
      </c>
      <c r="X281" s="131" t="str">
        <f>IFERROR(__xludf.DUMMYFUNCTION("""COMPUTED_VALUE"""),"Yes")</f>
        <v>Yes</v>
      </c>
      <c r="Y281" s="131" t="str">
        <f>IFERROR(__xludf.DUMMYFUNCTION("""COMPUTED_VALUE"""),"S")</f>
        <v>S</v>
      </c>
      <c r="Z281" s="131"/>
      <c r="AA281" s="131"/>
      <c r="AB281" s="131"/>
      <c r="AC281" s="131"/>
      <c r="AD281" s="131"/>
      <c r="AE281" s="131"/>
      <c r="AF281" s="131"/>
      <c r="AG281" s="131"/>
      <c r="AH281" s="131"/>
      <c r="AI281" s="131"/>
      <c r="AJ281" s="131"/>
    </row>
    <row r="282">
      <c r="A282" s="126">
        <f>IFERROR(__xludf.DUMMYFUNCTION("""COMPUTED_VALUE"""),570.0)</f>
        <v>570</v>
      </c>
      <c r="B282" s="126" t="str">
        <f>IFERROR(__xludf.DUMMYFUNCTION("""COMPUTED_VALUE"""),"GREEN GEOGRAPHICALLY LOAD BALANCING USING VIABILITY OF DISTRIBUTED DATA CENTERS'LOCAL CONDITION FOR ENERGY EFFICIENCY")</f>
        <v>GREEN GEOGRAPHICALLY LOAD BALANCING USING VIABILITY OF DISTRIBUTED DATA CENTERS'LOCAL CONDITION FOR ENERGY EFFICIENCY</v>
      </c>
      <c r="C282" s="127" t="str">
        <f>IFERROR(__xludf.DUMMYFUNCTION("""COMPUTED_VALUE"""),"https://www.sid.ir/en/seminar/ViewPaper.aspx?id=46963")</f>
        <v>https://www.sid.ir/en/seminar/ViewPaper.aspx?id=46963</v>
      </c>
      <c r="D282" s="126" t="str">
        <f>IFERROR(__xludf.DUMMYFUNCTION("""COMPUTED_VALUE"""),"S TAHERI, M GOUDARZI")</f>
        <v>S TAHERI, M GOUDARZI</v>
      </c>
      <c r="E282" s="126" t="str">
        <f>IFERROR(__xludf.DUMMYFUNCTION("""COMPUTED_VALUE"""),"Scientific Information Database")</f>
        <v>Scientific Information Database</v>
      </c>
      <c r="F282" s="126" t="str">
        <f>IFERROR(__xludf.DUMMYFUNCTION("""COMPUTED_VALUE"""),"SID")</f>
        <v>SID</v>
      </c>
      <c r="G282" s="128" t="str">
        <f>IFERROR(__xludf.DUMMYFUNCTION("""COMPUTED_VALUE"""),"C")</f>
        <v>C</v>
      </c>
      <c r="H282" s="130">
        <f>IFERROR(__xludf.DUMMYFUNCTION("""COMPUTED_VALUE"""),2019.0)</f>
        <v>2019</v>
      </c>
      <c r="I282" s="130">
        <f>IFERROR(__xludf.DUMMYFUNCTION("""COMPUTED_VALUE"""),1.0)</f>
        <v>1</v>
      </c>
      <c r="J282" s="130">
        <f>IFERROR(__xludf.DUMMYFUNCTION("""COMPUTED_VALUE"""),1.0)</f>
        <v>1</v>
      </c>
      <c r="K282" s="130">
        <f>IFERROR(__xludf.DUMMYFUNCTION("""COMPUTED_VALUE"""),1.0)</f>
        <v>1</v>
      </c>
      <c r="L282" s="129">
        <f>IFERROR(__xludf.DUMMYFUNCTION("""COMPUTED_VALUE"""),1.0)</f>
        <v>1</v>
      </c>
      <c r="M282" s="130">
        <f>IFERROR(__xludf.DUMMYFUNCTION("""COMPUTED_VALUE"""),1.0)</f>
        <v>1</v>
      </c>
      <c r="N282" s="130">
        <f>IFERROR(__xludf.DUMMYFUNCTION("""COMPUTED_VALUE"""),0.0)</f>
        <v>0</v>
      </c>
      <c r="O282" s="130">
        <f>IFERROR(__xludf.DUMMYFUNCTION("""COMPUTED_VALUE"""),0.0)</f>
        <v>0</v>
      </c>
      <c r="P282" s="130">
        <f>IFERROR(__xludf.DUMMYFUNCTION("""COMPUTED_VALUE"""),0.0)</f>
        <v>0</v>
      </c>
      <c r="Q282" s="130">
        <f>IFERROR(__xludf.DUMMYFUNCTION("""COMPUTED_VALUE"""),0.0)</f>
        <v>0</v>
      </c>
      <c r="R282" s="130">
        <f>IFERROR(__xludf.DUMMYFUNCTION("""COMPUTED_VALUE"""),0.0)</f>
        <v>0</v>
      </c>
      <c r="S282" s="130">
        <f>IFERROR(__xludf.DUMMYFUNCTION("""COMPUTED_VALUE"""),0.0)</f>
        <v>0</v>
      </c>
      <c r="T282" s="130">
        <f>IFERROR(__xludf.DUMMYFUNCTION("""COMPUTED_VALUE"""),0.0)</f>
        <v>0</v>
      </c>
      <c r="U282" s="130">
        <f>IFERROR(__xludf.DUMMYFUNCTION("""COMPUTED_VALUE"""),0.0)</f>
        <v>0</v>
      </c>
      <c r="V282" s="130">
        <f>IFERROR(__xludf.DUMMYFUNCTION("""COMPUTED_VALUE"""),0.0)</f>
        <v>0</v>
      </c>
      <c r="W282" s="131" t="str">
        <f>IFERROR(__xludf.DUMMYFUNCTION("""COMPUTED_VALUE"""),"Yes")</f>
        <v>Yes</v>
      </c>
      <c r="X282" s="131" t="str">
        <f>IFERROR(__xludf.DUMMYFUNCTION("""COMPUTED_VALUE"""),"Yes")</f>
        <v>Yes</v>
      </c>
      <c r="Y282" s="131" t="str">
        <f>IFERROR(__xludf.DUMMYFUNCTION("""COMPUTED_VALUE"""),"S")</f>
        <v>S</v>
      </c>
      <c r="Z282" s="131"/>
      <c r="AA282" s="131"/>
      <c r="AB282" s="131"/>
      <c r="AC282" s="131"/>
      <c r="AD282" s="131"/>
      <c r="AE282" s="131"/>
      <c r="AF282" s="131"/>
      <c r="AG282" s="131"/>
      <c r="AH282" s="131"/>
      <c r="AI282" s="131"/>
      <c r="AJ282" s="131"/>
    </row>
    <row r="283">
      <c r="A283" s="126">
        <f>IFERROR(__xludf.DUMMYFUNCTION("""COMPUTED_VALUE"""),571.0)</f>
        <v>571</v>
      </c>
      <c r="B283" s="126" t="str">
        <f>IFERROR(__xludf.DUMMYFUNCTION("""COMPUTED_VALUE"""),"ENEDI: Energy Saving in Datacenters")</f>
        <v>ENEDI: Energy Saving in Datacenters</v>
      </c>
      <c r="C283" s="127" t="str">
        <f>IFERROR(__xludf.DUMMYFUNCTION("""COMPUTED_VALUE"""),"https://ieeexplore.ieee.org/abstract/document/8620159/")</f>
        <v>https://ieeexplore.ieee.org/abstract/document/8620159/</v>
      </c>
      <c r="D283" s="126" t="str">
        <f>IFERROR(__xludf.DUMMYFUNCTION("""COMPUTED_VALUE"""),"A Tryfonos, A Andreou, N Loulloudes…")</f>
        <v>A Tryfonos, A Andreou, N Loulloudes…</v>
      </c>
      <c r="E283" s="126" t="str">
        <f>IFERROR(__xludf.DUMMYFUNCTION("""COMPUTED_VALUE"""),"Institute of Electrical and Electronics Engineers")</f>
        <v>Institute of Electrical and Electronics Engineers</v>
      </c>
      <c r="F283" s="126" t="str">
        <f>IFERROR(__xludf.DUMMYFUNCTION("""COMPUTED_VALUE"""),"IEEE Xplore")</f>
        <v>IEEE Xplore</v>
      </c>
      <c r="G283" s="128" t="str">
        <f>IFERROR(__xludf.DUMMYFUNCTION("""COMPUTED_VALUE"""),"C")</f>
        <v>C</v>
      </c>
      <c r="H283" s="130">
        <f>IFERROR(__xludf.DUMMYFUNCTION("""COMPUTED_VALUE"""),2018.0)</f>
        <v>2018</v>
      </c>
      <c r="I283" s="130">
        <f>IFERROR(__xludf.DUMMYFUNCTION("""COMPUTED_VALUE"""),1.0)</f>
        <v>1</v>
      </c>
      <c r="J283" s="130">
        <f>IFERROR(__xludf.DUMMYFUNCTION("""COMPUTED_VALUE"""),1.0)</f>
        <v>1</v>
      </c>
      <c r="K283" s="130">
        <f>IFERROR(__xludf.DUMMYFUNCTION("""COMPUTED_VALUE"""),1.0)</f>
        <v>1</v>
      </c>
      <c r="L283" s="129">
        <f>IFERROR(__xludf.DUMMYFUNCTION("""COMPUTED_VALUE"""),1.0)</f>
        <v>1</v>
      </c>
      <c r="M283" s="130">
        <f>IFERROR(__xludf.DUMMYFUNCTION("""COMPUTED_VALUE"""),1.0)</f>
        <v>1</v>
      </c>
      <c r="N283" s="130">
        <f>IFERROR(__xludf.DUMMYFUNCTION("""COMPUTED_VALUE"""),0.0)</f>
        <v>0</v>
      </c>
      <c r="O283" s="130">
        <f>IFERROR(__xludf.DUMMYFUNCTION("""COMPUTED_VALUE"""),0.0)</f>
        <v>0</v>
      </c>
      <c r="P283" s="130">
        <f>IFERROR(__xludf.DUMMYFUNCTION("""COMPUTED_VALUE"""),0.0)</f>
        <v>0</v>
      </c>
      <c r="Q283" s="130">
        <f>IFERROR(__xludf.DUMMYFUNCTION("""COMPUTED_VALUE"""),0.0)</f>
        <v>0</v>
      </c>
      <c r="R283" s="130">
        <f>IFERROR(__xludf.DUMMYFUNCTION("""COMPUTED_VALUE"""),0.0)</f>
        <v>0</v>
      </c>
      <c r="S283" s="130">
        <f>IFERROR(__xludf.DUMMYFUNCTION("""COMPUTED_VALUE"""),0.0)</f>
        <v>0</v>
      </c>
      <c r="T283" s="130">
        <f>IFERROR(__xludf.DUMMYFUNCTION("""COMPUTED_VALUE"""),0.0)</f>
        <v>0</v>
      </c>
      <c r="U283" s="130">
        <f>IFERROR(__xludf.DUMMYFUNCTION("""COMPUTED_VALUE"""),0.0)</f>
        <v>0</v>
      </c>
      <c r="V283" s="130">
        <f>IFERROR(__xludf.DUMMYFUNCTION("""COMPUTED_VALUE"""),0.0)</f>
        <v>0</v>
      </c>
      <c r="W283" s="131" t="str">
        <f>IFERROR(__xludf.DUMMYFUNCTION("""COMPUTED_VALUE"""),"Yes")</f>
        <v>Yes</v>
      </c>
      <c r="X283" s="131" t="str">
        <f>IFERROR(__xludf.DUMMYFUNCTION("""COMPUTED_VALUE"""),"Yes")</f>
        <v>Yes</v>
      </c>
      <c r="Y283" s="131" t="str">
        <f>IFERROR(__xludf.DUMMYFUNCTION("""COMPUTED_VALUE"""),"S")</f>
        <v>S</v>
      </c>
      <c r="Z283" s="131"/>
      <c r="AA283" s="131"/>
      <c r="AB283" s="131"/>
      <c r="AC283" s="131"/>
      <c r="AD283" s="131"/>
      <c r="AE283" s="131"/>
      <c r="AF283" s="131"/>
      <c r="AG283" s="131"/>
      <c r="AH283" s="131"/>
      <c r="AI283" s="131"/>
      <c r="AJ283" s="131"/>
    </row>
    <row r="284">
      <c r="A284" s="126">
        <f>IFERROR(__xludf.DUMMYFUNCTION("""COMPUTED_VALUE"""),572.0)</f>
        <v>572</v>
      </c>
      <c r="B284" s="126" t="str">
        <f>IFERROR(__xludf.DUMMYFUNCTION("""COMPUTED_VALUE"""),"Thermal-aware hybrid workload management in a green datacenter towards renewable energy utilization")</f>
        <v>Thermal-aware hybrid workload management in a green datacenter towards renewable energy utilization</v>
      </c>
      <c r="C284" s="127" t="str">
        <f>IFERROR(__xludf.DUMMYFUNCTION("""COMPUTED_VALUE"""),"https://www.mdpi.com/1996-1073/12/8/1494")</f>
        <v>https://www.mdpi.com/1996-1073/12/8/1494</v>
      </c>
      <c r="D284" s="126" t="str">
        <f>IFERROR(__xludf.DUMMYFUNCTION("""COMPUTED_VALUE"""),"Y Li, X Wang, P Luo, Q Pan")</f>
        <v>Y Li, X Wang, P Luo, Q Pan</v>
      </c>
      <c r="E284" s="126" t="str">
        <f>IFERROR(__xludf.DUMMYFUNCTION("""COMPUTED_VALUE"""),"Multidisciplinary Digital Publishing Institute")</f>
        <v>Multidisciplinary Digital Publishing Institute</v>
      </c>
      <c r="F284" s="126" t="str">
        <f>IFERROR(__xludf.DUMMYFUNCTION("""COMPUTED_VALUE"""),"MDPI")</f>
        <v>MDPI</v>
      </c>
      <c r="G284" s="128" t="str">
        <f>IFERROR(__xludf.DUMMYFUNCTION("""COMPUTED_VALUE"""),"J")</f>
        <v>J</v>
      </c>
      <c r="H284" s="130">
        <f>IFERROR(__xludf.DUMMYFUNCTION("""COMPUTED_VALUE"""),2019.0)</f>
        <v>2019</v>
      </c>
      <c r="I284" s="130">
        <f>IFERROR(__xludf.DUMMYFUNCTION("""COMPUTED_VALUE"""),1.0)</f>
        <v>1</v>
      </c>
      <c r="J284" s="130">
        <f>IFERROR(__xludf.DUMMYFUNCTION("""COMPUTED_VALUE"""),1.0)</f>
        <v>1</v>
      </c>
      <c r="K284" s="130">
        <f>IFERROR(__xludf.DUMMYFUNCTION("""COMPUTED_VALUE"""),1.0)</f>
        <v>1</v>
      </c>
      <c r="L284" s="129">
        <f>IFERROR(__xludf.DUMMYFUNCTION("""COMPUTED_VALUE"""),1.0)</f>
        <v>1</v>
      </c>
      <c r="M284" s="130">
        <f>IFERROR(__xludf.DUMMYFUNCTION("""COMPUTED_VALUE"""),1.0)</f>
        <v>1</v>
      </c>
      <c r="N284" s="130">
        <f>IFERROR(__xludf.DUMMYFUNCTION("""COMPUTED_VALUE"""),0.0)</f>
        <v>0</v>
      </c>
      <c r="O284" s="130">
        <f>IFERROR(__xludf.DUMMYFUNCTION("""COMPUTED_VALUE"""),0.0)</f>
        <v>0</v>
      </c>
      <c r="P284" s="130">
        <f>IFERROR(__xludf.DUMMYFUNCTION("""COMPUTED_VALUE"""),0.0)</f>
        <v>0</v>
      </c>
      <c r="Q284" s="130">
        <f>IFERROR(__xludf.DUMMYFUNCTION("""COMPUTED_VALUE"""),0.0)</f>
        <v>0</v>
      </c>
      <c r="R284" s="130">
        <f>IFERROR(__xludf.DUMMYFUNCTION("""COMPUTED_VALUE"""),0.0)</f>
        <v>0</v>
      </c>
      <c r="S284" s="130">
        <f>IFERROR(__xludf.DUMMYFUNCTION("""COMPUTED_VALUE"""),0.0)</f>
        <v>0</v>
      </c>
      <c r="T284" s="130">
        <f>IFERROR(__xludf.DUMMYFUNCTION("""COMPUTED_VALUE"""),0.0)</f>
        <v>0</v>
      </c>
      <c r="U284" s="130">
        <f>IFERROR(__xludf.DUMMYFUNCTION("""COMPUTED_VALUE"""),0.0)</f>
        <v>0</v>
      </c>
      <c r="V284" s="130">
        <f>IFERROR(__xludf.DUMMYFUNCTION("""COMPUTED_VALUE"""),0.0)</f>
        <v>0</v>
      </c>
      <c r="W284" s="131" t="str">
        <f>IFERROR(__xludf.DUMMYFUNCTION("""COMPUTED_VALUE"""),"Yes")</f>
        <v>Yes</v>
      </c>
      <c r="X284" s="131" t="str">
        <f>IFERROR(__xludf.DUMMYFUNCTION("""COMPUTED_VALUE"""),"Yes")</f>
        <v>Yes</v>
      </c>
      <c r="Y284" s="131" t="str">
        <f>IFERROR(__xludf.DUMMYFUNCTION("""COMPUTED_VALUE"""),"S")</f>
        <v>S</v>
      </c>
      <c r="Z284" s="131"/>
      <c r="AA284" s="131"/>
      <c r="AB284" s="131"/>
      <c r="AC284" s="131"/>
      <c r="AD284" s="131"/>
      <c r="AE284" s="131"/>
      <c r="AF284" s="131"/>
      <c r="AG284" s="131"/>
      <c r="AH284" s="131"/>
      <c r="AI284" s="131"/>
      <c r="AJ284" s="131"/>
    </row>
    <row r="285">
      <c r="A285" s="126">
        <f>IFERROR(__xludf.DUMMYFUNCTION("""COMPUTED_VALUE"""),573.0)</f>
        <v>573</v>
      </c>
      <c r="B285" s="126" t="str">
        <f>IFERROR(__xludf.DUMMYFUNCTION("""COMPUTED_VALUE"""),"Energy-efficient virtual content distribution network provisioning in cloud-based data centers")</f>
        <v>Energy-efficient virtual content distribution network provisioning in cloud-based data centers</v>
      </c>
      <c r="C285" s="127" t="str">
        <f>IFERROR(__xludf.DUMMYFUNCTION("""COMPUTED_VALUE"""),"https://www.sciencedirect.com/science/article/pii/S0167739X1732099X")</f>
        <v>https://www.sciencedirect.com/science/article/pii/S0167739X1732099X</v>
      </c>
      <c r="D285" s="126" t="str">
        <f>IFERROR(__xludf.DUMMYFUNCTION("""COMPUTED_VALUE"""),"D Liao, G Sun, G Yang, V Chang")</f>
        <v>D Liao, G Sun, G Yang, V Chang</v>
      </c>
      <c r="E285" s="126" t="str">
        <f>IFERROR(__xludf.DUMMYFUNCTION("""COMPUTED_VALUE"""),"Elsevier")</f>
        <v>Elsevier</v>
      </c>
      <c r="F285" s="126" t="str">
        <f>IFERROR(__xludf.DUMMYFUNCTION("""COMPUTED_VALUE"""),"Elsevier")</f>
        <v>Elsevier</v>
      </c>
      <c r="G285" s="128" t="str">
        <f>IFERROR(__xludf.DUMMYFUNCTION("""COMPUTED_VALUE"""),"J")</f>
        <v>J</v>
      </c>
      <c r="H285" s="130">
        <f>IFERROR(__xludf.DUMMYFUNCTION("""COMPUTED_VALUE"""),2018.0)</f>
        <v>2018</v>
      </c>
      <c r="I285" s="130">
        <f>IFERROR(__xludf.DUMMYFUNCTION("""COMPUTED_VALUE"""),1.0)</f>
        <v>1</v>
      </c>
      <c r="J285" s="130">
        <f>IFERROR(__xludf.DUMMYFUNCTION("""COMPUTED_VALUE"""),1.0)</f>
        <v>1</v>
      </c>
      <c r="K285" s="130">
        <f>IFERROR(__xludf.DUMMYFUNCTION("""COMPUTED_VALUE"""),1.0)</f>
        <v>1</v>
      </c>
      <c r="L285" s="129">
        <f>IFERROR(__xludf.DUMMYFUNCTION("""COMPUTED_VALUE"""),1.0)</f>
        <v>1</v>
      </c>
      <c r="M285" s="130">
        <f>IFERROR(__xludf.DUMMYFUNCTION("""COMPUTED_VALUE"""),1.0)</f>
        <v>1</v>
      </c>
      <c r="N285" s="130">
        <f>IFERROR(__xludf.DUMMYFUNCTION("""COMPUTED_VALUE"""),0.0)</f>
        <v>0</v>
      </c>
      <c r="O285" s="130">
        <f>IFERROR(__xludf.DUMMYFUNCTION("""COMPUTED_VALUE"""),0.0)</f>
        <v>0</v>
      </c>
      <c r="P285" s="130">
        <f>IFERROR(__xludf.DUMMYFUNCTION("""COMPUTED_VALUE"""),0.0)</f>
        <v>0</v>
      </c>
      <c r="Q285" s="130">
        <f>IFERROR(__xludf.DUMMYFUNCTION("""COMPUTED_VALUE"""),0.0)</f>
        <v>0</v>
      </c>
      <c r="R285" s="130">
        <f>IFERROR(__xludf.DUMMYFUNCTION("""COMPUTED_VALUE"""),0.0)</f>
        <v>0</v>
      </c>
      <c r="S285" s="130">
        <f>IFERROR(__xludf.DUMMYFUNCTION("""COMPUTED_VALUE"""),0.0)</f>
        <v>0</v>
      </c>
      <c r="T285" s="130">
        <f>IFERROR(__xludf.DUMMYFUNCTION("""COMPUTED_VALUE"""),0.0)</f>
        <v>0</v>
      </c>
      <c r="U285" s="130">
        <f>IFERROR(__xludf.DUMMYFUNCTION("""COMPUTED_VALUE"""),0.0)</f>
        <v>0</v>
      </c>
      <c r="V285" s="130">
        <f>IFERROR(__xludf.DUMMYFUNCTION("""COMPUTED_VALUE"""),0.0)</f>
        <v>0</v>
      </c>
      <c r="W285" s="131" t="str">
        <f>IFERROR(__xludf.DUMMYFUNCTION("""COMPUTED_VALUE"""),"Yes")</f>
        <v>Yes</v>
      </c>
      <c r="X285" s="131" t="str">
        <f>IFERROR(__xludf.DUMMYFUNCTION("""COMPUTED_VALUE"""),"Yes")</f>
        <v>Yes</v>
      </c>
      <c r="Y285" s="131" t="str">
        <f>IFERROR(__xludf.DUMMYFUNCTION("""COMPUTED_VALUE"""),"S")</f>
        <v>S</v>
      </c>
      <c r="Z285" s="131"/>
      <c r="AA285" s="131"/>
      <c r="AB285" s="131"/>
      <c r="AC285" s="131"/>
      <c r="AD285" s="131"/>
      <c r="AE285" s="131"/>
      <c r="AF285" s="131"/>
      <c r="AG285" s="131"/>
      <c r="AH285" s="131"/>
      <c r="AI285" s="131"/>
      <c r="AJ285" s="131"/>
    </row>
    <row r="286">
      <c r="A286" s="126">
        <f>IFERROR(__xludf.DUMMYFUNCTION("""COMPUTED_VALUE"""),574.0)</f>
        <v>574</v>
      </c>
      <c r="B286" s="126" t="str">
        <f>IFERROR(__xludf.DUMMYFUNCTION("""COMPUTED_VALUE"""),"A virtualized data center energy‐saving mechanism based on switching operating mode of physical servers and reserving virtual machines")</f>
        <v>A virtualized data center energy‐saving mechanism based on switching operating mode of physical servers and reserving virtual machines</v>
      </c>
      <c r="C286" s="127" t="str">
        <f>IFERROR(__xludf.DUMMYFUNCTION("""COMPUTED_VALUE"""),"https://onlinelibrary.wiley.com/doi/abs/10.1002/cpe.5785")</f>
        <v>https://onlinelibrary.wiley.com/doi/abs/10.1002/cpe.5785</v>
      </c>
      <c r="D286" s="126" t="str">
        <f>IFERROR(__xludf.DUMMYFUNCTION("""COMPUTED_VALUE"""),"C Yin, J Liu, S Jin")</f>
        <v>C Yin, J Liu, S Jin</v>
      </c>
      <c r="E286" s="126" t="str">
        <f>IFERROR(__xludf.DUMMYFUNCTION("""COMPUTED_VALUE"""),"Wiley Online Library")</f>
        <v>Wiley Online Library</v>
      </c>
      <c r="F286" s="126" t="str">
        <f>IFERROR(__xludf.DUMMYFUNCTION("""COMPUTED_VALUE"""),"Wiley")</f>
        <v>Wiley</v>
      </c>
      <c r="G286" s="128" t="str">
        <f>IFERROR(__xludf.DUMMYFUNCTION("""COMPUTED_VALUE"""),"J")</f>
        <v>J</v>
      </c>
      <c r="H286" s="130">
        <f>IFERROR(__xludf.DUMMYFUNCTION("""COMPUTED_VALUE"""),2020.0)</f>
        <v>2020</v>
      </c>
      <c r="I286" s="130">
        <f>IFERROR(__xludf.DUMMYFUNCTION("""COMPUTED_VALUE"""),1.0)</f>
        <v>1</v>
      </c>
      <c r="J286" s="130">
        <f>IFERROR(__xludf.DUMMYFUNCTION("""COMPUTED_VALUE"""),1.0)</f>
        <v>1</v>
      </c>
      <c r="K286" s="130">
        <f>IFERROR(__xludf.DUMMYFUNCTION("""COMPUTED_VALUE"""),1.0)</f>
        <v>1</v>
      </c>
      <c r="L286" s="129">
        <f>IFERROR(__xludf.DUMMYFUNCTION("""COMPUTED_VALUE"""),1.0)</f>
        <v>1</v>
      </c>
      <c r="M286" s="130">
        <f>IFERROR(__xludf.DUMMYFUNCTION("""COMPUTED_VALUE"""),1.0)</f>
        <v>1</v>
      </c>
      <c r="N286" s="130">
        <f>IFERROR(__xludf.DUMMYFUNCTION("""COMPUTED_VALUE"""),0.0)</f>
        <v>0</v>
      </c>
      <c r="O286" s="130">
        <f>IFERROR(__xludf.DUMMYFUNCTION("""COMPUTED_VALUE"""),0.0)</f>
        <v>0</v>
      </c>
      <c r="P286" s="130">
        <f>IFERROR(__xludf.DUMMYFUNCTION("""COMPUTED_VALUE"""),0.0)</f>
        <v>0</v>
      </c>
      <c r="Q286" s="130">
        <f>IFERROR(__xludf.DUMMYFUNCTION("""COMPUTED_VALUE"""),0.0)</f>
        <v>0</v>
      </c>
      <c r="R286" s="130">
        <f>IFERROR(__xludf.DUMMYFUNCTION("""COMPUTED_VALUE"""),0.0)</f>
        <v>0</v>
      </c>
      <c r="S286" s="130">
        <f>IFERROR(__xludf.DUMMYFUNCTION("""COMPUTED_VALUE"""),0.0)</f>
        <v>0</v>
      </c>
      <c r="T286" s="130">
        <f>IFERROR(__xludf.DUMMYFUNCTION("""COMPUTED_VALUE"""),0.0)</f>
        <v>0</v>
      </c>
      <c r="U286" s="130">
        <f>IFERROR(__xludf.DUMMYFUNCTION("""COMPUTED_VALUE"""),0.0)</f>
        <v>0</v>
      </c>
      <c r="V286" s="130">
        <f>IFERROR(__xludf.DUMMYFUNCTION("""COMPUTED_VALUE"""),0.0)</f>
        <v>0</v>
      </c>
      <c r="W286" s="131" t="str">
        <f>IFERROR(__xludf.DUMMYFUNCTION("""COMPUTED_VALUE"""),"Yes")</f>
        <v>Yes</v>
      </c>
      <c r="X286" s="131" t="str">
        <f>IFERROR(__xludf.DUMMYFUNCTION("""COMPUTED_VALUE"""),"Yes")</f>
        <v>Yes</v>
      </c>
      <c r="Y286" s="131" t="str">
        <f>IFERROR(__xludf.DUMMYFUNCTION("""COMPUTED_VALUE"""),"S")</f>
        <v>S</v>
      </c>
      <c r="Z286" s="131"/>
      <c r="AA286" s="131"/>
      <c r="AB286" s="131"/>
      <c r="AC286" s="131"/>
      <c r="AD286" s="131"/>
      <c r="AE286" s="131"/>
      <c r="AF286" s="131"/>
      <c r="AG286" s="131"/>
      <c r="AH286" s="131"/>
      <c r="AI286" s="131"/>
      <c r="AJ286" s="131"/>
    </row>
    <row r="287">
      <c r="A287" s="126">
        <f>IFERROR(__xludf.DUMMYFUNCTION("""COMPUTED_VALUE"""),575.0)</f>
        <v>575</v>
      </c>
      <c r="B287" s="126" t="str">
        <f>IFERROR(__xludf.DUMMYFUNCTION("""COMPUTED_VALUE"""),"Blockchain-based decentralized workload and energy management of geo-distributed data centers")</f>
        <v>Blockchain-based decentralized workload and energy management of geo-distributed data centers</v>
      </c>
      <c r="C287" s="127" t="str">
        <f>IFERROR(__xludf.DUMMYFUNCTION("""COMPUTED_VALUE"""),"https://www.sciencedirect.com/science/article/pii/S2210537920301852")</f>
        <v>https://www.sciencedirect.com/science/article/pii/S2210537920301852</v>
      </c>
      <c r="D287" s="126" t="str">
        <f>IFERROR(__xludf.DUMMYFUNCTION("""COMPUTED_VALUE"""),"S Sajid, M Jawad, K Hamid, MUS Khan, SM Ali…")</f>
        <v>S Sajid, M Jawad, K Hamid, MUS Khan, SM Ali…</v>
      </c>
      <c r="E287" s="126" t="str">
        <f>IFERROR(__xludf.DUMMYFUNCTION("""COMPUTED_VALUE"""),"Elsevier")</f>
        <v>Elsevier</v>
      </c>
      <c r="F287" s="126" t="str">
        <f>IFERROR(__xludf.DUMMYFUNCTION("""COMPUTED_VALUE"""),"Elsevier")</f>
        <v>Elsevier</v>
      </c>
      <c r="G287" s="128"/>
      <c r="H287" s="130">
        <f>IFERROR(__xludf.DUMMYFUNCTION("""COMPUTED_VALUE"""),2020.0)</f>
        <v>2020</v>
      </c>
      <c r="I287" s="130">
        <f>IFERROR(__xludf.DUMMYFUNCTION("""COMPUTED_VALUE"""),0.0)</f>
        <v>0</v>
      </c>
      <c r="J287" s="130"/>
      <c r="K287" s="130"/>
      <c r="L287" s="129"/>
      <c r="M287" s="130"/>
      <c r="N287" s="130"/>
      <c r="O287" s="130"/>
      <c r="P287" s="130"/>
      <c r="Q287" s="130"/>
      <c r="R287" s="130"/>
      <c r="S287" s="130"/>
      <c r="T287" s="130"/>
      <c r="U287" s="130"/>
      <c r="V287" s="130"/>
      <c r="W287" s="131" t="str">
        <f>IFERROR(__xludf.DUMMYFUNCTION("""COMPUTED_VALUE"""),"No")</f>
        <v>No</v>
      </c>
      <c r="X287" s="131" t="str">
        <f>IFERROR(__xludf.DUMMYFUNCTION("""COMPUTED_VALUE"""),"Yes")</f>
        <v>Yes</v>
      </c>
      <c r="Y287" s="131" t="str">
        <f>IFERROR(__xludf.DUMMYFUNCTION("""COMPUTED_VALUE"""),"S")</f>
        <v>S</v>
      </c>
      <c r="Z287" s="131" t="str">
        <f>IFERROR(__xludf.DUMMYFUNCTION("""COMPUTED_VALUE"""),"cost-driven")</f>
        <v>cost-driven</v>
      </c>
      <c r="AA287" s="131"/>
      <c r="AB287" s="131"/>
      <c r="AC287" s="131"/>
      <c r="AD287" s="131"/>
      <c r="AE287" s="131"/>
      <c r="AF287" s="131"/>
      <c r="AG287" s="131"/>
      <c r="AH287" s="131"/>
      <c r="AI287" s="131"/>
      <c r="AJ287" s="131"/>
    </row>
    <row r="288">
      <c r="A288" s="126">
        <f>IFERROR(__xludf.DUMMYFUNCTION("""COMPUTED_VALUE"""),576.0)</f>
        <v>576</v>
      </c>
      <c r="B288" s="126" t="str">
        <f>IFERROR(__xludf.DUMMYFUNCTION("""COMPUTED_VALUE"""),"Optimal dispatching of data center energy-supplying system with demand response")</f>
        <v>Optimal dispatching of data center energy-supplying system with demand response</v>
      </c>
      <c r="C288" s="127" t="str">
        <f>IFERROR(__xludf.DUMMYFUNCTION("""COMPUTED_VALUE"""),"http://en.cnki.com.cn/Article_en/CJFDTotal-CSDL201802006.htm")</f>
        <v>http://en.cnki.com.cn/Article_en/CJFDTotal-CSDL201802006.htm</v>
      </c>
      <c r="D288" s="126" t="str">
        <f>IFERROR(__xludf.DUMMYFUNCTION("""COMPUTED_VALUE"""),"J GUO, H YANG, P ZHANG, X YE, T XIONG…")</f>
        <v>J GUO, H YANG, P ZHANG, X YE, T XIONG…</v>
      </c>
      <c r="E288" s="127" t="str">
        <f>IFERROR(__xludf.DUMMYFUNCTION("""COMPUTED_VALUE"""),"en.cnki.com.cn")</f>
        <v>en.cnki.com.cn</v>
      </c>
      <c r="F288" s="127" t="str">
        <f>IFERROR(__xludf.DUMMYFUNCTION("""COMPUTED_VALUE"""),"en.cnki.com.cn")</f>
        <v>en.cnki.com.cn</v>
      </c>
      <c r="G288" s="128"/>
      <c r="H288" s="130">
        <f>IFERROR(__xludf.DUMMYFUNCTION("""COMPUTED_VALUE"""),2018.0)</f>
        <v>2018</v>
      </c>
      <c r="I288" s="130"/>
      <c r="J288" s="130"/>
      <c r="K288" s="130"/>
      <c r="L288" s="129"/>
      <c r="M288" s="130"/>
      <c r="N288" s="130"/>
      <c r="O288" s="130"/>
      <c r="P288" s="130">
        <f>IFERROR(__xludf.DUMMYFUNCTION("""COMPUTED_VALUE"""),1.0)</f>
        <v>1</v>
      </c>
      <c r="Q288" s="130"/>
      <c r="R288" s="130"/>
      <c r="S288" s="130"/>
      <c r="T288" s="130"/>
      <c r="U288" s="130"/>
      <c r="V288" s="130"/>
      <c r="W288" s="131" t="str">
        <f>IFERROR(__xludf.DUMMYFUNCTION("""COMPUTED_VALUE"""),"No")</f>
        <v>No</v>
      </c>
      <c r="X288" s="131" t="str">
        <f>IFERROR(__xludf.DUMMYFUNCTION("""COMPUTED_VALUE"""),"Yes")</f>
        <v>Yes</v>
      </c>
      <c r="Y288" s="131" t="str">
        <f>IFERROR(__xludf.DUMMYFUNCTION("""COMPUTED_VALUE"""),"S")</f>
        <v>S</v>
      </c>
      <c r="Z288" s="131"/>
      <c r="AA288" s="131"/>
      <c r="AB288" s="131"/>
      <c r="AC288" s="131"/>
      <c r="AD288" s="131"/>
      <c r="AE288" s="131"/>
      <c r="AF288" s="131"/>
      <c r="AG288" s="131"/>
      <c r="AH288" s="131"/>
      <c r="AI288" s="131"/>
      <c r="AJ288" s="131"/>
    </row>
    <row r="289">
      <c r="A289" s="126">
        <f>IFERROR(__xludf.DUMMYFUNCTION("""COMPUTED_VALUE"""),579.0)</f>
        <v>579</v>
      </c>
      <c r="B289" s="126" t="str">
        <f>IFERROR(__xludf.DUMMYFUNCTION("""COMPUTED_VALUE"""),"Energy-aware Fault-tolerant Scheduling Scheme based on Intelligent Prediction Model for Cloud Data Center")</f>
        <v>Energy-aware Fault-tolerant Scheduling Scheme based on Intelligent Prediction Model for Cloud Data Center</v>
      </c>
      <c r="C289" s="127" t="str">
        <f>IFERROR(__xludf.DUMMYFUNCTION("""COMPUTED_VALUE"""),"https://ieeexplore.ieee.org/abstract/document/8752123/")</f>
        <v>https://ieeexplore.ieee.org/abstract/document/8752123/</v>
      </c>
      <c r="D289" s="126" t="str">
        <f>IFERROR(__xludf.DUMMYFUNCTION("""COMPUTED_VALUE"""),"A Marahatta, C Chi, F Zhang, , Z Liu")</f>
        <v>A Marahatta, C Chi, F Zhang, , Z Liu</v>
      </c>
      <c r="E289" s="126" t="str">
        <f>IFERROR(__xludf.DUMMYFUNCTION("""COMPUTED_VALUE"""),"Institute of Electrical and Electronics Engineers")</f>
        <v>Institute of Electrical and Electronics Engineers</v>
      </c>
      <c r="F289" s="126" t="str">
        <f>IFERROR(__xludf.DUMMYFUNCTION("""COMPUTED_VALUE"""),"IEEE Xplore")</f>
        <v>IEEE Xplore</v>
      </c>
      <c r="G289" s="128" t="str">
        <f>IFERROR(__xludf.DUMMYFUNCTION("""COMPUTED_VALUE"""),"C")</f>
        <v>C</v>
      </c>
      <c r="H289" s="130">
        <f>IFERROR(__xludf.DUMMYFUNCTION("""COMPUTED_VALUE"""),2018.0)</f>
        <v>2018</v>
      </c>
      <c r="I289" s="130">
        <f>IFERROR(__xludf.DUMMYFUNCTION("""COMPUTED_VALUE"""),1.0)</f>
        <v>1</v>
      </c>
      <c r="J289" s="130">
        <f>IFERROR(__xludf.DUMMYFUNCTION("""COMPUTED_VALUE"""),1.0)</f>
        <v>1</v>
      </c>
      <c r="K289" s="130">
        <f>IFERROR(__xludf.DUMMYFUNCTION("""COMPUTED_VALUE"""),1.0)</f>
        <v>1</v>
      </c>
      <c r="L289" s="129">
        <f>IFERROR(__xludf.DUMMYFUNCTION("""COMPUTED_VALUE"""),1.0)</f>
        <v>1</v>
      </c>
      <c r="M289" s="130">
        <f>IFERROR(__xludf.DUMMYFUNCTION("""COMPUTED_VALUE"""),1.0)</f>
        <v>1</v>
      </c>
      <c r="N289" s="130">
        <f>IFERROR(__xludf.DUMMYFUNCTION("""COMPUTED_VALUE"""),0.0)</f>
        <v>0</v>
      </c>
      <c r="O289" s="130">
        <f>IFERROR(__xludf.DUMMYFUNCTION("""COMPUTED_VALUE"""),0.0)</f>
        <v>0</v>
      </c>
      <c r="P289" s="130">
        <f>IFERROR(__xludf.DUMMYFUNCTION("""COMPUTED_VALUE"""),0.0)</f>
        <v>0</v>
      </c>
      <c r="Q289" s="130">
        <f>IFERROR(__xludf.DUMMYFUNCTION("""COMPUTED_VALUE"""),0.0)</f>
        <v>0</v>
      </c>
      <c r="R289" s="130">
        <f>IFERROR(__xludf.DUMMYFUNCTION("""COMPUTED_VALUE"""),0.0)</f>
        <v>0</v>
      </c>
      <c r="S289" s="130">
        <f>IFERROR(__xludf.DUMMYFUNCTION("""COMPUTED_VALUE"""),0.0)</f>
        <v>0</v>
      </c>
      <c r="T289" s="130">
        <f>IFERROR(__xludf.DUMMYFUNCTION("""COMPUTED_VALUE"""),0.0)</f>
        <v>0</v>
      </c>
      <c r="U289" s="130">
        <f>IFERROR(__xludf.DUMMYFUNCTION("""COMPUTED_VALUE"""),0.0)</f>
        <v>0</v>
      </c>
      <c r="V289" s="130">
        <f>IFERROR(__xludf.DUMMYFUNCTION("""COMPUTED_VALUE"""),0.0)</f>
        <v>0</v>
      </c>
      <c r="W289" s="131" t="str">
        <f>IFERROR(__xludf.DUMMYFUNCTION("""COMPUTED_VALUE"""),"Yes")</f>
        <v>Yes</v>
      </c>
      <c r="X289" s="131" t="str">
        <f>IFERROR(__xludf.DUMMYFUNCTION("""COMPUTED_VALUE"""),"Yes")</f>
        <v>Yes</v>
      </c>
      <c r="Y289" s="131" t="str">
        <f>IFERROR(__xludf.DUMMYFUNCTION("""COMPUTED_VALUE"""),"S")</f>
        <v>S</v>
      </c>
      <c r="Z289" s="131"/>
      <c r="AA289" s="131"/>
      <c r="AB289" s="131"/>
      <c r="AC289" s="131"/>
      <c r="AD289" s="131"/>
      <c r="AE289" s="131"/>
      <c r="AF289" s="131"/>
      <c r="AG289" s="131"/>
      <c r="AH289" s="131"/>
      <c r="AI289" s="131"/>
      <c r="AJ289" s="131"/>
    </row>
    <row r="290">
      <c r="A290" s="126">
        <f>IFERROR(__xludf.DUMMYFUNCTION("""COMPUTED_VALUE"""),580.0)</f>
        <v>580</v>
      </c>
      <c r="B290" s="126" t="str">
        <f>IFERROR(__xludf.DUMMYFUNCTION("""COMPUTED_VALUE"""),"Multilevel resource allocation for performance-aware energy-efficient cloud data centers")</f>
        <v>Multilevel resource allocation for performance-aware energy-efficient cloud data centers</v>
      </c>
      <c r="C290" s="127" t="str">
        <f>IFERROR(__xludf.DUMMYFUNCTION("""COMPUTED_VALUE"""),"https://ieeexplore.ieee.org/abstract/document/8969751/")</f>
        <v>https://ieeexplore.ieee.org/abstract/document/8969751/</v>
      </c>
      <c r="D290" s="126" t="str">
        <f>IFERROR(__xludf.DUMMYFUNCTION("""COMPUTED_VALUE"""),"FD Rossi, PSS de Souza, W dos Santos Marques, M da Silva Conterato, TC Ferreto, AF Lorenzon, MC Luizelli")</f>
        <v>FD Rossi, PSS de Souza, W dos Santos Marques, M da Silva Conterato, TC Ferreto, AF Lorenzon, MC Luizelli</v>
      </c>
      <c r="E290" s="126" t="str">
        <f>IFERROR(__xludf.DUMMYFUNCTION("""COMPUTED_VALUE"""),"Institute of Electrical and Electronics Engineers")</f>
        <v>Institute of Electrical and Electronics Engineers</v>
      </c>
      <c r="F290" s="126" t="str">
        <f>IFERROR(__xludf.DUMMYFUNCTION("""COMPUTED_VALUE"""),"IEEE Xplore")</f>
        <v>IEEE Xplore</v>
      </c>
      <c r="G290" s="128" t="str">
        <f>IFERROR(__xludf.DUMMYFUNCTION("""COMPUTED_VALUE"""),"C")</f>
        <v>C</v>
      </c>
      <c r="H290" s="130">
        <f>IFERROR(__xludf.DUMMYFUNCTION("""COMPUTED_VALUE"""),2019.0)</f>
        <v>2019</v>
      </c>
      <c r="I290" s="130">
        <f>IFERROR(__xludf.DUMMYFUNCTION("""COMPUTED_VALUE"""),1.0)</f>
        <v>1</v>
      </c>
      <c r="J290" s="130">
        <f>IFERROR(__xludf.DUMMYFUNCTION("""COMPUTED_VALUE"""),1.0)</f>
        <v>1</v>
      </c>
      <c r="K290" s="130">
        <f>IFERROR(__xludf.DUMMYFUNCTION("""COMPUTED_VALUE"""),1.0)</f>
        <v>1</v>
      </c>
      <c r="L290" s="129">
        <f>IFERROR(__xludf.DUMMYFUNCTION("""COMPUTED_VALUE"""),1.0)</f>
        <v>1</v>
      </c>
      <c r="M290" s="130">
        <f>IFERROR(__xludf.DUMMYFUNCTION("""COMPUTED_VALUE"""),1.0)</f>
        <v>1</v>
      </c>
      <c r="N290" s="130">
        <f>IFERROR(__xludf.DUMMYFUNCTION("""COMPUTED_VALUE"""),0.0)</f>
        <v>0</v>
      </c>
      <c r="O290" s="130">
        <f>IFERROR(__xludf.DUMMYFUNCTION("""COMPUTED_VALUE"""),0.0)</f>
        <v>0</v>
      </c>
      <c r="P290" s="130">
        <f>IFERROR(__xludf.DUMMYFUNCTION("""COMPUTED_VALUE"""),0.0)</f>
        <v>0</v>
      </c>
      <c r="Q290" s="130">
        <f>IFERROR(__xludf.DUMMYFUNCTION("""COMPUTED_VALUE"""),0.0)</f>
        <v>0</v>
      </c>
      <c r="R290" s="130">
        <f>IFERROR(__xludf.DUMMYFUNCTION("""COMPUTED_VALUE"""),0.0)</f>
        <v>0</v>
      </c>
      <c r="S290" s="130">
        <f>IFERROR(__xludf.DUMMYFUNCTION("""COMPUTED_VALUE"""),0.0)</f>
        <v>0</v>
      </c>
      <c r="T290" s="130">
        <f>IFERROR(__xludf.DUMMYFUNCTION("""COMPUTED_VALUE"""),0.0)</f>
        <v>0</v>
      </c>
      <c r="U290" s="130">
        <f>IFERROR(__xludf.DUMMYFUNCTION("""COMPUTED_VALUE"""),0.0)</f>
        <v>0</v>
      </c>
      <c r="V290" s="130">
        <f>IFERROR(__xludf.DUMMYFUNCTION("""COMPUTED_VALUE"""),0.0)</f>
        <v>0</v>
      </c>
      <c r="W290" s="131" t="str">
        <f>IFERROR(__xludf.DUMMYFUNCTION("""COMPUTED_VALUE"""),"Yes")</f>
        <v>Yes</v>
      </c>
      <c r="X290" s="131" t="str">
        <f>IFERROR(__xludf.DUMMYFUNCTION("""COMPUTED_VALUE"""),"Yes")</f>
        <v>Yes</v>
      </c>
      <c r="Y290" s="131" t="str">
        <f>IFERROR(__xludf.DUMMYFUNCTION("""COMPUTED_VALUE"""),"S")</f>
        <v>S</v>
      </c>
      <c r="Z290" s="131"/>
      <c r="AA290" s="131"/>
      <c r="AB290" s="131"/>
      <c r="AC290" s="131"/>
      <c r="AD290" s="131"/>
      <c r="AE290" s="131"/>
      <c r="AF290" s="131"/>
      <c r="AG290" s="131"/>
      <c r="AH290" s="131"/>
      <c r="AI290" s="131"/>
      <c r="AJ290" s="131"/>
    </row>
    <row r="291">
      <c r="A291" s="126">
        <f>IFERROR(__xludf.DUMMYFUNCTION("""COMPUTED_VALUE"""),584.0)</f>
        <v>584</v>
      </c>
      <c r="B291" s="126" t="str">
        <f>IFERROR(__xludf.DUMMYFUNCTION("""COMPUTED_VALUE"""),"Sampling Workloads with Dynamic Time Scale to Promote the Energy Efficiency of Datacenters")</f>
        <v>Sampling Workloads with Dynamic Time Scale to Promote the Energy Efficiency of Datacenters</v>
      </c>
      <c r="C291" s="127" t="str">
        <f>IFERROR(__xludf.DUMMYFUNCTION("""COMPUTED_VALUE"""),"https://ieeexplore.ieee.org/abstract/document/9291589/")</f>
        <v>https://ieeexplore.ieee.org/abstract/document/9291589/</v>
      </c>
      <c r="D291" s="126" t="str">
        <f>IFERROR(__xludf.DUMMYFUNCTION("""COMPUTED_VALUE"""),"C Hu, Y Zhou, R Ding")</f>
        <v>C Hu, Y Zhou, R Ding</v>
      </c>
      <c r="E291" s="126" t="str">
        <f>IFERROR(__xludf.DUMMYFUNCTION("""COMPUTED_VALUE"""),"Institute of Electrical and Electronics Engineers")</f>
        <v>Institute of Electrical and Electronics Engineers</v>
      </c>
      <c r="F291" s="126" t="str">
        <f>IFERROR(__xludf.DUMMYFUNCTION("""COMPUTED_VALUE"""),"IEEE Xplore")</f>
        <v>IEEE Xplore</v>
      </c>
      <c r="G291" s="128" t="str">
        <f>IFERROR(__xludf.DUMMYFUNCTION("""COMPUTED_VALUE"""),"C")</f>
        <v>C</v>
      </c>
      <c r="H291" s="130">
        <f>IFERROR(__xludf.DUMMYFUNCTION("""COMPUTED_VALUE"""),2020.0)</f>
        <v>2020</v>
      </c>
      <c r="I291" s="130">
        <f>IFERROR(__xludf.DUMMYFUNCTION("""COMPUTED_VALUE"""),1.0)</f>
        <v>1</v>
      </c>
      <c r="J291" s="130">
        <f>IFERROR(__xludf.DUMMYFUNCTION("""COMPUTED_VALUE"""),1.0)</f>
        <v>1</v>
      </c>
      <c r="K291" s="130">
        <f>IFERROR(__xludf.DUMMYFUNCTION("""COMPUTED_VALUE"""),1.0)</f>
        <v>1</v>
      </c>
      <c r="L291" s="129">
        <f>IFERROR(__xludf.DUMMYFUNCTION("""COMPUTED_VALUE"""),1.0)</f>
        <v>1</v>
      </c>
      <c r="M291" s="130">
        <f>IFERROR(__xludf.DUMMYFUNCTION("""COMPUTED_VALUE"""),1.0)</f>
        <v>1</v>
      </c>
      <c r="N291" s="130">
        <f>IFERROR(__xludf.DUMMYFUNCTION("""COMPUTED_VALUE"""),0.0)</f>
        <v>0</v>
      </c>
      <c r="O291" s="130">
        <f>IFERROR(__xludf.DUMMYFUNCTION("""COMPUTED_VALUE"""),0.0)</f>
        <v>0</v>
      </c>
      <c r="P291" s="130">
        <f>IFERROR(__xludf.DUMMYFUNCTION("""COMPUTED_VALUE"""),0.0)</f>
        <v>0</v>
      </c>
      <c r="Q291" s="130">
        <f>IFERROR(__xludf.DUMMYFUNCTION("""COMPUTED_VALUE"""),0.0)</f>
        <v>0</v>
      </c>
      <c r="R291" s="130">
        <f>IFERROR(__xludf.DUMMYFUNCTION("""COMPUTED_VALUE"""),0.0)</f>
        <v>0</v>
      </c>
      <c r="S291" s="130">
        <f>IFERROR(__xludf.DUMMYFUNCTION("""COMPUTED_VALUE"""),0.0)</f>
        <v>0</v>
      </c>
      <c r="T291" s="130">
        <f>IFERROR(__xludf.DUMMYFUNCTION("""COMPUTED_VALUE"""),0.0)</f>
        <v>0</v>
      </c>
      <c r="U291" s="130">
        <f>IFERROR(__xludf.DUMMYFUNCTION("""COMPUTED_VALUE"""),0.0)</f>
        <v>0</v>
      </c>
      <c r="V291" s="130">
        <f>IFERROR(__xludf.DUMMYFUNCTION("""COMPUTED_VALUE"""),0.0)</f>
        <v>0</v>
      </c>
      <c r="W291" s="131" t="str">
        <f>IFERROR(__xludf.DUMMYFUNCTION("""COMPUTED_VALUE"""),"Yes")</f>
        <v>Yes</v>
      </c>
      <c r="X291" s="131" t="str">
        <f>IFERROR(__xludf.DUMMYFUNCTION("""COMPUTED_VALUE"""),"Yes")</f>
        <v>Yes</v>
      </c>
      <c r="Y291" s="131" t="str">
        <f>IFERROR(__xludf.DUMMYFUNCTION("""COMPUTED_VALUE"""),"S")</f>
        <v>S</v>
      </c>
      <c r="Z291" s="131"/>
      <c r="AA291" s="131"/>
      <c r="AB291" s="131"/>
      <c r="AC291" s="131"/>
      <c r="AD291" s="131"/>
      <c r="AE291" s="131"/>
      <c r="AF291" s="131"/>
      <c r="AG291" s="131"/>
      <c r="AH291" s="131"/>
      <c r="AI291" s="131"/>
      <c r="AJ291" s="131"/>
    </row>
    <row r="292">
      <c r="A292" s="126">
        <f>IFERROR(__xludf.DUMMYFUNCTION("""COMPUTED_VALUE"""),587.0)</f>
        <v>587</v>
      </c>
      <c r="B292" s="126" t="str">
        <f>IFERROR(__xludf.DUMMYFUNCTION("""COMPUTED_VALUE"""),"Interval graph multi-coloring-based resource reservation for energy-efficient containerized cloud data centers")</f>
        <v>Interval graph multi-coloring-based resource reservation for energy-efficient containerized cloud data centers</v>
      </c>
      <c r="C292" s="127" t="str">
        <f>IFERROR(__xludf.DUMMYFUNCTION("""COMPUTED_VALUE"""),"https://link.springer.com/article/10.1007/s11227-020-03439-z?error=cookies_not_supported&amp;error=cookies_not_supported&amp;code=54c48cd0-8f25-4364-8710-c07ad1dcce69&amp;code=526b045d-e4e9-4c95-9c3e-e8d6c55ffef4")</f>
        <v>https://link.springer.com/article/10.1007/s11227-020-03439-z?error=cookies_not_supported&amp;error=cookies_not_supported&amp;code=54c48cd0-8f25-4364-8710-c07ad1dcce69&amp;code=526b045d-e4e9-4c95-9c3e-e8d6c55ffef4</v>
      </c>
      <c r="D292" s="126" t="str">
        <f>IFERROR(__xludf.DUMMYFUNCTION("""COMPUTED_VALUE"""),"YS Patel, A Baheti, R Misra")</f>
        <v>YS Patel, A Baheti, R Misra</v>
      </c>
      <c r="E292" s="126" t="str">
        <f>IFERROR(__xludf.DUMMYFUNCTION("""COMPUTED_VALUE"""),"Springer")</f>
        <v>Springer</v>
      </c>
      <c r="F292" s="126" t="str">
        <f>IFERROR(__xludf.DUMMYFUNCTION("""COMPUTED_VALUE"""),"Springer")</f>
        <v>Springer</v>
      </c>
      <c r="G292" s="128" t="str">
        <f>IFERROR(__xludf.DUMMYFUNCTION("""COMPUTED_VALUE"""),"J")</f>
        <v>J</v>
      </c>
      <c r="H292" s="130">
        <f>IFERROR(__xludf.DUMMYFUNCTION("""COMPUTED_VALUE"""),2020.0)</f>
        <v>2020</v>
      </c>
      <c r="I292" s="130">
        <f>IFERROR(__xludf.DUMMYFUNCTION("""COMPUTED_VALUE"""),1.0)</f>
        <v>1</v>
      </c>
      <c r="J292" s="130">
        <f>IFERROR(__xludf.DUMMYFUNCTION("""COMPUTED_VALUE"""),1.0)</f>
        <v>1</v>
      </c>
      <c r="K292" s="130">
        <f>IFERROR(__xludf.DUMMYFUNCTION("""COMPUTED_VALUE"""),1.0)</f>
        <v>1</v>
      </c>
      <c r="L292" s="129">
        <f>IFERROR(__xludf.DUMMYFUNCTION("""COMPUTED_VALUE"""),1.0)</f>
        <v>1</v>
      </c>
      <c r="M292" s="130">
        <f>IFERROR(__xludf.DUMMYFUNCTION("""COMPUTED_VALUE"""),1.0)</f>
        <v>1</v>
      </c>
      <c r="N292" s="130">
        <f>IFERROR(__xludf.DUMMYFUNCTION("""COMPUTED_VALUE"""),0.0)</f>
        <v>0</v>
      </c>
      <c r="O292" s="130">
        <f>IFERROR(__xludf.DUMMYFUNCTION("""COMPUTED_VALUE"""),0.0)</f>
        <v>0</v>
      </c>
      <c r="P292" s="130">
        <f>IFERROR(__xludf.DUMMYFUNCTION("""COMPUTED_VALUE"""),0.0)</f>
        <v>0</v>
      </c>
      <c r="Q292" s="130">
        <f>IFERROR(__xludf.DUMMYFUNCTION("""COMPUTED_VALUE"""),0.0)</f>
        <v>0</v>
      </c>
      <c r="R292" s="130">
        <f>IFERROR(__xludf.DUMMYFUNCTION("""COMPUTED_VALUE"""),0.0)</f>
        <v>0</v>
      </c>
      <c r="S292" s="130">
        <f>IFERROR(__xludf.DUMMYFUNCTION("""COMPUTED_VALUE"""),0.0)</f>
        <v>0</v>
      </c>
      <c r="T292" s="130">
        <f>IFERROR(__xludf.DUMMYFUNCTION("""COMPUTED_VALUE"""),0.0)</f>
        <v>0</v>
      </c>
      <c r="U292" s="130">
        <f>IFERROR(__xludf.DUMMYFUNCTION("""COMPUTED_VALUE"""),0.0)</f>
        <v>0</v>
      </c>
      <c r="V292" s="130">
        <f>IFERROR(__xludf.DUMMYFUNCTION("""COMPUTED_VALUE"""),0.0)</f>
        <v>0</v>
      </c>
      <c r="W292" s="131" t="str">
        <f>IFERROR(__xludf.DUMMYFUNCTION("""COMPUTED_VALUE"""),"Yes")</f>
        <v>Yes</v>
      </c>
      <c r="X292" s="131" t="str">
        <f>IFERROR(__xludf.DUMMYFUNCTION("""COMPUTED_VALUE"""),"Yes")</f>
        <v>Yes</v>
      </c>
      <c r="Y292" s="131" t="str">
        <f>IFERROR(__xludf.DUMMYFUNCTION("""COMPUTED_VALUE"""),"S")</f>
        <v>S</v>
      </c>
      <c r="Z292" s="131"/>
      <c r="AA292" s="131"/>
      <c r="AB292" s="131"/>
      <c r="AC292" s="131"/>
      <c r="AD292" s="131"/>
      <c r="AE292" s="131"/>
      <c r="AF292" s="131"/>
      <c r="AG292" s="131"/>
      <c r="AH292" s="131"/>
      <c r="AI292" s="131"/>
      <c r="AJ292" s="131"/>
    </row>
    <row r="293">
      <c r="A293" s="126">
        <f>IFERROR(__xludf.DUMMYFUNCTION("""COMPUTED_VALUE"""),588.0)</f>
        <v>588</v>
      </c>
      <c r="B293" s="126" t="str">
        <f>IFERROR(__xludf.DUMMYFUNCTION("""COMPUTED_VALUE"""),"Modeling Energy Efficiency of Future Green Data centers")</f>
        <v>Modeling Energy Efficiency of Future Green Data centers</v>
      </c>
      <c r="C293" s="127" t="str">
        <f>IFERROR(__xludf.DUMMYFUNCTION("""COMPUTED_VALUE"""),"https://ieeexplore.ieee.org/abstract/document/9291049/")</f>
        <v>https://ieeexplore.ieee.org/abstract/document/9291049/</v>
      </c>
      <c r="D293" s="126" t="str">
        <f>IFERROR(__xludf.DUMMYFUNCTION("""COMPUTED_VALUE"""),"T Bhattacharya, X Qin")</f>
        <v>T Bhattacharya, X Qin</v>
      </c>
      <c r="E293" s="126" t="str">
        <f>IFERROR(__xludf.DUMMYFUNCTION("""COMPUTED_VALUE"""),"Institute of Electrical and Electronics Engineers")</f>
        <v>Institute of Electrical and Electronics Engineers</v>
      </c>
      <c r="F293" s="126" t="str">
        <f>IFERROR(__xludf.DUMMYFUNCTION("""COMPUTED_VALUE"""),"IEEE Xplore")</f>
        <v>IEEE Xplore</v>
      </c>
      <c r="G293" s="128" t="str">
        <f>IFERROR(__xludf.DUMMYFUNCTION("""COMPUTED_VALUE"""),"C")</f>
        <v>C</v>
      </c>
      <c r="H293" s="130">
        <f>IFERROR(__xludf.DUMMYFUNCTION("""COMPUTED_VALUE"""),2020.0)</f>
        <v>2020</v>
      </c>
      <c r="I293" s="130">
        <f>IFERROR(__xludf.DUMMYFUNCTION("""COMPUTED_VALUE"""),1.0)</f>
        <v>1</v>
      </c>
      <c r="J293" s="130">
        <f>IFERROR(__xludf.DUMMYFUNCTION("""COMPUTED_VALUE"""),1.0)</f>
        <v>1</v>
      </c>
      <c r="K293" s="130">
        <f>IFERROR(__xludf.DUMMYFUNCTION("""COMPUTED_VALUE"""),1.0)</f>
        <v>1</v>
      </c>
      <c r="L293" s="129">
        <f>IFERROR(__xludf.DUMMYFUNCTION("""COMPUTED_VALUE"""),1.0)</f>
        <v>1</v>
      </c>
      <c r="M293" s="130">
        <f>IFERROR(__xludf.DUMMYFUNCTION("""COMPUTED_VALUE"""),1.0)</f>
        <v>1</v>
      </c>
      <c r="N293" s="130">
        <f>IFERROR(__xludf.DUMMYFUNCTION("""COMPUTED_VALUE"""),0.0)</f>
        <v>0</v>
      </c>
      <c r="O293" s="130">
        <f>IFERROR(__xludf.DUMMYFUNCTION("""COMPUTED_VALUE"""),0.0)</f>
        <v>0</v>
      </c>
      <c r="P293" s="130">
        <f>IFERROR(__xludf.DUMMYFUNCTION("""COMPUTED_VALUE"""),0.0)</f>
        <v>0</v>
      </c>
      <c r="Q293" s="130">
        <f>IFERROR(__xludf.DUMMYFUNCTION("""COMPUTED_VALUE"""),0.0)</f>
        <v>0</v>
      </c>
      <c r="R293" s="130">
        <f>IFERROR(__xludf.DUMMYFUNCTION("""COMPUTED_VALUE"""),0.0)</f>
        <v>0</v>
      </c>
      <c r="S293" s="130">
        <f>IFERROR(__xludf.DUMMYFUNCTION("""COMPUTED_VALUE"""),0.0)</f>
        <v>0</v>
      </c>
      <c r="T293" s="130">
        <f>IFERROR(__xludf.DUMMYFUNCTION("""COMPUTED_VALUE"""),0.0)</f>
        <v>0</v>
      </c>
      <c r="U293" s="130">
        <f>IFERROR(__xludf.DUMMYFUNCTION("""COMPUTED_VALUE"""),0.0)</f>
        <v>0</v>
      </c>
      <c r="V293" s="130">
        <f>IFERROR(__xludf.DUMMYFUNCTION("""COMPUTED_VALUE"""),0.0)</f>
        <v>0</v>
      </c>
      <c r="W293" s="131" t="str">
        <f>IFERROR(__xludf.DUMMYFUNCTION("""COMPUTED_VALUE"""),"Yes")</f>
        <v>Yes</v>
      </c>
      <c r="X293" s="131" t="str">
        <f>IFERROR(__xludf.DUMMYFUNCTION("""COMPUTED_VALUE"""),"Yes")</f>
        <v>Yes</v>
      </c>
      <c r="Y293" s="131" t="str">
        <f>IFERROR(__xludf.DUMMYFUNCTION("""COMPUTED_VALUE"""),"S")</f>
        <v>S</v>
      </c>
      <c r="Z293" s="131"/>
      <c r="AA293" s="131"/>
      <c r="AB293" s="131"/>
      <c r="AC293" s="131"/>
      <c r="AD293" s="131"/>
      <c r="AE293" s="131"/>
      <c r="AF293" s="131"/>
      <c r="AG293" s="131"/>
      <c r="AH293" s="131"/>
      <c r="AI293" s="131"/>
      <c r="AJ293" s="131"/>
    </row>
    <row r="294">
      <c r="A294" s="126">
        <f>IFERROR(__xludf.DUMMYFUNCTION("""COMPUTED_VALUE"""),590.0)</f>
        <v>590</v>
      </c>
      <c r="B294" s="126" t="str">
        <f>IFERROR(__xludf.DUMMYFUNCTION("""COMPUTED_VALUE"""),"A system of systems approach for data centers optimization and integration into smart energy grids")</f>
        <v>A system of systems approach for data centers optimization and integration into smart energy grids</v>
      </c>
      <c r="C294" s="127" t="str">
        <f>IFERROR(__xludf.DUMMYFUNCTION("""COMPUTED_VALUE"""),"https://www.sciencedirect.com/science/article/pii/S0167739X17310129")</f>
        <v>https://www.sciencedirect.com/science/article/pii/S0167739X17310129</v>
      </c>
      <c r="D294" s="126" t="str">
        <f>IFERROR(__xludf.DUMMYFUNCTION("""COMPUTED_VALUE"""),"M Antal, C Pop, T Cioara, I Anghel, I Salomie…")</f>
        <v>M Antal, C Pop, T Cioara, I Anghel, I Salomie…</v>
      </c>
      <c r="E294" s="126" t="str">
        <f>IFERROR(__xludf.DUMMYFUNCTION("""COMPUTED_VALUE"""),"Elsevier")</f>
        <v>Elsevier</v>
      </c>
      <c r="F294" s="126" t="str">
        <f>IFERROR(__xludf.DUMMYFUNCTION("""COMPUTED_VALUE"""),"Elsevier")</f>
        <v>Elsevier</v>
      </c>
      <c r="G294" s="128" t="str">
        <f>IFERROR(__xludf.DUMMYFUNCTION("""COMPUTED_VALUE"""),"J")</f>
        <v>J</v>
      </c>
      <c r="H294" s="130">
        <f>IFERROR(__xludf.DUMMYFUNCTION("""COMPUTED_VALUE"""),2020.0)</f>
        <v>2020</v>
      </c>
      <c r="I294" s="130">
        <f>IFERROR(__xludf.DUMMYFUNCTION("""COMPUTED_VALUE"""),1.0)</f>
        <v>1</v>
      </c>
      <c r="J294" s="130">
        <f>IFERROR(__xludf.DUMMYFUNCTION("""COMPUTED_VALUE"""),1.0)</f>
        <v>1</v>
      </c>
      <c r="K294" s="130">
        <f>IFERROR(__xludf.DUMMYFUNCTION("""COMPUTED_VALUE"""),1.0)</f>
        <v>1</v>
      </c>
      <c r="L294" s="129">
        <f>IFERROR(__xludf.DUMMYFUNCTION("""COMPUTED_VALUE"""),1.0)</f>
        <v>1</v>
      </c>
      <c r="M294" s="130">
        <f>IFERROR(__xludf.DUMMYFUNCTION("""COMPUTED_VALUE"""),1.0)</f>
        <v>1</v>
      </c>
      <c r="N294" s="130">
        <f>IFERROR(__xludf.DUMMYFUNCTION("""COMPUTED_VALUE"""),0.0)</f>
        <v>0</v>
      </c>
      <c r="O294" s="130">
        <f>IFERROR(__xludf.DUMMYFUNCTION("""COMPUTED_VALUE"""),0.0)</f>
        <v>0</v>
      </c>
      <c r="P294" s="130">
        <f>IFERROR(__xludf.DUMMYFUNCTION("""COMPUTED_VALUE"""),0.0)</f>
        <v>0</v>
      </c>
      <c r="Q294" s="130">
        <f>IFERROR(__xludf.DUMMYFUNCTION("""COMPUTED_VALUE"""),0.0)</f>
        <v>0</v>
      </c>
      <c r="R294" s="130">
        <f>IFERROR(__xludf.DUMMYFUNCTION("""COMPUTED_VALUE"""),0.0)</f>
        <v>0</v>
      </c>
      <c r="S294" s="130">
        <f>IFERROR(__xludf.DUMMYFUNCTION("""COMPUTED_VALUE"""),0.0)</f>
        <v>0</v>
      </c>
      <c r="T294" s="130">
        <f>IFERROR(__xludf.DUMMYFUNCTION("""COMPUTED_VALUE"""),0.0)</f>
        <v>0</v>
      </c>
      <c r="U294" s="130">
        <f>IFERROR(__xludf.DUMMYFUNCTION("""COMPUTED_VALUE"""),0.0)</f>
        <v>0</v>
      </c>
      <c r="V294" s="130">
        <f>IFERROR(__xludf.DUMMYFUNCTION("""COMPUTED_VALUE"""),0.0)</f>
        <v>0</v>
      </c>
      <c r="W294" s="131" t="str">
        <f>IFERROR(__xludf.DUMMYFUNCTION("""COMPUTED_VALUE"""),"Yes")</f>
        <v>Yes</v>
      </c>
      <c r="X294" s="131" t="str">
        <f>IFERROR(__xludf.DUMMYFUNCTION("""COMPUTED_VALUE"""),"Yes")</f>
        <v>Yes</v>
      </c>
      <c r="Y294" s="131" t="str">
        <f>IFERROR(__xludf.DUMMYFUNCTION("""COMPUTED_VALUE"""),"S")</f>
        <v>S</v>
      </c>
      <c r="Z294" s="131"/>
      <c r="AA294" s="131"/>
      <c r="AB294" s="131"/>
      <c r="AC294" s="131"/>
      <c r="AD294" s="131"/>
      <c r="AE294" s="131"/>
      <c r="AF294" s="131"/>
      <c r="AG294" s="131"/>
      <c r="AH294" s="131"/>
      <c r="AI294" s="131"/>
      <c r="AJ294" s="131"/>
    </row>
    <row r="295">
      <c r="A295" s="126">
        <f>IFERROR(__xludf.DUMMYFUNCTION("""COMPUTED_VALUE"""),591.0)</f>
        <v>591</v>
      </c>
      <c r="B295" s="126" t="str">
        <f>IFERROR(__xludf.DUMMYFUNCTION("""COMPUTED_VALUE"""),"Improving big data centers energy efficiency: Traffic based model and method")</f>
        <v>Improving big data centers energy efficiency: Traffic based model and method</v>
      </c>
      <c r="C295" s="127" t="str">
        <f>IFERROR(__xludf.DUMMYFUNCTION("""COMPUTED_VALUE"""),"https://link.springer.com/chapter/10.1007/978-3-030-00253-4_8")</f>
        <v>https://link.springer.com/chapter/10.1007/978-3-030-00253-4_8</v>
      </c>
      <c r="D295" s="126" t="str">
        <f>IFERROR(__xludf.DUMMYFUNCTION("""COMPUTED_VALUE"""),"G Kuchuk, A Kovalenko, IE Komari, A Svyrydov…")</f>
        <v>G Kuchuk, A Kovalenko, IE Komari, A Svyrydov…</v>
      </c>
      <c r="E295" s="126" t="str">
        <f>IFERROR(__xludf.DUMMYFUNCTION("""COMPUTED_VALUE"""),"Springer")</f>
        <v>Springer</v>
      </c>
      <c r="F295" s="126" t="str">
        <f>IFERROR(__xludf.DUMMYFUNCTION("""COMPUTED_VALUE"""),"Springer")</f>
        <v>Springer</v>
      </c>
      <c r="G295" s="128" t="str">
        <f>IFERROR(__xludf.DUMMYFUNCTION("""COMPUTED_VALUE"""),"J")</f>
        <v>J</v>
      </c>
      <c r="H295" s="130">
        <f>IFERROR(__xludf.DUMMYFUNCTION("""COMPUTED_VALUE"""),2019.0)</f>
        <v>2019</v>
      </c>
      <c r="I295" s="130">
        <f>IFERROR(__xludf.DUMMYFUNCTION("""COMPUTED_VALUE"""),1.0)</f>
        <v>1</v>
      </c>
      <c r="J295" s="130">
        <f>IFERROR(__xludf.DUMMYFUNCTION("""COMPUTED_VALUE"""),1.0)</f>
        <v>1</v>
      </c>
      <c r="K295" s="130">
        <f>IFERROR(__xludf.DUMMYFUNCTION("""COMPUTED_VALUE"""),1.0)</f>
        <v>1</v>
      </c>
      <c r="L295" s="129">
        <f>IFERROR(__xludf.DUMMYFUNCTION("""COMPUTED_VALUE"""),1.0)</f>
        <v>1</v>
      </c>
      <c r="M295" s="130">
        <f>IFERROR(__xludf.DUMMYFUNCTION("""COMPUTED_VALUE"""),1.0)</f>
        <v>1</v>
      </c>
      <c r="N295" s="130">
        <f>IFERROR(__xludf.DUMMYFUNCTION("""COMPUTED_VALUE"""),0.0)</f>
        <v>0</v>
      </c>
      <c r="O295" s="130">
        <f>IFERROR(__xludf.DUMMYFUNCTION("""COMPUTED_VALUE"""),0.0)</f>
        <v>0</v>
      </c>
      <c r="P295" s="130">
        <f>IFERROR(__xludf.DUMMYFUNCTION("""COMPUTED_VALUE"""),0.0)</f>
        <v>0</v>
      </c>
      <c r="Q295" s="130">
        <f>IFERROR(__xludf.DUMMYFUNCTION("""COMPUTED_VALUE"""),0.0)</f>
        <v>0</v>
      </c>
      <c r="R295" s="130">
        <f>IFERROR(__xludf.DUMMYFUNCTION("""COMPUTED_VALUE"""),0.0)</f>
        <v>0</v>
      </c>
      <c r="S295" s="130">
        <f>IFERROR(__xludf.DUMMYFUNCTION("""COMPUTED_VALUE"""),0.0)</f>
        <v>0</v>
      </c>
      <c r="T295" s="130">
        <f>IFERROR(__xludf.DUMMYFUNCTION("""COMPUTED_VALUE"""),0.0)</f>
        <v>0</v>
      </c>
      <c r="U295" s="130">
        <f>IFERROR(__xludf.DUMMYFUNCTION("""COMPUTED_VALUE"""),0.0)</f>
        <v>0</v>
      </c>
      <c r="V295" s="130">
        <f>IFERROR(__xludf.DUMMYFUNCTION("""COMPUTED_VALUE"""),0.0)</f>
        <v>0</v>
      </c>
      <c r="W295" s="131" t="str">
        <f>IFERROR(__xludf.DUMMYFUNCTION("""COMPUTED_VALUE"""),"Yes")</f>
        <v>Yes</v>
      </c>
      <c r="X295" s="131" t="str">
        <f>IFERROR(__xludf.DUMMYFUNCTION("""COMPUTED_VALUE"""),"Yes")</f>
        <v>Yes</v>
      </c>
      <c r="Y295" s="131" t="str">
        <f>IFERROR(__xludf.DUMMYFUNCTION("""COMPUTED_VALUE"""),"S")</f>
        <v>S</v>
      </c>
      <c r="Z295" s="131"/>
      <c r="AA295" s="131"/>
      <c r="AB295" s="131"/>
      <c r="AC295" s="131"/>
      <c r="AD295" s="131"/>
      <c r="AE295" s="131"/>
      <c r="AF295" s="131"/>
      <c r="AG295" s="131"/>
      <c r="AH295" s="131"/>
      <c r="AI295" s="131"/>
      <c r="AJ295" s="131"/>
    </row>
    <row r="296">
      <c r="A296" s="126">
        <f>IFERROR(__xludf.DUMMYFUNCTION("""COMPUTED_VALUE"""),592.0)</f>
        <v>592</v>
      </c>
      <c r="B296" s="126" t="str">
        <f>IFERROR(__xludf.DUMMYFUNCTION("""COMPUTED_VALUE"""),"Data Center Server Energy Consumption Optimization Algorithm")</f>
        <v>Data Center Server Energy Consumption Optimization Algorithm</v>
      </c>
      <c r="C296" s="127" t="str">
        <f>IFERROR(__xludf.DUMMYFUNCTION("""COMPUTED_VALUE"""),"https://ieeexplore.ieee.org/abstract/document/8442890/")</f>
        <v>https://ieeexplore.ieee.org/abstract/document/8442890/</v>
      </c>
      <c r="D296" s="126" t="str">
        <f>IFERROR(__xludf.DUMMYFUNCTION("""COMPUTED_VALUE"""),"I Stamatescu, S Ploix, I Făgărăşan…")</f>
        <v>I Stamatescu, S Ploix, I Făgărăşan…</v>
      </c>
      <c r="E296" s="126" t="str">
        <f>IFERROR(__xludf.DUMMYFUNCTION("""COMPUTED_VALUE"""),"Institute of Electrical and Electronics Engineers")</f>
        <v>Institute of Electrical and Electronics Engineers</v>
      </c>
      <c r="F296" s="126" t="str">
        <f>IFERROR(__xludf.DUMMYFUNCTION("""COMPUTED_VALUE"""),"IEEE Xplore")</f>
        <v>IEEE Xplore</v>
      </c>
      <c r="G296" s="128" t="str">
        <f>IFERROR(__xludf.DUMMYFUNCTION("""COMPUTED_VALUE"""),"C")</f>
        <v>C</v>
      </c>
      <c r="H296" s="130">
        <f>IFERROR(__xludf.DUMMYFUNCTION("""COMPUTED_VALUE"""),2018.0)</f>
        <v>2018</v>
      </c>
      <c r="I296" s="130">
        <f>IFERROR(__xludf.DUMMYFUNCTION("""COMPUTED_VALUE"""),1.0)</f>
        <v>1</v>
      </c>
      <c r="J296" s="130">
        <f>IFERROR(__xludf.DUMMYFUNCTION("""COMPUTED_VALUE"""),1.0)</f>
        <v>1</v>
      </c>
      <c r="K296" s="130">
        <f>IFERROR(__xludf.DUMMYFUNCTION("""COMPUTED_VALUE"""),1.0)</f>
        <v>1</v>
      </c>
      <c r="L296" s="129">
        <f>IFERROR(__xludf.DUMMYFUNCTION("""COMPUTED_VALUE"""),1.0)</f>
        <v>1</v>
      </c>
      <c r="M296" s="130">
        <f>IFERROR(__xludf.DUMMYFUNCTION("""COMPUTED_VALUE"""),1.0)</f>
        <v>1</v>
      </c>
      <c r="N296" s="130">
        <f>IFERROR(__xludf.DUMMYFUNCTION("""COMPUTED_VALUE"""),0.0)</f>
        <v>0</v>
      </c>
      <c r="O296" s="130">
        <f>IFERROR(__xludf.DUMMYFUNCTION("""COMPUTED_VALUE"""),0.0)</f>
        <v>0</v>
      </c>
      <c r="P296" s="130">
        <f>IFERROR(__xludf.DUMMYFUNCTION("""COMPUTED_VALUE"""),0.0)</f>
        <v>0</v>
      </c>
      <c r="Q296" s="130">
        <f>IFERROR(__xludf.DUMMYFUNCTION("""COMPUTED_VALUE"""),0.0)</f>
        <v>0</v>
      </c>
      <c r="R296" s="130">
        <f>IFERROR(__xludf.DUMMYFUNCTION("""COMPUTED_VALUE"""),0.0)</f>
        <v>0</v>
      </c>
      <c r="S296" s="130">
        <f>IFERROR(__xludf.DUMMYFUNCTION("""COMPUTED_VALUE"""),0.0)</f>
        <v>0</v>
      </c>
      <c r="T296" s="130">
        <f>IFERROR(__xludf.DUMMYFUNCTION("""COMPUTED_VALUE"""),0.0)</f>
        <v>0</v>
      </c>
      <c r="U296" s="130">
        <f>IFERROR(__xludf.DUMMYFUNCTION("""COMPUTED_VALUE"""),0.0)</f>
        <v>0</v>
      </c>
      <c r="V296" s="130">
        <f>IFERROR(__xludf.DUMMYFUNCTION("""COMPUTED_VALUE"""),0.0)</f>
        <v>0</v>
      </c>
      <c r="W296" s="131" t="str">
        <f>IFERROR(__xludf.DUMMYFUNCTION("""COMPUTED_VALUE"""),"Yes")</f>
        <v>Yes</v>
      </c>
      <c r="X296" s="131" t="str">
        <f>IFERROR(__xludf.DUMMYFUNCTION("""COMPUTED_VALUE"""),"Yes")</f>
        <v>Yes</v>
      </c>
      <c r="Y296" s="131" t="str">
        <f>IFERROR(__xludf.DUMMYFUNCTION("""COMPUTED_VALUE"""),"S")</f>
        <v>S</v>
      </c>
      <c r="Z296" s="131"/>
      <c r="AA296" s="131"/>
      <c r="AB296" s="131"/>
      <c r="AC296" s="131"/>
      <c r="AD296" s="131"/>
      <c r="AE296" s="131"/>
      <c r="AF296" s="131"/>
      <c r="AG296" s="131"/>
      <c r="AH296" s="131"/>
      <c r="AI296" s="131"/>
      <c r="AJ296" s="131"/>
    </row>
    <row r="297">
      <c r="A297" s="126">
        <f>IFERROR(__xludf.DUMMYFUNCTION("""COMPUTED_VALUE"""),595.0)</f>
        <v>595</v>
      </c>
      <c r="B297" s="126" t="str">
        <f>IFERROR(__xludf.DUMMYFUNCTION("""COMPUTED_VALUE"""),"An efficient energy-aware method for virtual machine placement in cloud data centers using the cultural algorithm")</f>
        <v>An efficient energy-aware method for virtual machine placement in cloud data centers using the cultural algorithm</v>
      </c>
      <c r="C297" s="127" t="str">
        <f>IFERROR(__xludf.DUMMYFUNCTION("""COMPUTED_VALUE"""),"https://link.springer.com/article/10.1007/s11227-019-02909-3")</f>
        <v>https://link.springer.com/article/10.1007/s11227-019-02909-3</v>
      </c>
      <c r="D297" s="126" t="str">
        <f>IFERROR(__xludf.DUMMYFUNCTION("""COMPUTED_VALUE"""),"M Mohammadhosseini, AT Haghighat, E Mahdipour")</f>
        <v>M Mohammadhosseini, AT Haghighat, E Mahdipour</v>
      </c>
      <c r="E297" s="126" t="str">
        <f>IFERROR(__xludf.DUMMYFUNCTION("""COMPUTED_VALUE"""),"Springer")</f>
        <v>Springer</v>
      </c>
      <c r="F297" s="126" t="str">
        <f>IFERROR(__xludf.DUMMYFUNCTION("""COMPUTED_VALUE"""),"Springer")</f>
        <v>Springer</v>
      </c>
      <c r="G297" s="128" t="str">
        <f>IFERROR(__xludf.DUMMYFUNCTION("""COMPUTED_VALUE"""),"J")</f>
        <v>J</v>
      </c>
      <c r="H297" s="130">
        <f>IFERROR(__xludf.DUMMYFUNCTION("""COMPUTED_VALUE"""),2019.0)</f>
        <v>2019</v>
      </c>
      <c r="I297" s="130">
        <f>IFERROR(__xludf.DUMMYFUNCTION("""COMPUTED_VALUE"""),1.0)</f>
        <v>1</v>
      </c>
      <c r="J297" s="130">
        <f>IFERROR(__xludf.DUMMYFUNCTION("""COMPUTED_VALUE"""),1.0)</f>
        <v>1</v>
      </c>
      <c r="K297" s="130">
        <f>IFERROR(__xludf.DUMMYFUNCTION("""COMPUTED_VALUE"""),1.0)</f>
        <v>1</v>
      </c>
      <c r="L297" s="129">
        <f>IFERROR(__xludf.DUMMYFUNCTION("""COMPUTED_VALUE"""),1.0)</f>
        <v>1</v>
      </c>
      <c r="M297" s="130">
        <f>IFERROR(__xludf.DUMMYFUNCTION("""COMPUTED_VALUE"""),1.0)</f>
        <v>1</v>
      </c>
      <c r="N297" s="130">
        <f>IFERROR(__xludf.DUMMYFUNCTION("""COMPUTED_VALUE"""),0.0)</f>
        <v>0</v>
      </c>
      <c r="O297" s="130">
        <f>IFERROR(__xludf.DUMMYFUNCTION("""COMPUTED_VALUE"""),0.0)</f>
        <v>0</v>
      </c>
      <c r="P297" s="130">
        <f>IFERROR(__xludf.DUMMYFUNCTION("""COMPUTED_VALUE"""),0.0)</f>
        <v>0</v>
      </c>
      <c r="Q297" s="130">
        <f>IFERROR(__xludf.DUMMYFUNCTION("""COMPUTED_VALUE"""),0.0)</f>
        <v>0</v>
      </c>
      <c r="R297" s="130">
        <f>IFERROR(__xludf.DUMMYFUNCTION("""COMPUTED_VALUE"""),0.0)</f>
        <v>0</v>
      </c>
      <c r="S297" s="130">
        <f>IFERROR(__xludf.DUMMYFUNCTION("""COMPUTED_VALUE"""),0.0)</f>
        <v>0</v>
      </c>
      <c r="T297" s="130">
        <f>IFERROR(__xludf.DUMMYFUNCTION("""COMPUTED_VALUE"""),0.0)</f>
        <v>0</v>
      </c>
      <c r="U297" s="130">
        <f>IFERROR(__xludf.DUMMYFUNCTION("""COMPUTED_VALUE"""),0.0)</f>
        <v>0</v>
      </c>
      <c r="V297" s="130">
        <f>IFERROR(__xludf.DUMMYFUNCTION("""COMPUTED_VALUE"""),0.0)</f>
        <v>0</v>
      </c>
      <c r="W297" s="131" t="str">
        <f>IFERROR(__xludf.DUMMYFUNCTION("""COMPUTED_VALUE"""),"Yes")</f>
        <v>Yes</v>
      </c>
      <c r="X297" s="131" t="str">
        <f>IFERROR(__xludf.DUMMYFUNCTION("""COMPUTED_VALUE"""),"Yes")</f>
        <v>Yes</v>
      </c>
      <c r="Y297" s="131" t="str">
        <f>IFERROR(__xludf.DUMMYFUNCTION("""COMPUTED_VALUE"""),"S")</f>
        <v>S</v>
      </c>
      <c r="Z297" s="131"/>
      <c r="AA297" s="131"/>
      <c r="AB297" s="131"/>
      <c r="AC297" s="131"/>
      <c r="AD297" s="131"/>
      <c r="AE297" s="131"/>
      <c r="AF297" s="131"/>
      <c r="AG297" s="131"/>
      <c r="AH297" s="131"/>
      <c r="AI297" s="131"/>
      <c r="AJ297" s="131"/>
    </row>
    <row r="298">
      <c r="A298" s="126">
        <f>IFERROR(__xludf.DUMMYFUNCTION("""COMPUTED_VALUE"""),596.0)</f>
        <v>596</v>
      </c>
      <c r="B298" s="126" t="str">
        <f>IFERROR(__xludf.DUMMYFUNCTION("""COMPUTED_VALUE"""),"Datazero: Datacenter with zero emission and robust management using renewable energy")</f>
        <v>Datazero: Datacenter with zero emission and robust management using renewable energy</v>
      </c>
      <c r="C298" s="127" t="str">
        <f>IFERROR(__xludf.DUMMYFUNCTION("""COMPUTED_VALUE"""),"https://ieeexplore.ieee.org/abstract/document/8768369/")</f>
        <v>https://ieeexplore.ieee.org/abstract/document/8768369/</v>
      </c>
      <c r="D298" s="126" t="str">
        <f>IFERROR(__xludf.DUMMYFUNCTION("""COMPUTED_VALUE"""),"JM Pierson, G Baudic, S Caux, B Celik, G Da Costa, L Grange, M Haddad, J Lecuivre, JM Nicod, L Phillipe. V Rehn-Sonigo, R Roche, G Rostirolla, A Sayah, P Stolf, MT Thi, C Varnier")</f>
        <v>JM Pierson, G Baudic, S Caux, B Celik, G Da Costa, L Grange, M Haddad, J Lecuivre, JM Nicod, L Phillipe. V Rehn-Sonigo, R Roche, G Rostirolla, A Sayah, P Stolf, MT Thi, C Varnier</v>
      </c>
      <c r="E298" s="126" t="str">
        <f>IFERROR(__xludf.DUMMYFUNCTION("""COMPUTED_VALUE"""),"Institute of Electrical and Electronics Engineers")</f>
        <v>Institute of Electrical and Electronics Engineers</v>
      </c>
      <c r="F298" s="126" t="str">
        <f>IFERROR(__xludf.DUMMYFUNCTION("""COMPUTED_VALUE"""),"IEEE Xplore")</f>
        <v>IEEE Xplore</v>
      </c>
      <c r="G298" s="128" t="str">
        <f>IFERROR(__xludf.DUMMYFUNCTION("""COMPUTED_VALUE"""),"J")</f>
        <v>J</v>
      </c>
      <c r="H298" s="130">
        <f>IFERROR(__xludf.DUMMYFUNCTION("""COMPUTED_VALUE"""),2019.0)</f>
        <v>2019</v>
      </c>
      <c r="I298" s="130">
        <f>IFERROR(__xludf.DUMMYFUNCTION("""COMPUTED_VALUE"""),1.0)</f>
        <v>1</v>
      </c>
      <c r="J298" s="130">
        <f>IFERROR(__xludf.DUMMYFUNCTION("""COMPUTED_VALUE"""),1.0)</f>
        <v>1</v>
      </c>
      <c r="K298" s="130">
        <f>IFERROR(__xludf.DUMMYFUNCTION("""COMPUTED_VALUE"""),1.0)</f>
        <v>1</v>
      </c>
      <c r="L298" s="129">
        <f>IFERROR(__xludf.DUMMYFUNCTION("""COMPUTED_VALUE"""),1.0)</f>
        <v>1</v>
      </c>
      <c r="M298" s="130">
        <f>IFERROR(__xludf.DUMMYFUNCTION("""COMPUTED_VALUE"""),1.0)</f>
        <v>1</v>
      </c>
      <c r="N298" s="130">
        <f>IFERROR(__xludf.DUMMYFUNCTION("""COMPUTED_VALUE"""),0.0)</f>
        <v>0</v>
      </c>
      <c r="O298" s="130">
        <f>IFERROR(__xludf.DUMMYFUNCTION("""COMPUTED_VALUE"""),0.0)</f>
        <v>0</v>
      </c>
      <c r="P298" s="130">
        <f>IFERROR(__xludf.DUMMYFUNCTION("""COMPUTED_VALUE"""),0.0)</f>
        <v>0</v>
      </c>
      <c r="Q298" s="130">
        <f>IFERROR(__xludf.DUMMYFUNCTION("""COMPUTED_VALUE"""),0.0)</f>
        <v>0</v>
      </c>
      <c r="R298" s="130">
        <f>IFERROR(__xludf.DUMMYFUNCTION("""COMPUTED_VALUE"""),0.0)</f>
        <v>0</v>
      </c>
      <c r="S298" s="130">
        <f>IFERROR(__xludf.DUMMYFUNCTION("""COMPUTED_VALUE"""),0.0)</f>
        <v>0</v>
      </c>
      <c r="T298" s="130">
        <f>IFERROR(__xludf.DUMMYFUNCTION("""COMPUTED_VALUE"""),0.0)</f>
        <v>0</v>
      </c>
      <c r="U298" s="130">
        <f>IFERROR(__xludf.DUMMYFUNCTION("""COMPUTED_VALUE"""),0.0)</f>
        <v>0</v>
      </c>
      <c r="V298" s="130">
        <f>IFERROR(__xludf.DUMMYFUNCTION("""COMPUTED_VALUE"""),0.0)</f>
        <v>0</v>
      </c>
      <c r="W298" s="131" t="str">
        <f>IFERROR(__xludf.DUMMYFUNCTION("""COMPUTED_VALUE"""),"Yes")</f>
        <v>Yes</v>
      </c>
      <c r="X298" s="131" t="str">
        <f>IFERROR(__xludf.DUMMYFUNCTION("""COMPUTED_VALUE"""),"Yes")</f>
        <v>Yes</v>
      </c>
      <c r="Y298" s="131" t="str">
        <f>IFERROR(__xludf.DUMMYFUNCTION("""COMPUTED_VALUE"""),"S")</f>
        <v>S</v>
      </c>
      <c r="Z298" s="131"/>
      <c r="AA298" s="131"/>
      <c r="AB298" s="131"/>
      <c r="AC298" s="131"/>
      <c r="AD298" s="131"/>
      <c r="AE298" s="131"/>
      <c r="AF298" s="131"/>
      <c r="AG298" s="131"/>
      <c r="AH298" s="131"/>
      <c r="AI298" s="131"/>
      <c r="AJ298" s="131"/>
    </row>
    <row r="299">
      <c r="A299" s="126">
        <f>IFERROR(__xludf.DUMMYFUNCTION("""COMPUTED_VALUE"""),599.0)</f>
        <v>599</v>
      </c>
      <c r="B299" s="126" t="str">
        <f>IFERROR(__xludf.DUMMYFUNCTION("""COMPUTED_VALUE"""),"Energy-Efficient Data Center Networks")</f>
        <v>Energy-Efficient Data Center Networks</v>
      </c>
      <c r="C299" s="127" t="str">
        <f>IFERROR(__xludf.DUMMYFUNCTION("""COMPUTED_VALUE"""),"https://ieeexplore.ieee.org/abstract/document/8548323/")</f>
        <v>https://ieeexplore.ieee.org/abstract/document/8548323/</v>
      </c>
      <c r="D299" s="126" t="str">
        <f>IFERROR(__xludf.DUMMYFUNCTION("""COMPUTED_VALUE"""),"JA Manjate, M Hidell, P Sjödin")</f>
        <v>JA Manjate, M Hidell, P Sjödin</v>
      </c>
      <c r="E299" s="126" t="str">
        <f>IFERROR(__xludf.DUMMYFUNCTION("""COMPUTED_VALUE"""),"Institute of Electrical and Electronics Engineers")</f>
        <v>Institute of Electrical and Electronics Engineers</v>
      </c>
      <c r="F299" s="126" t="str">
        <f>IFERROR(__xludf.DUMMYFUNCTION("""COMPUTED_VALUE"""),"IEEE Xplore")</f>
        <v>IEEE Xplore</v>
      </c>
      <c r="G299" s="128" t="str">
        <f>IFERROR(__xludf.DUMMYFUNCTION("""COMPUTED_VALUE"""),"C")</f>
        <v>C</v>
      </c>
      <c r="H299" s="130">
        <f>IFERROR(__xludf.DUMMYFUNCTION("""COMPUTED_VALUE"""),2018.0)</f>
        <v>2018</v>
      </c>
      <c r="I299" s="130">
        <f>IFERROR(__xludf.DUMMYFUNCTION("""COMPUTED_VALUE"""),1.0)</f>
        <v>1</v>
      </c>
      <c r="J299" s="130">
        <f>IFERROR(__xludf.DUMMYFUNCTION("""COMPUTED_VALUE"""),1.0)</f>
        <v>1</v>
      </c>
      <c r="K299" s="130">
        <f>IFERROR(__xludf.DUMMYFUNCTION("""COMPUTED_VALUE"""),1.0)</f>
        <v>1</v>
      </c>
      <c r="L299" s="129">
        <f>IFERROR(__xludf.DUMMYFUNCTION("""COMPUTED_VALUE"""),1.0)</f>
        <v>1</v>
      </c>
      <c r="M299" s="130">
        <f>IFERROR(__xludf.DUMMYFUNCTION("""COMPUTED_VALUE"""),1.0)</f>
        <v>1</v>
      </c>
      <c r="N299" s="130">
        <f>IFERROR(__xludf.DUMMYFUNCTION("""COMPUTED_VALUE"""),0.0)</f>
        <v>0</v>
      </c>
      <c r="O299" s="130">
        <f>IFERROR(__xludf.DUMMYFUNCTION("""COMPUTED_VALUE"""),0.0)</f>
        <v>0</v>
      </c>
      <c r="P299" s="130">
        <f>IFERROR(__xludf.DUMMYFUNCTION("""COMPUTED_VALUE"""),0.0)</f>
        <v>0</v>
      </c>
      <c r="Q299" s="130">
        <f>IFERROR(__xludf.DUMMYFUNCTION("""COMPUTED_VALUE"""),0.0)</f>
        <v>0</v>
      </c>
      <c r="R299" s="130">
        <f>IFERROR(__xludf.DUMMYFUNCTION("""COMPUTED_VALUE"""),0.0)</f>
        <v>0</v>
      </c>
      <c r="S299" s="130">
        <f>IFERROR(__xludf.DUMMYFUNCTION("""COMPUTED_VALUE"""),0.0)</f>
        <v>0</v>
      </c>
      <c r="T299" s="130">
        <f>IFERROR(__xludf.DUMMYFUNCTION("""COMPUTED_VALUE"""),0.0)</f>
        <v>0</v>
      </c>
      <c r="U299" s="130">
        <f>IFERROR(__xludf.DUMMYFUNCTION("""COMPUTED_VALUE"""),0.0)</f>
        <v>0</v>
      </c>
      <c r="V299" s="130">
        <f>IFERROR(__xludf.DUMMYFUNCTION("""COMPUTED_VALUE"""),0.0)</f>
        <v>0</v>
      </c>
      <c r="W299" s="131" t="str">
        <f>IFERROR(__xludf.DUMMYFUNCTION("""COMPUTED_VALUE"""),"Yes")</f>
        <v>Yes</v>
      </c>
      <c r="X299" s="131" t="str">
        <f>IFERROR(__xludf.DUMMYFUNCTION("""COMPUTED_VALUE"""),"Yes")</f>
        <v>Yes</v>
      </c>
      <c r="Y299" s="131" t="str">
        <f>IFERROR(__xludf.DUMMYFUNCTION("""COMPUTED_VALUE"""),"S")</f>
        <v>S</v>
      </c>
      <c r="Z299" s="131"/>
      <c r="AA299" s="131"/>
      <c r="AB299" s="131"/>
      <c r="AC299" s="131"/>
      <c r="AD299" s="131"/>
      <c r="AE299" s="131"/>
      <c r="AF299" s="131"/>
      <c r="AG299" s="131"/>
      <c r="AH299" s="131"/>
      <c r="AI299" s="131"/>
      <c r="AJ299" s="131"/>
    </row>
    <row r="300">
      <c r="A300" s="126">
        <f>IFERROR(__xludf.DUMMYFUNCTION("""COMPUTED_VALUE"""),600.0)</f>
        <v>600</v>
      </c>
      <c r="B300" s="126" t="str">
        <f>IFERROR(__xludf.DUMMYFUNCTION("""COMPUTED_VALUE"""),"A New Proposed Energy Baseline Model for a Data Center as a Tool for Energy Efficiency Evaluation")</f>
        <v>A New Proposed Energy Baseline Model for a Data Center as a Tool for Energy Efficiency Evaluation</v>
      </c>
      <c r="C300" s="127" t="str">
        <f>IFERROR(__xludf.DUMMYFUNCTION("""COMPUTED_VALUE"""),"https://pdfs.semanticscholar.org/7108/6c527083818c4c696a386fd16e3e569116b2.pdf")</f>
        <v>https://pdfs.semanticscholar.org/7108/6c527083818c4c696a386fd16e3e569116b2.pdf</v>
      </c>
      <c r="D300" s="126" t="str">
        <f>IFERROR(__xludf.DUMMYFUNCTION("""COMPUTED_VALUE"""),"S Livieratos, S Panetsos, A Fotopoulos, M Karagiorgas")</f>
        <v>S Livieratos, S Panetsos, A Fotopoulos, M Karagiorgas</v>
      </c>
      <c r="E300" s="126" t="str">
        <f>IFERROR(__xludf.DUMMYFUNCTION("""COMPUTED_VALUE"""),"International Journal of Power and Energy Research")</f>
        <v>International Journal of Power and Energy Research</v>
      </c>
      <c r="F300" s="126" t="str">
        <f>IFERROR(__xludf.DUMMYFUNCTION("""COMPUTED_VALUE"""),"IJPER")</f>
        <v>IJPER</v>
      </c>
      <c r="G300" s="128" t="str">
        <f>IFERROR(__xludf.DUMMYFUNCTION("""COMPUTED_VALUE"""),"J")</f>
        <v>J</v>
      </c>
      <c r="H300" s="130">
        <f>IFERROR(__xludf.DUMMYFUNCTION("""COMPUTED_VALUE"""),2019.0)</f>
        <v>2019</v>
      </c>
      <c r="I300" s="130"/>
      <c r="J300" s="130"/>
      <c r="K300" s="130"/>
      <c r="L300" s="129"/>
      <c r="M300" s="130"/>
      <c r="N300" s="130"/>
      <c r="O300" s="130"/>
      <c r="P300" s="130">
        <f>IFERROR(__xludf.DUMMYFUNCTION("""COMPUTED_VALUE"""),1.0)</f>
        <v>1</v>
      </c>
      <c r="Q300" s="130"/>
      <c r="R300" s="130"/>
      <c r="S300" s="130"/>
      <c r="T300" s="130"/>
      <c r="U300" s="130"/>
      <c r="V300" s="130"/>
      <c r="W300" s="131" t="str">
        <f>IFERROR(__xludf.DUMMYFUNCTION("""COMPUTED_VALUE"""),"No")</f>
        <v>No</v>
      </c>
      <c r="X300" s="131" t="str">
        <f>IFERROR(__xludf.DUMMYFUNCTION("""COMPUTED_VALUE"""),"Yes")</f>
        <v>Yes</v>
      </c>
      <c r="Y300" s="131" t="str">
        <f>IFERROR(__xludf.DUMMYFUNCTION("""COMPUTED_VALUE"""),"S")</f>
        <v>S</v>
      </c>
      <c r="Z300" s="131"/>
      <c r="AA300" s="131"/>
      <c r="AB300" s="131"/>
      <c r="AC300" s="131"/>
      <c r="AD300" s="131"/>
      <c r="AE300" s="131"/>
      <c r="AF300" s="131"/>
      <c r="AG300" s="131"/>
      <c r="AH300" s="131"/>
      <c r="AI300" s="131"/>
      <c r="AJ300" s="131"/>
    </row>
    <row r="301">
      <c r="A301" s="126">
        <f>IFERROR(__xludf.DUMMYFUNCTION("""COMPUTED_VALUE"""),602.0)</f>
        <v>602</v>
      </c>
      <c r="B301" s="126" t="str">
        <f>IFERROR(__xludf.DUMMYFUNCTION("""COMPUTED_VALUE"""),"Energy-aware container consolidation based on PSO in cloud data centers")</f>
        <v>Energy-aware container consolidation based on PSO in cloud data centers</v>
      </c>
      <c r="C301" s="127" t="str">
        <f>IFERROR(__xludf.DUMMYFUNCTION("""COMPUTED_VALUE"""),"https://ieeexplore.ieee.org/abstract/document/8477708/")</f>
        <v>https://ieeexplore.ieee.org/abstract/document/8477708/</v>
      </c>
      <c r="D301" s="126" t="str">
        <f>IFERROR(__xludf.DUMMYFUNCTION("""COMPUTED_VALUE"""),"T Shi, H Ma, G Chen")</f>
        <v>T Shi, H Ma, G Chen</v>
      </c>
      <c r="E301" s="126" t="str">
        <f>IFERROR(__xludf.DUMMYFUNCTION("""COMPUTED_VALUE"""),"Institute of Electrical and Electronics Engineers")</f>
        <v>Institute of Electrical and Electronics Engineers</v>
      </c>
      <c r="F301" s="126" t="str">
        <f>IFERROR(__xludf.DUMMYFUNCTION("""COMPUTED_VALUE"""),"IEEE Xplore")</f>
        <v>IEEE Xplore</v>
      </c>
      <c r="G301" s="128" t="str">
        <f>IFERROR(__xludf.DUMMYFUNCTION("""COMPUTED_VALUE"""),"C")</f>
        <v>C</v>
      </c>
      <c r="H301" s="130">
        <f>IFERROR(__xludf.DUMMYFUNCTION("""COMPUTED_VALUE"""),2018.0)</f>
        <v>2018</v>
      </c>
      <c r="I301" s="130">
        <f>IFERROR(__xludf.DUMMYFUNCTION("""COMPUTED_VALUE"""),1.0)</f>
        <v>1</v>
      </c>
      <c r="J301" s="130">
        <f>IFERROR(__xludf.DUMMYFUNCTION("""COMPUTED_VALUE"""),1.0)</f>
        <v>1</v>
      </c>
      <c r="K301" s="130">
        <f>IFERROR(__xludf.DUMMYFUNCTION("""COMPUTED_VALUE"""),1.0)</f>
        <v>1</v>
      </c>
      <c r="L301" s="129">
        <f>IFERROR(__xludf.DUMMYFUNCTION("""COMPUTED_VALUE"""),1.0)</f>
        <v>1</v>
      </c>
      <c r="M301" s="130">
        <f>IFERROR(__xludf.DUMMYFUNCTION("""COMPUTED_VALUE"""),1.0)</f>
        <v>1</v>
      </c>
      <c r="N301" s="130">
        <f>IFERROR(__xludf.DUMMYFUNCTION("""COMPUTED_VALUE"""),0.0)</f>
        <v>0</v>
      </c>
      <c r="O301" s="130">
        <f>IFERROR(__xludf.DUMMYFUNCTION("""COMPUTED_VALUE"""),0.0)</f>
        <v>0</v>
      </c>
      <c r="P301" s="130">
        <f>IFERROR(__xludf.DUMMYFUNCTION("""COMPUTED_VALUE"""),0.0)</f>
        <v>0</v>
      </c>
      <c r="Q301" s="130">
        <f>IFERROR(__xludf.DUMMYFUNCTION("""COMPUTED_VALUE"""),0.0)</f>
        <v>0</v>
      </c>
      <c r="R301" s="130">
        <f>IFERROR(__xludf.DUMMYFUNCTION("""COMPUTED_VALUE"""),0.0)</f>
        <v>0</v>
      </c>
      <c r="S301" s="130">
        <f>IFERROR(__xludf.DUMMYFUNCTION("""COMPUTED_VALUE"""),0.0)</f>
        <v>0</v>
      </c>
      <c r="T301" s="130">
        <f>IFERROR(__xludf.DUMMYFUNCTION("""COMPUTED_VALUE"""),0.0)</f>
        <v>0</v>
      </c>
      <c r="U301" s="130">
        <f>IFERROR(__xludf.DUMMYFUNCTION("""COMPUTED_VALUE"""),0.0)</f>
        <v>0</v>
      </c>
      <c r="V301" s="130">
        <f>IFERROR(__xludf.DUMMYFUNCTION("""COMPUTED_VALUE"""),1.0)</f>
        <v>1</v>
      </c>
      <c r="W301" s="131"/>
      <c r="X301" s="131" t="str">
        <f>IFERROR(__xludf.DUMMYFUNCTION("""COMPUTED_VALUE"""),"Yes")</f>
        <v>Yes</v>
      </c>
      <c r="Y301" s="131" t="str">
        <f>IFERROR(__xludf.DUMMYFUNCTION("""COMPUTED_VALUE"""),"S")</f>
        <v>S</v>
      </c>
      <c r="Z301" s="131" t="str">
        <f>IFERROR(__xludf.DUMMYFUNCTION("""COMPUTED_VALUE"""),"Cannot access (IEEE)")</f>
        <v>Cannot access (IEEE)</v>
      </c>
      <c r="AA301" s="131"/>
      <c r="AB301" s="131"/>
      <c r="AC301" s="131"/>
      <c r="AD301" s="131"/>
      <c r="AE301" s="131"/>
      <c r="AF301" s="131"/>
      <c r="AG301" s="131"/>
      <c r="AH301" s="131"/>
      <c r="AI301" s="131"/>
      <c r="AJ301" s="131"/>
    </row>
    <row r="302">
      <c r="A302" s="126">
        <f>IFERROR(__xludf.DUMMYFUNCTION("""COMPUTED_VALUE"""),606.0)</f>
        <v>606</v>
      </c>
      <c r="B302" s="126" t="str">
        <f>IFERROR(__xludf.DUMMYFUNCTION("""COMPUTED_VALUE"""),"EcoVMbroker: energy-aware scheduling for multi-layer datacenters")</f>
        <v>EcoVMbroker: energy-aware scheduling for multi-layer datacenters</v>
      </c>
      <c r="C302" s="127" t="str">
        <f>IFERROR(__xludf.DUMMYFUNCTION("""COMPUTED_VALUE"""),"https://dl.acm.org/doi/abs/10.1145/3167132.3167178")</f>
        <v>https://dl.acm.org/doi/abs/10.1145/3167132.3167178</v>
      </c>
      <c r="D302" s="126" t="str">
        <f>IFERROR(__xludf.DUMMYFUNCTION("""COMPUTED_VALUE"""),"R Fernandes, J Simão, L Veiga")</f>
        <v>R Fernandes, J Simão, L Veiga</v>
      </c>
      <c r="E302" s="126" t="str">
        <f>IFERROR(__xludf.DUMMYFUNCTION("""COMPUTED_VALUE"""),"Association for Computing Machinery")</f>
        <v>Association for Computing Machinery</v>
      </c>
      <c r="F302" s="126" t="str">
        <f>IFERROR(__xludf.DUMMYFUNCTION("""COMPUTED_VALUE"""),"ACM")</f>
        <v>ACM</v>
      </c>
      <c r="G302" s="128" t="str">
        <f>IFERROR(__xludf.DUMMYFUNCTION("""COMPUTED_VALUE"""),"C")</f>
        <v>C</v>
      </c>
      <c r="H302" s="130">
        <f>IFERROR(__xludf.DUMMYFUNCTION("""COMPUTED_VALUE"""),2018.0)</f>
        <v>2018</v>
      </c>
      <c r="I302" s="130">
        <f>IFERROR(__xludf.DUMMYFUNCTION("""COMPUTED_VALUE"""),1.0)</f>
        <v>1</v>
      </c>
      <c r="J302" s="130">
        <f>IFERROR(__xludf.DUMMYFUNCTION("""COMPUTED_VALUE"""),1.0)</f>
        <v>1</v>
      </c>
      <c r="K302" s="130">
        <f>IFERROR(__xludf.DUMMYFUNCTION("""COMPUTED_VALUE"""),1.0)</f>
        <v>1</v>
      </c>
      <c r="L302" s="129">
        <f>IFERROR(__xludf.DUMMYFUNCTION("""COMPUTED_VALUE"""),1.0)</f>
        <v>1</v>
      </c>
      <c r="M302" s="130">
        <f>IFERROR(__xludf.DUMMYFUNCTION("""COMPUTED_VALUE"""),1.0)</f>
        <v>1</v>
      </c>
      <c r="N302" s="130">
        <f>IFERROR(__xludf.DUMMYFUNCTION("""COMPUTED_VALUE"""),0.0)</f>
        <v>0</v>
      </c>
      <c r="O302" s="130">
        <f>IFERROR(__xludf.DUMMYFUNCTION("""COMPUTED_VALUE"""),0.0)</f>
        <v>0</v>
      </c>
      <c r="P302" s="130">
        <f>IFERROR(__xludf.DUMMYFUNCTION("""COMPUTED_VALUE"""),0.0)</f>
        <v>0</v>
      </c>
      <c r="Q302" s="130">
        <f>IFERROR(__xludf.DUMMYFUNCTION("""COMPUTED_VALUE"""),0.0)</f>
        <v>0</v>
      </c>
      <c r="R302" s="130">
        <f>IFERROR(__xludf.DUMMYFUNCTION("""COMPUTED_VALUE"""),0.0)</f>
        <v>0</v>
      </c>
      <c r="S302" s="130">
        <f>IFERROR(__xludf.DUMMYFUNCTION("""COMPUTED_VALUE"""),0.0)</f>
        <v>0</v>
      </c>
      <c r="T302" s="130">
        <f>IFERROR(__xludf.DUMMYFUNCTION("""COMPUTED_VALUE"""),0.0)</f>
        <v>0</v>
      </c>
      <c r="U302" s="130">
        <f>IFERROR(__xludf.DUMMYFUNCTION("""COMPUTED_VALUE"""),0.0)</f>
        <v>0</v>
      </c>
      <c r="V302" s="130">
        <f>IFERROR(__xludf.DUMMYFUNCTION("""COMPUTED_VALUE"""),0.0)</f>
        <v>0</v>
      </c>
      <c r="W302" s="131" t="str">
        <f>IFERROR(__xludf.DUMMYFUNCTION("""COMPUTED_VALUE"""),"Yes")</f>
        <v>Yes</v>
      </c>
      <c r="X302" s="131" t="str">
        <f>IFERROR(__xludf.DUMMYFUNCTION("""COMPUTED_VALUE"""),"Yes")</f>
        <v>Yes</v>
      </c>
      <c r="Y302" s="131" t="str">
        <f>IFERROR(__xludf.DUMMYFUNCTION("""COMPUTED_VALUE"""),"S")</f>
        <v>S</v>
      </c>
      <c r="Z302" s="131"/>
      <c r="AA302" s="131"/>
      <c r="AB302" s="131"/>
      <c r="AC302" s="131"/>
      <c r="AD302" s="131"/>
      <c r="AE302" s="131"/>
      <c r="AF302" s="131"/>
      <c r="AG302" s="131"/>
      <c r="AH302" s="131"/>
      <c r="AI302" s="131"/>
      <c r="AJ302" s="131"/>
    </row>
    <row r="303">
      <c r="A303" s="126">
        <f>IFERROR(__xludf.DUMMYFUNCTION("""COMPUTED_VALUE"""),607.0)</f>
        <v>607</v>
      </c>
      <c r="B303" s="126" t="str">
        <f>IFERROR(__xludf.DUMMYFUNCTION("""COMPUTED_VALUE"""),"Energy-Efficient Workflow Scheduling using Container based Virtualization in Software Defined Data Centers")</f>
        <v>Energy-Efficient Workflow Scheduling using Container based Virtualization in Software Defined Data Centers</v>
      </c>
      <c r="C303" s="127" t="str">
        <f>IFERROR(__xludf.DUMMYFUNCTION("""COMPUTED_VALUE"""),"https://ieeexplore.ieee.org/abstract/document/9057431/")</f>
        <v>https://ieeexplore.ieee.org/abstract/document/9057431/</v>
      </c>
      <c r="D303" s="126" t="str">
        <f>IFERROR(__xludf.DUMMYFUNCTION("""COMPUTED_VALUE"""),"R Ranjan, I Thakur, GS Aujla, N Kumar, AY Zomaya")</f>
        <v>R Ranjan, I Thakur, GS Aujla, N Kumar, AY Zomaya</v>
      </c>
      <c r="E303" s="126" t="str">
        <f>IFERROR(__xludf.DUMMYFUNCTION("""COMPUTED_VALUE"""),"Institute of Electrical and Electronics Engineers")</f>
        <v>Institute of Electrical and Electronics Engineers</v>
      </c>
      <c r="F303" s="126" t="str">
        <f>IFERROR(__xludf.DUMMYFUNCTION("""COMPUTED_VALUE"""),"IEEE Xplore")</f>
        <v>IEEE Xplore</v>
      </c>
      <c r="G303" s="128" t="str">
        <f>IFERROR(__xludf.DUMMYFUNCTION("""COMPUTED_VALUE"""),"J")</f>
        <v>J</v>
      </c>
      <c r="H303" s="130">
        <f>IFERROR(__xludf.DUMMYFUNCTION("""COMPUTED_VALUE"""),2020.0)</f>
        <v>2020</v>
      </c>
      <c r="I303" s="130">
        <f>IFERROR(__xludf.DUMMYFUNCTION("""COMPUTED_VALUE"""),1.0)</f>
        <v>1</v>
      </c>
      <c r="J303" s="130">
        <f>IFERROR(__xludf.DUMMYFUNCTION("""COMPUTED_VALUE"""),1.0)</f>
        <v>1</v>
      </c>
      <c r="K303" s="130">
        <f>IFERROR(__xludf.DUMMYFUNCTION("""COMPUTED_VALUE"""),1.0)</f>
        <v>1</v>
      </c>
      <c r="L303" s="129">
        <f>IFERROR(__xludf.DUMMYFUNCTION("""COMPUTED_VALUE"""),1.0)</f>
        <v>1</v>
      </c>
      <c r="M303" s="130">
        <f>IFERROR(__xludf.DUMMYFUNCTION("""COMPUTED_VALUE"""),1.0)</f>
        <v>1</v>
      </c>
      <c r="N303" s="130">
        <f>IFERROR(__xludf.DUMMYFUNCTION("""COMPUTED_VALUE"""),0.0)</f>
        <v>0</v>
      </c>
      <c r="O303" s="130">
        <f>IFERROR(__xludf.DUMMYFUNCTION("""COMPUTED_VALUE"""),0.0)</f>
        <v>0</v>
      </c>
      <c r="P303" s="130">
        <f>IFERROR(__xludf.DUMMYFUNCTION("""COMPUTED_VALUE"""),0.0)</f>
        <v>0</v>
      </c>
      <c r="Q303" s="130">
        <f>IFERROR(__xludf.DUMMYFUNCTION("""COMPUTED_VALUE"""),0.0)</f>
        <v>0</v>
      </c>
      <c r="R303" s="130">
        <f>IFERROR(__xludf.DUMMYFUNCTION("""COMPUTED_VALUE"""),0.0)</f>
        <v>0</v>
      </c>
      <c r="S303" s="130">
        <f>IFERROR(__xludf.DUMMYFUNCTION("""COMPUTED_VALUE"""),0.0)</f>
        <v>0</v>
      </c>
      <c r="T303" s="130">
        <f>IFERROR(__xludf.DUMMYFUNCTION("""COMPUTED_VALUE"""),0.0)</f>
        <v>0</v>
      </c>
      <c r="U303" s="130">
        <f>IFERROR(__xludf.DUMMYFUNCTION("""COMPUTED_VALUE"""),0.0)</f>
        <v>0</v>
      </c>
      <c r="V303" s="130">
        <f>IFERROR(__xludf.DUMMYFUNCTION("""COMPUTED_VALUE"""),0.0)</f>
        <v>0</v>
      </c>
      <c r="W303" s="131" t="str">
        <f>IFERROR(__xludf.DUMMYFUNCTION("""COMPUTED_VALUE"""),"Yes")</f>
        <v>Yes</v>
      </c>
      <c r="X303" s="131" t="str">
        <f>IFERROR(__xludf.DUMMYFUNCTION("""COMPUTED_VALUE"""),"Yes")</f>
        <v>Yes</v>
      </c>
      <c r="Y303" s="131" t="str">
        <f>IFERROR(__xludf.DUMMYFUNCTION("""COMPUTED_VALUE"""),"S")</f>
        <v>S</v>
      </c>
      <c r="Z303" s="131"/>
      <c r="AA303" s="131"/>
      <c r="AB303" s="131"/>
      <c r="AC303" s="131"/>
      <c r="AD303" s="131"/>
      <c r="AE303" s="131"/>
      <c r="AF303" s="131"/>
      <c r="AG303" s="131"/>
      <c r="AH303" s="131"/>
      <c r="AI303" s="131"/>
      <c r="AJ303" s="131"/>
    </row>
    <row r="304">
      <c r="A304" s="126">
        <f>IFERROR(__xludf.DUMMYFUNCTION("""COMPUTED_VALUE"""),611.0)</f>
        <v>611</v>
      </c>
      <c r="B304" s="126" t="str">
        <f>IFERROR(__xludf.DUMMYFUNCTION("""COMPUTED_VALUE"""),"Energy-aware resource management framework for overbooked cloud data centers with SLA assurance")</f>
        <v>Energy-aware resource management framework for overbooked cloud data centers with SLA assurance</v>
      </c>
      <c r="C304" s="127" t="str">
        <f>IFERROR(__xludf.DUMMYFUNCTION("""COMPUTED_VALUE"""),"https://ieeexplore.ieee.org/abstract/document/8647884/")</f>
        <v>https://ieeexplore.ieee.org/abstract/document/8647884/</v>
      </c>
      <c r="D304" s="126" t="str">
        <f>IFERROR(__xludf.DUMMYFUNCTION("""COMPUTED_VALUE"""),"S Alanazi, B Hamdaoui")</f>
        <v>S Alanazi, B Hamdaoui</v>
      </c>
      <c r="E304" s="126" t="str">
        <f>IFERROR(__xludf.DUMMYFUNCTION("""COMPUTED_VALUE"""),"Institute of Electrical and Electronics Engineers")</f>
        <v>Institute of Electrical and Electronics Engineers</v>
      </c>
      <c r="F304" s="126" t="str">
        <f>IFERROR(__xludf.DUMMYFUNCTION("""COMPUTED_VALUE"""),"IEEE Xplore")</f>
        <v>IEEE Xplore</v>
      </c>
      <c r="G304" s="128" t="str">
        <f>IFERROR(__xludf.DUMMYFUNCTION("""COMPUTED_VALUE"""),"C")</f>
        <v>C</v>
      </c>
      <c r="H304" s="130">
        <f>IFERROR(__xludf.DUMMYFUNCTION("""COMPUTED_VALUE"""),2018.0)</f>
        <v>2018</v>
      </c>
      <c r="I304" s="130">
        <f>IFERROR(__xludf.DUMMYFUNCTION("""COMPUTED_VALUE"""),1.0)</f>
        <v>1</v>
      </c>
      <c r="J304" s="130">
        <f>IFERROR(__xludf.DUMMYFUNCTION("""COMPUTED_VALUE"""),1.0)</f>
        <v>1</v>
      </c>
      <c r="K304" s="130">
        <f>IFERROR(__xludf.DUMMYFUNCTION("""COMPUTED_VALUE"""),1.0)</f>
        <v>1</v>
      </c>
      <c r="L304" s="129">
        <f>IFERROR(__xludf.DUMMYFUNCTION("""COMPUTED_VALUE"""),1.0)</f>
        <v>1</v>
      </c>
      <c r="M304" s="130">
        <f>IFERROR(__xludf.DUMMYFUNCTION("""COMPUTED_VALUE"""),1.0)</f>
        <v>1</v>
      </c>
      <c r="N304" s="130">
        <f>IFERROR(__xludf.DUMMYFUNCTION("""COMPUTED_VALUE"""),0.0)</f>
        <v>0</v>
      </c>
      <c r="O304" s="130">
        <f>IFERROR(__xludf.DUMMYFUNCTION("""COMPUTED_VALUE"""),0.0)</f>
        <v>0</v>
      </c>
      <c r="P304" s="130">
        <f>IFERROR(__xludf.DUMMYFUNCTION("""COMPUTED_VALUE"""),0.0)</f>
        <v>0</v>
      </c>
      <c r="Q304" s="130">
        <f>IFERROR(__xludf.DUMMYFUNCTION("""COMPUTED_VALUE"""),0.0)</f>
        <v>0</v>
      </c>
      <c r="R304" s="130">
        <f>IFERROR(__xludf.DUMMYFUNCTION("""COMPUTED_VALUE"""),0.0)</f>
        <v>0</v>
      </c>
      <c r="S304" s="130">
        <f>IFERROR(__xludf.DUMMYFUNCTION("""COMPUTED_VALUE"""),0.0)</f>
        <v>0</v>
      </c>
      <c r="T304" s="130">
        <f>IFERROR(__xludf.DUMMYFUNCTION("""COMPUTED_VALUE"""),0.0)</f>
        <v>0</v>
      </c>
      <c r="U304" s="130">
        <f>IFERROR(__xludf.DUMMYFUNCTION("""COMPUTED_VALUE"""),0.0)</f>
        <v>0</v>
      </c>
      <c r="V304" s="130">
        <f>IFERROR(__xludf.DUMMYFUNCTION("""COMPUTED_VALUE"""),0.0)</f>
        <v>0</v>
      </c>
      <c r="W304" s="131" t="str">
        <f>IFERROR(__xludf.DUMMYFUNCTION("""COMPUTED_VALUE"""),"Yes")</f>
        <v>Yes</v>
      </c>
      <c r="X304" s="131" t="str">
        <f>IFERROR(__xludf.DUMMYFUNCTION("""COMPUTED_VALUE"""),"Yes")</f>
        <v>Yes</v>
      </c>
      <c r="Y304" s="131" t="str">
        <f>IFERROR(__xludf.DUMMYFUNCTION("""COMPUTED_VALUE"""),"S")</f>
        <v>S</v>
      </c>
      <c r="Z304" s="131"/>
      <c r="AA304" s="131"/>
      <c r="AB304" s="131"/>
      <c r="AC304" s="131"/>
      <c r="AD304" s="131"/>
      <c r="AE304" s="131"/>
      <c r="AF304" s="131"/>
      <c r="AG304" s="131"/>
      <c r="AH304" s="131"/>
      <c r="AI304" s="131"/>
      <c r="AJ304" s="131"/>
    </row>
    <row r="305">
      <c r="A305" s="126">
        <f>IFERROR(__xludf.DUMMYFUNCTION("""COMPUTED_VALUE"""),612.0)</f>
        <v>612</v>
      </c>
      <c r="B305" s="126" t="str">
        <f>IFERROR(__xludf.DUMMYFUNCTION("""COMPUTED_VALUE"""),"Segment routing based energy aware routing for software defined data center")</f>
        <v>Segment routing based energy aware routing for software defined data center</v>
      </c>
      <c r="C305" s="127" t="str">
        <f>IFERROR(__xludf.DUMMYFUNCTION("""COMPUTED_VALUE"""),"https://www.sciencedirect.com/science/article/pii/S1389041720300553")</f>
        <v>https://www.sciencedirect.com/science/article/pii/S1389041720300553</v>
      </c>
      <c r="D305" s="126" t="str">
        <f>IFERROR(__xludf.DUMMYFUNCTION("""COMPUTED_VALUE"""),"B Balakiruthiga, P Deepalakshmi, SN Mohanty, D Gupta, PP Kuman, K Shankar")</f>
        <v>B Balakiruthiga, P Deepalakshmi, SN Mohanty, D Gupta, PP Kuman, K Shankar</v>
      </c>
      <c r="E305" s="126" t="str">
        <f>IFERROR(__xludf.DUMMYFUNCTION("""COMPUTED_VALUE"""),"Elsevier")</f>
        <v>Elsevier</v>
      </c>
      <c r="F305" s="126" t="str">
        <f>IFERROR(__xludf.DUMMYFUNCTION("""COMPUTED_VALUE"""),"Elsevier")</f>
        <v>Elsevier</v>
      </c>
      <c r="G305" s="128" t="str">
        <f>IFERROR(__xludf.DUMMYFUNCTION("""COMPUTED_VALUE"""),"J")</f>
        <v>J</v>
      </c>
      <c r="H305" s="130">
        <f>IFERROR(__xludf.DUMMYFUNCTION("""COMPUTED_VALUE"""),2020.0)</f>
        <v>2020</v>
      </c>
      <c r="I305" s="130">
        <f>IFERROR(__xludf.DUMMYFUNCTION("""COMPUTED_VALUE"""),1.0)</f>
        <v>1</v>
      </c>
      <c r="J305" s="130">
        <f>IFERROR(__xludf.DUMMYFUNCTION("""COMPUTED_VALUE"""),1.0)</f>
        <v>1</v>
      </c>
      <c r="K305" s="130">
        <f>IFERROR(__xludf.DUMMYFUNCTION("""COMPUTED_VALUE"""),1.0)</f>
        <v>1</v>
      </c>
      <c r="L305" s="129">
        <f>IFERROR(__xludf.DUMMYFUNCTION("""COMPUTED_VALUE"""),1.0)</f>
        <v>1</v>
      </c>
      <c r="M305" s="130">
        <f>IFERROR(__xludf.DUMMYFUNCTION("""COMPUTED_VALUE"""),1.0)</f>
        <v>1</v>
      </c>
      <c r="N305" s="130">
        <f>IFERROR(__xludf.DUMMYFUNCTION("""COMPUTED_VALUE"""),0.0)</f>
        <v>0</v>
      </c>
      <c r="O305" s="130">
        <f>IFERROR(__xludf.DUMMYFUNCTION("""COMPUTED_VALUE"""),0.0)</f>
        <v>0</v>
      </c>
      <c r="P305" s="130">
        <f>IFERROR(__xludf.DUMMYFUNCTION("""COMPUTED_VALUE"""),0.0)</f>
        <v>0</v>
      </c>
      <c r="Q305" s="130">
        <f>IFERROR(__xludf.DUMMYFUNCTION("""COMPUTED_VALUE"""),0.0)</f>
        <v>0</v>
      </c>
      <c r="R305" s="130">
        <f>IFERROR(__xludf.DUMMYFUNCTION("""COMPUTED_VALUE"""),0.0)</f>
        <v>0</v>
      </c>
      <c r="S305" s="130">
        <f>IFERROR(__xludf.DUMMYFUNCTION("""COMPUTED_VALUE"""),0.0)</f>
        <v>0</v>
      </c>
      <c r="T305" s="130">
        <f>IFERROR(__xludf.DUMMYFUNCTION("""COMPUTED_VALUE"""),0.0)</f>
        <v>0</v>
      </c>
      <c r="U305" s="130">
        <f>IFERROR(__xludf.DUMMYFUNCTION("""COMPUTED_VALUE"""),0.0)</f>
        <v>0</v>
      </c>
      <c r="V305" s="130">
        <f>IFERROR(__xludf.DUMMYFUNCTION("""COMPUTED_VALUE"""),0.0)</f>
        <v>0</v>
      </c>
      <c r="W305" s="131" t="str">
        <f>IFERROR(__xludf.DUMMYFUNCTION("""COMPUTED_VALUE"""),"Yes")</f>
        <v>Yes</v>
      </c>
      <c r="X305" s="131" t="str">
        <f>IFERROR(__xludf.DUMMYFUNCTION("""COMPUTED_VALUE"""),"Yes")</f>
        <v>Yes</v>
      </c>
      <c r="Y305" s="131" t="str">
        <f>IFERROR(__xludf.DUMMYFUNCTION("""COMPUTED_VALUE"""),"S")</f>
        <v>S</v>
      </c>
      <c r="Z305" s="131"/>
      <c r="AA305" s="131"/>
      <c r="AB305" s="131"/>
      <c r="AC305" s="131"/>
      <c r="AD305" s="131"/>
      <c r="AE305" s="131"/>
      <c r="AF305" s="131"/>
      <c r="AG305" s="131"/>
      <c r="AH305" s="131"/>
      <c r="AI305" s="131"/>
      <c r="AJ305" s="131"/>
    </row>
    <row r="306">
      <c r="A306" s="126">
        <f>IFERROR(__xludf.DUMMYFUNCTION("""COMPUTED_VALUE"""),614.0)</f>
        <v>614</v>
      </c>
      <c r="B306" s="126" t="str">
        <f>IFERROR(__xludf.DUMMYFUNCTION("""COMPUTED_VALUE"""),"Renewable energy-based multi-indexed job classification and container management scheme for sustainability of cloud data centers")</f>
        <v>Renewable energy-based multi-indexed job classification and container management scheme for sustainability of cloud data centers</v>
      </c>
      <c r="C306" s="127" t="str">
        <f>IFERROR(__xludf.DUMMYFUNCTION("""COMPUTED_VALUE"""),"https://ieeexplore.ieee.org/abstract/document/8278252/")</f>
        <v>https://ieeexplore.ieee.org/abstract/document/8278252/</v>
      </c>
      <c r="D306" s="126" t="str">
        <f>IFERROR(__xludf.DUMMYFUNCTION("""COMPUTED_VALUE"""),"N Kumar, GS Aujla, S Garg, K Kaur…")</f>
        <v>N Kumar, GS Aujla, S Garg, K Kaur…</v>
      </c>
      <c r="E306" s="126" t="str">
        <f>IFERROR(__xludf.DUMMYFUNCTION("""COMPUTED_VALUE"""),"Institute of Electrical and Electronics Engineers")</f>
        <v>Institute of Electrical and Electronics Engineers</v>
      </c>
      <c r="F306" s="126" t="str">
        <f>IFERROR(__xludf.DUMMYFUNCTION("""COMPUTED_VALUE"""),"IEEE Xplore")</f>
        <v>IEEE Xplore</v>
      </c>
      <c r="G306" s="128" t="str">
        <f>IFERROR(__xludf.DUMMYFUNCTION("""COMPUTED_VALUE"""),"J")</f>
        <v>J</v>
      </c>
      <c r="H306" s="130">
        <f>IFERROR(__xludf.DUMMYFUNCTION("""COMPUTED_VALUE"""),2018.0)</f>
        <v>2018</v>
      </c>
      <c r="I306" s="130">
        <f>IFERROR(__xludf.DUMMYFUNCTION("""COMPUTED_VALUE"""),1.0)</f>
        <v>1</v>
      </c>
      <c r="J306" s="130">
        <f>IFERROR(__xludf.DUMMYFUNCTION("""COMPUTED_VALUE"""),1.0)</f>
        <v>1</v>
      </c>
      <c r="K306" s="130">
        <f>IFERROR(__xludf.DUMMYFUNCTION("""COMPUTED_VALUE"""),1.0)</f>
        <v>1</v>
      </c>
      <c r="L306" s="129">
        <f>IFERROR(__xludf.DUMMYFUNCTION("""COMPUTED_VALUE"""),1.0)</f>
        <v>1</v>
      </c>
      <c r="M306" s="130">
        <f>IFERROR(__xludf.DUMMYFUNCTION("""COMPUTED_VALUE"""),1.0)</f>
        <v>1</v>
      </c>
      <c r="N306" s="130">
        <f>IFERROR(__xludf.DUMMYFUNCTION("""COMPUTED_VALUE"""),0.0)</f>
        <v>0</v>
      </c>
      <c r="O306" s="130">
        <f>IFERROR(__xludf.DUMMYFUNCTION("""COMPUTED_VALUE"""),0.0)</f>
        <v>0</v>
      </c>
      <c r="P306" s="130">
        <f>IFERROR(__xludf.DUMMYFUNCTION("""COMPUTED_VALUE"""),0.0)</f>
        <v>0</v>
      </c>
      <c r="Q306" s="130">
        <f>IFERROR(__xludf.DUMMYFUNCTION("""COMPUTED_VALUE"""),0.0)</f>
        <v>0</v>
      </c>
      <c r="R306" s="130">
        <f>IFERROR(__xludf.DUMMYFUNCTION("""COMPUTED_VALUE"""),0.0)</f>
        <v>0</v>
      </c>
      <c r="S306" s="130">
        <f>IFERROR(__xludf.DUMMYFUNCTION("""COMPUTED_VALUE"""),0.0)</f>
        <v>0</v>
      </c>
      <c r="T306" s="130">
        <f>IFERROR(__xludf.DUMMYFUNCTION("""COMPUTED_VALUE"""),0.0)</f>
        <v>0</v>
      </c>
      <c r="U306" s="130">
        <f>IFERROR(__xludf.DUMMYFUNCTION("""COMPUTED_VALUE"""),0.0)</f>
        <v>0</v>
      </c>
      <c r="V306" s="130">
        <f>IFERROR(__xludf.DUMMYFUNCTION("""COMPUTED_VALUE"""),1.0)</f>
        <v>1</v>
      </c>
      <c r="W306" s="131"/>
      <c r="X306" s="131" t="str">
        <f>IFERROR(__xludf.DUMMYFUNCTION("""COMPUTED_VALUE"""),"Yes")</f>
        <v>Yes</v>
      </c>
      <c r="Y306" s="131" t="str">
        <f>IFERROR(__xludf.DUMMYFUNCTION("""COMPUTED_VALUE"""),"S")</f>
        <v>S</v>
      </c>
      <c r="Z306" s="131" t="str">
        <f>IFERROR(__xludf.DUMMYFUNCTION("""COMPUTED_VALUE"""),"Cannot access (IEEE)")</f>
        <v>Cannot access (IEEE)</v>
      </c>
      <c r="AA306" s="131"/>
      <c r="AB306" s="131"/>
      <c r="AC306" s="131"/>
      <c r="AD306" s="131"/>
      <c r="AE306" s="131"/>
      <c r="AF306" s="131"/>
      <c r="AG306" s="131"/>
      <c r="AH306" s="131"/>
      <c r="AI306" s="131"/>
      <c r="AJ306" s="131"/>
    </row>
    <row r="307">
      <c r="A307" s="126">
        <f>IFERROR(__xludf.DUMMYFUNCTION("""COMPUTED_VALUE"""),615.0)</f>
        <v>615</v>
      </c>
      <c r="B307" s="126" t="str">
        <f>IFERROR(__xludf.DUMMYFUNCTION("""COMPUTED_VALUE"""),"Monte carlo based server consolidation for energy efficient cloud data centers")</f>
        <v>Monte carlo based server consolidation for energy efficient cloud data centers</v>
      </c>
      <c r="C307" s="127" t="str">
        <f>IFERROR(__xludf.DUMMYFUNCTION("""COMPUTED_VALUE"""),"https://par.nsf.gov/biblio/10157200")</f>
        <v>https://par.nsf.gov/biblio/10157200</v>
      </c>
      <c r="D307" s="126" t="str">
        <f>IFERROR(__xludf.DUMMYFUNCTION("""COMPUTED_VALUE"""),"B Harris, N Altiparmak")</f>
        <v>B Harris, N Altiparmak</v>
      </c>
      <c r="E307" s="126" t="str">
        <f>IFERROR(__xludf.DUMMYFUNCTION("""COMPUTED_VALUE"""),"Institute of Electrical and Electronics Engineers")</f>
        <v>Institute of Electrical and Electronics Engineers</v>
      </c>
      <c r="F307" s="126" t="str">
        <f>IFERROR(__xludf.DUMMYFUNCTION("""COMPUTED_VALUE"""),"IEEE")</f>
        <v>IEEE</v>
      </c>
      <c r="G307" s="128" t="str">
        <f>IFERROR(__xludf.DUMMYFUNCTION("""COMPUTED_VALUE"""),"C")</f>
        <v>C</v>
      </c>
      <c r="H307" s="130">
        <f>IFERROR(__xludf.DUMMYFUNCTION("""COMPUTED_VALUE"""),2019.0)</f>
        <v>2019</v>
      </c>
      <c r="I307" s="130">
        <f>IFERROR(__xludf.DUMMYFUNCTION("""COMPUTED_VALUE"""),1.0)</f>
        <v>1</v>
      </c>
      <c r="J307" s="130">
        <f>IFERROR(__xludf.DUMMYFUNCTION("""COMPUTED_VALUE"""),1.0)</f>
        <v>1</v>
      </c>
      <c r="K307" s="130">
        <f>IFERROR(__xludf.DUMMYFUNCTION("""COMPUTED_VALUE"""),1.0)</f>
        <v>1</v>
      </c>
      <c r="L307" s="129">
        <f>IFERROR(__xludf.DUMMYFUNCTION("""COMPUTED_VALUE"""),1.0)</f>
        <v>1</v>
      </c>
      <c r="M307" s="130">
        <f>IFERROR(__xludf.DUMMYFUNCTION("""COMPUTED_VALUE"""),1.0)</f>
        <v>1</v>
      </c>
      <c r="N307" s="130">
        <f>IFERROR(__xludf.DUMMYFUNCTION("""COMPUTED_VALUE"""),0.0)</f>
        <v>0</v>
      </c>
      <c r="O307" s="130">
        <f>IFERROR(__xludf.DUMMYFUNCTION("""COMPUTED_VALUE"""),0.0)</f>
        <v>0</v>
      </c>
      <c r="P307" s="130">
        <f>IFERROR(__xludf.DUMMYFUNCTION("""COMPUTED_VALUE"""),0.0)</f>
        <v>0</v>
      </c>
      <c r="Q307" s="130">
        <f>IFERROR(__xludf.DUMMYFUNCTION("""COMPUTED_VALUE"""),0.0)</f>
        <v>0</v>
      </c>
      <c r="R307" s="130">
        <f>IFERROR(__xludf.DUMMYFUNCTION("""COMPUTED_VALUE"""),0.0)</f>
        <v>0</v>
      </c>
      <c r="S307" s="130">
        <f>IFERROR(__xludf.DUMMYFUNCTION("""COMPUTED_VALUE"""),0.0)</f>
        <v>0</v>
      </c>
      <c r="T307" s="130">
        <f>IFERROR(__xludf.DUMMYFUNCTION("""COMPUTED_VALUE"""),0.0)</f>
        <v>0</v>
      </c>
      <c r="U307" s="130">
        <f>IFERROR(__xludf.DUMMYFUNCTION("""COMPUTED_VALUE"""),0.0)</f>
        <v>0</v>
      </c>
      <c r="V307" s="130">
        <f>IFERROR(__xludf.DUMMYFUNCTION("""COMPUTED_VALUE"""),0.0)</f>
        <v>0</v>
      </c>
      <c r="W307" s="131" t="str">
        <f>IFERROR(__xludf.DUMMYFUNCTION("""COMPUTED_VALUE"""),"Yes")</f>
        <v>Yes</v>
      </c>
      <c r="X307" s="131" t="str">
        <f>IFERROR(__xludf.DUMMYFUNCTION("""COMPUTED_VALUE"""),"Yes")</f>
        <v>Yes</v>
      </c>
      <c r="Y307" s="131" t="str">
        <f>IFERROR(__xludf.DUMMYFUNCTION("""COMPUTED_VALUE"""),"S")</f>
        <v>S</v>
      </c>
      <c r="Z307" s="131"/>
      <c r="AA307" s="131"/>
      <c r="AB307" s="131"/>
      <c r="AC307" s="131"/>
      <c r="AD307" s="131"/>
      <c r="AE307" s="131"/>
      <c r="AF307" s="131"/>
      <c r="AG307" s="131"/>
      <c r="AH307" s="131"/>
      <c r="AI307" s="131"/>
      <c r="AJ307" s="131"/>
    </row>
    <row r="308">
      <c r="A308" s="126">
        <f>IFERROR(__xludf.DUMMYFUNCTION("""COMPUTED_VALUE"""),616.0)</f>
        <v>616</v>
      </c>
      <c r="B308" s="126" t="str">
        <f>IFERROR(__xludf.DUMMYFUNCTION("""COMPUTED_VALUE"""),"A novel energy-aware resource management technique using joint VM and container consolidation approach for green computing in cloud data centers")</f>
        <v>A novel energy-aware resource management technique using joint VM and container consolidation approach for green computing in cloud data centers</v>
      </c>
      <c r="C308" s="127" t="str">
        <f>IFERROR(__xludf.DUMMYFUNCTION("""COMPUTED_VALUE"""),"https://www.sciencedirect.com/science/article/pii/S1569190X20300666")</f>
        <v>https://www.sciencedirect.com/science/article/pii/S1569190X20300666</v>
      </c>
      <c r="D308" s="126" t="str">
        <f>IFERROR(__xludf.DUMMYFUNCTION("""COMPUTED_VALUE"""),"N Gholipour, E Arianyan, R Buyya")</f>
        <v>N Gholipour, E Arianyan, R Buyya</v>
      </c>
      <c r="E308" s="126" t="str">
        <f>IFERROR(__xludf.DUMMYFUNCTION("""COMPUTED_VALUE"""),"Elsevier")</f>
        <v>Elsevier</v>
      </c>
      <c r="F308" s="126" t="str">
        <f>IFERROR(__xludf.DUMMYFUNCTION("""COMPUTED_VALUE"""),"Elsevier")</f>
        <v>Elsevier</v>
      </c>
      <c r="G308" s="128" t="str">
        <f>IFERROR(__xludf.DUMMYFUNCTION("""COMPUTED_VALUE"""),"J")</f>
        <v>J</v>
      </c>
      <c r="H308" s="130">
        <f>IFERROR(__xludf.DUMMYFUNCTION("""COMPUTED_VALUE"""),2020.0)</f>
        <v>2020</v>
      </c>
      <c r="I308" s="130">
        <f>IFERROR(__xludf.DUMMYFUNCTION("""COMPUTED_VALUE"""),1.0)</f>
        <v>1</v>
      </c>
      <c r="J308" s="130">
        <f>IFERROR(__xludf.DUMMYFUNCTION("""COMPUTED_VALUE"""),1.0)</f>
        <v>1</v>
      </c>
      <c r="K308" s="130">
        <f>IFERROR(__xludf.DUMMYFUNCTION("""COMPUTED_VALUE"""),1.0)</f>
        <v>1</v>
      </c>
      <c r="L308" s="129">
        <f>IFERROR(__xludf.DUMMYFUNCTION("""COMPUTED_VALUE"""),1.0)</f>
        <v>1</v>
      </c>
      <c r="M308" s="130">
        <f>IFERROR(__xludf.DUMMYFUNCTION("""COMPUTED_VALUE"""),1.0)</f>
        <v>1</v>
      </c>
      <c r="N308" s="130">
        <f>IFERROR(__xludf.DUMMYFUNCTION("""COMPUTED_VALUE"""),0.0)</f>
        <v>0</v>
      </c>
      <c r="O308" s="130">
        <f>IFERROR(__xludf.DUMMYFUNCTION("""COMPUTED_VALUE"""),0.0)</f>
        <v>0</v>
      </c>
      <c r="P308" s="130">
        <f>IFERROR(__xludf.DUMMYFUNCTION("""COMPUTED_VALUE"""),0.0)</f>
        <v>0</v>
      </c>
      <c r="Q308" s="130">
        <f>IFERROR(__xludf.DUMMYFUNCTION("""COMPUTED_VALUE"""),0.0)</f>
        <v>0</v>
      </c>
      <c r="R308" s="130">
        <f>IFERROR(__xludf.DUMMYFUNCTION("""COMPUTED_VALUE"""),0.0)</f>
        <v>0</v>
      </c>
      <c r="S308" s="130">
        <f>IFERROR(__xludf.DUMMYFUNCTION("""COMPUTED_VALUE"""),0.0)</f>
        <v>0</v>
      </c>
      <c r="T308" s="130">
        <f>IFERROR(__xludf.DUMMYFUNCTION("""COMPUTED_VALUE"""),0.0)</f>
        <v>0</v>
      </c>
      <c r="U308" s="130">
        <f>IFERROR(__xludf.DUMMYFUNCTION("""COMPUTED_VALUE"""),0.0)</f>
        <v>0</v>
      </c>
      <c r="V308" s="130">
        <f>IFERROR(__xludf.DUMMYFUNCTION("""COMPUTED_VALUE"""),0.0)</f>
        <v>0</v>
      </c>
      <c r="W308" s="131" t="str">
        <f>IFERROR(__xludf.DUMMYFUNCTION("""COMPUTED_VALUE"""),"Yes")</f>
        <v>Yes</v>
      </c>
      <c r="X308" s="131" t="str">
        <f>IFERROR(__xludf.DUMMYFUNCTION("""COMPUTED_VALUE"""),"Yes")</f>
        <v>Yes</v>
      </c>
      <c r="Y308" s="131" t="str">
        <f>IFERROR(__xludf.DUMMYFUNCTION("""COMPUTED_VALUE"""),"S")</f>
        <v>S</v>
      </c>
      <c r="Z308" s="131"/>
      <c r="AA308" s="131"/>
      <c r="AB308" s="131"/>
      <c r="AC308" s="131"/>
      <c r="AD308" s="131"/>
      <c r="AE308" s="131"/>
      <c r="AF308" s="131"/>
      <c r="AG308" s="131"/>
      <c r="AH308" s="131"/>
      <c r="AI308" s="131"/>
      <c r="AJ308" s="131"/>
    </row>
    <row r="309">
      <c r="A309" s="126">
        <f>IFERROR(__xludf.DUMMYFUNCTION("""COMPUTED_VALUE"""),617.0)</f>
        <v>617</v>
      </c>
      <c r="B309" s="126" t="str">
        <f>IFERROR(__xludf.DUMMYFUNCTION("""COMPUTED_VALUE"""),"The Potential Influence of Workload Management Across Heterogeneous Server Systems on Datacenter Energy Use and Power Draw")</f>
        <v>The Potential Influence of Workload Management Across Heterogeneous Server Systems on Datacenter Energy Use and Power Draw</v>
      </c>
      <c r="C309" s="127" t="str">
        <f>IFERROR(__xludf.DUMMYFUNCTION("""COMPUTED_VALUE"""),"https://ieeexplore.ieee.org/abstract/document/8612307/")</f>
        <v>https://ieeexplore.ieee.org/abstract/document/8612307/</v>
      </c>
      <c r="D309" s="126" t="str">
        <f>IFERROR(__xludf.DUMMYFUNCTION("""COMPUTED_VALUE"""),"DH Harryvan, R Chamberlane, A SCionti…")</f>
        <v>DH Harryvan, R Chamberlane, A SCionti…</v>
      </c>
      <c r="E309" s="126" t="str">
        <f>IFERROR(__xludf.DUMMYFUNCTION("""COMPUTED_VALUE"""),"Institute of Electrical and Electronics Engineers")</f>
        <v>Institute of Electrical and Electronics Engineers</v>
      </c>
      <c r="F309" s="126" t="str">
        <f>IFERROR(__xludf.DUMMYFUNCTION("""COMPUTED_VALUE"""),"IEEE Xplore")</f>
        <v>IEEE Xplore</v>
      </c>
      <c r="G309" s="128" t="str">
        <f>IFERROR(__xludf.DUMMYFUNCTION("""COMPUTED_VALUE"""),"C")</f>
        <v>C</v>
      </c>
      <c r="H309" s="130">
        <f>IFERROR(__xludf.DUMMYFUNCTION("""COMPUTED_VALUE"""),2018.0)</f>
        <v>2018</v>
      </c>
      <c r="I309" s="130">
        <f>IFERROR(__xludf.DUMMYFUNCTION("""COMPUTED_VALUE"""),1.0)</f>
        <v>1</v>
      </c>
      <c r="J309" s="130">
        <f>IFERROR(__xludf.DUMMYFUNCTION("""COMPUTED_VALUE"""),1.0)</f>
        <v>1</v>
      </c>
      <c r="K309" s="130">
        <f>IFERROR(__xludf.DUMMYFUNCTION("""COMPUTED_VALUE"""),1.0)</f>
        <v>1</v>
      </c>
      <c r="L309" s="129">
        <f>IFERROR(__xludf.DUMMYFUNCTION("""COMPUTED_VALUE"""),1.0)</f>
        <v>1</v>
      </c>
      <c r="M309" s="130">
        <f>IFERROR(__xludf.DUMMYFUNCTION("""COMPUTED_VALUE"""),1.0)</f>
        <v>1</v>
      </c>
      <c r="N309" s="130">
        <f>IFERROR(__xludf.DUMMYFUNCTION("""COMPUTED_VALUE"""),0.0)</f>
        <v>0</v>
      </c>
      <c r="O309" s="130">
        <f>IFERROR(__xludf.DUMMYFUNCTION("""COMPUTED_VALUE"""),0.0)</f>
        <v>0</v>
      </c>
      <c r="P309" s="130">
        <f>IFERROR(__xludf.DUMMYFUNCTION("""COMPUTED_VALUE"""),0.0)</f>
        <v>0</v>
      </c>
      <c r="Q309" s="130">
        <f>IFERROR(__xludf.DUMMYFUNCTION("""COMPUTED_VALUE"""),0.0)</f>
        <v>0</v>
      </c>
      <c r="R309" s="130">
        <f>IFERROR(__xludf.DUMMYFUNCTION("""COMPUTED_VALUE"""),0.0)</f>
        <v>0</v>
      </c>
      <c r="S309" s="130">
        <f>IFERROR(__xludf.DUMMYFUNCTION("""COMPUTED_VALUE"""),0.0)</f>
        <v>0</v>
      </c>
      <c r="T309" s="130">
        <f>IFERROR(__xludf.DUMMYFUNCTION("""COMPUTED_VALUE"""),0.0)</f>
        <v>0</v>
      </c>
      <c r="U309" s="130">
        <f>IFERROR(__xludf.DUMMYFUNCTION("""COMPUTED_VALUE"""),0.0)</f>
        <v>0</v>
      </c>
      <c r="V309" s="130">
        <f>IFERROR(__xludf.DUMMYFUNCTION("""COMPUTED_VALUE"""),0.0)</f>
        <v>0</v>
      </c>
      <c r="W309" s="131" t="str">
        <f>IFERROR(__xludf.DUMMYFUNCTION("""COMPUTED_VALUE"""),"Yes")</f>
        <v>Yes</v>
      </c>
      <c r="X309" s="131" t="str">
        <f>IFERROR(__xludf.DUMMYFUNCTION("""COMPUTED_VALUE"""),"Yes")</f>
        <v>Yes</v>
      </c>
      <c r="Y309" s="131" t="str">
        <f>IFERROR(__xludf.DUMMYFUNCTION("""COMPUTED_VALUE"""),"S")</f>
        <v>S</v>
      </c>
      <c r="Z309" s="131"/>
      <c r="AA309" s="131"/>
      <c r="AB309" s="131"/>
      <c r="AC309" s="131"/>
      <c r="AD309" s="131"/>
      <c r="AE309" s="131"/>
      <c r="AF309" s="131"/>
      <c r="AG309" s="131"/>
      <c r="AH309" s="131"/>
      <c r="AI309" s="131"/>
      <c r="AJ309" s="131"/>
    </row>
    <row r="310">
      <c r="A310" s="126">
        <f>IFERROR(__xludf.DUMMYFUNCTION("""COMPUTED_VALUE"""),621.0)</f>
        <v>621</v>
      </c>
      <c r="B310" s="126" t="str">
        <f>IFERROR(__xludf.DUMMYFUNCTION("""COMPUTED_VALUE"""),"Minimising energy costs of data centers using high dense heterogeneous systems and intelligent resource management")</f>
        <v>Minimising energy costs of data centers using high dense heterogeneous systems and intelligent resource management</v>
      </c>
      <c r="C310" s="127" t="str">
        <f>IFERROR(__xludf.DUMMYFUNCTION("""COMPUTED_VALUE"""),"https://dl.acm.org/doi/abs/10.1145/3208903.3213777")</f>
        <v>https://dl.acm.org/doi/abs/10.1145/3208903.3213777</v>
      </c>
      <c r="D310" s="126" t="str">
        <f>IFERROR(__xludf.DUMMYFUNCTION("""COMPUTED_VALUE"""),"A Oleksiak, T Ciesielczyk, M Kierzynka, W Piatek")</f>
        <v>A Oleksiak, T Ciesielczyk, M Kierzynka, W Piatek</v>
      </c>
      <c r="E310" s="126" t="str">
        <f>IFERROR(__xludf.DUMMYFUNCTION("""COMPUTED_VALUE"""),"Association for Computing Machinery")</f>
        <v>Association for Computing Machinery</v>
      </c>
      <c r="F310" s="126" t="str">
        <f>IFERROR(__xludf.DUMMYFUNCTION("""COMPUTED_VALUE"""),"ACM")</f>
        <v>ACM</v>
      </c>
      <c r="G310" s="128" t="str">
        <f>IFERROR(__xludf.DUMMYFUNCTION("""COMPUTED_VALUE"""),"C")</f>
        <v>C</v>
      </c>
      <c r="H310" s="130">
        <f>IFERROR(__xludf.DUMMYFUNCTION("""COMPUTED_VALUE"""),2018.0)</f>
        <v>2018</v>
      </c>
      <c r="I310" s="130"/>
      <c r="J310" s="130"/>
      <c r="K310" s="130"/>
      <c r="L310" s="129"/>
      <c r="M310" s="130"/>
      <c r="N310" s="130">
        <f>IFERROR(__xludf.DUMMYFUNCTION("""COMPUTED_VALUE"""),1.0)</f>
        <v>1</v>
      </c>
      <c r="O310" s="130">
        <f>IFERROR(__xludf.DUMMYFUNCTION("""COMPUTED_VALUE"""),1.0)</f>
        <v>1</v>
      </c>
      <c r="P310" s="130"/>
      <c r="Q310" s="130"/>
      <c r="R310" s="130"/>
      <c r="S310" s="130"/>
      <c r="T310" s="130"/>
      <c r="U310" s="130"/>
      <c r="V310" s="130"/>
      <c r="W310" s="131" t="str">
        <f>IFERROR(__xludf.DUMMYFUNCTION("""COMPUTED_VALUE"""),"No")</f>
        <v>No</v>
      </c>
      <c r="X310" s="131" t="str">
        <f>IFERROR(__xludf.DUMMYFUNCTION("""COMPUTED_VALUE"""),"Yes")</f>
        <v>Yes</v>
      </c>
      <c r="Y310" s="131" t="str">
        <f>IFERROR(__xludf.DUMMYFUNCTION("""COMPUTED_VALUE"""),"S")</f>
        <v>S</v>
      </c>
      <c r="Z310" s="131" t="str">
        <f>IFERROR(__xludf.DUMMYFUNCTION("""COMPUTED_VALUE"""),"microserver and energy reduction in cooling system")</f>
        <v>microserver and energy reduction in cooling system</v>
      </c>
      <c r="AA310" s="131"/>
      <c r="AB310" s="131"/>
      <c r="AC310" s="131"/>
      <c r="AD310" s="131"/>
      <c r="AE310" s="131"/>
      <c r="AF310" s="131"/>
      <c r="AG310" s="131"/>
      <c r="AH310" s="131"/>
      <c r="AI310" s="131"/>
      <c r="AJ310" s="131"/>
    </row>
    <row r="311">
      <c r="A311" s="126">
        <f>IFERROR(__xludf.DUMMYFUNCTION("""COMPUTED_VALUE"""),622.0)</f>
        <v>622</v>
      </c>
      <c r="B311" s="126" t="str">
        <f>IFERROR(__xludf.DUMMYFUNCTION("""COMPUTED_VALUE"""),"Adaptive Clock Frequency Based Energy Efficient Provisioning for Virtual Data Centers")</f>
        <v>Adaptive Clock Frequency Based Energy Efficient Provisioning for Virtual Data Centers</v>
      </c>
      <c r="C311" s="127" t="str">
        <f>IFERROR(__xludf.DUMMYFUNCTION("""COMPUTED_VALUE"""),"https://www.osapublishing.org/abstract.cfm?uri=ACPC-2020-S4I.6")</f>
        <v>https://www.osapublishing.org/abstract.cfm?uri=ACPC-2020-S4I.6</v>
      </c>
      <c r="D311" s="126" t="str">
        <f>IFERROR(__xludf.DUMMYFUNCTION("""COMPUTED_VALUE"""),"Z Wang, C Guo, SK Bose, G Shen")</f>
        <v>Z Wang, C Guo, SK Bose, G Shen</v>
      </c>
      <c r="E311" s="127" t="str">
        <f>IFERROR(__xludf.DUMMYFUNCTION("""COMPUTED_VALUE"""),"osapublishing.org")</f>
        <v>osapublishing.org</v>
      </c>
      <c r="F311" s="127" t="str">
        <f>IFERROR(__xludf.DUMMYFUNCTION("""COMPUTED_VALUE"""),"osapublishing.org")</f>
        <v>osapublishing.org</v>
      </c>
      <c r="G311" s="128" t="str">
        <f>IFERROR(__xludf.DUMMYFUNCTION("""COMPUTED_VALUE"""),"C")</f>
        <v>C</v>
      </c>
      <c r="H311" s="130">
        <f>IFERROR(__xludf.DUMMYFUNCTION("""COMPUTED_VALUE"""),2020.0)</f>
        <v>2020</v>
      </c>
      <c r="I311" s="130"/>
      <c r="J311" s="130"/>
      <c r="K311" s="130"/>
      <c r="L311" s="129"/>
      <c r="M311" s="130"/>
      <c r="N311" s="130">
        <f>IFERROR(__xludf.DUMMYFUNCTION("""COMPUTED_VALUE"""),1.0)</f>
        <v>1</v>
      </c>
      <c r="O311" s="130"/>
      <c r="P311" s="130"/>
      <c r="Q311" s="130"/>
      <c r="R311" s="130"/>
      <c r="S311" s="130"/>
      <c r="T311" s="130"/>
      <c r="U311" s="130"/>
      <c r="V311" s="130"/>
      <c r="W311" s="131" t="str">
        <f>IFERROR(__xludf.DUMMYFUNCTION("""COMPUTED_VALUE"""),"No")</f>
        <v>No</v>
      </c>
      <c r="X311" s="131" t="str">
        <f>IFERROR(__xludf.DUMMYFUNCTION("""COMPUTED_VALUE"""),"Yes")</f>
        <v>Yes</v>
      </c>
      <c r="Y311" s="131" t="str">
        <f>IFERROR(__xludf.DUMMYFUNCTION("""COMPUTED_VALUE"""),"S")</f>
        <v>S</v>
      </c>
      <c r="Z311" s="131"/>
      <c r="AA311" s="131"/>
      <c r="AB311" s="131"/>
      <c r="AC311" s="131"/>
      <c r="AD311" s="131"/>
      <c r="AE311" s="131"/>
      <c r="AF311" s="131"/>
      <c r="AG311" s="131"/>
      <c r="AH311" s="131"/>
      <c r="AI311" s="131"/>
      <c r="AJ311" s="131"/>
    </row>
    <row r="312">
      <c r="A312" s="126">
        <f>IFERROR(__xludf.DUMMYFUNCTION("""COMPUTED_VALUE"""),623.0)</f>
        <v>623</v>
      </c>
      <c r="B312" s="126" t="str">
        <f>IFERROR(__xludf.DUMMYFUNCTION("""COMPUTED_VALUE"""),"Energy efficient VM scheduling strategies for HPC workloads in cloud data centers")</f>
        <v>Energy efficient VM scheduling strategies for HPC workloads in cloud data centers</v>
      </c>
      <c r="C312" s="127" t="str">
        <f>IFERROR(__xludf.DUMMYFUNCTION("""COMPUTED_VALUE"""),"https://www.sciencedirect.com/science/article/pii/S2210537916301718")</f>
        <v>https://www.sciencedirect.com/science/article/pii/S2210537916301718</v>
      </c>
      <c r="D312" s="126" t="str">
        <f>IFERROR(__xludf.DUMMYFUNCTION("""COMPUTED_VALUE"""),"AA Chandio, N Tziritas, MS Chandio, CZ Xu")</f>
        <v>AA Chandio, N Tziritas, MS Chandio, CZ Xu</v>
      </c>
      <c r="E312" s="126" t="str">
        <f>IFERROR(__xludf.DUMMYFUNCTION("""COMPUTED_VALUE"""),"Elsevier")</f>
        <v>Elsevier</v>
      </c>
      <c r="F312" s="126" t="str">
        <f>IFERROR(__xludf.DUMMYFUNCTION("""COMPUTED_VALUE"""),"Elsevier")</f>
        <v>Elsevier</v>
      </c>
      <c r="G312" s="128" t="str">
        <f>IFERROR(__xludf.DUMMYFUNCTION("""COMPUTED_VALUE"""),"J")</f>
        <v>J</v>
      </c>
      <c r="H312" s="130">
        <f>IFERROR(__xludf.DUMMYFUNCTION("""COMPUTED_VALUE"""),2019.0)</f>
        <v>2019</v>
      </c>
      <c r="I312" s="130">
        <f>IFERROR(__xludf.DUMMYFUNCTION("""COMPUTED_VALUE"""),1.0)</f>
        <v>1</v>
      </c>
      <c r="J312" s="130">
        <f>IFERROR(__xludf.DUMMYFUNCTION("""COMPUTED_VALUE"""),1.0)</f>
        <v>1</v>
      </c>
      <c r="K312" s="130">
        <f>IFERROR(__xludf.DUMMYFUNCTION("""COMPUTED_VALUE"""),1.0)</f>
        <v>1</v>
      </c>
      <c r="L312" s="129">
        <f>IFERROR(__xludf.DUMMYFUNCTION("""COMPUTED_VALUE"""),1.0)</f>
        <v>1</v>
      </c>
      <c r="M312" s="130">
        <f>IFERROR(__xludf.DUMMYFUNCTION("""COMPUTED_VALUE"""),1.0)</f>
        <v>1</v>
      </c>
      <c r="N312" s="130">
        <f>IFERROR(__xludf.DUMMYFUNCTION("""COMPUTED_VALUE"""),0.0)</f>
        <v>0</v>
      </c>
      <c r="O312" s="130">
        <f>IFERROR(__xludf.DUMMYFUNCTION("""COMPUTED_VALUE"""),0.0)</f>
        <v>0</v>
      </c>
      <c r="P312" s="130">
        <f>IFERROR(__xludf.DUMMYFUNCTION("""COMPUTED_VALUE"""),0.0)</f>
        <v>0</v>
      </c>
      <c r="Q312" s="130">
        <f>IFERROR(__xludf.DUMMYFUNCTION("""COMPUTED_VALUE"""),0.0)</f>
        <v>0</v>
      </c>
      <c r="R312" s="130">
        <f>IFERROR(__xludf.DUMMYFUNCTION("""COMPUTED_VALUE"""),0.0)</f>
        <v>0</v>
      </c>
      <c r="S312" s="130">
        <f>IFERROR(__xludf.DUMMYFUNCTION("""COMPUTED_VALUE"""),0.0)</f>
        <v>0</v>
      </c>
      <c r="T312" s="130">
        <f>IFERROR(__xludf.DUMMYFUNCTION("""COMPUTED_VALUE"""),0.0)</f>
        <v>0</v>
      </c>
      <c r="U312" s="130">
        <f>IFERROR(__xludf.DUMMYFUNCTION("""COMPUTED_VALUE"""),0.0)</f>
        <v>0</v>
      </c>
      <c r="V312" s="130">
        <f>IFERROR(__xludf.DUMMYFUNCTION("""COMPUTED_VALUE"""),0.0)</f>
        <v>0</v>
      </c>
      <c r="W312" s="131" t="str">
        <f>IFERROR(__xludf.DUMMYFUNCTION("""COMPUTED_VALUE"""),"Yes")</f>
        <v>Yes</v>
      </c>
      <c r="X312" s="131" t="str">
        <f>IFERROR(__xludf.DUMMYFUNCTION("""COMPUTED_VALUE"""),"Yes")</f>
        <v>Yes</v>
      </c>
      <c r="Y312" s="131" t="str">
        <f>IFERROR(__xludf.DUMMYFUNCTION("""COMPUTED_VALUE"""),"S")</f>
        <v>S</v>
      </c>
      <c r="Z312" s="131"/>
      <c r="AA312" s="131"/>
      <c r="AB312" s="131"/>
      <c r="AC312" s="131"/>
      <c r="AD312" s="131"/>
      <c r="AE312" s="131"/>
      <c r="AF312" s="131"/>
      <c r="AG312" s="131"/>
      <c r="AH312" s="131"/>
      <c r="AI312" s="131"/>
      <c r="AJ312" s="131"/>
    </row>
    <row r="313">
      <c r="A313" s="126">
        <f>IFERROR(__xludf.DUMMYFUNCTION("""COMPUTED_VALUE"""),624.0)</f>
        <v>624</v>
      </c>
      <c r="B313" s="126" t="str">
        <f>IFERROR(__xludf.DUMMYFUNCTION("""COMPUTED_VALUE"""),"Improving stability and thermal properties of TiO2 nanofluids by supramolecular modification: high energy efficiency heat transfer medium for data center cooling …")</f>
        <v>Improving stability and thermal properties of TiO2 nanofluids by supramolecular modification: high energy efficiency heat transfer medium for data center cooling …</v>
      </c>
      <c r="C313" s="127" t="str">
        <f>IFERROR(__xludf.DUMMYFUNCTION("""COMPUTED_VALUE"""),"https://www.sciencedirect.com/science/article/pii/S0017931019367195")</f>
        <v>https://www.sciencedirect.com/science/article/pii/S0017931019367195</v>
      </c>
      <c r="D313" s="126" t="str">
        <f>IFERROR(__xludf.DUMMYFUNCTION("""COMPUTED_VALUE"""),"Y Wang, C Zou, W Li, Y Zou, H Huang")</f>
        <v>Y Wang, C Zou, W Li, Y Zou, H Huang</v>
      </c>
      <c r="E313" s="126" t="str">
        <f>IFERROR(__xludf.DUMMYFUNCTION("""COMPUTED_VALUE"""),"Elsevier")</f>
        <v>Elsevier</v>
      </c>
      <c r="F313" s="126" t="str">
        <f>IFERROR(__xludf.DUMMYFUNCTION("""COMPUTED_VALUE"""),"Elsevier")</f>
        <v>Elsevier</v>
      </c>
      <c r="G313" s="128"/>
      <c r="H313" s="130">
        <f>IFERROR(__xludf.DUMMYFUNCTION("""COMPUTED_VALUE"""),2020.0)</f>
        <v>2020</v>
      </c>
      <c r="I313" s="130"/>
      <c r="J313" s="130"/>
      <c r="K313" s="130"/>
      <c r="L313" s="129"/>
      <c r="M313" s="130"/>
      <c r="N313" s="130"/>
      <c r="O313" s="130">
        <f>IFERROR(__xludf.DUMMYFUNCTION("""COMPUTED_VALUE"""),1.0)</f>
        <v>1</v>
      </c>
      <c r="P313" s="130"/>
      <c r="Q313" s="130"/>
      <c r="R313" s="130"/>
      <c r="S313" s="130"/>
      <c r="T313" s="130"/>
      <c r="U313" s="130"/>
      <c r="V313" s="130"/>
      <c r="W313" s="131" t="str">
        <f>IFERROR(__xludf.DUMMYFUNCTION("""COMPUTED_VALUE"""),"No")</f>
        <v>No</v>
      </c>
      <c r="X313" s="131" t="str">
        <f>IFERROR(__xludf.DUMMYFUNCTION("""COMPUTED_VALUE"""),"Yes")</f>
        <v>Yes</v>
      </c>
      <c r="Y313" s="131" t="str">
        <f>IFERROR(__xludf.DUMMYFUNCTION("""COMPUTED_VALUE"""),"S")</f>
        <v>S</v>
      </c>
      <c r="Z313" s="131"/>
      <c r="AA313" s="131"/>
      <c r="AB313" s="131"/>
      <c r="AC313" s="131"/>
      <c r="AD313" s="131"/>
      <c r="AE313" s="131"/>
      <c r="AF313" s="131"/>
      <c r="AG313" s="131"/>
      <c r="AH313" s="131"/>
      <c r="AI313" s="131"/>
      <c r="AJ313" s="131"/>
    </row>
    <row r="314">
      <c r="A314" s="126">
        <f>IFERROR(__xludf.DUMMYFUNCTION("""COMPUTED_VALUE"""),625.0)</f>
        <v>625</v>
      </c>
      <c r="B314" s="126" t="str">
        <f>IFERROR(__xludf.DUMMYFUNCTION("""COMPUTED_VALUE"""),"An energy, performance efficient resource consolidation scheme for heterogeneous cloud datacenters")</f>
        <v>An energy, performance efficient resource consolidation scheme for heterogeneous cloud datacenters</v>
      </c>
      <c r="C314" s="127" t="str">
        <f>IFERROR(__xludf.DUMMYFUNCTION("""COMPUTED_VALUE"""),"https://www.sciencedirect.com/science/article/pii/S1084804519303571")</f>
        <v>https://www.sciencedirect.com/science/article/pii/S1084804519303571</v>
      </c>
      <c r="D314" s="126" t="str">
        <f>IFERROR(__xludf.DUMMYFUNCTION("""COMPUTED_VALUE"""),"AA Khan, M Zakarya, R Khan, IU Rahman…")</f>
        <v>AA Khan, M Zakarya, R Khan, IU Rahman…</v>
      </c>
      <c r="E314" s="126" t="str">
        <f>IFERROR(__xludf.DUMMYFUNCTION("""COMPUTED_VALUE"""),"Elsevier")</f>
        <v>Elsevier</v>
      </c>
      <c r="F314" s="126" t="str">
        <f>IFERROR(__xludf.DUMMYFUNCTION("""COMPUTED_VALUE"""),"Elsevier")</f>
        <v>Elsevier</v>
      </c>
      <c r="G314" s="128" t="str">
        <f>IFERROR(__xludf.DUMMYFUNCTION("""COMPUTED_VALUE"""),"J")</f>
        <v>J</v>
      </c>
      <c r="H314" s="130">
        <f>IFERROR(__xludf.DUMMYFUNCTION("""COMPUTED_VALUE"""),2020.0)</f>
        <v>2020</v>
      </c>
      <c r="I314" s="130">
        <f>IFERROR(__xludf.DUMMYFUNCTION("""COMPUTED_VALUE"""),1.0)</f>
        <v>1</v>
      </c>
      <c r="J314" s="130">
        <f>IFERROR(__xludf.DUMMYFUNCTION("""COMPUTED_VALUE"""),1.0)</f>
        <v>1</v>
      </c>
      <c r="K314" s="130">
        <f>IFERROR(__xludf.DUMMYFUNCTION("""COMPUTED_VALUE"""),1.0)</f>
        <v>1</v>
      </c>
      <c r="L314" s="129">
        <f>IFERROR(__xludf.DUMMYFUNCTION("""COMPUTED_VALUE"""),1.0)</f>
        <v>1</v>
      </c>
      <c r="M314" s="130">
        <f>IFERROR(__xludf.DUMMYFUNCTION("""COMPUTED_VALUE"""),1.0)</f>
        <v>1</v>
      </c>
      <c r="N314" s="130">
        <f>IFERROR(__xludf.DUMMYFUNCTION("""COMPUTED_VALUE"""),0.0)</f>
        <v>0</v>
      </c>
      <c r="O314" s="130">
        <f>IFERROR(__xludf.DUMMYFUNCTION("""COMPUTED_VALUE"""),0.0)</f>
        <v>0</v>
      </c>
      <c r="P314" s="130">
        <f>IFERROR(__xludf.DUMMYFUNCTION("""COMPUTED_VALUE"""),0.0)</f>
        <v>0</v>
      </c>
      <c r="Q314" s="130">
        <f>IFERROR(__xludf.DUMMYFUNCTION("""COMPUTED_VALUE"""),0.0)</f>
        <v>0</v>
      </c>
      <c r="R314" s="130">
        <f>IFERROR(__xludf.DUMMYFUNCTION("""COMPUTED_VALUE"""),0.0)</f>
        <v>0</v>
      </c>
      <c r="S314" s="130">
        <f>IFERROR(__xludf.DUMMYFUNCTION("""COMPUTED_VALUE"""),0.0)</f>
        <v>0</v>
      </c>
      <c r="T314" s="130">
        <f>IFERROR(__xludf.DUMMYFUNCTION("""COMPUTED_VALUE"""),0.0)</f>
        <v>0</v>
      </c>
      <c r="U314" s="130">
        <f>IFERROR(__xludf.DUMMYFUNCTION("""COMPUTED_VALUE"""),0.0)</f>
        <v>0</v>
      </c>
      <c r="V314" s="130">
        <f>IFERROR(__xludf.DUMMYFUNCTION("""COMPUTED_VALUE"""),0.0)</f>
        <v>0</v>
      </c>
      <c r="W314" s="131" t="str">
        <f>IFERROR(__xludf.DUMMYFUNCTION("""COMPUTED_VALUE"""),"Yes")</f>
        <v>Yes</v>
      </c>
      <c r="X314" s="131" t="str">
        <f>IFERROR(__xludf.DUMMYFUNCTION("""COMPUTED_VALUE"""),"Yes")</f>
        <v>Yes</v>
      </c>
      <c r="Y314" s="131" t="str">
        <f>IFERROR(__xludf.DUMMYFUNCTION("""COMPUTED_VALUE"""),"S")</f>
        <v>S</v>
      </c>
      <c r="Z314" s="131"/>
      <c r="AA314" s="131"/>
      <c r="AB314" s="131"/>
      <c r="AC314" s="131"/>
      <c r="AD314" s="131"/>
      <c r="AE314" s="131"/>
      <c r="AF314" s="131"/>
      <c r="AG314" s="131"/>
      <c r="AH314" s="131"/>
      <c r="AI314" s="131"/>
      <c r="AJ314" s="131"/>
    </row>
    <row r="315">
      <c r="A315" s="126">
        <f>IFERROR(__xludf.DUMMYFUNCTION("""COMPUTED_VALUE"""),627.0)</f>
        <v>627</v>
      </c>
      <c r="B315" s="126" t="str">
        <f>IFERROR(__xludf.DUMMYFUNCTION("""COMPUTED_VALUE"""),"HIGA: Harmony-inspired genetic algorithm for rack-aware energy-efficient task scheduling in cloud data centers")</f>
        <v>HIGA: Harmony-inspired genetic algorithm for rack-aware energy-efficient task scheduling in cloud data centers</v>
      </c>
      <c r="C315" s="127" t="str">
        <f>IFERROR(__xludf.DUMMYFUNCTION("""COMPUTED_VALUE"""),"https://www.sciencedirect.com/science/article/pii/S2215098618312023")</f>
        <v>https://www.sciencedirect.com/science/article/pii/S2215098618312023</v>
      </c>
      <c r="D315" s="126" t="str">
        <f>IFERROR(__xludf.DUMMYFUNCTION("""COMPUTED_VALUE"""),"M Sharma, R Garg")</f>
        <v>M Sharma, R Garg</v>
      </c>
      <c r="E315" s="126" t="str">
        <f>IFERROR(__xludf.DUMMYFUNCTION("""COMPUTED_VALUE"""),"Elsevier")</f>
        <v>Elsevier</v>
      </c>
      <c r="F315" s="126" t="str">
        <f>IFERROR(__xludf.DUMMYFUNCTION("""COMPUTED_VALUE"""),"Elsevier")</f>
        <v>Elsevier</v>
      </c>
      <c r="G315" s="128" t="str">
        <f>IFERROR(__xludf.DUMMYFUNCTION("""COMPUTED_VALUE"""),"J")</f>
        <v>J</v>
      </c>
      <c r="H315" s="130">
        <f>IFERROR(__xludf.DUMMYFUNCTION("""COMPUTED_VALUE"""),2020.0)</f>
        <v>2020</v>
      </c>
      <c r="I315" s="130">
        <f>IFERROR(__xludf.DUMMYFUNCTION("""COMPUTED_VALUE"""),1.0)</f>
        <v>1</v>
      </c>
      <c r="J315" s="130">
        <f>IFERROR(__xludf.DUMMYFUNCTION("""COMPUTED_VALUE"""),1.0)</f>
        <v>1</v>
      </c>
      <c r="K315" s="130">
        <f>IFERROR(__xludf.DUMMYFUNCTION("""COMPUTED_VALUE"""),1.0)</f>
        <v>1</v>
      </c>
      <c r="L315" s="129">
        <f>IFERROR(__xludf.DUMMYFUNCTION("""COMPUTED_VALUE"""),1.0)</f>
        <v>1</v>
      </c>
      <c r="M315" s="130">
        <f>IFERROR(__xludf.DUMMYFUNCTION("""COMPUTED_VALUE"""),1.0)</f>
        <v>1</v>
      </c>
      <c r="N315" s="130">
        <f>IFERROR(__xludf.DUMMYFUNCTION("""COMPUTED_VALUE"""),0.0)</f>
        <v>0</v>
      </c>
      <c r="O315" s="130">
        <f>IFERROR(__xludf.DUMMYFUNCTION("""COMPUTED_VALUE"""),0.0)</f>
        <v>0</v>
      </c>
      <c r="P315" s="130">
        <f>IFERROR(__xludf.DUMMYFUNCTION("""COMPUTED_VALUE"""),0.0)</f>
        <v>0</v>
      </c>
      <c r="Q315" s="130">
        <f>IFERROR(__xludf.DUMMYFUNCTION("""COMPUTED_VALUE"""),0.0)</f>
        <v>0</v>
      </c>
      <c r="R315" s="130">
        <f>IFERROR(__xludf.DUMMYFUNCTION("""COMPUTED_VALUE"""),0.0)</f>
        <v>0</v>
      </c>
      <c r="S315" s="130">
        <f>IFERROR(__xludf.DUMMYFUNCTION("""COMPUTED_VALUE"""),0.0)</f>
        <v>0</v>
      </c>
      <c r="T315" s="130">
        <f>IFERROR(__xludf.DUMMYFUNCTION("""COMPUTED_VALUE"""),0.0)</f>
        <v>0</v>
      </c>
      <c r="U315" s="130">
        <f>IFERROR(__xludf.DUMMYFUNCTION("""COMPUTED_VALUE"""),0.0)</f>
        <v>0</v>
      </c>
      <c r="V315" s="130">
        <f>IFERROR(__xludf.DUMMYFUNCTION("""COMPUTED_VALUE"""),0.0)</f>
        <v>0</v>
      </c>
      <c r="W315" s="131" t="str">
        <f>IFERROR(__xludf.DUMMYFUNCTION("""COMPUTED_VALUE"""),"Yes")</f>
        <v>Yes</v>
      </c>
      <c r="X315" s="131" t="str">
        <f>IFERROR(__xludf.DUMMYFUNCTION("""COMPUTED_VALUE"""),"Yes")</f>
        <v>Yes</v>
      </c>
      <c r="Y315" s="131" t="str">
        <f>IFERROR(__xludf.DUMMYFUNCTION("""COMPUTED_VALUE"""),"S")</f>
        <v>S</v>
      </c>
      <c r="Z315" s="131"/>
      <c r="AA315" s="131"/>
      <c r="AB315" s="131"/>
      <c r="AC315" s="131"/>
      <c r="AD315" s="131"/>
      <c r="AE315" s="131"/>
      <c r="AF315" s="131"/>
      <c r="AG315" s="131"/>
      <c r="AH315" s="131"/>
      <c r="AI315" s="131"/>
      <c r="AJ315" s="131"/>
    </row>
    <row r="316">
      <c r="A316" s="126">
        <f>IFERROR(__xludf.DUMMYFUNCTION("""COMPUTED_VALUE"""),628.0)</f>
        <v>628</v>
      </c>
      <c r="B316" s="126" t="str">
        <f>IFERROR(__xludf.DUMMYFUNCTION("""COMPUTED_VALUE"""),"MULTI-LEVEL ATTRIBUTE-BASED MATCHING APPROACH TOWARDS ENERGY-EFFICIENT RESOURCE PROVISIONING IN CLOUD DATA CENTERS.")</f>
        <v>MULTI-LEVEL ATTRIBUTE-BASED MATCHING APPROACH TOWARDS ENERGY-EFFICIENT RESOURCE PROVISIONING IN CLOUD DATA CENTERS.</v>
      </c>
      <c r="C316" s="127" t="str">
        <f>IFERROR(__xludf.DUMMYFUNCTION("""COMPUTED_VALUE"""),"http://www.jatit.org/volumes/Vol96No2/22Vol96No2.pdf")</f>
        <v>http://www.jatit.org/volumes/Vol96No2/22Vol96No2.pdf</v>
      </c>
      <c r="D316" s="126" t="str">
        <f>IFERROR(__xludf.DUMMYFUNCTION("""COMPUTED_VALUE"""),"F ELIJORDE, S KIM, J LEE")</f>
        <v>F ELIJORDE, S KIM, J LEE</v>
      </c>
      <c r="E316" s="126" t="str">
        <f>IFERROR(__xludf.DUMMYFUNCTION("""COMPUTED_VALUE"""),"Journal of Theoretical and Applied Information Technology")</f>
        <v>Journal of Theoretical and Applied Information Technology</v>
      </c>
      <c r="F316" s="126" t="str">
        <f>IFERROR(__xludf.DUMMYFUNCTION("""COMPUTED_VALUE"""),"JATIT")</f>
        <v>JATIT</v>
      </c>
      <c r="G316" s="128" t="str">
        <f>IFERROR(__xludf.DUMMYFUNCTION("""COMPUTED_VALUE"""),"J")</f>
        <v>J</v>
      </c>
      <c r="H316" s="130">
        <f>IFERROR(__xludf.DUMMYFUNCTION("""COMPUTED_VALUE"""),2018.0)</f>
        <v>2018</v>
      </c>
      <c r="I316" s="130">
        <f>IFERROR(__xludf.DUMMYFUNCTION("""COMPUTED_VALUE"""),1.0)</f>
        <v>1</v>
      </c>
      <c r="J316" s="130">
        <f>IFERROR(__xludf.DUMMYFUNCTION("""COMPUTED_VALUE"""),1.0)</f>
        <v>1</v>
      </c>
      <c r="K316" s="130">
        <f>IFERROR(__xludf.DUMMYFUNCTION("""COMPUTED_VALUE"""),1.0)</f>
        <v>1</v>
      </c>
      <c r="L316" s="129">
        <f>IFERROR(__xludf.DUMMYFUNCTION("""COMPUTED_VALUE"""),1.0)</f>
        <v>1</v>
      </c>
      <c r="M316" s="130">
        <f>IFERROR(__xludf.DUMMYFUNCTION("""COMPUTED_VALUE"""),1.0)</f>
        <v>1</v>
      </c>
      <c r="N316" s="130">
        <f>IFERROR(__xludf.DUMMYFUNCTION("""COMPUTED_VALUE"""),0.0)</f>
        <v>0</v>
      </c>
      <c r="O316" s="130">
        <f>IFERROR(__xludf.DUMMYFUNCTION("""COMPUTED_VALUE"""),0.0)</f>
        <v>0</v>
      </c>
      <c r="P316" s="130">
        <f>IFERROR(__xludf.DUMMYFUNCTION("""COMPUTED_VALUE"""),0.0)</f>
        <v>0</v>
      </c>
      <c r="Q316" s="130">
        <f>IFERROR(__xludf.DUMMYFUNCTION("""COMPUTED_VALUE"""),0.0)</f>
        <v>0</v>
      </c>
      <c r="R316" s="130">
        <f>IFERROR(__xludf.DUMMYFUNCTION("""COMPUTED_VALUE"""),0.0)</f>
        <v>0</v>
      </c>
      <c r="S316" s="130">
        <f>IFERROR(__xludf.DUMMYFUNCTION("""COMPUTED_VALUE"""),0.0)</f>
        <v>0</v>
      </c>
      <c r="T316" s="130">
        <f>IFERROR(__xludf.DUMMYFUNCTION("""COMPUTED_VALUE"""),0.0)</f>
        <v>0</v>
      </c>
      <c r="U316" s="130">
        <f>IFERROR(__xludf.DUMMYFUNCTION("""COMPUTED_VALUE"""),0.0)</f>
        <v>0</v>
      </c>
      <c r="V316" s="130">
        <f>IFERROR(__xludf.DUMMYFUNCTION("""COMPUTED_VALUE"""),0.0)</f>
        <v>0</v>
      </c>
      <c r="W316" s="131" t="str">
        <f>IFERROR(__xludf.DUMMYFUNCTION("""COMPUTED_VALUE"""),"Yes")</f>
        <v>Yes</v>
      </c>
      <c r="X316" s="131" t="str">
        <f>IFERROR(__xludf.DUMMYFUNCTION("""COMPUTED_VALUE"""),"Yes")</f>
        <v>Yes</v>
      </c>
      <c r="Y316" s="131" t="str">
        <f>IFERROR(__xludf.DUMMYFUNCTION("""COMPUTED_VALUE"""),"S")</f>
        <v>S</v>
      </c>
      <c r="Z316" s="131"/>
      <c r="AA316" s="131"/>
      <c r="AB316" s="131"/>
      <c r="AC316" s="131"/>
      <c r="AD316" s="131"/>
      <c r="AE316" s="131"/>
      <c r="AF316" s="131"/>
      <c r="AG316" s="131"/>
      <c r="AH316" s="131"/>
      <c r="AI316" s="131"/>
      <c r="AJ316" s="131"/>
    </row>
    <row r="317">
      <c r="A317" s="126">
        <f>IFERROR(__xludf.DUMMYFUNCTION("""COMPUTED_VALUE"""),629.0)</f>
        <v>629</v>
      </c>
      <c r="B317" s="126" t="str">
        <f>IFERROR(__xludf.DUMMYFUNCTION("""COMPUTED_VALUE"""),"A green energy-efficient scheduler for cloud data centers")</f>
        <v>A green energy-efficient scheduler for cloud data centers</v>
      </c>
      <c r="C317" s="127" t="str">
        <f>IFERROR(__xludf.DUMMYFUNCTION("""COMPUTED_VALUE"""),"https://link.springer.com/article/10.1007/s10586-018-2028-z")</f>
        <v>https://link.springer.com/article/10.1007/s10586-018-2028-z</v>
      </c>
      <c r="D317" s="126" t="str">
        <f>IFERROR(__xludf.DUMMYFUNCTION("""COMPUTED_VALUE"""),"M Amoon, TEE Tobely")</f>
        <v>M Amoon, TEE Tobely</v>
      </c>
      <c r="E317" s="126" t="str">
        <f>IFERROR(__xludf.DUMMYFUNCTION("""COMPUTED_VALUE"""),"Springer")</f>
        <v>Springer</v>
      </c>
      <c r="F317" s="126" t="str">
        <f>IFERROR(__xludf.DUMMYFUNCTION("""COMPUTED_VALUE"""),"Springer")</f>
        <v>Springer</v>
      </c>
      <c r="G317" s="128" t="str">
        <f>IFERROR(__xludf.DUMMYFUNCTION("""COMPUTED_VALUE"""),"J")</f>
        <v>J</v>
      </c>
      <c r="H317" s="130">
        <f>IFERROR(__xludf.DUMMYFUNCTION("""COMPUTED_VALUE"""),2019.0)</f>
        <v>2019</v>
      </c>
      <c r="I317" s="130">
        <f>IFERROR(__xludf.DUMMYFUNCTION("""COMPUTED_VALUE"""),1.0)</f>
        <v>1</v>
      </c>
      <c r="J317" s="130">
        <f>IFERROR(__xludf.DUMMYFUNCTION("""COMPUTED_VALUE"""),1.0)</f>
        <v>1</v>
      </c>
      <c r="K317" s="130">
        <f>IFERROR(__xludf.DUMMYFUNCTION("""COMPUTED_VALUE"""),1.0)</f>
        <v>1</v>
      </c>
      <c r="L317" s="129">
        <f>IFERROR(__xludf.DUMMYFUNCTION("""COMPUTED_VALUE"""),1.0)</f>
        <v>1</v>
      </c>
      <c r="M317" s="130">
        <f>IFERROR(__xludf.DUMMYFUNCTION("""COMPUTED_VALUE"""),1.0)</f>
        <v>1</v>
      </c>
      <c r="N317" s="130">
        <f>IFERROR(__xludf.DUMMYFUNCTION("""COMPUTED_VALUE"""),0.0)</f>
        <v>0</v>
      </c>
      <c r="O317" s="130">
        <f>IFERROR(__xludf.DUMMYFUNCTION("""COMPUTED_VALUE"""),0.0)</f>
        <v>0</v>
      </c>
      <c r="P317" s="130">
        <f>IFERROR(__xludf.DUMMYFUNCTION("""COMPUTED_VALUE"""),0.0)</f>
        <v>0</v>
      </c>
      <c r="Q317" s="130">
        <f>IFERROR(__xludf.DUMMYFUNCTION("""COMPUTED_VALUE"""),0.0)</f>
        <v>0</v>
      </c>
      <c r="R317" s="130">
        <f>IFERROR(__xludf.DUMMYFUNCTION("""COMPUTED_VALUE"""),0.0)</f>
        <v>0</v>
      </c>
      <c r="S317" s="130">
        <f>IFERROR(__xludf.DUMMYFUNCTION("""COMPUTED_VALUE"""),0.0)</f>
        <v>0</v>
      </c>
      <c r="T317" s="130">
        <f>IFERROR(__xludf.DUMMYFUNCTION("""COMPUTED_VALUE"""),0.0)</f>
        <v>0</v>
      </c>
      <c r="U317" s="130">
        <f>IFERROR(__xludf.DUMMYFUNCTION("""COMPUTED_VALUE"""),0.0)</f>
        <v>0</v>
      </c>
      <c r="V317" s="130">
        <f>IFERROR(__xludf.DUMMYFUNCTION("""COMPUTED_VALUE"""),0.0)</f>
        <v>0</v>
      </c>
      <c r="W317" s="131" t="str">
        <f>IFERROR(__xludf.DUMMYFUNCTION("""COMPUTED_VALUE"""),"Yes")</f>
        <v>Yes</v>
      </c>
      <c r="X317" s="131" t="str">
        <f>IFERROR(__xludf.DUMMYFUNCTION("""COMPUTED_VALUE"""),"Yes")</f>
        <v>Yes</v>
      </c>
      <c r="Y317" s="131" t="str">
        <f>IFERROR(__xludf.DUMMYFUNCTION("""COMPUTED_VALUE"""),"S")</f>
        <v>S</v>
      </c>
      <c r="Z317" s="131"/>
      <c r="AA317" s="131"/>
      <c r="AB317" s="131"/>
      <c r="AC317" s="131"/>
      <c r="AD317" s="131"/>
      <c r="AE317" s="131"/>
      <c r="AF317" s="131"/>
      <c r="AG317" s="131"/>
      <c r="AH317" s="131"/>
      <c r="AI317" s="131"/>
      <c r="AJ317" s="131"/>
    </row>
    <row r="318">
      <c r="A318" s="126">
        <f>IFERROR(__xludf.DUMMYFUNCTION("""COMPUTED_VALUE"""),631.0)</f>
        <v>631</v>
      </c>
      <c r="B318" s="126" t="str">
        <f>IFERROR(__xludf.DUMMYFUNCTION("""COMPUTED_VALUE"""),"Energy-Efficient Virtual Machine Replication for Data Centers")</f>
        <v>Energy-Efficient Virtual Machine Replication for Data Centers</v>
      </c>
      <c r="C318" s="127" t="str">
        <f>IFERROR(__xludf.DUMMYFUNCTION("""COMPUTED_VALUE"""),"https://ieeexplore.ieee.org/abstract/document/8452029/")</f>
        <v>https://ieeexplore.ieee.org/abstract/document/8452029/</v>
      </c>
      <c r="D318" s="126" t="str">
        <f>IFERROR(__xludf.DUMMYFUNCTION("""COMPUTED_VALUE"""),"O Raluca, P Florin")</f>
        <v>O Raluca, P Florin</v>
      </c>
      <c r="E318" s="126" t="str">
        <f>IFERROR(__xludf.DUMMYFUNCTION("""COMPUTED_VALUE"""),"Institute of Electrical and Electronics Engineers")</f>
        <v>Institute of Electrical and Electronics Engineers</v>
      </c>
      <c r="F318" s="126" t="str">
        <f>IFERROR(__xludf.DUMMYFUNCTION("""COMPUTED_VALUE"""),"IEEE Xplore")</f>
        <v>IEEE Xplore</v>
      </c>
      <c r="G318" s="128" t="str">
        <f>IFERROR(__xludf.DUMMYFUNCTION("""COMPUTED_VALUE"""),"C")</f>
        <v>C</v>
      </c>
      <c r="H318" s="130">
        <f>IFERROR(__xludf.DUMMYFUNCTION("""COMPUTED_VALUE"""),2018.0)</f>
        <v>2018</v>
      </c>
      <c r="I318" s="130">
        <f>IFERROR(__xludf.DUMMYFUNCTION("""COMPUTED_VALUE"""),1.0)</f>
        <v>1</v>
      </c>
      <c r="J318" s="130">
        <f>IFERROR(__xludf.DUMMYFUNCTION("""COMPUTED_VALUE"""),1.0)</f>
        <v>1</v>
      </c>
      <c r="K318" s="130">
        <f>IFERROR(__xludf.DUMMYFUNCTION("""COMPUTED_VALUE"""),1.0)</f>
        <v>1</v>
      </c>
      <c r="L318" s="129">
        <f>IFERROR(__xludf.DUMMYFUNCTION("""COMPUTED_VALUE"""),1.0)</f>
        <v>1</v>
      </c>
      <c r="M318" s="130">
        <f>IFERROR(__xludf.DUMMYFUNCTION("""COMPUTED_VALUE"""),1.0)</f>
        <v>1</v>
      </c>
      <c r="N318" s="130">
        <f>IFERROR(__xludf.DUMMYFUNCTION("""COMPUTED_VALUE"""),0.0)</f>
        <v>0</v>
      </c>
      <c r="O318" s="130">
        <f>IFERROR(__xludf.DUMMYFUNCTION("""COMPUTED_VALUE"""),0.0)</f>
        <v>0</v>
      </c>
      <c r="P318" s="130">
        <f>IFERROR(__xludf.DUMMYFUNCTION("""COMPUTED_VALUE"""),0.0)</f>
        <v>0</v>
      </c>
      <c r="Q318" s="130">
        <f>IFERROR(__xludf.DUMMYFUNCTION("""COMPUTED_VALUE"""),0.0)</f>
        <v>0</v>
      </c>
      <c r="R318" s="130">
        <f>IFERROR(__xludf.DUMMYFUNCTION("""COMPUTED_VALUE"""),0.0)</f>
        <v>0</v>
      </c>
      <c r="S318" s="130">
        <f>IFERROR(__xludf.DUMMYFUNCTION("""COMPUTED_VALUE"""),0.0)</f>
        <v>0</v>
      </c>
      <c r="T318" s="130">
        <f>IFERROR(__xludf.DUMMYFUNCTION("""COMPUTED_VALUE"""),0.0)</f>
        <v>0</v>
      </c>
      <c r="U318" s="130">
        <f>IFERROR(__xludf.DUMMYFUNCTION("""COMPUTED_VALUE"""),0.0)</f>
        <v>0</v>
      </c>
      <c r="V318" s="130">
        <f>IFERROR(__xludf.DUMMYFUNCTION("""COMPUTED_VALUE"""),0.0)</f>
        <v>0</v>
      </c>
      <c r="W318" s="131" t="str">
        <f>IFERROR(__xludf.DUMMYFUNCTION("""COMPUTED_VALUE"""),"Yes")</f>
        <v>Yes</v>
      </c>
      <c r="X318" s="131" t="str">
        <f>IFERROR(__xludf.DUMMYFUNCTION("""COMPUTED_VALUE"""),"Yes")</f>
        <v>Yes</v>
      </c>
      <c r="Y318" s="131" t="str">
        <f>IFERROR(__xludf.DUMMYFUNCTION("""COMPUTED_VALUE"""),"S")</f>
        <v>S</v>
      </c>
      <c r="Z318" s="131"/>
      <c r="AA318" s="131"/>
      <c r="AB318" s="131"/>
      <c r="AC318" s="131"/>
      <c r="AD318" s="131"/>
      <c r="AE318" s="131"/>
      <c r="AF318" s="131"/>
      <c r="AG318" s="131"/>
      <c r="AH318" s="131"/>
      <c r="AI318" s="131"/>
      <c r="AJ318" s="131"/>
    </row>
    <row r="319">
      <c r="A319" s="126">
        <f>IFERROR(__xludf.DUMMYFUNCTION("""COMPUTED_VALUE"""),632.0)</f>
        <v>632</v>
      </c>
      <c r="B319" s="126" t="str">
        <f>IFERROR(__xludf.DUMMYFUNCTION("""COMPUTED_VALUE"""),"Profile-based power-aware workflow scheduling framework for energy-efficient data centers")</f>
        <v>Profile-based power-aware workflow scheduling framework for energy-efficient data centers</v>
      </c>
      <c r="C319" s="127" t="str">
        <f>IFERROR(__xludf.DUMMYFUNCTION("""COMPUTED_VALUE"""),"https://www.sciencedirect.com/science/article/pii/S0167739X18318491")</f>
        <v>https://www.sciencedirect.com/science/article/pii/S0167739X18318491</v>
      </c>
      <c r="D319" s="126" t="str">
        <f>IFERROR(__xludf.DUMMYFUNCTION("""COMPUTED_VALUE"""),"B Qureshi")</f>
        <v>B Qureshi</v>
      </c>
      <c r="E319" s="126" t="str">
        <f>IFERROR(__xludf.DUMMYFUNCTION("""COMPUTED_VALUE"""),"Elsevier")</f>
        <v>Elsevier</v>
      </c>
      <c r="F319" s="126" t="str">
        <f>IFERROR(__xludf.DUMMYFUNCTION("""COMPUTED_VALUE"""),"Elsevier")</f>
        <v>Elsevier</v>
      </c>
      <c r="G319" s="128" t="str">
        <f>IFERROR(__xludf.DUMMYFUNCTION("""COMPUTED_VALUE"""),"J")</f>
        <v>J</v>
      </c>
      <c r="H319" s="130">
        <f>IFERROR(__xludf.DUMMYFUNCTION("""COMPUTED_VALUE"""),2019.0)</f>
        <v>2019</v>
      </c>
      <c r="I319" s="130">
        <f>IFERROR(__xludf.DUMMYFUNCTION("""COMPUTED_VALUE"""),1.0)</f>
        <v>1</v>
      </c>
      <c r="J319" s="130">
        <f>IFERROR(__xludf.DUMMYFUNCTION("""COMPUTED_VALUE"""),1.0)</f>
        <v>1</v>
      </c>
      <c r="K319" s="130">
        <f>IFERROR(__xludf.DUMMYFUNCTION("""COMPUTED_VALUE"""),1.0)</f>
        <v>1</v>
      </c>
      <c r="L319" s="129">
        <f>IFERROR(__xludf.DUMMYFUNCTION("""COMPUTED_VALUE"""),1.0)</f>
        <v>1</v>
      </c>
      <c r="M319" s="130">
        <f>IFERROR(__xludf.DUMMYFUNCTION("""COMPUTED_VALUE"""),1.0)</f>
        <v>1</v>
      </c>
      <c r="N319" s="130">
        <f>IFERROR(__xludf.DUMMYFUNCTION("""COMPUTED_VALUE"""),0.0)</f>
        <v>0</v>
      </c>
      <c r="O319" s="130">
        <f>IFERROR(__xludf.DUMMYFUNCTION("""COMPUTED_VALUE"""),0.0)</f>
        <v>0</v>
      </c>
      <c r="P319" s="130">
        <f>IFERROR(__xludf.DUMMYFUNCTION("""COMPUTED_VALUE"""),0.0)</f>
        <v>0</v>
      </c>
      <c r="Q319" s="130">
        <f>IFERROR(__xludf.DUMMYFUNCTION("""COMPUTED_VALUE"""),0.0)</f>
        <v>0</v>
      </c>
      <c r="R319" s="130">
        <f>IFERROR(__xludf.DUMMYFUNCTION("""COMPUTED_VALUE"""),0.0)</f>
        <v>0</v>
      </c>
      <c r="S319" s="130">
        <f>IFERROR(__xludf.DUMMYFUNCTION("""COMPUTED_VALUE"""),0.0)</f>
        <v>0</v>
      </c>
      <c r="T319" s="130">
        <f>IFERROR(__xludf.DUMMYFUNCTION("""COMPUTED_VALUE"""),0.0)</f>
        <v>0</v>
      </c>
      <c r="U319" s="130">
        <f>IFERROR(__xludf.DUMMYFUNCTION("""COMPUTED_VALUE"""),0.0)</f>
        <v>0</v>
      </c>
      <c r="V319" s="130">
        <f>IFERROR(__xludf.DUMMYFUNCTION("""COMPUTED_VALUE"""),0.0)</f>
        <v>0</v>
      </c>
      <c r="W319" s="131" t="str">
        <f>IFERROR(__xludf.DUMMYFUNCTION("""COMPUTED_VALUE"""),"Yes")</f>
        <v>Yes</v>
      </c>
      <c r="X319" s="131" t="str">
        <f>IFERROR(__xludf.DUMMYFUNCTION("""COMPUTED_VALUE"""),"Yes")</f>
        <v>Yes</v>
      </c>
      <c r="Y319" s="131" t="str">
        <f>IFERROR(__xludf.DUMMYFUNCTION("""COMPUTED_VALUE"""),"S")</f>
        <v>S</v>
      </c>
      <c r="Z319" s="131"/>
      <c r="AA319" s="131"/>
      <c r="AB319" s="131"/>
      <c r="AC319" s="131"/>
      <c r="AD319" s="131"/>
      <c r="AE319" s="131"/>
      <c r="AF319" s="131"/>
      <c r="AG319" s="131"/>
      <c r="AH319" s="131"/>
      <c r="AI319" s="131"/>
      <c r="AJ319" s="131"/>
    </row>
    <row r="320">
      <c r="A320" s="126">
        <f>IFERROR(__xludf.DUMMYFUNCTION("""COMPUTED_VALUE"""),633.0)</f>
        <v>633</v>
      </c>
      <c r="B320" s="126" t="str">
        <f>IFERROR(__xludf.DUMMYFUNCTION("""COMPUTED_VALUE"""),"Performance-aware energy saving for data center networks")</f>
        <v>Performance-aware energy saving for data center networks</v>
      </c>
      <c r="C320" s="127" t="str">
        <f>IFERROR(__xludf.DUMMYFUNCTION("""COMPUTED_VALUE"""),"https://ieeexplore.ieee.org/abstract/document/8606104/")</f>
        <v>https://ieeexplore.ieee.org/abstract/document/8606104/</v>
      </c>
      <c r="D320" s="126" t="str">
        <f>IFERROR(__xludf.DUMMYFUNCTION("""COMPUTED_VALUE"""),"M Al-Tarazi, JM Chang")</f>
        <v>M Al-Tarazi, JM Chang</v>
      </c>
      <c r="E320" s="126" t="str">
        <f>IFERROR(__xludf.DUMMYFUNCTION("""COMPUTED_VALUE"""),"Institute of Electrical and Electronics Engineers")</f>
        <v>Institute of Electrical and Electronics Engineers</v>
      </c>
      <c r="F320" s="126" t="str">
        <f>IFERROR(__xludf.DUMMYFUNCTION("""COMPUTED_VALUE"""),"IEEE Xplore")</f>
        <v>IEEE Xplore</v>
      </c>
      <c r="G320" s="128" t="str">
        <f>IFERROR(__xludf.DUMMYFUNCTION("""COMPUTED_VALUE"""),"J")</f>
        <v>J</v>
      </c>
      <c r="H320" s="130">
        <f>IFERROR(__xludf.DUMMYFUNCTION("""COMPUTED_VALUE"""),2019.0)</f>
        <v>2019</v>
      </c>
      <c r="I320" s="130">
        <f>IFERROR(__xludf.DUMMYFUNCTION("""COMPUTED_VALUE"""),1.0)</f>
        <v>1</v>
      </c>
      <c r="J320" s="130">
        <f>IFERROR(__xludf.DUMMYFUNCTION("""COMPUTED_VALUE"""),1.0)</f>
        <v>1</v>
      </c>
      <c r="K320" s="130">
        <f>IFERROR(__xludf.DUMMYFUNCTION("""COMPUTED_VALUE"""),1.0)</f>
        <v>1</v>
      </c>
      <c r="L320" s="129">
        <f>IFERROR(__xludf.DUMMYFUNCTION("""COMPUTED_VALUE"""),1.0)</f>
        <v>1</v>
      </c>
      <c r="M320" s="130">
        <f>IFERROR(__xludf.DUMMYFUNCTION("""COMPUTED_VALUE"""),1.0)</f>
        <v>1</v>
      </c>
      <c r="N320" s="130">
        <f>IFERROR(__xludf.DUMMYFUNCTION("""COMPUTED_VALUE"""),0.0)</f>
        <v>0</v>
      </c>
      <c r="O320" s="130">
        <f>IFERROR(__xludf.DUMMYFUNCTION("""COMPUTED_VALUE"""),0.0)</f>
        <v>0</v>
      </c>
      <c r="P320" s="130">
        <f>IFERROR(__xludf.DUMMYFUNCTION("""COMPUTED_VALUE"""),0.0)</f>
        <v>0</v>
      </c>
      <c r="Q320" s="130">
        <f>IFERROR(__xludf.DUMMYFUNCTION("""COMPUTED_VALUE"""),0.0)</f>
        <v>0</v>
      </c>
      <c r="R320" s="130">
        <f>IFERROR(__xludf.DUMMYFUNCTION("""COMPUTED_VALUE"""),0.0)</f>
        <v>0</v>
      </c>
      <c r="S320" s="130">
        <f>IFERROR(__xludf.DUMMYFUNCTION("""COMPUTED_VALUE"""),0.0)</f>
        <v>0</v>
      </c>
      <c r="T320" s="130">
        <f>IFERROR(__xludf.DUMMYFUNCTION("""COMPUTED_VALUE"""),0.0)</f>
        <v>0</v>
      </c>
      <c r="U320" s="130">
        <f>IFERROR(__xludf.DUMMYFUNCTION("""COMPUTED_VALUE"""),0.0)</f>
        <v>0</v>
      </c>
      <c r="V320" s="130">
        <f>IFERROR(__xludf.DUMMYFUNCTION("""COMPUTED_VALUE"""),0.0)</f>
        <v>0</v>
      </c>
      <c r="W320" s="131" t="str">
        <f>IFERROR(__xludf.DUMMYFUNCTION("""COMPUTED_VALUE"""),"Yes")</f>
        <v>Yes</v>
      </c>
      <c r="X320" s="131" t="str">
        <f>IFERROR(__xludf.DUMMYFUNCTION("""COMPUTED_VALUE"""),"Yes")</f>
        <v>Yes</v>
      </c>
      <c r="Y320" s="131" t="str">
        <f>IFERROR(__xludf.DUMMYFUNCTION("""COMPUTED_VALUE"""),"S")</f>
        <v>S</v>
      </c>
      <c r="Z320" s="131"/>
      <c r="AA320" s="131"/>
      <c r="AB320" s="131"/>
      <c r="AC320" s="131"/>
      <c r="AD320" s="131"/>
      <c r="AE320" s="131"/>
      <c r="AF320" s="131"/>
      <c r="AG320" s="131"/>
      <c r="AH320" s="131"/>
      <c r="AI320" s="131"/>
      <c r="AJ320" s="131"/>
    </row>
    <row r="321">
      <c r="A321" s="126">
        <f>IFERROR(__xludf.DUMMYFUNCTION("""COMPUTED_VALUE"""),636.0)</f>
        <v>636</v>
      </c>
      <c r="B321" s="126" t="str">
        <f>IFERROR(__xludf.DUMMYFUNCTION("""COMPUTED_VALUE"""),"Energy-Efficient task scheduling in cloud data center-A temperature aware approach")</f>
        <v>Energy-Efficient task scheduling in cloud data center-A temperature aware approach</v>
      </c>
      <c r="C321" s="127" t="str">
        <f>IFERROR(__xludf.DUMMYFUNCTION("""COMPUTED_VALUE"""),"https://ieeexplore.ieee.org/abstract/document/8822159/")</f>
        <v>https://ieeexplore.ieee.org/abstract/document/8822159/</v>
      </c>
      <c r="D321" s="126" t="str">
        <f>IFERROR(__xludf.DUMMYFUNCTION("""COMPUTED_VALUE"""),"S Sobhanayak, AK Turuk")</f>
        <v>S Sobhanayak, AK Turuk</v>
      </c>
      <c r="E321" s="126" t="str">
        <f>IFERROR(__xludf.DUMMYFUNCTION("""COMPUTED_VALUE"""),"Institute of Electrical and Electronics Engineers")</f>
        <v>Institute of Electrical and Electronics Engineers</v>
      </c>
      <c r="F321" s="126" t="str">
        <f>IFERROR(__xludf.DUMMYFUNCTION("""COMPUTED_VALUE"""),"IEEE Xplore")</f>
        <v>IEEE Xplore</v>
      </c>
      <c r="G321" s="128"/>
      <c r="H321" s="130">
        <f>IFERROR(__xludf.DUMMYFUNCTION("""COMPUTED_VALUE"""),2019.0)</f>
        <v>2019</v>
      </c>
      <c r="I321" s="130"/>
      <c r="J321" s="130"/>
      <c r="K321" s="130"/>
      <c r="L321" s="129"/>
      <c r="M321" s="130"/>
      <c r="N321" s="130"/>
      <c r="O321" s="130">
        <f>IFERROR(__xludf.DUMMYFUNCTION("""COMPUTED_VALUE"""),1.0)</f>
        <v>1</v>
      </c>
      <c r="P321" s="130"/>
      <c r="Q321" s="130"/>
      <c r="R321" s="130"/>
      <c r="S321" s="130"/>
      <c r="T321" s="130"/>
      <c r="U321" s="130"/>
      <c r="V321" s="130"/>
      <c r="W321" s="131" t="str">
        <f>IFERROR(__xludf.DUMMYFUNCTION("""COMPUTED_VALUE"""),"No")</f>
        <v>No</v>
      </c>
      <c r="X321" s="131" t="str">
        <f>IFERROR(__xludf.DUMMYFUNCTION("""COMPUTED_VALUE"""),"Yes")</f>
        <v>Yes</v>
      </c>
      <c r="Y321" s="131" t="str">
        <f>IFERROR(__xludf.DUMMYFUNCTION("""COMPUTED_VALUE"""),"S")</f>
        <v>S</v>
      </c>
      <c r="Z321" s="131" t="str">
        <f>IFERROR(__xludf.DUMMYFUNCTION("""COMPUTED_VALUE"""),"thermal aware task scheduling")</f>
        <v>thermal aware task scheduling</v>
      </c>
      <c r="AA321" s="131"/>
      <c r="AB321" s="131"/>
      <c r="AC321" s="131"/>
      <c r="AD321" s="131"/>
      <c r="AE321" s="131"/>
      <c r="AF321" s="131"/>
      <c r="AG321" s="131"/>
      <c r="AH321" s="131"/>
      <c r="AI321" s="131"/>
      <c r="AJ321" s="131"/>
    </row>
    <row r="322">
      <c r="A322" s="126">
        <f>IFERROR(__xludf.DUMMYFUNCTION("""COMPUTED_VALUE"""),642.0)</f>
        <v>642</v>
      </c>
      <c r="B322" s="126" t="str">
        <f>IFERROR(__xludf.DUMMYFUNCTION("""COMPUTED_VALUE"""),"Joint Energy Optimization on the Server and Network Sides for Geo-Distributed Datacenters")</f>
        <v>Joint Energy Optimization on the Server and Network Sides for Geo-Distributed Datacenters</v>
      </c>
      <c r="C322" s="127" t="str">
        <f>IFERROR(__xludf.DUMMYFUNCTION("""COMPUTED_VALUE"""),"https://ieeexplore.ieee.org/abstract/document/8761333/")</f>
        <v>https://ieeexplore.ieee.org/abstract/document/8761333/</v>
      </c>
      <c r="D322" s="126" t="str">
        <f>IFERROR(__xludf.DUMMYFUNCTION("""COMPUTED_VALUE"""),"Y Qin, W Han, Y Yang, W Yang…")</f>
        <v>Y Qin, W Han, Y Yang, W Yang…</v>
      </c>
      <c r="E322" s="126" t="str">
        <f>IFERROR(__xludf.DUMMYFUNCTION("""COMPUTED_VALUE"""),"Institute of Electrical and Electronics Engineers")</f>
        <v>Institute of Electrical and Electronics Engineers</v>
      </c>
      <c r="F322" s="126" t="str">
        <f>IFERROR(__xludf.DUMMYFUNCTION("""COMPUTED_VALUE"""),"IEEE Xplore")</f>
        <v>IEEE Xplore</v>
      </c>
      <c r="G322" s="128"/>
      <c r="H322" s="130">
        <f>IFERROR(__xludf.DUMMYFUNCTION("""COMPUTED_VALUE"""),2019.0)</f>
        <v>2019</v>
      </c>
      <c r="I322" s="130">
        <f>IFERROR(__xludf.DUMMYFUNCTION("""COMPUTED_VALUE"""),0.0)</f>
        <v>0</v>
      </c>
      <c r="J322" s="130"/>
      <c r="K322" s="130"/>
      <c r="L322" s="129"/>
      <c r="M322" s="130"/>
      <c r="N322" s="130"/>
      <c r="O322" s="130"/>
      <c r="P322" s="130"/>
      <c r="Q322" s="130"/>
      <c r="R322" s="130"/>
      <c r="S322" s="130"/>
      <c r="T322" s="130"/>
      <c r="U322" s="130"/>
      <c r="V322" s="130"/>
      <c r="W322" s="131" t="str">
        <f>IFERROR(__xludf.DUMMYFUNCTION("""COMPUTED_VALUE"""),"No")</f>
        <v>No</v>
      </c>
      <c r="X322" s="131" t="str">
        <f>IFERROR(__xludf.DUMMYFUNCTION("""COMPUTED_VALUE"""),"Yes")</f>
        <v>Yes</v>
      </c>
      <c r="Y322" s="131" t="str">
        <f>IFERROR(__xludf.DUMMYFUNCTION("""COMPUTED_VALUE"""),"S")</f>
        <v>S</v>
      </c>
      <c r="Z322" s="131" t="str">
        <f>IFERROR(__xludf.DUMMYFUNCTION("""COMPUTED_VALUE"""),"cost-driven")</f>
        <v>cost-driven</v>
      </c>
      <c r="AA322" s="131"/>
      <c r="AB322" s="131"/>
      <c r="AC322" s="131"/>
      <c r="AD322" s="131"/>
      <c r="AE322" s="131"/>
      <c r="AF322" s="131"/>
      <c r="AG322" s="131"/>
      <c r="AH322" s="131"/>
      <c r="AI322" s="131"/>
      <c r="AJ322" s="131"/>
    </row>
    <row r="323">
      <c r="A323" s="126">
        <f>IFERROR(__xludf.DUMMYFUNCTION("""COMPUTED_VALUE"""),645.0)</f>
        <v>645</v>
      </c>
      <c r="B323" s="126" t="str">
        <f>IFERROR(__xludf.DUMMYFUNCTION("""COMPUTED_VALUE"""),"On Dependability Traffic Load and Energy Consumption Tradeoff in Data Center Networks")</f>
        <v>On Dependability Traffic Load and Energy Consumption Tradeoff in Data Center Networks</v>
      </c>
      <c r="C323" s="127" t="str">
        <f>IFERROR(__xludf.DUMMYFUNCTION("""COMPUTED_VALUE"""),"https://www.qscience.com/content/papers/10.5339/qfarc.2018.ICTPD814")</f>
        <v>https://www.qscience.com/content/papers/10.5339/qfarc.2018.ICTPD814</v>
      </c>
      <c r="D323" s="126" t="str">
        <f>IFERROR(__xludf.DUMMYFUNCTION("""COMPUTED_VALUE"""),"Z Chkirbene, A Gouissem, R Hamila…")</f>
        <v>Z Chkirbene, A Gouissem, R Hamila…</v>
      </c>
      <c r="E323" s="127" t="str">
        <f>IFERROR(__xludf.DUMMYFUNCTION("""COMPUTED_VALUE"""),"qscience.com")</f>
        <v>qscience.com</v>
      </c>
      <c r="F323" s="127" t="str">
        <f>IFERROR(__xludf.DUMMYFUNCTION("""COMPUTED_VALUE"""),"qscience.com")</f>
        <v>qscience.com</v>
      </c>
      <c r="G323" s="128"/>
      <c r="H323" s="130">
        <f>IFERROR(__xludf.DUMMYFUNCTION("""COMPUTED_VALUE"""),2018.0)</f>
        <v>2018</v>
      </c>
      <c r="I323" s="130"/>
      <c r="J323" s="130"/>
      <c r="K323" s="130"/>
      <c r="L323" s="129"/>
      <c r="M323" s="130"/>
      <c r="N323" s="130"/>
      <c r="O323" s="130"/>
      <c r="P323" s="130"/>
      <c r="Q323" s="130"/>
      <c r="R323" s="130"/>
      <c r="S323" s="130"/>
      <c r="T323" s="130">
        <f>IFERROR(__xludf.DUMMYFUNCTION("""COMPUTED_VALUE"""),1.0)</f>
        <v>1</v>
      </c>
      <c r="U323" s="130"/>
      <c r="V323" s="130"/>
      <c r="W323" s="131" t="str">
        <f>IFERROR(__xludf.DUMMYFUNCTION("""COMPUTED_VALUE"""),"No")</f>
        <v>No</v>
      </c>
      <c r="X323" s="131" t="str">
        <f>IFERROR(__xludf.DUMMYFUNCTION("""COMPUTED_VALUE"""),"Yes")</f>
        <v>Yes</v>
      </c>
      <c r="Y323" s="131" t="str">
        <f>IFERROR(__xludf.DUMMYFUNCTION("""COMPUTED_VALUE"""),"S")</f>
        <v>S</v>
      </c>
      <c r="Z323" s="131" t="str">
        <f>IFERROR(__xludf.DUMMYFUNCTION("""COMPUTED_VALUE"""),"poster")</f>
        <v>poster</v>
      </c>
      <c r="AA323" s="131"/>
      <c r="AB323" s="131"/>
      <c r="AC323" s="131"/>
      <c r="AD323" s="131"/>
      <c r="AE323" s="131"/>
      <c r="AF323" s="131"/>
      <c r="AG323" s="131"/>
      <c r="AH323" s="131"/>
      <c r="AI323" s="131"/>
      <c r="AJ323" s="131"/>
    </row>
    <row r="324">
      <c r="A324" s="126">
        <f>IFERROR(__xludf.DUMMYFUNCTION("""COMPUTED_VALUE"""),646.0)</f>
        <v>646</v>
      </c>
      <c r="B324" s="126" t="str">
        <f>IFERROR(__xludf.DUMMYFUNCTION("""COMPUTED_VALUE"""),"Energy-aware dynamic virtual machine consolidation for cloud datacenters")</f>
        <v>Energy-aware dynamic virtual machine consolidation for cloud datacenters</v>
      </c>
      <c r="C324" s="127" t="str">
        <f>IFERROR(__xludf.DUMMYFUNCTION("""COMPUTED_VALUE"""),"https://ieeexplore.ieee.org/abstract/document/8308710/")</f>
        <v>https://ieeexplore.ieee.org/abstract/document/8308710/</v>
      </c>
      <c r="D324" s="126" t="str">
        <f>IFERROR(__xludf.DUMMYFUNCTION("""COMPUTED_VALUE"""),"H Wang, H Tianfield")</f>
        <v>H Wang, H Tianfield</v>
      </c>
      <c r="E324" s="126" t="str">
        <f>IFERROR(__xludf.DUMMYFUNCTION("""COMPUTED_VALUE"""),"Institute of Electrical and Electronics Engineers")</f>
        <v>Institute of Electrical and Electronics Engineers</v>
      </c>
      <c r="F324" s="126" t="str">
        <f>IFERROR(__xludf.DUMMYFUNCTION("""COMPUTED_VALUE"""),"IEEE Xplore")</f>
        <v>IEEE Xplore</v>
      </c>
      <c r="G324" s="128" t="str">
        <f>IFERROR(__xludf.DUMMYFUNCTION("""COMPUTED_VALUE"""),"J")</f>
        <v>J</v>
      </c>
      <c r="H324" s="130">
        <f>IFERROR(__xludf.DUMMYFUNCTION("""COMPUTED_VALUE"""),2018.0)</f>
        <v>2018</v>
      </c>
      <c r="I324" s="130">
        <f>IFERROR(__xludf.DUMMYFUNCTION("""COMPUTED_VALUE"""),1.0)</f>
        <v>1</v>
      </c>
      <c r="J324" s="130">
        <f>IFERROR(__xludf.DUMMYFUNCTION("""COMPUTED_VALUE"""),1.0)</f>
        <v>1</v>
      </c>
      <c r="K324" s="130">
        <f>IFERROR(__xludf.DUMMYFUNCTION("""COMPUTED_VALUE"""),1.0)</f>
        <v>1</v>
      </c>
      <c r="L324" s="129">
        <f>IFERROR(__xludf.DUMMYFUNCTION("""COMPUTED_VALUE"""),1.0)</f>
        <v>1</v>
      </c>
      <c r="M324" s="130">
        <f>IFERROR(__xludf.DUMMYFUNCTION("""COMPUTED_VALUE"""),1.0)</f>
        <v>1</v>
      </c>
      <c r="N324" s="130">
        <f>IFERROR(__xludf.DUMMYFUNCTION("""COMPUTED_VALUE"""),0.0)</f>
        <v>0</v>
      </c>
      <c r="O324" s="130">
        <f>IFERROR(__xludf.DUMMYFUNCTION("""COMPUTED_VALUE"""),0.0)</f>
        <v>0</v>
      </c>
      <c r="P324" s="130">
        <f>IFERROR(__xludf.DUMMYFUNCTION("""COMPUTED_VALUE"""),0.0)</f>
        <v>0</v>
      </c>
      <c r="Q324" s="130">
        <f>IFERROR(__xludf.DUMMYFUNCTION("""COMPUTED_VALUE"""),0.0)</f>
        <v>0</v>
      </c>
      <c r="R324" s="130">
        <f>IFERROR(__xludf.DUMMYFUNCTION("""COMPUTED_VALUE"""),0.0)</f>
        <v>0</v>
      </c>
      <c r="S324" s="130">
        <f>IFERROR(__xludf.DUMMYFUNCTION("""COMPUTED_VALUE"""),0.0)</f>
        <v>0</v>
      </c>
      <c r="T324" s="130">
        <f>IFERROR(__xludf.DUMMYFUNCTION("""COMPUTED_VALUE"""),0.0)</f>
        <v>0</v>
      </c>
      <c r="U324" s="130">
        <f>IFERROR(__xludf.DUMMYFUNCTION("""COMPUTED_VALUE"""),0.0)</f>
        <v>0</v>
      </c>
      <c r="V324" s="130">
        <f>IFERROR(__xludf.DUMMYFUNCTION("""COMPUTED_VALUE"""),0.0)</f>
        <v>0</v>
      </c>
      <c r="W324" s="131" t="str">
        <f>IFERROR(__xludf.DUMMYFUNCTION("""COMPUTED_VALUE"""),"Yes")</f>
        <v>Yes</v>
      </c>
      <c r="X324" s="131" t="str">
        <f>IFERROR(__xludf.DUMMYFUNCTION("""COMPUTED_VALUE"""),"Yes")</f>
        <v>Yes</v>
      </c>
      <c r="Y324" s="131" t="str">
        <f>IFERROR(__xludf.DUMMYFUNCTION("""COMPUTED_VALUE"""),"S")</f>
        <v>S</v>
      </c>
      <c r="Z324" s="131"/>
      <c r="AA324" s="131"/>
      <c r="AB324" s="131"/>
      <c r="AC324" s="131"/>
      <c r="AD324" s="131"/>
      <c r="AE324" s="131"/>
      <c r="AF324" s="131"/>
      <c r="AG324" s="131"/>
      <c r="AH324" s="131"/>
      <c r="AI324" s="131"/>
      <c r="AJ324" s="131"/>
    </row>
    <row r="325">
      <c r="A325" s="126">
        <f>IFERROR(__xludf.DUMMYFUNCTION("""COMPUTED_VALUE"""),647.0)</f>
        <v>647</v>
      </c>
      <c r="B325" s="126" t="str">
        <f>IFERROR(__xludf.DUMMYFUNCTION("""COMPUTED_VALUE"""),"An energy-efficient strategy for virtual machine allocation over cloud data centers")</f>
        <v>An energy-efficient strategy for virtual machine allocation over cloud data centers</v>
      </c>
      <c r="C325" s="127" t="str">
        <f>IFERROR(__xludf.DUMMYFUNCTION("""COMPUTED_VALUE"""),"https://link.springer.com/article/10.1007/s10922-019-09489-w")</f>
        <v>https://link.springer.com/article/10.1007/s10922-019-09489-w</v>
      </c>
      <c r="D325" s="126" t="str">
        <f>IFERROR(__xludf.DUMMYFUNCTION("""COMPUTED_VALUE"""),"X Qie, S Jin, W Yue")</f>
        <v>X Qie, S Jin, W Yue</v>
      </c>
      <c r="E325" s="126" t="str">
        <f>IFERROR(__xludf.DUMMYFUNCTION("""COMPUTED_VALUE"""),"Springer")</f>
        <v>Springer</v>
      </c>
      <c r="F325" s="126" t="str">
        <f>IFERROR(__xludf.DUMMYFUNCTION("""COMPUTED_VALUE"""),"Springer")</f>
        <v>Springer</v>
      </c>
      <c r="G325" s="128" t="str">
        <f>IFERROR(__xludf.DUMMYFUNCTION("""COMPUTED_VALUE"""),"J")</f>
        <v>J</v>
      </c>
      <c r="H325" s="130">
        <f>IFERROR(__xludf.DUMMYFUNCTION("""COMPUTED_VALUE"""),2019.0)</f>
        <v>2019</v>
      </c>
      <c r="I325" s="130">
        <f>IFERROR(__xludf.DUMMYFUNCTION("""COMPUTED_VALUE"""),1.0)</f>
        <v>1</v>
      </c>
      <c r="J325" s="130">
        <f>IFERROR(__xludf.DUMMYFUNCTION("""COMPUTED_VALUE"""),1.0)</f>
        <v>1</v>
      </c>
      <c r="K325" s="130">
        <f>IFERROR(__xludf.DUMMYFUNCTION("""COMPUTED_VALUE"""),1.0)</f>
        <v>1</v>
      </c>
      <c r="L325" s="129">
        <f>IFERROR(__xludf.DUMMYFUNCTION("""COMPUTED_VALUE"""),1.0)</f>
        <v>1</v>
      </c>
      <c r="M325" s="130">
        <f>IFERROR(__xludf.DUMMYFUNCTION("""COMPUTED_VALUE"""),1.0)</f>
        <v>1</v>
      </c>
      <c r="N325" s="130">
        <f>IFERROR(__xludf.DUMMYFUNCTION("""COMPUTED_VALUE"""),0.0)</f>
        <v>0</v>
      </c>
      <c r="O325" s="130">
        <f>IFERROR(__xludf.DUMMYFUNCTION("""COMPUTED_VALUE"""),0.0)</f>
        <v>0</v>
      </c>
      <c r="P325" s="130">
        <f>IFERROR(__xludf.DUMMYFUNCTION("""COMPUTED_VALUE"""),0.0)</f>
        <v>0</v>
      </c>
      <c r="Q325" s="130">
        <f>IFERROR(__xludf.DUMMYFUNCTION("""COMPUTED_VALUE"""),0.0)</f>
        <v>0</v>
      </c>
      <c r="R325" s="130">
        <f>IFERROR(__xludf.DUMMYFUNCTION("""COMPUTED_VALUE"""),0.0)</f>
        <v>0</v>
      </c>
      <c r="S325" s="130">
        <f>IFERROR(__xludf.DUMMYFUNCTION("""COMPUTED_VALUE"""),0.0)</f>
        <v>0</v>
      </c>
      <c r="T325" s="130">
        <f>IFERROR(__xludf.DUMMYFUNCTION("""COMPUTED_VALUE"""),0.0)</f>
        <v>0</v>
      </c>
      <c r="U325" s="130">
        <f>IFERROR(__xludf.DUMMYFUNCTION("""COMPUTED_VALUE"""),0.0)</f>
        <v>0</v>
      </c>
      <c r="V325" s="130">
        <f>IFERROR(__xludf.DUMMYFUNCTION("""COMPUTED_VALUE"""),0.0)</f>
        <v>0</v>
      </c>
      <c r="W325" s="131" t="str">
        <f>IFERROR(__xludf.DUMMYFUNCTION("""COMPUTED_VALUE"""),"Yes")</f>
        <v>Yes</v>
      </c>
      <c r="X325" s="131" t="str">
        <f>IFERROR(__xludf.DUMMYFUNCTION("""COMPUTED_VALUE"""),"Yes")</f>
        <v>Yes</v>
      </c>
      <c r="Y325" s="131" t="str">
        <f>IFERROR(__xludf.DUMMYFUNCTION("""COMPUTED_VALUE"""),"S")</f>
        <v>S</v>
      </c>
      <c r="Z325" s="131"/>
      <c r="AA325" s="131"/>
      <c r="AB325" s="131"/>
      <c r="AC325" s="131"/>
      <c r="AD325" s="131"/>
      <c r="AE325" s="131"/>
      <c r="AF325" s="131"/>
      <c r="AG325" s="131"/>
      <c r="AH325" s="131"/>
      <c r="AI325" s="131"/>
      <c r="AJ325" s="131"/>
    </row>
    <row r="326">
      <c r="A326" s="126">
        <f>IFERROR(__xludf.DUMMYFUNCTION("""COMPUTED_VALUE"""),649.0)</f>
        <v>649</v>
      </c>
      <c r="B326" s="126" t="str">
        <f>IFERROR(__xludf.DUMMYFUNCTION("""COMPUTED_VALUE"""),"Optimal asynchronous dynamic policies in energy-efficient data centers")</f>
        <v>Optimal asynchronous dynamic policies in energy-efficient data centers</v>
      </c>
      <c r="C326" s="127" t="str">
        <f>IFERROR(__xludf.DUMMYFUNCTION("""COMPUTED_VALUE"""),"https://arxiv.org/abs/1901.03371")</f>
        <v>https://arxiv.org/abs/1901.03371</v>
      </c>
      <c r="D326" s="126" t="str">
        <f>IFERROR(__xludf.DUMMYFUNCTION("""COMPUTED_VALUE"""),"JY Ma, QL Li, L Xia")</f>
        <v>JY Ma, QL Li, L Xia</v>
      </c>
      <c r="E326" s="127" t="str">
        <f>IFERROR(__xludf.DUMMYFUNCTION("""COMPUTED_VALUE"""),"arxiv.org")</f>
        <v>arxiv.org</v>
      </c>
      <c r="F326" s="127" t="str">
        <f>IFERROR(__xludf.DUMMYFUNCTION("""COMPUTED_VALUE"""),"arxiv.org")</f>
        <v>arxiv.org</v>
      </c>
      <c r="G326" s="128"/>
      <c r="H326" s="130">
        <f>IFERROR(__xludf.DUMMYFUNCTION("""COMPUTED_VALUE"""),2019.0)</f>
        <v>2019</v>
      </c>
      <c r="I326" s="130"/>
      <c r="J326" s="130"/>
      <c r="K326" s="130"/>
      <c r="L326" s="129"/>
      <c r="M326" s="130"/>
      <c r="N326" s="130"/>
      <c r="O326" s="130"/>
      <c r="P326" s="130"/>
      <c r="Q326" s="130"/>
      <c r="R326" s="130"/>
      <c r="S326" s="130"/>
      <c r="T326" s="130"/>
      <c r="U326" s="130">
        <f>IFERROR(__xludf.DUMMYFUNCTION("""COMPUTED_VALUE"""),1.0)</f>
        <v>1</v>
      </c>
      <c r="V326" s="130"/>
      <c r="W326" s="131" t="str">
        <f>IFERROR(__xludf.DUMMYFUNCTION("""COMPUTED_VALUE"""),"No")</f>
        <v>No</v>
      </c>
      <c r="X326" s="131" t="str">
        <f>IFERROR(__xludf.DUMMYFUNCTION("""COMPUTED_VALUE"""),"Yes")</f>
        <v>Yes</v>
      </c>
      <c r="Y326" s="131" t="str">
        <f>IFERROR(__xludf.DUMMYFUNCTION("""COMPUTED_VALUE"""),"S")</f>
        <v>S</v>
      </c>
      <c r="Z326" s="131" t="str">
        <f>IFERROR(__xludf.DUMMYFUNCTION("""COMPUTED_VALUE"""),"See article published by springer (ID 651)")</f>
        <v>See article published by springer (ID 651)</v>
      </c>
      <c r="AA326" s="131"/>
      <c r="AB326" s="131"/>
      <c r="AC326" s="131"/>
      <c r="AD326" s="131"/>
      <c r="AE326" s="131"/>
      <c r="AF326" s="131"/>
      <c r="AG326" s="131"/>
      <c r="AH326" s="131"/>
      <c r="AI326" s="131"/>
      <c r="AJ326" s="131"/>
    </row>
    <row r="327">
      <c r="A327" s="126">
        <f>IFERROR(__xludf.DUMMYFUNCTION("""COMPUTED_VALUE"""),650.0)</f>
        <v>650</v>
      </c>
      <c r="B327" s="126" t="str">
        <f>IFERROR(__xludf.DUMMYFUNCTION("""COMPUTED_VALUE"""),"Optimal energy-efficient policies for data centers through sensitivity-based optimization")</f>
        <v>Optimal energy-efficient policies for data centers through sensitivity-based optimization</v>
      </c>
      <c r="C327" s="127" t="str">
        <f>IFERROR(__xludf.DUMMYFUNCTION("""COMPUTED_VALUE"""),"https://link.springer.com/article/10.1007/s10626-019-00293-x")</f>
        <v>https://link.springer.com/article/10.1007/s10626-019-00293-x</v>
      </c>
      <c r="D327" s="126" t="str">
        <f>IFERROR(__xludf.DUMMYFUNCTION("""COMPUTED_VALUE"""),"JY Ma, L Xia, QL Li")</f>
        <v>JY Ma, L Xia, QL Li</v>
      </c>
      <c r="E327" s="126" t="str">
        <f>IFERROR(__xludf.DUMMYFUNCTION("""COMPUTED_VALUE"""),"Springer")</f>
        <v>Springer</v>
      </c>
      <c r="F327" s="126" t="str">
        <f>IFERROR(__xludf.DUMMYFUNCTION("""COMPUTED_VALUE"""),"Springer")</f>
        <v>Springer</v>
      </c>
      <c r="G327" s="128" t="str">
        <f>IFERROR(__xludf.DUMMYFUNCTION("""COMPUTED_VALUE"""),"J")</f>
        <v>J</v>
      </c>
      <c r="H327" s="130">
        <f>IFERROR(__xludf.DUMMYFUNCTION("""COMPUTED_VALUE"""),2019.0)</f>
        <v>2019</v>
      </c>
      <c r="I327" s="130">
        <f>IFERROR(__xludf.DUMMYFUNCTION("""COMPUTED_VALUE"""),1.0)</f>
        <v>1</v>
      </c>
      <c r="J327" s="130">
        <f>IFERROR(__xludf.DUMMYFUNCTION("""COMPUTED_VALUE"""),1.0)</f>
        <v>1</v>
      </c>
      <c r="K327" s="130">
        <f>IFERROR(__xludf.DUMMYFUNCTION("""COMPUTED_VALUE"""),1.0)</f>
        <v>1</v>
      </c>
      <c r="L327" s="129">
        <f>IFERROR(__xludf.DUMMYFUNCTION("""COMPUTED_VALUE"""),1.0)</f>
        <v>1</v>
      </c>
      <c r="M327" s="130">
        <f>IFERROR(__xludf.DUMMYFUNCTION("""COMPUTED_VALUE"""),1.0)</f>
        <v>1</v>
      </c>
      <c r="N327" s="130">
        <f>IFERROR(__xludf.DUMMYFUNCTION("""COMPUTED_VALUE"""),0.0)</f>
        <v>0</v>
      </c>
      <c r="O327" s="130">
        <f>IFERROR(__xludf.DUMMYFUNCTION("""COMPUTED_VALUE"""),0.0)</f>
        <v>0</v>
      </c>
      <c r="P327" s="130">
        <f>IFERROR(__xludf.DUMMYFUNCTION("""COMPUTED_VALUE"""),0.0)</f>
        <v>0</v>
      </c>
      <c r="Q327" s="130">
        <f>IFERROR(__xludf.DUMMYFUNCTION("""COMPUTED_VALUE"""),0.0)</f>
        <v>0</v>
      </c>
      <c r="R327" s="130">
        <f>IFERROR(__xludf.DUMMYFUNCTION("""COMPUTED_VALUE"""),0.0)</f>
        <v>0</v>
      </c>
      <c r="S327" s="130">
        <f>IFERROR(__xludf.DUMMYFUNCTION("""COMPUTED_VALUE"""),0.0)</f>
        <v>0</v>
      </c>
      <c r="T327" s="130">
        <f>IFERROR(__xludf.DUMMYFUNCTION("""COMPUTED_VALUE"""),0.0)</f>
        <v>0</v>
      </c>
      <c r="U327" s="130">
        <f>IFERROR(__xludf.DUMMYFUNCTION("""COMPUTED_VALUE"""),0.0)</f>
        <v>0</v>
      </c>
      <c r="V327" s="130">
        <f>IFERROR(__xludf.DUMMYFUNCTION("""COMPUTED_VALUE"""),0.0)</f>
        <v>0</v>
      </c>
      <c r="W327" s="131" t="str">
        <f>IFERROR(__xludf.DUMMYFUNCTION("""COMPUTED_VALUE"""),"Yes")</f>
        <v>Yes</v>
      </c>
      <c r="X327" s="131" t="str">
        <f>IFERROR(__xludf.DUMMYFUNCTION("""COMPUTED_VALUE"""),"Yes")</f>
        <v>Yes</v>
      </c>
      <c r="Y327" s="131" t="str">
        <f>IFERROR(__xludf.DUMMYFUNCTION("""COMPUTED_VALUE"""),"S")</f>
        <v>S</v>
      </c>
      <c r="Z327" s="131"/>
      <c r="AA327" s="131"/>
      <c r="AB327" s="131"/>
      <c r="AC327" s="131"/>
      <c r="AD327" s="131"/>
      <c r="AE327" s="131"/>
      <c r="AF327" s="131"/>
      <c r="AG327" s="131"/>
      <c r="AH327" s="131"/>
      <c r="AI327" s="131"/>
      <c r="AJ327" s="131"/>
    </row>
    <row r="328">
      <c r="A328" s="126"/>
      <c r="B328" s="126"/>
      <c r="C328" s="126"/>
      <c r="D328" s="126"/>
      <c r="E328" s="126"/>
      <c r="F328" s="126"/>
      <c r="G328" s="128"/>
      <c r="H328" s="130"/>
      <c r="I328" s="130"/>
      <c r="J328" s="130"/>
      <c r="K328" s="130"/>
      <c r="L328" s="129"/>
      <c r="M328" s="130"/>
      <c r="N328" s="130"/>
      <c r="O328" s="130"/>
      <c r="P328" s="130"/>
      <c r="Q328" s="130"/>
      <c r="R328" s="130"/>
      <c r="S328" s="130"/>
      <c r="T328" s="130"/>
      <c r="U328" s="130"/>
      <c r="V328" s="130"/>
      <c r="W328" s="131"/>
      <c r="X328" s="131"/>
      <c r="Y328" s="131"/>
      <c r="Z328" s="131"/>
      <c r="AA328" s="131"/>
      <c r="AB328" s="131"/>
      <c r="AC328" s="131"/>
      <c r="AD328" s="131"/>
      <c r="AE328" s="131"/>
      <c r="AF328" s="131"/>
      <c r="AG328" s="131"/>
      <c r="AH328" s="131"/>
      <c r="AI328" s="131"/>
      <c r="AJ328" s="131"/>
    </row>
    <row r="329">
      <c r="A329" s="126"/>
      <c r="B329" s="126"/>
      <c r="C329" s="126"/>
      <c r="D329" s="126"/>
      <c r="E329" s="126"/>
      <c r="F329" s="126"/>
      <c r="G329" s="128"/>
      <c r="H329" s="130"/>
      <c r="I329" s="130"/>
      <c r="J329" s="130"/>
      <c r="K329" s="130"/>
      <c r="L329" s="129"/>
      <c r="M329" s="130"/>
      <c r="N329" s="130"/>
      <c r="O329" s="130"/>
      <c r="P329" s="130"/>
      <c r="Q329" s="130"/>
      <c r="R329" s="130"/>
      <c r="S329" s="130"/>
      <c r="T329" s="130"/>
      <c r="U329" s="130"/>
      <c r="V329" s="130"/>
      <c r="W329" s="131"/>
      <c r="X329" s="131"/>
      <c r="Y329" s="131"/>
      <c r="Z329" s="131"/>
      <c r="AA329" s="131"/>
      <c r="AB329" s="131"/>
      <c r="AC329" s="131"/>
      <c r="AD329" s="131"/>
      <c r="AE329" s="131"/>
      <c r="AF329" s="131"/>
      <c r="AG329" s="131"/>
      <c r="AH329" s="131"/>
      <c r="AI329" s="131"/>
      <c r="AJ329" s="131"/>
    </row>
    <row r="330">
      <c r="A330" s="126"/>
      <c r="B330" s="126"/>
      <c r="C330" s="126"/>
      <c r="D330" s="126"/>
      <c r="E330" s="126"/>
      <c r="F330" s="126"/>
      <c r="G330" s="128"/>
      <c r="H330" s="130"/>
      <c r="I330" s="130"/>
      <c r="J330" s="130"/>
      <c r="K330" s="130"/>
      <c r="L330" s="129"/>
      <c r="M330" s="130"/>
      <c r="N330" s="130"/>
      <c r="O330" s="130"/>
      <c r="P330" s="130"/>
      <c r="Q330" s="130"/>
      <c r="R330" s="130"/>
      <c r="S330" s="130"/>
      <c r="T330" s="130"/>
      <c r="U330" s="130"/>
      <c r="V330" s="130"/>
      <c r="W330" s="131"/>
      <c r="X330" s="131"/>
      <c r="Y330" s="131"/>
      <c r="Z330" s="131"/>
      <c r="AA330" s="131"/>
      <c r="AB330" s="131"/>
      <c r="AC330" s="131"/>
      <c r="AD330" s="131"/>
      <c r="AE330" s="131"/>
      <c r="AF330" s="131"/>
      <c r="AG330" s="131"/>
      <c r="AH330" s="131"/>
      <c r="AI330" s="131"/>
      <c r="AJ330" s="131"/>
    </row>
    <row r="331">
      <c r="A331" s="126"/>
      <c r="B331" s="126"/>
      <c r="C331" s="126"/>
      <c r="D331" s="126"/>
      <c r="E331" s="126"/>
      <c r="F331" s="126"/>
      <c r="G331" s="128"/>
      <c r="H331" s="130"/>
      <c r="I331" s="130"/>
      <c r="J331" s="130"/>
      <c r="K331" s="130"/>
      <c r="L331" s="129"/>
      <c r="M331" s="130"/>
      <c r="N331" s="130"/>
      <c r="O331" s="130"/>
      <c r="P331" s="130"/>
      <c r="Q331" s="130"/>
      <c r="R331" s="130"/>
      <c r="S331" s="130"/>
      <c r="T331" s="130"/>
      <c r="U331" s="130"/>
      <c r="V331" s="130"/>
      <c r="W331" s="131"/>
      <c r="X331" s="131"/>
      <c r="Y331" s="131"/>
      <c r="Z331" s="131"/>
      <c r="AA331" s="131"/>
      <c r="AB331" s="131"/>
      <c r="AC331" s="131"/>
      <c r="AD331" s="131"/>
      <c r="AE331" s="131"/>
      <c r="AF331" s="131"/>
      <c r="AG331" s="131"/>
      <c r="AH331" s="131"/>
      <c r="AI331" s="131"/>
      <c r="AJ331" s="131"/>
    </row>
    <row r="332">
      <c r="A332" s="126"/>
      <c r="B332" s="126"/>
      <c r="C332" s="126"/>
      <c r="D332" s="126"/>
      <c r="E332" s="126"/>
      <c r="F332" s="126"/>
      <c r="G332" s="128"/>
      <c r="H332" s="130"/>
      <c r="I332" s="130"/>
      <c r="J332" s="130"/>
      <c r="K332" s="130"/>
      <c r="L332" s="129"/>
      <c r="M332" s="130"/>
      <c r="N332" s="130"/>
      <c r="O332" s="130"/>
      <c r="P332" s="130"/>
      <c r="Q332" s="130"/>
      <c r="R332" s="130"/>
      <c r="S332" s="130"/>
      <c r="T332" s="130"/>
      <c r="U332" s="130"/>
      <c r="V332" s="130"/>
      <c r="W332" s="131"/>
      <c r="X332" s="131"/>
      <c r="Y332" s="131"/>
      <c r="Z332" s="131"/>
      <c r="AA332" s="131"/>
      <c r="AB332" s="131"/>
      <c r="AC332" s="131"/>
      <c r="AD332" s="131"/>
      <c r="AE332" s="131"/>
      <c r="AF332" s="131"/>
      <c r="AG332" s="131"/>
      <c r="AH332" s="131"/>
      <c r="AI332" s="131"/>
      <c r="AJ332" s="131"/>
    </row>
    <row r="333">
      <c r="A333" s="126"/>
      <c r="B333" s="126"/>
      <c r="C333" s="126"/>
      <c r="D333" s="126"/>
      <c r="E333" s="126"/>
      <c r="F333" s="126"/>
      <c r="G333" s="128"/>
      <c r="H333" s="130"/>
      <c r="I333" s="130"/>
      <c r="J333" s="130"/>
      <c r="K333" s="130"/>
      <c r="L333" s="129"/>
      <c r="M333" s="130"/>
      <c r="N333" s="130"/>
      <c r="O333" s="130"/>
      <c r="P333" s="130"/>
      <c r="Q333" s="130"/>
      <c r="R333" s="130"/>
      <c r="S333" s="130"/>
      <c r="T333" s="130"/>
      <c r="U333" s="130"/>
      <c r="V333" s="130"/>
      <c r="W333" s="131"/>
      <c r="X333" s="131"/>
      <c r="Y333" s="131"/>
      <c r="Z333" s="131"/>
      <c r="AA333" s="131"/>
      <c r="AB333" s="131"/>
      <c r="AC333" s="131"/>
      <c r="AD333" s="131"/>
      <c r="AE333" s="131"/>
      <c r="AF333" s="131"/>
      <c r="AG333" s="131"/>
      <c r="AH333" s="131"/>
      <c r="AI333" s="131"/>
      <c r="AJ333" s="131"/>
    </row>
    <row r="334">
      <c r="A334" s="126"/>
      <c r="B334" s="126"/>
      <c r="C334" s="126"/>
      <c r="D334" s="126"/>
      <c r="E334" s="126"/>
      <c r="F334" s="126"/>
      <c r="G334" s="128"/>
      <c r="H334" s="130"/>
      <c r="I334" s="130"/>
      <c r="J334" s="130"/>
      <c r="K334" s="130"/>
      <c r="L334" s="129"/>
      <c r="M334" s="130"/>
      <c r="N334" s="130"/>
      <c r="O334" s="130"/>
      <c r="P334" s="130"/>
      <c r="Q334" s="130"/>
      <c r="R334" s="130"/>
      <c r="S334" s="130"/>
      <c r="T334" s="130"/>
      <c r="U334" s="130"/>
      <c r="V334" s="130"/>
      <c r="W334" s="131"/>
      <c r="X334" s="131"/>
      <c r="Y334" s="131"/>
      <c r="Z334" s="131"/>
      <c r="AA334" s="131"/>
      <c r="AB334" s="131"/>
      <c r="AC334" s="131"/>
      <c r="AD334" s="131"/>
      <c r="AE334" s="131"/>
      <c r="AF334" s="131"/>
      <c r="AG334" s="131"/>
      <c r="AH334" s="131"/>
      <c r="AI334" s="131"/>
      <c r="AJ334" s="131"/>
    </row>
    <row r="335">
      <c r="A335" s="126"/>
      <c r="B335" s="126"/>
      <c r="C335" s="126"/>
      <c r="D335" s="126"/>
      <c r="E335" s="126"/>
      <c r="F335" s="126"/>
      <c r="G335" s="128"/>
      <c r="H335" s="130"/>
      <c r="I335" s="130"/>
      <c r="J335" s="130"/>
      <c r="K335" s="130"/>
      <c r="L335" s="129"/>
      <c r="M335" s="130"/>
      <c r="N335" s="130"/>
      <c r="O335" s="130"/>
      <c r="P335" s="130"/>
      <c r="Q335" s="130"/>
      <c r="R335" s="130"/>
      <c r="S335" s="130"/>
      <c r="T335" s="130"/>
      <c r="U335" s="130"/>
      <c r="V335" s="130"/>
      <c r="W335" s="131"/>
      <c r="X335" s="131"/>
      <c r="Y335" s="131"/>
      <c r="Z335" s="131"/>
      <c r="AA335" s="131"/>
      <c r="AB335" s="131"/>
      <c r="AC335" s="131"/>
      <c r="AD335" s="131"/>
      <c r="AE335" s="131"/>
      <c r="AF335" s="131"/>
      <c r="AG335" s="131"/>
      <c r="AH335" s="131"/>
      <c r="AI335" s="131"/>
      <c r="AJ335" s="131"/>
    </row>
    <row r="336">
      <c r="A336" s="126"/>
      <c r="B336" s="126"/>
      <c r="C336" s="126"/>
      <c r="D336" s="126"/>
      <c r="E336" s="126"/>
      <c r="F336" s="126"/>
      <c r="G336" s="128"/>
      <c r="H336" s="130"/>
      <c r="I336" s="130"/>
      <c r="J336" s="130"/>
      <c r="K336" s="130"/>
      <c r="L336" s="129"/>
      <c r="M336" s="130"/>
      <c r="N336" s="130"/>
      <c r="O336" s="130"/>
      <c r="P336" s="130"/>
      <c r="Q336" s="130"/>
      <c r="R336" s="130"/>
      <c r="S336" s="130"/>
      <c r="T336" s="130"/>
      <c r="U336" s="130"/>
      <c r="V336" s="130"/>
      <c r="W336" s="131"/>
      <c r="X336" s="131"/>
      <c r="Y336" s="131"/>
      <c r="Z336" s="131"/>
      <c r="AA336" s="131"/>
      <c r="AB336" s="131"/>
      <c r="AC336" s="131"/>
      <c r="AD336" s="131"/>
      <c r="AE336" s="131"/>
      <c r="AF336" s="131"/>
      <c r="AG336" s="131"/>
      <c r="AH336" s="131"/>
      <c r="AI336" s="131"/>
      <c r="AJ336" s="131"/>
    </row>
    <row r="337">
      <c r="A337" s="126"/>
      <c r="B337" s="126"/>
      <c r="C337" s="126"/>
      <c r="D337" s="126"/>
      <c r="E337" s="126"/>
      <c r="F337" s="126"/>
      <c r="G337" s="128"/>
      <c r="H337" s="130"/>
      <c r="I337" s="130"/>
      <c r="J337" s="130"/>
      <c r="K337" s="130"/>
      <c r="L337" s="129"/>
      <c r="M337" s="130"/>
      <c r="N337" s="130"/>
      <c r="O337" s="130"/>
      <c r="P337" s="130"/>
      <c r="Q337" s="130"/>
      <c r="R337" s="130"/>
      <c r="S337" s="130"/>
      <c r="T337" s="130"/>
      <c r="U337" s="130"/>
      <c r="V337" s="130"/>
      <c r="W337" s="131"/>
      <c r="X337" s="131"/>
      <c r="Y337" s="131"/>
      <c r="Z337" s="131"/>
      <c r="AA337" s="131"/>
      <c r="AB337" s="131"/>
      <c r="AC337" s="131"/>
      <c r="AD337" s="131"/>
      <c r="AE337" s="131"/>
      <c r="AF337" s="131"/>
      <c r="AG337" s="131"/>
      <c r="AH337" s="131"/>
      <c r="AI337" s="131"/>
      <c r="AJ337" s="131"/>
    </row>
    <row r="338">
      <c r="A338" s="126"/>
      <c r="B338" s="126"/>
      <c r="C338" s="126"/>
      <c r="D338" s="126"/>
      <c r="E338" s="126"/>
      <c r="F338" s="126"/>
      <c r="G338" s="128"/>
      <c r="H338" s="130"/>
      <c r="I338" s="130"/>
      <c r="J338" s="130"/>
      <c r="K338" s="130"/>
      <c r="L338" s="129"/>
      <c r="M338" s="130"/>
      <c r="N338" s="130"/>
      <c r="O338" s="130"/>
      <c r="P338" s="130"/>
      <c r="Q338" s="130"/>
      <c r="R338" s="130"/>
      <c r="S338" s="130"/>
      <c r="T338" s="130"/>
      <c r="U338" s="130"/>
      <c r="V338" s="130"/>
      <c r="W338" s="131"/>
      <c r="X338" s="131"/>
      <c r="Y338" s="131"/>
      <c r="Z338" s="131"/>
      <c r="AA338" s="131"/>
      <c r="AB338" s="131"/>
      <c r="AC338" s="131"/>
      <c r="AD338" s="131"/>
      <c r="AE338" s="131"/>
      <c r="AF338" s="131"/>
      <c r="AG338" s="131"/>
      <c r="AH338" s="131"/>
      <c r="AI338" s="131"/>
      <c r="AJ338" s="131"/>
    </row>
    <row r="339">
      <c r="A339" s="126"/>
      <c r="B339" s="126"/>
      <c r="C339" s="126"/>
      <c r="D339" s="126"/>
      <c r="E339" s="126"/>
      <c r="F339" s="126"/>
      <c r="G339" s="128"/>
      <c r="H339" s="130"/>
      <c r="I339" s="130"/>
      <c r="J339" s="130"/>
      <c r="K339" s="130"/>
      <c r="L339" s="129"/>
      <c r="M339" s="130"/>
      <c r="N339" s="130"/>
      <c r="O339" s="130"/>
      <c r="P339" s="130"/>
      <c r="Q339" s="130"/>
      <c r="R339" s="130"/>
      <c r="S339" s="130"/>
      <c r="T339" s="130"/>
      <c r="U339" s="130"/>
      <c r="V339" s="130"/>
      <c r="W339" s="131"/>
      <c r="X339" s="131"/>
      <c r="Y339" s="131"/>
      <c r="Z339" s="131"/>
      <c r="AA339" s="131"/>
      <c r="AB339" s="131"/>
      <c r="AC339" s="131"/>
      <c r="AD339" s="131"/>
      <c r="AE339" s="131"/>
      <c r="AF339" s="131"/>
      <c r="AG339" s="131"/>
      <c r="AH339" s="131"/>
      <c r="AI339" s="131"/>
      <c r="AJ339" s="131"/>
    </row>
    <row r="340">
      <c r="A340" s="126"/>
      <c r="B340" s="126"/>
      <c r="C340" s="126"/>
      <c r="D340" s="126"/>
      <c r="E340" s="126"/>
      <c r="F340" s="126"/>
      <c r="G340" s="128"/>
      <c r="H340" s="130"/>
      <c r="I340" s="130"/>
      <c r="J340" s="130"/>
      <c r="K340" s="130"/>
      <c r="L340" s="129"/>
      <c r="M340" s="130"/>
      <c r="N340" s="130"/>
      <c r="O340" s="130"/>
      <c r="P340" s="130"/>
      <c r="Q340" s="130"/>
      <c r="R340" s="130"/>
      <c r="S340" s="130"/>
      <c r="T340" s="130"/>
      <c r="U340" s="130"/>
      <c r="V340" s="130"/>
      <c r="W340" s="131"/>
      <c r="X340" s="131"/>
      <c r="Y340" s="131"/>
      <c r="Z340" s="131"/>
      <c r="AA340" s="131"/>
      <c r="AB340" s="131"/>
      <c r="AC340" s="131"/>
      <c r="AD340" s="131"/>
      <c r="AE340" s="131"/>
      <c r="AF340" s="131"/>
      <c r="AG340" s="131"/>
      <c r="AH340" s="131"/>
      <c r="AI340" s="131"/>
      <c r="AJ340" s="131"/>
    </row>
    <row r="341">
      <c r="A341" s="126"/>
      <c r="B341" s="126"/>
      <c r="C341" s="126"/>
      <c r="D341" s="126"/>
      <c r="E341" s="126"/>
      <c r="F341" s="126"/>
      <c r="G341" s="128"/>
      <c r="H341" s="130"/>
      <c r="I341" s="130"/>
      <c r="J341" s="130"/>
      <c r="K341" s="130"/>
      <c r="L341" s="129"/>
      <c r="M341" s="130"/>
      <c r="N341" s="130"/>
      <c r="O341" s="130"/>
      <c r="P341" s="130"/>
      <c r="Q341" s="130"/>
      <c r="R341" s="130"/>
      <c r="S341" s="130"/>
      <c r="T341" s="130"/>
      <c r="U341" s="130"/>
      <c r="V341" s="130"/>
      <c r="W341" s="131"/>
      <c r="X341" s="131"/>
      <c r="Y341" s="131"/>
      <c r="Z341" s="131"/>
      <c r="AA341" s="131"/>
      <c r="AB341" s="131"/>
      <c r="AC341" s="131"/>
      <c r="AD341" s="131"/>
      <c r="AE341" s="131"/>
      <c r="AF341" s="131"/>
      <c r="AG341" s="131"/>
      <c r="AH341" s="131"/>
      <c r="AI341" s="131"/>
      <c r="AJ341" s="131"/>
    </row>
    <row r="342">
      <c r="A342" s="126"/>
      <c r="B342" s="126"/>
      <c r="C342" s="126"/>
      <c r="D342" s="126"/>
      <c r="E342" s="126"/>
      <c r="F342" s="126"/>
      <c r="G342" s="128"/>
      <c r="H342" s="130"/>
      <c r="I342" s="130"/>
      <c r="J342" s="130"/>
      <c r="K342" s="130"/>
      <c r="L342" s="129"/>
      <c r="M342" s="130"/>
      <c r="N342" s="130"/>
      <c r="O342" s="130"/>
      <c r="P342" s="130"/>
      <c r="Q342" s="130"/>
      <c r="R342" s="130"/>
      <c r="S342" s="130"/>
      <c r="T342" s="130"/>
      <c r="U342" s="130"/>
      <c r="V342" s="130"/>
      <c r="W342" s="131"/>
      <c r="X342" s="131"/>
      <c r="Y342" s="131"/>
      <c r="Z342" s="131"/>
      <c r="AA342" s="131"/>
      <c r="AB342" s="131"/>
      <c r="AC342" s="131"/>
      <c r="AD342" s="131"/>
      <c r="AE342" s="131"/>
      <c r="AF342" s="131"/>
      <c r="AG342" s="131"/>
      <c r="AH342" s="131"/>
      <c r="AI342" s="131"/>
      <c r="AJ342" s="131"/>
    </row>
    <row r="343">
      <c r="A343" s="126"/>
      <c r="B343" s="126"/>
      <c r="C343" s="126"/>
      <c r="D343" s="126"/>
      <c r="E343" s="126"/>
      <c r="F343" s="126"/>
      <c r="G343" s="128"/>
      <c r="H343" s="130"/>
      <c r="I343" s="130"/>
      <c r="J343" s="130"/>
      <c r="K343" s="130"/>
      <c r="L343" s="129"/>
      <c r="M343" s="130"/>
      <c r="N343" s="130"/>
      <c r="O343" s="130"/>
      <c r="P343" s="130"/>
      <c r="Q343" s="130"/>
      <c r="R343" s="130"/>
      <c r="S343" s="130"/>
      <c r="T343" s="130"/>
      <c r="U343" s="130"/>
      <c r="V343" s="130"/>
      <c r="W343" s="131"/>
      <c r="X343" s="131"/>
      <c r="Y343" s="131"/>
      <c r="Z343" s="131"/>
      <c r="AA343" s="131"/>
      <c r="AB343" s="131"/>
      <c r="AC343" s="131"/>
      <c r="AD343" s="131"/>
      <c r="AE343" s="131"/>
      <c r="AF343" s="131"/>
      <c r="AG343" s="131"/>
      <c r="AH343" s="131"/>
      <c r="AI343" s="131"/>
      <c r="AJ343" s="131"/>
    </row>
    <row r="344">
      <c r="A344" s="126"/>
      <c r="B344" s="126"/>
      <c r="C344" s="126"/>
      <c r="D344" s="126"/>
      <c r="E344" s="126"/>
      <c r="F344" s="126"/>
      <c r="G344" s="128"/>
      <c r="H344" s="130"/>
      <c r="I344" s="130"/>
      <c r="J344" s="130"/>
      <c r="K344" s="130"/>
      <c r="L344" s="129"/>
      <c r="M344" s="130"/>
      <c r="N344" s="130"/>
      <c r="O344" s="130"/>
      <c r="P344" s="130"/>
      <c r="Q344" s="130"/>
      <c r="R344" s="130"/>
      <c r="S344" s="130"/>
      <c r="T344" s="130"/>
      <c r="U344" s="130"/>
      <c r="V344" s="130"/>
      <c r="W344" s="131"/>
      <c r="X344" s="131"/>
      <c r="Y344" s="131"/>
      <c r="Z344" s="131"/>
      <c r="AA344" s="131"/>
      <c r="AB344" s="131"/>
      <c r="AC344" s="131"/>
      <c r="AD344" s="131"/>
      <c r="AE344" s="131"/>
      <c r="AF344" s="131"/>
      <c r="AG344" s="131"/>
      <c r="AH344" s="131"/>
      <c r="AI344" s="131"/>
      <c r="AJ344" s="131"/>
    </row>
    <row r="345">
      <c r="A345" s="126"/>
      <c r="B345" s="126"/>
      <c r="C345" s="126"/>
      <c r="D345" s="126"/>
      <c r="E345" s="126"/>
      <c r="F345" s="126"/>
      <c r="G345" s="128"/>
      <c r="H345" s="130"/>
      <c r="I345" s="130"/>
      <c r="J345" s="130"/>
      <c r="K345" s="130"/>
      <c r="L345" s="129"/>
      <c r="M345" s="130"/>
      <c r="N345" s="130"/>
      <c r="O345" s="130"/>
      <c r="P345" s="130"/>
      <c r="Q345" s="130"/>
      <c r="R345" s="130"/>
      <c r="S345" s="130"/>
      <c r="T345" s="130"/>
      <c r="U345" s="130"/>
      <c r="V345" s="130"/>
      <c r="W345" s="131"/>
      <c r="X345" s="131"/>
      <c r="Y345" s="131"/>
      <c r="Z345" s="131"/>
      <c r="AA345" s="131"/>
      <c r="AB345" s="131"/>
      <c r="AC345" s="131"/>
      <c r="AD345" s="131"/>
      <c r="AE345" s="131"/>
      <c r="AF345" s="131"/>
      <c r="AG345" s="131"/>
      <c r="AH345" s="131"/>
      <c r="AI345" s="131"/>
      <c r="AJ345" s="131"/>
    </row>
    <row r="346">
      <c r="A346" s="126"/>
      <c r="B346" s="126"/>
      <c r="C346" s="126"/>
      <c r="D346" s="126"/>
      <c r="E346" s="126"/>
      <c r="F346" s="126"/>
      <c r="G346" s="128"/>
      <c r="H346" s="130"/>
      <c r="I346" s="130"/>
      <c r="J346" s="130"/>
      <c r="K346" s="130"/>
      <c r="L346" s="129"/>
      <c r="M346" s="130"/>
      <c r="N346" s="130"/>
      <c r="O346" s="130"/>
      <c r="P346" s="130"/>
      <c r="Q346" s="130"/>
      <c r="R346" s="130"/>
      <c r="S346" s="130"/>
      <c r="T346" s="130"/>
      <c r="U346" s="130"/>
      <c r="V346" s="130"/>
      <c r="W346" s="131"/>
      <c r="X346" s="131"/>
      <c r="Y346" s="131"/>
      <c r="Z346" s="131"/>
      <c r="AA346" s="131"/>
      <c r="AB346" s="131"/>
      <c r="AC346" s="131"/>
      <c r="AD346" s="131"/>
      <c r="AE346" s="131"/>
      <c r="AF346" s="131"/>
      <c r="AG346" s="131"/>
      <c r="AH346" s="131"/>
      <c r="AI346" s="131"/>
      <c r="AJ346" s="131"/>
    </row>
    <row r="347">
      <c r="A347" s="126"/>
      <c r="B347" s="126"/>
      <c r="C347" s="126"/>
      <c r="D347" s="126"/>
      <c r="E347" s="126"/>
      <c r="F347" s="126"/>
      <c r="G347" s="128"/>
      <c r="H347" s="130"/>
      <c r="I347" s="130"/>
      <c r="J347" s="130"/>
      <c r="K347" s="130"/>
      <c r="L347" s="129"/>
      <c r="M347" s="130"/>
      <c r="N347" s="130"/>
      <c r="O347" s="130"/>
      <c r="P347" s="130"/>
      <c r="Q347" s="130"/>
      <c r="R347" s="130"/>
      <c r="S347" s="130"/>
      <c r="T347" s="130"/>
      <c r="U347" s="130"/>
      <c r="V347" s="130"/>
      <c r="W347" s="131"/>
      <c r="X347" s="131"/>
      <c r="Y347" s="131"/>
      <c r="Z347" s="131"/>
      <c r="AA347" s="131"/>
      <c r="AB347" s="131"/>
      <c r="AC347" s="131"/>
      <c r="AD347" s="131"/>
      <c r="AE347" s="131"/>
      <c r="AF347" s="131"/>
      <c r="AG347" s="131"/>
      <c r="AH347" s="131"/>
      <c r="AI347" s="131"/>
      <c r="AJ347" s="131"/>
    </row>
    <row r="348">
      <c r="A348" s="126"/>
      <c r="B348" s="126"/>
      <c r="C348" s="126"/>
      <c r="D348" s="126"/>
      <c r="E348" s="126"/>
      <c r="F348" s="126"/>
      <c r="G348" s="128"/>
      <c r="H348" s="130"/>
      <c r="I348" s="130"/>
      <c r="J348" s="130"/>
      <c r="K348" s="130"/>
      <c r="L348" s="129"/>
      <c r="M348" s="130"/>
      <c r="N348" s="130"/>
      <c r="O348" s="130"/>
      <c r="P348" s="130"/>
      <c r="Q348" s="130"/>
      <c r="R348" s="130"/>
      <c r="S348" s="130"/>
      <c r="T348" s="130"/>
      <c r="U348" s="130"/>
      <c r="V348" s="130"/>
      <c r="W348" s="131"/>
      <c r="X348" s="131"/>
      <c r="Y348" s="131"/>
      <c r="Z348" s="131"/>
      <c r="AA348" s="131"/>
      <c r="AB348" s="131"/>
      <c r="AC348" s="131"/>
      <c r="AD348" s="131"/>
      <c r="AE348" s="131"/>
      <c r="AF348" s="131"/>
      <c r="AG348" s="131"/>
      <c r="AH348" s="131"/>
      <c r="AI348" s="131"/>
      <c r="AJ348" s="131"/>
    </row>
    <row r="349">
      <c r="A349" s="126"/>
      <c r="B349" s="126"/>
      <c r="C349" s="126"/>
      <c r="D349" s="126"/>
      <c r="E349" s="126"/>
      <c r="F349" s="126"/>
      <c r="G349" s="128"/>
      <c r="H349" s="130"/>
      <c r="I349" s="130"/>
      <c r="J349" s="130"/>
      <c r="K349" s="130"/>
      <c r="L349" s="129"/>
      <c r="M349" s="130"/>
      <c r="N349" s="130"/>
      <c r="O349" s="130"/>
      <c r="P349" s="130"/>
      <c r="Q349" s="130"/>
      <c r="R349" s="130"/>
      <c r="S349" s="130"/>
      <c r="T349" s="130"/>
      <c r="U349" s="130"/>
      <c r="V349" s="130"/>
      <c r="W349" s="131"/>
      <c r="X349" s="131"/>
      <c r="Y349" s="131"/>
      <c r="Z349" s="131"/>
      <c r="AA349" s="131"/>
      <c r="AB349" s="131"/>
      <c r="AC349" s="131"/>
      <c r="AD349" s="131"/>
      <c r="AE349" s="131"/>
      <c r="AF349" s="131"/>
      <c r="AG349" s="131"/>
      <c r="AH349" s="131"/>
      <c r="AI349" s="131"/>
      <c r="AJ349" s="131"/>
    </row>
    <row r="350">
      <c r="A350" s="126"/>
      <c r="B350" s="126"/>
      <c r="C350" s="126"/>
      <c r="D350" s="126"/>
      <c r="E350" s="126"/>
      <c r="F350" s="126"/>
      <c r="G350" s="128"/>
      <c r="H350" s="130"/>
      <c r="I350" s="130"/>
      <c r="J350" s="130"/>
      <c r="K350" s="130"/>
      <c r="L350" s="129"/>
      <c r="M350" s="130"/>
      <c r="N350" s="130"/>
      <c r="O350" s="130"/>
      <c r="P350" s="130"/>
      <c r="Q350" s="130"/>
      <c r="R350" s="130"/>
      <c r="S350" s="130"/>
      <c r="T350" s="130"/>
      <c r="U350" s="130"/>
      <c r="V350" s="130"/>
      <c r="W350" s="131"/>
      <c r="X350" s="131"/>
      <c r="Y350" s="131"/>
      <c r="Z350" s="131"/>
      <c r="AA350" s="131"/>
      <c r="AB350" s="131"/>
      <c r="AC350" s="131"/>
      <c r="AD350" s="131"/>
      <c r="AE350" s="131"/>
      <c r="AF350" s="131"/>
      <c r="AG350" s="131"/>
      <c r="AH350" s="131"/>
      <c r="AI350" s="131"/>
      <c r="AJ350" s="131"/>
    </row>
    <row r="351">
      <c r="A351" s="126"/>
      <c r="B351" s="126"/>
      <c r="C351" s="126"/>
      <c r="D351" s="126"/>
      <c r="E351" s="126"/>
      <c r="F351" s="126"/>
      <c r="G351" s="128"/>
      <c r="H351" s="130"/>
      <c r="I351" s="130"/>
      <c r="J351" s="130"/>
      <c r="K351" s="130"/>
      <c r="L351" s="129"/>
      <c r="M351" s="130"/>
      <c r="N351" s="130"/>
      <c r="O351" s="130"/>
      <c r="P351" s="130"/>
      <c r="Q351" s="130"/>
      <c r="R351" s="130"/>
      <c r="S351" s="130"/>
      <c r="T351" s="130"/>
      <c r="U351" s="130"/>
      <c r="V351" s="130"/>
      <c r="W351" s="131"/>
      <c r="X351" s="131"/>
      <c r="Y351" s="131"/>
      <c r="Z351" s="131"/>
      <c r="AA351" s="131"/>
      <c r="AB351" s="131"/>
      <c r="AC351" s="131"/>
      <c r="AD351" s="131"/>
      <c r="AE351" s="131"/>
      <c r="AF351" s="131"/>
      <c r="AG351" s="131"/>
      <c r="AH351" s="131"/>
      <c r="AI351" s="131"/>
      <c r="AJ351" s="131"/>
    </row>
    <row r="352">
      <c r="A352" s="126"/>
      <c r="B352" s="126"/>
      <c r="C352" s="126"/>
      <c r="D352" s="126"/>
      <c r="E352" s="126"/>
      <c r="F352" s="126"/>
      <c r="G352" s="128"/>
      <c r="H352" s="130"/>
      <c r="I352" s="130"/>
      <c r="J352" s="130"/>
      <c r="K352" s="130"/>
      <c r="L352" s="129"/>
      <c r="M352" s="130"/>
      <c r="N352" s="130"/>
      <c r="O352" s="130"/>
      <c r="P352" s="130"/>
      <c r="Q352" s="130"/>
      <c r="R352" s="130"/>
      <c r="S352" s="130"/>
      <c r="T352" s="130"/>
      <c r="U352" s="130"/>
      <c r="V352" s="130"/>
      <c r="W352" s="131"/>
      <c r="X352" s="131"/>
      <c r="Y352" s="131"/>
      <c r="Z352" s="131"/>
      <c r="AA352" s="131"/>
      <c r="AB352" s="131"/>
      <c r="AC352" s="131"/>
      <c r="AD352" s="131"/>
      <c r="AE352" s="131"/>
      <c r="AF352" s="131"/>
      <c r="AG352" s="131"/>
      <c r="AH352" s="131"/>
      <c r="AI352" s="131"/>
      <c r="AJ352" s="131"/>
    </row>
    <row r="353">
      <c r="A353" s="126"/>
      <c r="B353" s="126"/>
      <c r="C353" s="126"/>
      <c r="D353" s="126"/>
      <c r="E353" s="126"/>
      <c r="F353" s="126"/>
      <c r="G353" s="128"/>
      <c r="H353" s="130"/>
      <c r="I353" s="130"/>
      <c r="J353" s="130"/>
      <c r="K353" s="130"/>
      <c r="L353" s="129"/>
      <c r="M353" s="130"/>
      <c r="N353" s="130"/>
      <c r="O353" s="130"/>
      <c r="P353" s="130"/>
      <c r="Q353" s="130"/>
      <c r="R353" s="130"/>
      <c r="S353" s="130"/>
      <c r="T353" s="130"/>
      <c r="U353" s="130"/>
      <c r="V353" s="130"/>
      <c r="W353" s="131"/>
      <c r="X353" s="131"/>
      <c r="Y353" s="131"/>
      <c r="Z353" s="131"/>
      <c r="AA353" s="131"/>
      <c r="AB353" s="131"/>
      <c r="AC353" s="131"/>
      <c r="AD353" s="131"/>
      <c r="AE353" s="131"/>
      <c r="AF353" s="131"/>
      <c r="AG353" s="131"/>
      <c r="AH353" s="131"/>
      <c r="AI353" s="131"/>
      <c r="AJ353" s="131"/>
    </row>
    <row r="354">
      <c r="A354" s="126"/>
      <c r="B354" s="126"/>
      <c r="C354" s="126"/>
      <c r="D354" s="126"/>
      <c r="E354" s="126"/>
      <c r="F354" s="126"/>
      <c r="G354" s="128"/>
      <c r="H354" s="130"/>
      <c r="I354" s="130"/>
      <c r="J354" s="130"/>
      <c r="K354" s="130"/>
      <c r="L354" s="129"/>
      <c r="M354" s="130"/>
      <c r="N354" s="130"/>
      <c r="O354" s="130"/>
      <c r="P354" s="130"/>
      <c r="Q354" s="130"/>
      <c r="R354" s="130"/>
      <c r="S354" s="130"/>
      <c r="T354" s="130"/>
      <c r="U354" s="130"/>
      <c r="V354" s="130"/>
      <c r="W354" s="131"/>
      <c r="X354" s="131"/>
      <c r="Y354" s="131"/>
      <c r="Z354" s="131"/>
      <c r="AA354" s="131"/>
      <c r="AB354" s="131"/>
      <c r="AC354" s="131"/>
      <c r="AD354" s="131"/>
      <c r="AE354" s="131"/>
      <c r="AF354" s="131"/>
      <c r="AG354" s="131"/>
      <c r="AH354" s="131"/>
      <c r="AI354" s="131"/>
      <c r="AJ354" s="131"/>
    </row>
    <row r="355">
      <c r="A355" s="126"/>
      <c r="B355" s="126"/>
      <c r="C355" s="126"/>
      <c r="D355" s="126"/>
      <c r="E355" s="126"/>
      <c r="F355" s="126"/>
      <c r="G355" s="128"/>
      <c r="H355" s="130"/>
      <c r="I355" s="130"/>
      <c r="J355" s="130"/>
      <c r="K355" s="130"/>
      <c r="L355" s="129"/>
      <c r="M355" s="130"/>
      <c r="N355" s="130"/>
      <c r="O355" s="130"/>
      <c r="P355" s="130"/>
      <c r="Q355" s="130"/>
      <c r="R355" s="130"/>
      <c r="S355" s="130"/>
      <c r="T355" s="130"/>
      <c r="U355" s="130"/>
      <c r="V355" s="130"/>
      <c r="W355" s="131"/>
      <c r="X355" s="131"/>
      <c r="Y355" s="131"/>
      <c r="Z355" s="131"/>
      <c r="AA355" s="131"/>
      <c r="AB355" s="131"/>
      <c r="AC355" s="131"/>
      <c r="AD355" s="131"/>
      <c r="AE355" s="131"/>
      <c r="AF355" s="131"/>
      <c r="AG355" s="131"/>
      <c r="AH355" s="131"/>
      <c r="AI355" s="131"/>
      <c r="AJ355" s="131"/>
    </row>
    <row r="356">
      <c r="A356" s="126"/>
      <c r="B356" s="126"/>
      <c r="C356" s="126"/>
      <c r="D356" s="126"/>
      <c r="E356" s="126"/>
      <c r="F356" s="126"/>
      <c r="G356" s="128"/>
      <c r="H356" s="130"/>
      <c r="I356" s="130"/>
      <c r="J356" s="130"/>
      <c r="K356" s="130"/>
      <c r="L356" s="129"/>
      <c r="M356" s="130"/>
      <c r="N356" s="130"/>
      <c r="O356" s="130"/>
      <c r="P356" s="130"/>
      <c r="Q356" s="130"/>
      <c r="R356" s="130"/>
      <c r="S356" s="130"/>
      <c r="T356" s="130"/>
      <c r="U356" s="130"/>
      <c r="V356" s="130"/>
      <c r="W356" s="131"/>
      <c r="X356" s="131"/>
      <c r="Y356" s="131"/>
      <c r="Z356" s="131"/>
      <c r="AA356" s="131"/>
      <c r="AB356" s="131"/>
      <c r="AC356" s="131"/>
      <c r="AD356" s="131"/>
      <c r="AE356" s="131"/>
      <c r="AF356" s="131"/>
      <c r="AG356" s="131"/>
      <c r="AH356" s="131"/>
      <c r="AI356" s="131"/>
      <c r="AJ356" s="131"/>
    </row>
    <row r="357">
      <c r="A357" s="126"/>
      <c r="B357" s="126"/>
      <c r="C357" s="126"/>
      <c r="D357" s="126"/>
      <c r="E357" s="126"/>
      <c r="F357" s="126"/>
      <c r="G357" s="128"/>
      <c r="H357" s="130"/>
      <c r="I357" s="130"/>
      <c r="J357" s="130"/>
      <c r="K357" s="130"/>
      <c r="L357" s="129"/>
      <c r="M357" s="130"/>
      <c r="N357" s="130"/>
      <c r="O357" s="130"/>
      <c r="P357" s="130"/>
      <c r="Q357" s="130"/>
      <c r="R357" s="130"/>
      <c r="S357" s="130"/>
      <c r="T357" s="130"/>
      <c r="U357" s="130"/>
      <c r="V357" s="130"/>
      <c r="W357" s="131"/>
      <c r="X357" s="131"/>
      <c r="Y357" s="131"/>
      <c r="Z357" s="131"/>
      <c r="AA357" s="131"/>
      <c r="AB357" s="131"/>
      <c r="AC357" s="131"/>
      <c r="AD357" s="131"/>
      <c r="AE357" s="131"/>
      <c r="AF357" s="131"/>
      <c r="AG357" s="131"/>
      <c r="AH357" s="131"/>
      <c r="AI357" s="131"/>
      <c r="AJ357" s="131"/>
    </row>
    <row r="358">
      <c r="A358" s="126"/>
      <c r="B358" s="126"/>
      <c r="C358" s="126"/>
      <c r="D358" s="126"/>
      <c r="E358" s="126"/>
      <c r="F358" s="126"/>
      <c r="G358" s="128"/>
      <c r="H358" s="130"/>
      <c r="I358" s="130"/>
      <c r="J358" s="130"/>
      <c r="K358" s="130"/>
      <c r="L358" s="129"/>
      <c r="M358" s="130"/>
      <c r="N358" s="130"/>
      <c r="O358" s="130"/>
      <c r="P358" s="130"/>
      <c r="Q358" s="130"/>
      <c r="R358" s="130"/>
      <c r="S358" s="130"/>
      <c r="T358" s="130"/>
      <c r="U358" s="130"/>
      <c r="V358" s="130"/>
      <c r="W358" s="131"/>
      <c r="X358" s="131"/>
      <c r="Y358" s="131"/>
      <c r="Z358" s="131"/>
      <c r="AA358" s="131"/>
      <c r="AB358" s="131"/>
      <c r="AC358" s="131"/>
      <c r="AD358" s="131"/>
      <c r="AE358" s="131"/>
      <c r="AF358" s="131"/>
      <c r="AG358" s="131"/>
      <c r="AH358" s="131"/>
      <c r="AI358" s="131"/>
      <c r="AJ358" s="131"/>
    </row>
    <row r="359">
      <c r="A359" s="126"/>
      <c r="B359" s="126"/>
      <c r="C359" s="126"/>
      <c r="D359" s="126"/>
      <c r="E359" s="126"/>
      <c r="F359" s="126"/>
      <c r="G359" s="128"/>
      <c r="H359" s="130"/>
      <c r="I359" s="130"/>
      <c r="J359" s="130"/>
      <c r="K359" s="130"/>
      <c r="L359" s="129"/>
      <c r="M359" s="130"/>
      <c r="N359" s="130"/>
      <c r="O359" s="130"/>
      <c r="P359" s="130"/>
      <c r="Q359" s="130"/>
      <c r="R359" s="130"/>
      <c r="S359" s="130"/>
      <c r="T359" s="130"/>
      <c r="U359" s="130"/>
      <c r="V359" s="130"/>
      <c r="W359" s="131"/>
      <c r="X359" s="131"/>
      <c r="Y359" s="131"/>
      <c r="Z359" s="131"/>
      <c r="AA359" s="131"/>
      <c r="AB359" s="131"/>
      <c r="AC359" s="131"/>
      <c r="AD359" s="131"/>
      <c r="AE359" s="131"/>
      <c r="AF359" s="131"/>
      <c r="AG359" s="131"/>
      <c r="AH359" s="131"/>
      <c r="AI359" s="131"/>
      <c r="AJ359" s="131"/>
    </row>
    <row r="360">
      <c r="A360" s="126"/>
      <c r="B360" s="126"/>
      <c r="C360" s="126"/>
      <c r="D360" s="126"/>
      <c r="E360" s="126"/>
      <c r="F360" s="126"/>
      <c r="G360" s="128"/>
      <c r="H360" s="130"/>
      <c r="I360" s="130"/>
      <c r="J360" s="130"/>
      <c r="K360" s="130"/>
      <c r="L360" s="129"/>
      <c r="M360" s="130"/>
      <c r="N360" s="130"/>
      <c r="O360" s="130"/>
      <c r="P360" s="130"/>
      <c r="Q360" s="130"/>
      <c r="R360" s="130"/>
      <c r="S360" s="130"/>
      <c r="T360" s="130"/>
      <c r="U360" s="130"/>
      <c r="V360" s="130"/>
      <c r="W360" s="131"/>
      <c r="X360" s="131"/>
      <c r="Y360" s="131"/>
      <c r="Z360" s="131"/>
      <c r="AA360" s="131"/>
      <c r="AB360" s="131"/>
      <c r="AC360" s="131"/>
      <c r="AD360" s="131"/>
      <c r="AE360" s="131"/>
      <c r="AF360" s="131"/>
      <c r="AG360" s="131"/>
      <c r="AH360" s="131"/>
      <c r="AI360" s="131"/>
      <c r="AJ360" s="131"/>
    </row>
    <row r="361">
      <c r="A361" s="126"/>
      <c r="B361" s="126"/>
      <c r="C361" s="126"/>
      <c r="D361" s="126"/>
      <c r="E361" s="126"/>
      <c r="F361" s="126"/>
      <c r="G361" s="128"/>
      <c r="H361" s="130"/>
      <c r="I361" s="130"/>
      <c r="J361" s="130"/>
      <c r="K361" s="130"/>
      <c r="L361" s="129"/>
      <c r="M361" s="130"/>
      <c r="N361" s="130"/>
      <c r="O361" s="130"/>
      <c r="P361" s="130"/>
      <c r="Q361" s="130"/>
      <c r="R361" s="130"/>
      <c r="S361" s="130"/>
      <c r="T361" s="130"/>
      <c r="U361" s="130"/>
      <c r="V361" s="130"/>
      <c r="W361" s="131"/>
      <c r="X361" s="131"/>
      <c r="Y361" s="131"/>
      <c r="Z361" s="131"/>
      <c r="AA361" s="131"/>
      <c r="AB361" s="131"/>
      <c r="AC361" s="131"/>
      <c r="AD361" s="131"/>
      <c r="AE361" s="131"/>
      <c r="AF361" s="131"/>
      <c r="AG361" s="131"/>
      <c r="AH361" s="131"/>
      <c r="AI361" s="131"/>
      <c r="AJ361" s="131"/>
    </row>
    <row r="362">
      <c r="A362" s="126"/>
      <c r="B362" s="126"/>
      <c r="C362" s="126"/>
      <c r="D362" s="126"/>
      <c r="E362" s="126"/>
      <c r="F362" s="126"/>
      <c r="G362" s="128"/>
      <c r="H362" s="130"/>
      <c r="I362" s="130"/>
      <c r="J362" s="130"/>
      <c r="K362" s="130"/>
      <c r="L362" s="129"/>
      <c r="M362" s="130"/>
      <c r="N362" s="130"/>
      <c r="O362" s="130"/>
      <c r="P362" s="130"/>
      <c r="Q362" s="130"/>
      <c r="R362" s="130"/>
      <c r="S362" s="130"/>
      <c r="T362" s="130"/>
      <c r="U362" s="130"/>
      <c r="V362" s="130"/>
      <c r="W362" s="131"/>
      <c r="X362" s="131"/>
      <c r="Y362" s="131"/>
      <c r="Z362" s="131"/>
      <c r="AA362" s="131"/>
      <c r="AB362" s="131"/>
      <c r="AC362" s="131"/>
      <c r="AD362" s="131"/>
      <c r="AE362" s="131"/>
      <c r="AF362" s="131"/>
      <c r="AG362" s="131"/>
      <c r="AH362" s="131"/>
      <c r="AI362" s="131"/>
      <c r="AJ362" s="131"/>
    </row>
    <row r="363">
      <c r="A363" s="126"/>
      <c r="B363" s="126"/>
      <c r="C363" s="126"/>
      <c r="D363" s="126"/>
      <c r="E363" s="126"/>
      <c r="F363" s="126"/>
      <c r="G363" s="128"/>
      <c r="H363" s="130"/>
      <c r="I363" s="130"/>
      <c r="J363" s="130"/>
      <c r="K363" s="130"/>
      <c r="L363" s="129"/>
      <c r="M363" s="130"/>
      <c r="N363" s="130"/>
      <c r="O363" s="130"/>
      <c r="P363" s="130"/>
      <c r="Q363" s="130"/>
      <c r="R363" s="130"/>
      <c r="S363" s="130"/>
      <c r="T363" s="130"/>
      <c r="U363" s="130"/>
      <c r="V363" s="130"/>
      <c r="W363" s="131"/>
      <c r="X363" s="131"/>
      <c r="Y363" s="131"/>
      <c r="Z363" s="131"/>
      <c r="AA363" s="131"/>
      <c r="AB363" s="131"/>
      <c r="AC363" s="131"/>
      <c r="AD363" s="131"/>
      <c r="AE363" s="131"/>
      <c r="AF363" s="131"/>
      <c r="AG363" s="131"/>
      <c r="AH363" s="131"/>
      <c r="AI363" s="131"/>
      <c r="AJ363" s="131"/>
    </row>
    <row r="364">
      <c r="A364" s="126"/>
      <c r="B364" s="126"/>
      <c r="C364" s="126"/>
      <c r="D364" s="126"/>
      <c r="E364" s="126"/>
      <c r="F364" s="126"/>
      <c r="G364" s="128"/>
      <c r="H364" s="130"/>
      <c r="I364" s="130"/>
      <c r="J364" s="130"/>
      <c r="K364" s="130"/>
      <c r="L364" s="129"/>
      <c r="M364" s="130"/>
      <c r="N364" s="130"/>
      <c r="O364" s="130"/>
      <c r="P364" s="130"/>
      <c r="Q364" s="130"/>
      <c r="R364" s="130"/>
      <c r="S364" s="130"/>
      <c r="T364" s="130"/>
      <c r="U364" s="130"/>
      <c r="V364" s="130"/>
      <c r="W364" s="131"/>
      <c r="X364" s="131"/>
      <c r="Y364" s="131"/>
      <c r="Z364" s="131"/>
      <c r="AA364" s="131"/>
      <c r="AB364" s="131"/>
      <c r="AC364" s="131"/>
      <c r="AD364" s="131"/>
      <c r="AE364" s="131"/>
      <c r="AF364" s="131"/>
      <c r="AG364" s="131"/>
      <c r="AH364" s="131"/>
      <c r="AI364" s="131"/>
      <c r="AJ364" s="131"/>
    </row>
    <row r="365">
      <c r="A365" s="126"/>
      <c r="B365" s="126"/>
      <c r="C365" s="126"/>
      <c r="D365" s="126"/>
      <c r="E365" s="126"/>
      <c r="F365" s="126"/>
      <c r="G365" s="128"/>
      <c r="H365" s="130"/>
      <c r="I365" s="130"/>
      <c r="J365" s="130"/>
      <c r="K365" s="130"/>
      <c r="L365" s="129"/>
      <c r="M365" s="130"/>
      <c r="N365" s="130"/>
      <c r="O365" s="130"/>
      <c r="P365" s="130"/>
      <c r="Q365" s="130"/>
      <c r="R365" s="130"/>
      <c r="S365" s="130"/>
      <c r="T365" s="130"/>
      <c r="U365" s="130"/>
      <c r="V365" s="130"/>
      <c r="W365" s="131"/>
      <c r="X365" s="131"/>
      <c r="Y365" s="131"/>
      <c r="Z365" s="131"/>
      <c r="AA365" s="131"/>
      <c r="AB365" s="131"/>
      <c r="AC365" s="131"/>
      <c r="AD365" s="131"/>
      <c r="AE365" s="131"/>
      <c r="AF365" s="131"/>
      <c r="AG365" s="131"/>
      <c r="AH365" s="131"/>
      <c r="AI365" s="131"/>
      <c r="AJ365" s="131"/>
    </row>
    <row r="366">
      <c r="A366" s="126"/>
      <c r="B366" s="126"/>
      <c r="C366" s="126"/>
      <c r="D366" s="126"/>
      <c r="E366" s="126"/>
      <c r="F366" s="126"/>
      <c r="G366" s="128"/>
      <c r="H366" s="130"/>
      <c r="I366" s="130"/>
      <c r="J366" s="130"/>
      <c r="K366" s="130"/>
      <c r="L366" s="129"/>
      <c r="M366" s="130"/>
      <c r="N366" s="130"/>
      <c r="O366" s="130"/>
      <c r="P366" s="130"/>
      <c r="Q366" s="130"/>
      <c r="R366" s="130"/>
      <c r="S366" s="130"/>
      <c r="T366" s="130"/>
      <c r="U366" s="130"/>
      <c r="V366" s="130"/>
      <c r="W366" s="131"/>
      <c r="X366" s="131"/>
      <c r="Y366" s="131"/>
      <c r="Z366" s="131"/>
      <c r="AA366" s="131"/>
      <c r="AB366" s="131"/>
      <c r="AC366" s="131"/>
      <c r="AD366" s="131"/>
      <c r="AE366" s="131"/>
      <c r="AF366" s="131"/>
      <c r="AG366" s="131"/>
      <c r="AH366" s="131"/>
      <c r="AI366" s="131"/>
      <c r="AJ366" s="131"/>
    </row>
    <row r="367">
      <c r="A367" s="126"/>
      <c r="B367" s="126"/>
      <c r="C367" s="126"/>
      <c r="D367" s="126"/>
      <c r="E367" s="126"/>
      <c r="F367" s="126"/>
      <c r="G367" s="128"/>
      <c r="H367" s="130"/>
      <c r="I367" s="130"/>
      <c r="J367" s="130"/>
      <c r="K367" s="130"/>
      <c r="L367" s="129"/>
      <c r="M367" s="130"/>
      <c r="N367" s="130"/>
      <c r="O367" s="130"/>
      <c r="P367" s="130"/>
      <c r="Q367" s="130"/>
      <c r="R367" s="130"/>
      <c r="S367" s="130"/>
      <c r="T367" s="130"/>
      <c r="U367" s="130"/>
      <c r="V367" s="130"/>
      <c r="W367" s="131"/>
      <c r="X367" s="131"/>
      <c r="Y367" s="131"/>
      <c r="Z367" s="131"/>
      <c r="AA367" s="131"/>
      <c r="AB367" s="131"/>
      <c r="AC367" s="131"/>
      <c r="AD367" s="131"/>
      <c r="AE367" s="131"/>
      <c r="AF367" s="131"/>
      <c r="AG367" s="131"/>
      <c r="AH367" s="131"/>
      <c r="AI367" s="131"/>
      <c r="AJ367" s="131"/>
    </row>
    <row r="368">
      <c r="A368" s="126"/>
      <c r="B368" s="126"/>
      <c r="C368" s="126"/>
      <c r="D368" s="126"/>
      <c r="E368" s="126"/>
      <c r="F368" s="126"/>
      <c r="G368" s="128"/>
      <c r="H368" s="130"/>
      <c r="I368" s="130"/>
      <c r="J368" s="130"/>
      <c r="K368" s="130"/>
      <c r="L368" s="129"/>
      <c r="M368" s="130"/>
      <c r="N368" s="130"/>
      <c r="O368" s="130"/>
      <c r="P368" s="130"/>
      <c r="Q368" s="130"/>
      <c r="R368" s="130"/>
      <c r="S368" s="130"/>
      <c r="T368" s="130"/>
      <c r="U368" s="130"/>
      <c r="V368" s="130"/>
      <c r="W368" s="131"/>
      <c r="X368" s="131"/>
      <c r="Y368" s="131"/>
      <c r="Z368" s="131"/>
      <c r="AA368" s="131"/>
      <c r="AB368" s="131"/>
      <c r="AC368" s="131"/>
      <c r="AD368" s="131"/>
      <c r="AE368" s="131"/>
      <c r="AF368" s="131"/>
      <c r="AG368" s="131"/>
      <c r="AH368" s="131"/>
      <c r="AI368" s="131"/>
      <c r="AJ368" s="131"/>
    </row>
    <row r="369">
      <c r="A369" s="126"/>
      <c r="B369" s="126"/>
      <c r="C369" s="126"/>
      <c r="D369" s="126"/>
      <c r="E369" s="126"/>
      <c r="F369" s="126"/>
      <c r="G369" s="128"/>
      <c r="H369" s="130"/>
      <c r="I369" s="130"/>
      <c r="J369" s="130"/>
      <c r="K369" s="130"/>
      <c r="L369" s="129"/>
      <c r="M369" s="130"/>
      <c r="N369" s="130"/>
      <c r="O369" s="130"/>
      <c r="P369" s="130"/>
      <c r="Q369" s="130"/>
      <c r="R369" s="130"/>
      <c r="S369" s="130"/>
      <c r="T369" s="130"/>
      <c r="U369" s="130"/>
      <c r="V369" s="130"/>
      <c r="W369" s="131"/>
      <c r="X369" s="131"/>
      <c r="Y369" s="131"/>
      <c r="Z369" s="131"/>
      <c r="AA369" s="131"/>
      <c r="AB369" s="131"/>
      <c r="AC369" s="131"/>
      <c r="AD369" s="131"/>
      <c r="AE369" s="131"/>
      <c r="AF369" s="131"/>
      <c r="AG369" s="131"/>
      <c r="AH369" s="131"/>
      <c r="AI369" s="131"/>
      <c r="AJ369" s="131"/>
    </row>
    <row r="370">
      <c r="A370" s="126"/>
      <c r="B370" s="126"/>
      <c r="C370" s="126"/>
      <c r="D370" s="126"/>
      <c r="E370" s="126"/>
      <c r="F370" s="126"/>
      <c r="G370" s="128"/>
      <c r="H370" s="130"/>
      <c r="I370" s="130"/>
      <c r="J370" s="130"/>
      <c r="K370" s="130"/>
      <c r="L370" s="129"/>
      <c r="M370" s="130"/>
      <c r="N370" s="130"/>
      <c r="O370" s="130"/>
      <c r="P370" s="130"/>
      <c r="Q370" s="130"/>
      <c r="R370" s="130"/>
      <c r="S370" s="130"/>
      <c r="T370" s="130"/>
      <c r="U370" s="130"/>
      <c r="V370" s="130"/>
      <c r="W370" s="131"/>
      <c r="X370" s="131"/>
      <c r="Y370" s="131"/>
      <c r="Z370" s="131"/>
      <c r="AA370" s="131"/>
      <c r="AB370" s="131"/>
      <c r="AC370" s="131"/>
      <c r="AD370" s="131"/>
      <c r="AE370" s="131"/>
      <c r="AF370" s="131"/>
      <c r="AG370" s="131"/>
      <c r="AH370" s="131"/>
      <c r="AI370" s="131"/>
      <c r="AJ370" s="131"/>
    </row>
    <row r="371">
      <c r="A371" s="126"/>
      <c r="B371" s="126"/>
      <c r="C371" s="126"/>
      <c r="D371" s="126"/>
      <c r="E371" s="126"/>
      <c r="F371" s="126"/>
      <c r="G371" s="128"/>
      <c r="H371" s="130"/>
      <c r="I371" s="130"/>
      <c r="J371" s="130"/>
      <c r="K371" s="130"/>
      <c r="L371" s="129"/>
      <c r="M371" s="130"/>
      <c r="N371" s="130"/>
      <c r="O371" s="130"/>
      <c r="P371" s="130"/>
      <c r="Q371" s="130"/>
      <c r="R371" s="130"/>
      <c r="S371" s="130"/>
      <c r="T371" s="130"/>
      <c r="U371" s="130"/>
      <c r="V371" s="130"/>
      <c r="W371" s="131"/>
      <c r="X371" s="131"/>
      <c r="Y371" s="131"/>
      <c r="Z371" s="131"/>
      <c r="AA371" s="131"/>
      <c r="AB371" s="131"/>
      <c r="AC371" s="131"/>
      <c r="AD371" s="131"/>
      <c r="AE371" s="131"/>
      <c r="AF371" s="131"/>
      <c r="AG371" s="131"/>
      <c r="AH371" s="131"/>
      <c r="AI371" s="131"/>
      <c r="AJ371" s="131"/>
    </row>
    <row r="372">
      <c r="A372" s="126"/>
      <c r="B372" s="126"/>
      <c r="C372" s="126"/>
      <c r="D372" s="126"/>
      <c r="E372" s="126"/>
      <c r="F372" s="126"/>
      <c r="G372" s="128"/>
      <c r="H372" s="130"/>
      <c r="I372" s="130"/>
      <c r="J372" s="130"/>
      <c r="K372" s="130"/>
      <c r="L372" s="129"/>
      <c r="M372" s="130"/>
      <c r="N372" s="130"/>
      <c r="O372" s="130"/>
      <c r="P372" s="130"/>
      <c r="Q372" s="130"/>
      <c r="R372" s="130"/>
      <c r="S372" s="130"/>
      <c r="T372" s="130"/>
      <c r="U372" s="130"/>
      <c r="V372" s="130"/>
      <c r="W372" s="131"/>
      <c r="X372" s="131"/>
      <c r="Y372" s="131"/>
      <c r="Z372" s="131"/>
      <c r="AA372" s="131"/>
      <c r="AB372" s="131"/>
      <c r="AC372" s="131"/>
      <c r="AD372" s="131"/>
      <c r="AE372" s="131"/>
      <c r="AF372" s="131"/>
      <c r="AG372" s="131"/>
      <c r="AH372" s="131"/>
      <c r="AI372" s="131"/>
      <c r="AJ372" s="131"/>
    </row>
    <row r="373">
      <c r="A373" s="126"/>
      <c r="B373" s="126"/>
      <c r="C373" s="126"/>
      <c r="D373" s="126"/>
      <c r="E373" s="126"/>
      <c r="F373" s="126"/>
      <c r="G373" s="128"/>
      <c r="H373" s="130"/>
      <c r="I373" s="130"/>
      <c r="J373" s="130"/>
      <c r="K373" s="130"/>
      <c r="L373" s="129"/>
      <c r="M373" s="130"/>
      <c r="N373" s="130"/>
      <c r="O373" s="130"/>
      <c r="P373" s="130"/>
      <c r="Q373" s="130"/>
      <c r="R373" s="130"/>
      <c r="S373" s="130"/>
      <c r="T373" s="130"/>
      <c r="U373" s="130"/>
      <c r="V373" s="130"/>
      <c r="W373" s="131"/>
      <c r="X373" s="131"/>
      <c r="Y373" s="131"/>
      <c r="Z373" s="131"/>
      <c r="AA373" s="131"/>
      <c r="AB373" s="131"/>
      <c r="AC373" s="131"/>
      <c r="AD373" s="131"/>
      <c r="AE373" s="131"/>
      <c r="AF373" s="131"/>
      <c r="AG373" s="131"/>
      <c r="AH373" s="131"/>
      <c r="AI373" s="131"/>
      <c r="AJ373" s="131"/>
    </row>
    <row r="374">
      <c r="A374" s="126"/>
      <c r="B374" s="126"/>
      <c r="C374" s="126"/>
      <c r="D374" s="126"/>
      <c r="E374" s="126"/>
      <c r="F374" s="126"/>
      <c r="G374" s="128"/>
      <c r="H374" s="130"/>
      <c r="I374" s="130"/>
      <c r="J374" s="130"/>
      <c r="K374" s="130"/>
      <c r="L374" s="129"/>
      <c r="M374" s="130"/>
      <c r="N374" s="130"/>
      <c r="O374" s="130"/>
      <c r="P374" s="130"/>
      <c r="Q374" s="130"/>
      <c r="R374" s="130"/>
      <c r="S374" s="130"/>
      <c r="T374" s="130"/>
      <c r="U374" s="130"/>
      <c r="V374" s="130"/>
      <c r="W374" s="131"/>
      <c r="X374" s="131"/>
      <c r="Y374" s="131"/>
      <c r="Z374" s="131"/>
      <c r="AA374" s="131"/>
      <c r="AB374" s="131"/>
      <c r="AC374" s="131"/>
      <c r="AD374" s="131"/>
      <c r="AE374" s="131"/>
      <c r="AF374" s="131"/>
      <c r="AG374" s="131"/>
      <c r="AH374" s="131"/>
      <c r="AI374" s="131"/>
      <c r="AJ374" s="131"/>
    </row>
    <row r="375">
      <c r="A375" s="126"/>
      <c r="B375" s="126"/>
      <c r="C375" s="126"/>
      <c r="D375" s="126"/>
      <c r="E375" s="126"/>
      <c r="F375" s="126"/>
      <c r="G375" s="128"/>
      <c r="H375" s="130"/>
      <c r="I375" s="130"/>
      <c r="J375" s="130"/>
      <c r="K375" s="130"/>
      <c r="L375" s="129"/>
      <c r="M375" s="130"/>
      <c r="N375" s="130"/>
      <c r="O375" s="130"/>
      <c r="P375" s="130"/>
      <c r="Q375" s="130"/>
      <c r="R375" s="130"/>
      <c r="S375" s="130"/>
      <c r="T375" s="130"/>
      <c r="U375" s="130"/>
      <c r="V375" s="130"/>
      <c r="W375" s="131"/>
      <c r="X375" s="131"/>
      <c r="Y375" s="131"/>
      <c r="Z375" s="131"/>
      <c r="AA375" s="131"/>
      <c r="AB375" s="131"/>
      <c r="AC375" s="131"/>
      <c r="AD375" s="131"/>
      <c r="AE375" s="131"/>
      <c r="AF375" s="131"/>
      <c r="AG375" s="131"/>
      <c r="AH375" s="131"/>
      <c r="AI375" s="131"/>
      <c r="AJ375" s="131"/>
    </row>
    <row r="376">
      <c r="A376" s="126"/>
      <c r="B376" s="126"/>
      <c r="C376" s="126"/>
      <c r="D376" s="126"/>
      <c r="E376" s="126"/>
      <c r="F376" s="126"/>
      <c r="G376" s="128"/>
      <c r="H376" s="130"/>
      <c r="I376" s="130"/>
      <c r="J376" s="130"/>
      <c r="K376" s="130"/>
      <c r="L376" s="129"/>
      <c r="M376" s="130"/>
      <c r="N376" s="130"/>
      <c r="O376" s="130"/>
      <c r="P376" s="130"/>
      <c r="Q376" s="130"/>
      <c r="R376" s="130"/>
      <c r="S376" s="130"/>
      <c r="T376" s="130"/>
      <c r="U376" s="130"/>
      <c r="V376" s="130"/>
      <c r="W376" s="131"/>
      <c r="X376" s="131"/>
      <c r="Y376" s="131"/>
      <c r="Z376" s="131"/>
      <c r="AA376" s="131"/>
      <c r="AB376" s="131"/>
      <c r="AC376" s="131"/>
      <c r="AD376" s="131"/>
      <c r="AE376" s="131"/>
      <c r="AF376" s="131"/>
      <c r="AG376" s="131"/>
      <c r="AH376" s="131"/>
      <c r="AI376" s="131"/>
      <c r="AJ376" s="131"/>
    </row>
    <row r="377">
      <c r="A377" s="126"/>
      <c r="B377" s="126"/>
      <c r="C377" s="126"/>
      <c r="D377" s="126"/>
      <c r="E377" s="126"/>
      <c r="F377" s="126"/>
      <c r="G377" s="128"/>
      <c r="H377" s="130"/>
      <c r="I377" s="130"/>
      <c r="J377" s="130"/>
      <c r="K377" s="130"/>
      <c r="L377" s="129"/>
      <c r="M377" s="130"/>
      <c r="N377" s="130"/>
      <c r="O377" s="130"/>
      <c r="P377" s="130"/>
      <c r="Q377" s="130"/>
      <c r="R377" s="130"/>
      <c r="S377" s="130"/>
      <c r="T377" s="130"/>
      <c r="U377" s="130"/>
      <c r="V377" s="130"/>
      <c r="W377" s="131"/>
      <c r="X377" s="131"/>
      <c r="Y377" s="131"/>
      <c r="Z377" s="131"/>
      <c r="AA377" s="131"/>
      <c r="AB377" s="131"/>
      <c r="AC377" s="131"/>
      <c r="AD377" s="131"/>
      <c r="AE377" s="131"/>
      <c r="AF377" s="131"/>
      <c r="AG377" s="131"/>
      <c r="AH377" s="131"/>
      <c r="AI377" s="131"/>
      <c r="AJ377" s="131"/>
    </row>
    <row r="378">
      <c r="A378" s="126"/>
      <c r="B378" s="126"/>
      <c r="C378" s="126"/>
      <c r="D378" s="126"/>
      <c r="E378" s="126"/>
      <c r="F378" s="126"/>
      <c r="G378" s="128"/>
      <c r="H378" s="130"/>
      <c r="I378" s="130"/>
      <c r="J378" s="130"/>
      <c r="K378" s="130"/>
      <c r="L378" s="129"/>
      <c r="M378" s="130"/>
      <c r="N378" s="130"/>
      <c r="O378" s="130"/>
      <c r="P378" s="130"/>
      <c r="Q378" s="130"/>
      <c r="R378" s="130"/>
      <c r="S378" s="130"/>
      <c r="T378" s="130"/>
      <c r="U378" s="130"/>
      <c r="V378" s="130"/>
      <c r="W378" s="131"/>
      <c r="X378" s="131"/>
      <c r="Y378" s="131"/>
      <c r="Z378" s="131"/>
      <c r="AA378" s="131"/>
      <c r="AB378" s="131"/>
      <c r="AC378" s="131"/>
      <c r="AD378" s="131"/>
      <c r="AE378" s="131"/>
      <c r="AF378" s="131"/>
      <c r="AG378" s="131"/>
      <c r="AH378" s="131"/>
      <c r="AI378" s="131"/>
      <c r="AJ378" s="131"/>
    </row>
    <row r="379">
      <c r="A379" s="126"/>
      <c r="B379" s="126"/>
      <c r="C379" s="126"/>
      <c r="D379" s="126"/>
      <c r="E379" s="126"/>
      <c r="F379" s="126"/>
      <c r="G379" s="128"/>
      <c r="H379" s="130"/>
      <c r="I379" s="130"/>
      <c r="J379" s="130"/>
      <c r="K379" s="130"/>
      <c r="L379" s="129"/>
      <c r="M379" s="130"/>
      <c r="N379" s="130"/>
      <c r="O379" s="130"/>
      <c r="P379" s="130"/>
      <c r="Q379" s="130"/>
      <c r="R379" s="130"/>
      <c r="S379" s="130"/>
      <c r="T379" s="130"/>
      <c r="U379" s="130"/>
      <c r="V379" s="130"/>
      <c r="W379" s="131"/>
      <c r="X379" s="131"/>
      <c r="Y379" s="131"/>
      <c r="Z379" s="131"/>
      <c r="AA379" s="131"/>
      <c r="AB379" s="131"/>
      <c r="AC379" s="131"/>
      <c r="AD379" s="131"/>
      <c r="AE379" s="131"/>
      <c r="AF379" s="131"/>
      <c r="AG379" s="131"/>
      <c r="AH379" s="131"/>
      <c r="AI379" s="131"/>
      <c r="AJ379" s="131"/>
    </row>
    <row r="380">
      <c r="A380" s="126"/>
      <c r="B380" s="126"/>
      <c r="C380" s="126"/>
      <c r="D380" s="126"/>
      <c r="E380" s="126"/>
      <c r="F380" s="126"/>
      <c r="G380" s="128"/>
      <c r="H380" s="130"/>
      <c r="I380" s="130"/>
      <c r="J380" s="130"/>
      <c r="K380" s="130"/>
      <c r="L380" s="129"/>
      <c r="M380" s="130"/>
      <c r="N380" s="130"/>
      <c r="O380" s="130"/>
      <c r="P380" s="130"/>
      <c r="Q380" s="130"/>
      <c r="R380" s="130"/>
      <c r="S380" s="130"/>
      <c r="T380" s="130"/>
      <c r="U380" s="130"/>
      <c r="V380" s="130"/>
      <c r="W380" s="131"/>
      <c r="X380" s="131"/>
      <c r="Y380" s="131"/>
      <c r="Z380" s="131"/>
      <c r="AA380" s="131"/>
      <c r="AB380" s="131"/>
      <c r="AC380" s="131"/>
      <c r="AD380" s="131"/>
      <c r="AE380" s="131"/>
      <c r="AF380" s="131"/>
      <c r="AG380" s="131"/>
      <c r="AH380" s="131"/>
      <c r="AI380" s="131"/>
      <c r="AJ380" s="131"/>
    </row>
    <row r="381">
      <c r="A381" s="126"/>
      <c r="B381" s="126"/>
      <c r="C381" s="126"/>
      <c r="D381" s="126"/>
      <c r="E381" s="126"/>
      <c r="F381" s="126"/>
      <c r="G381" s="128"/>
      <c r="H381" s="130"/>
      <c r="I381" s="130"/>
      <c r="J381" s="130"/>
      <c r="K381" s="130"/>
      <c r="L381" s="129"/>
      <c r="M381" s="130"/>
      <c r="N381" s="130"/>
      <c r="O381" s="130"/>
      <c r="P381" s="130"/>
      <c r="Q381" s="130"/>
      <c r="R381" s="130"/>
      <c r="S381" s="130"/>
      <c r="T381" s="130"/>
      <c r="U381" s="130"/>
      <c r="V381" s="130"/>
      <c r="W381" s="131"/>
      <c r="X381" s="131"/>
      <c r="Y381" s="131"/>
      <c r="Z381" s="131"/>
      <c r="AA381" s="131"/>
      <c r="AB381" s="131"/>
      <c r="AC381" s="131"/>
      <c r="AD381" s="131"/>
      <c r="AE381" s="131"/>
      <c r="AF381" s="131"/>
      <c r="AG381" s="131"/>
      <c r="AH381" s="131"/>
      <c r="AI381" s="131"/>
      <c r="AJ381" s="131"/>
    </row>
    <row r="382">
      <c r="A382" s="126"/>
      <c r="B382" s="126"/>
      <c r="C382" s="126"/>
      <c r="D382" s="126"/>
      <c r="E382" s="126"/>
      <c r="F382" s="126"/>
      <c r="G382" s="128"/>
      <c r="H382" s="130"/>
      <c r="I382" s="130"/>
      <c r="J382" s="130"/>
      <c r="K382" s="130"/>
      <c r="L382" s="129"/>
      <c r="M382" s="130"/>
      <c r="N382" s="130"/>
      <c r="O382" s="130"/>
      <c r="P382" s="130"/>
      <c r="Q382" s="130"/>
      <c r="R382" s="130"/>
      <c r="S382" s="130"/>
      <c r="T382" s="130"/>
      <c r="U382" s="130"/>
      <c r="V382" s="130"/>
      <c r="W382" s="131"/>
      <c r="X382" s="131"/>
      <c r="Y382" s="131"/>
      <c r="Z382" s="131"/>
      <c r="AA382" s="131"/>
      <c r="AB382" s="131"/>
      <c r="AC382" s="131"/>
      <c r="AD382" s="131"/>
      <c r="AE382" s="131"/>
      <c r="AF382" s="131"/>
      <c r="AG382" s="131"/>
      <c r="AH382" s="131"/>
      <c r="AI382" s="131"/>
      <c r="AJ382" s="131"/>
    </row>
    <row r="383">
      <c r="A383" s="126"/>
      <c r="B383" s="126"/>
      <c r="C383" s="126"/>
      <c r="D383" s="126"/>
      <c r="E383" s="126"/>
      <c r="F383" s="126"/>
      <c r="G383" s="128"/>
      <c r="H383" s="130"/>
      <c r="I383" s="130"/>
      <c r="J383" s="130"/>
      <c r="K383" s="130"/>
      <c r="L383" s="129"/>
      <c r="M383" s="130"/>
      <c r="N383" s="130"/>
      <c r="O383" s="130"/>
      <c r="P383" s="130"/>
      <c r="Q383" s="130"/>
      <c r="R383" s="130"/>
      <c r="S383" s="130"/>
      <c r="T383" s="130"/>
      <c r="U383" s="130"/>
      <c r="V383" s="130"/>
      <c r="W383" s="131"/>
      <c r="X383" s="131"/>
      <c r="Y383" s="131"/>
      <c r="Z383" s="131"/>
      <c r="AA383" s="131"/>
      <c r="AB383" s="131"/>
      <c r="AC383" s="131"/>
      <c r="AD383" s="131"/>
      <c r="AE383" s="131"/>
      <c r="AF383" s="131"/>
      <c r="AG383" s="131"/>
      <c r="AH383" s="131"/>
      <c r="AI383" s="131"/>
      <c r="AJ383" s="131"/>
    </row>
    <row r="384">
      <c r="A384" s="126"/>
      <c r="B384" s="126"/>
      <c r="C384" s="126"/>
      <c r="D384" s="126"/>
      <c r="E384" s="126"/>
      <c r="F384" s="126"/>
      <c r="G384" s="128"/>
      <c r="H384" s="130"/>
      <c r="I384" s="130"/>
      <c r="J384" s="130"/>
      <c r="K384" s="130"/>
      <c r="L384" s="129"/>
      <c r="M384" s="130"/>
      <c r="N384" s="130"/>
      <c r="O384" s="130"/>
      <c r="P384" s="130"/>
      <c r="Q384" s="130"/>
      <c r="R384" s="130"/>
      <c r="S384" s="130"/>
      <c r="T384" s="130"/>
      <c r="U384" s="130"/>
      <c r="V384" s="130"/>
      <c r="W384" s="131"/>
      <c r="X384" s="131"/>
      <c r="Y384" s="131"/>
      <c r="Z384" s="131"/>
      <c r="AA384" s="131"/>
      <c r="AB384" s="131"/>
      <c r="AC384" s="131"/>
      <c r="AD384" s="131"/>
      <c r="AE384" s="131"/>
      <c r="AF384" s="131"/>
      <c r="AG384" s="131"/>
      <c r="AH384" s="131"/>
      <c r="AI384" s="131"/>
      <c r="AJ384" s="131"/>
    </row>
    <row r="385">
      <c r="A385" s="126"/>
      <c r="B385" s="126"/>
      <c r="C385" s="126"/>
      <c r="D385" s="126"/>
      <c r="E385" s="126"/>
      <c r="F385" s="126"/>
      <c r="G385" s="128"/>
      <c r="H385" s="130"/>
      <c r="I385" s="130"/>
      <c r="J385" s="130"/>
      <c r="K385" s="130"/>
      <c r="L385" s="129"/>
      <c r="M385" s="130"/>
      <c r="N385" s="130"/>
      <c r="O385" s="130"/>
      <c r="P385" s="130"/>
      <c r="Q385" s="130"/>
      <c r="R385" s="130"/>
      <c r="S385" s="130"/>
      <c r="T385" s="130"/>
      <c r="U385" s="130"/>
      <c r="V385" s="130"/>
      <c r="W385" s="131"/>
      <c r="X385" s="131"/>
      <c r="Y385" s="131"/>
      <c r="Z385" s="131"/>
      <c r="AA385" s="131"/>
      <c r="AB385" s="131"/>
      <c r="AC385" s="131"/>
      <c r="AD385" s="131"/>
      <c r="AE385" s="131"/>
      <c r="AF385" s="131"/>
      <c r="AG385" s="131"/>
      <c r="AH385" s="131"/>
      <c r="AI385" s="131"/>
      <c r="AJ385" s="131"/>
    </row>
    <row r="386">
      <c r="A386" s="126"/>
      <c r="B386" s="126"/>
      <c r="C386" s="126"/>
      <c r="D386" s="126"/>
      <c r="E386" s="126"/>
      <c r="F386" s="126"/>
      <c r="G386" s="128"/>
      <c r="H386" s="130"/>
      <c r="I386" s="130"/>
      <c r="J386" s="130"/>
      <c r="K386" s="130"/>
      <c r="L386" s="129"/>
      <c r="M386" s="130"/>
      <c r="N386" s="130"/>
      <c r="O386" s="130"/>
      <c r="P386" s="130"/>
      <c r="Q386" s="130"/>
      <c r="R386" s="130"/>
      <c r="S386" s="130"/>
      <c r="T386" s="130"/>
      <c r="U386" s="130"/>
      <c r="V386" s="130"/>
      <c r="W386" s="131"/>
      <c r="X386" s="131"/>
      <c r="Y386" s="131"/>
      <c r="Z386" s="131"/>
      <c r="AA386" s="131"/>
      <c r="AB386" s="131"/>
      <c r="AC386" s="131"/>
      <c r="AD386" s="131"/>
      <c r="AE386" s="131"/>
      <c r="AF386" s="131"/>
      <c r="AG386" s="131"/>
      <c r="AH386" s="131"/>
      <c r="AI386" s="131"/>
      <c r="AJ386" s="131"/>
    </row>
    <row r="387">
      <c r="A387" s="126"/>
      <c r="B387" s="126"/>
      <c r="C387" s="126"/>
      <c r="D387" s="126"/>
      <c r="E387" s="126"/>
      <c r="F387" s="126"/>
      <c r="G387" s="128"/>
      <c r="H387" s="130"/>
      <c r="I387" s="130"/>
      <c r="J387" s="130"/>
      <c r="K387" s="130"/>
      <c r="L387" s="129"/>
      <c r="M387" s="130"/>
      <c r="N387" s="130"/>
      <c r="O387" s="130"/>
      <c r="P387" s="130"/>
      <c r="Q387" s="130"/>
      <c r="R387" s="130"/>
      <c r="S387" s="130"/>
      <c r="T387" s="130"/>
      <c r="U387" s="130"/>
      <c r="V387" s="130"/>
      <c r="W387" s="131"/>
      <c r="X387" s="131"/>
      <c r="Y387" s="131"/>
      <c r="Z387" s="131"/>
      <c r="AA387" s="131"/>
      <c r="AB387" s="131"/>
      <c r="AC387" s="131"/>
      <c r="AD387" s="131"/>
      <c r="AE387" s="131"/>
      <c r="AF387" s="131"/>
      <c r="AG387" s="131"/>
      <c r="AH387" s="131"/>
      <c r="AI387" s="131"/>
      <c r="AJ387" s="131"/>
    </row>
    <row r="388">
      <c r="A388" s="126"/>
      <c r="B388" s="126"/>
      <c r="C388" s="126"/>
      <c r="D388" s="126"/>
      <c r="E388" s="126"/>
      <c r="F388" s="126"/>
      <c r="G388" s="128"/>
      <c r="H388" s="130"/>
      <c r="I388" s="130"/>
      <c r="J388" s="130"/>
      <c r="K388" s="130"/>
      <c r="L388" s="129"/>
      <c r="M388" s="130"/>
      <c r="N388" s="130"/>
      <c r="O388" s="130"/>
      <c r="P388" s="130"/>
      <c r="Q388" s="130"/>
      <c r="R388" s="130"/>
      <c r="S388" s="130"/>
      <c r="T388" s="130"/>
      <c r="U388" s="130"/>
      <c r="V388" s="130"/>
      <c r="W388" s="131"/>
      <c r="X388" s="131"/>
      <c r="Y388" s="131"/>
      <c r="Z388" s="131"/>
      <c r="AA388" s="131"/>
      <c r="AB388" s="131"/>
      <c r="AC388" s="131"/>
      <c r="AD388" s="131"/>
      <c r="AE388" s="131"/>
      <c r="AF388" s="131"/>
      <c r="AG388" s="131"/>
      <c r="AH388" s="131"/>
      <c r="AI388" s="131"/>
      <c r="AJ388" s="131"/>
    </row>
    <row r="389">
      <c r="A389" s="126"/>
      <c r="B389" s="126"/>
      <c r="C389" s="126"/>
      <c r="D389" s="126"/>
      <c r="E389" s="126"/>
      <c r="F389" s="126"/>
      <c r="G389" s="128"/>
      <c r="H389" s="130"/>
      <c r="I389" s="130"/>
      <c r="J389" s="130"/>
      <c r="K389" s="130"/>
      <c r="L389" s="129"/>
      <c r="M389" s="130"/>
      <c r="N389" s="130"/>
      <c r="O389" s="130"/>
      <c r="P389" s="130"/>
      <c r="Q389" s="130"/>
      <c r="R389" s="130"/>
      <c r="S389" s="130"/>
      <c r="T389" s="130"/>
      <c r="U389" s="130"/>
      <c r="V389" s="130"/>
      <c r="W389" s="131"/>
      <c r="X389" s="131"/>
      <c r="Y389" s="131"/>
      <c r="Z389" s="131"/>
      <c r="AA389" s="131"/>
      <c r="AB389" s="131"/>
      <c r="AC389" s="131"/>
      <c r="AD389" s="131"/>
      <c r="AE389" s="131"/>
      <c r="AF389" s="131"/>
      <c r="AG389" s="131"/>
      <c r="AH389" s="131"/>
      <c r="AI389" s="131"/>
      <c r="AJ389" s="131"/>
    </row>
    <row r="390">
      <c r="A390" s="126"/>
      <c r="B390" s="126"/>
      <c r="C390" s="126"/>
      <c r="D390" s="126"/>
      <c r="E390" s="126"/>
      <c r="F390" s="126"/>
      <c r="G390" s="128"/>
      <c r="H390" s="130"/>
      <c r="I390" s="130"/>
      <c r="J390" s="130"/>
      <c r="K390" s="130"/>
      <c r="L390" s="129"/>
      <c r="M390" s="130"/>
      <c r="N390" s="130"/>
      <c r="O390" s="130"/>
      <c r="P390" s="130"/>
      <c r="Q390" s="130"/>
      <c r="R390" s="130"/>
      <c r="S390" s="130"/>
      <c r="T390" s="130"/>
      <c r="U390" s="130"/>
      <c r="V390" s="130"/>
      <c r="W390" s="131"/>
      <c r="X390" s="131"/>
      <c r="Y390" s="131"/>
      <c r="Z390" s="131"/>
      <c r="AA390" s="131"/>
      <c r="AB390" s="131"/>
      <c r="AC390" s="131"/>
      <c r="AD390" s="131"/>
      <c r="AE390" s="131"/>
      <c r="AF390" s="131"/>
      <c r="AG390" s="131"/>
      <c r="AH390" s="131"/>
      <c r="AI390" s="131"/>
      <c r="AJ390" s="131"/>
    </row>
    <row r="391">
      <c r="A391" s="126"/>
      <c r="B391" s="126"/>
      <c r="C391" s="126"/>
      <c r="D391" s="126"/>
      <c r="E391" s="126"/>
      <c r="F391" s="126"/>
      <c r="G391" s="128"/>
      <c r="H391" s="130"/>
      <c r="I391" s="130"/>
      <c r="J391" s="130"/>
      <c r="K391" s="130"/>
      <c r="L391" s="129"/>
      <c r="M391" s="130"/>
      <c r="N391" s="130"/>
      <c r="O391" s="130"/>
      <c r="P391" s="130"/>
      <c r="Q391" s="130"/>
      <c r="R391" s="130"/>
      <c r="S391" s="130"/>
      <c r="T391" s="130"/>
      <c r="U391" s="130"/>
      <c r="V391" s="130"/>
      <c r="W391" s="131"/>
      <c r="X391" s="131"/>
      <c r="Y391" s="131"/>
      <c r="Z391" s="131"/>
      <c r="AA391" s="131"/>
      <c r="AB391" s="131"/>
      <c r="AC391" s="131"/>
      <c r="AD391" s="131"/>
      <c r="AE391" s="131"/>
      <c r="AF391" s="131"/>
      <c r="AG391" s="131"/>
      <c r="AH391" s="131"/>
      <c r="AI391" s="131"/>
      <c r="AJ391" s="131"/>
    </row>
    <row r="392">
      <c r="A392" s="126"/>
      <c r="B392" s="126"/>
      <c r="C392" s="126"/>
      <c r="D392" s="126"/>
      <c r="E392" s="126"/>
      <c r="F392" s="126"/>
      <c r="G392" s="128"/>
      <c r="H392" s="130"/>
      <c r="I392" s="130"/>
      <c r="J392" s="130"/>
      <c r="K392" s="130"/>
      <c r="L392" s="129"/>
      <c r="M392" s="130"/>
      <c r="N392" s="130"/>
      <c r="O392" s="130"/>
      <c r="P392" s="130"/>
      <c r="Q392" s="130"/>
      <c r="R392" s="130"/>
      <c r="S392" s="130"/>
      <c r="T392" s="130"/>
      <c r="U392" s="130"/>
      <c r="V392" s="130"/>
      <c r="W392" s="131"/>
      <c r="X392" s="131"/>
      <c r="Y392" s="131"/>
      <c r="Z392" s="131"/>
      <c r="AA392" s="131"/>
      <c r="AB392" s="131"/>
      <c r="AC392" s="131"/>
      <c r="AD392" s="131"/>
      <c r="AE392" s="131"/>
      <c r="AF392" s="131"/>
      <c r="AG392" s="131"/>
      <c r="AH392" s="131"/>
      <c r="AI392" s="131"/>
      <c r="AJ392" s="131"/>
    </row>
    <row r="393">
      <c r="A393" s="126"/>
      <c r="B393" s="126"/>
      <c r="C393" s="126"/>
      <c r="D393" s="126"/>
      <c r="E393" s="126"/>
      <c r="F393" s="126"/>
      <c r="G393" s="128"/>
      <c r="H393" s="130"/>
      <c r="I393" s="130"/>
      <c r="J393" s="130"/>
      <c r="K393" s="130"/>
      <c r="L393" s="129"/>
      <c r="M393" s="130"/>
      <c r="N393" s="130"/>
      <c r="O393" s="130"/>
      <c r="P393" s="130"/>
      <c r="Q393" s="130"/>
      <c r="R393" s="130"/>
      <c r="S393" s="130"/>
      <c r="T393" s="130"/>
      <c r="U393" s="130"/>
      <c r="V393" s="130"/>
      <c r="W393" s="131"/>
      <c r="X393" s="131"/>
      <c r="Y393" s="131"/>
      <c r="Z393" s="131"/>
      <c r="AA393" s="131"/>
      <c r="AB393" s="131"/>
      <c r="AC393" s="131"/>
      <c r="AD393" s="131"/>
      <c r="AE393" s="131"/>
      <c r="AF393" s="131"/>
      <c r="AG393" s="131"/>
      <c r="AH393" s="131"/>
      <c r="AI393" s="131"/>
      <c r="AJ393" s="131"/>
    </row>
    <row r="394">
      <c r="A394" s="126"/>
      <c r="B394" s="126"/>
      <c r="C394" s="126"/>
      <c r="D394" s="126"/>
      <c r="E394" s="126"/>
      <c r="F394" s="126"/>
      <c r="G394" s="128"/>
      <c r="H394" s="130"/>
      <c r="I394" s="130"/>
      <c r="J394" s="130"/>
      <c r="K394" s="130"/>
      <c r="L394" s="129"/>
      <c r="M394" s="130"/>
      <c r="N394" s="130"/>
      <c r="O394" s="130"/>
      <c r="P394" s="130"/>
      <c r="Q394" s="130"/>
      <c r="R394" s="130"/>
      <c r="S394" s="130"/>
      <c r="T394" s="130"/>
      <c r="U394" s="130"/>
      <c r="V394" s="130"/>
      <c r="W394" s="131"/>
      <c r="X394" s="131"/>
      <c r="Y394" s="131"/>
      <c r="Z394" s="131"/>
      <c r="AA394" s="131"/>
      <c r="AB394" s="131"/>
      <c r="AC394" s="131"/>
      <c r="AD394" s="131"/>
      <c r="AE394" s="131"/>
      <c r="AF394" s="131"/>
      <c r="AG394" s="131"/>
      <c r="AH394" s="131"/>
      <c r="AI394" s="131"/>
      <c r="AJ394" s="131"/>
    </row>
    <row r="395">
      <c r="A395" s="126"/>
      <c r="B395" s="126"/>
      <c r="C395" s="126"/>
      <c r="D395" s="126"/>
      <c r="E395" s="126"/>
      <c r="F395" s="126"/>
      <c r="G395" s="128"/>
      <c r="H395" s="130"/>
      <c r="I395" s="130"/>
      <c r="J395" s="130"/>
      <c r="K395" s="130"/>
      <c r="L395" s="129"/>
      <c r="M395" s="130"/>
      <c r="N395" s="130"/>
      <c r="O395" s="130"/>
      <c r="P395" s="130"/>
      <c r="Q395" s="130"/>
      <c r="R395" s="130"/>
      <c r="S395" s="130"/>
      <c r="T395" s="130"/>
      <c r="U395" s="130"/>
      <c r="V395" s="130"/>
      <c r="W395" s="131"/>
      <c r="X395" s="131"/>
      <c r="Y395" s="131"/>
      <c r="Z395" s="131"/>
      <c r="AA395" s="131"/>
      <c r="AB395" s="131"/>
      <c r="AC395" s="131"/>
      <c r="AD395" s="131"/>
      <c r="AE395" s="131"/>
      <c r="AF395" s="131"/>
      <c r="AG395" s="131"/>
      <c r="AH395" s="131"/>
      <c r="AI395" s="131"/>
      <c r="AJ395" s="131"/>
    </row>
    <row r="396">
      <c r="A396" s="126"/>
      <c r="B396" s="126"/>
      <c r="C396" s="126"/>
      <c r="D396" s="126"/>
      <c r="E396" s="126"/>
      <c r="F396" s="126"/>
      <c r="G396" s="128"/>
      <c r="H396" s="130"/>
      <c r="I396" s="130"/>
      <c r="J396" s="130"/>
      <c r="K396" s="130"/>
      <c r="L396" s="129"/>
      <c r="M396" s="130"/>
      <c r="N396" s="130"/>
      <c r="O396" s="130"/>
      <c r="P396" s="130"/>
      <c r="Q396" s="130"/>
      <c r="R396" s="130"/>
      <c r="S396" s="130"/>
      <c r="T396" s="130"/>
      <c r="U396" s="130"/>
      <c r="V396" s="130"/>
      <c r="W396" s="131"/>
      <c r="X396" s="131"/>
      <c r="Y396" s="131"/>
      <c r="Z396" s="131"/>
      <c r="AA396" s="131"/>
      <c r="AB396" s="131"/>
      <c r="AC396" s="131"/>
      <c r="AD396" s="131"/>
      <c r="AE396" s="131"/>
      <c r="AF396" s="131"/>
      <c r="AG396" s="131"/>
      <c r="AH396" s="131"/>
      <c r="AI396" s="131"/>
      <c r="AJ396" s="131"/>
    </row>
    <row r="397">
      <c r="A397" s="126"/>
      <c r="B397" s="126"/>
      <c r="C397" s="126"/>
      <c r="D397" s="126"/>
      <c r="E397" s="126"/>
      <c r="F397" s="126"/>
      <c r="G397" s="128"/>
      <c r="H397" s="130"/>
      <c r="I397" s="130"/>
      <c r="J397" s="130"/>
      <c r="K397" s="130"/>
      <c r="L397" s="129"/>
      <c r="M397" s="130"/>
      <c r="N397" s="130"/>
      <c r="O397" s="130"/>
      <c r="P397" s="130"/>
      <c r="Q397" s="130"/>
      <c r="R397" s="130"/>
      <c r="S397" s="130"/>
      <c r="T397" s="130"/>
      <c r="U397" s="130"/>
      <c r="V397" s="130"/>
      <c r="W397" s="131"/>
      <c r="X397" s="131"/>
      <c r="Y397" s="131"/>
      <c r="Z397" s="131"/>
      <c r="AA397" s="131"/>
      <c r="AB397" s="131"/>
      <c r="AC397" s="131"/>
      <c r="AD397" s="131"/>
      <c r="AE397" s="131"/>
      <c r="AF397" s="131"/>
      <c r="AG397" s="131"/>
      <c r="AH397" s="131"/>
      <c r="AI397" s="131"/>
      <c r="AJ397" s="131"/>
    </row>
    <row r="398">
      <c r="A398" s="126"/>
      <c r="B398" s="126"/>
      <c r="C398" s="126"/>
      <c r="D398" s="126"/>
      <c r="E398" s="126"/>
      <c r="F398" s="126"/>
      <c r="G398" s="128"/>
      <c r="H398" s="130"/>
      <c r="I398" s="130"/>
      <c r="J398" s="130"/>
      <c r="K398" s="130"/>
      <c r="L398" s="129"/>
      <c r="M398" s="130"/>
      <c r="N398" s="130"/>
      <c r="O398" s="130"/>
      <c r="P398" s="130"/>
      <c r="Q398" s="130"/>
      <c r="R398" s="130"/>
      <c r="S398" s="130"/>
      <c r="T398" s="130"/>
      <c r="U398" s="130"/>
      <c r="V398" s="130"/>
      <c r="W398" s="131"/>
      <c r="X398" s="131"/>
      <c r="Y398" s="131"/>
      <c r="Z398" s="131"/>
      <c r="AA398" s="131"/>
      <c r="AB398" s="131"/>
      <c r="AC398" s="131"/>
      <c r="AD398" s="131"/>
      <c r="AE398" s="131"/>
      <c r="AF398" s="131"/>
      <c r="AG398" s="131"/>
      <c r="AH398" s="131"/>
      <c r="AI398" s="131"/>
      <c r="AJ398" s="131"/>
    </row>
    <row r="399">
      <c r="A399" s="126"/>
      <c r="B399" s="126"/>
      <c r="C399" s="126"/>
      <c r="D399" s="126"/>
      <c r="E399" s="126"/>
      <c r="F399" s="126"/>
      <c r="G399" s="128"/>
      <c r="H399" s="130"/>
      <c r="I399" s="130"/>
      <c r="J399" s="130"/>
      <c r="K399" s="130"/>
      <c r="L399" s="129"/>
      <c r="M399" s="130"/>
      <c r="N399" s="130"/>
      <c r="O399" s="130"/>
      <c r="P399" s="130"/>
      <c r="Q399" s="130"/>
      <c r="R399" s="130"/>
      <c r="S399" s="130"/>
      <c r="T399" s="130"/>
      <c r="U399" s="130"/>
      <c r="V399" s="130"/>
      <c r="W399" s="131"/>
      <c r="X399" s="131"/>
      <c r="Y399" s="131"/>
      <c r="Z399" s="131"/>
      <c r="AA399" s="131"/>
      <c r="AB399" s="131"/>
      <c r="AC399" s="131"/>
      <c r="AD399" s="131"/>
      <c r="AE399" s="131"/>
      <c r="AF399" s="131"/>
      <c r="AG399" s="131"/>
      <c r="AH399" s="131"/>
      <c r="AI399" s="131"/>
      <c r="AJ399" s="131"/>
    </row>
    <row r="400">
      <c r="A400" s="126"/>
      <c r="B400" s="126"/>
      <c r="C400" s="126"/>
      <c r="D400" s="126"/>
      <c r="E400" s="126"/>
      <c r="F400" s="126"/>
      <c r="G400" s="128"/>
      <c r="H400" s="130"/>
      <c r="I400" s="130"/>
      <c r="J400" s="130"/>
      <c r="K400" s="130"/>
      <c r="L400" s="129"/>
      <c r="M400" s="130"/>
      <c r="N400" s="130"/>
      <c r="O400" s="130"/>
      <c r="P400" s="130"/>
      <c r="Q400" s="130"/>
      <c r="R400" s="130"/>
      <c r="S400" s="130"/>
      <c r="T400" s="130"/>
      <c r="U400" s="130"/>
      <c r="V400" s="130"/>
      <c r="W400" s="131"/>
      <c r="X400" s="131"/>
      <c r="Y400" s="131"/>
      <c r="Z400" s="131"/>
      <c r="AA400" s="131"/>
      <c r="AB400" s="131"/>
      <c r="AC400" s="131"/>
      <c r="AD400" s="131"/>
      <c r="AE400" s="131"/>
      <c r="AF400" s="131"/>
      <c r="AG400" s="131"/>
      <c r="AH400" s="131"/>
      <c r="AI400" s="131"/>
      <c r="AJ400" s="131"/>
    </row>
    <row r="401">
      <c r="A401" s="126"/>
      <c r="B401" s="126"/>
      <c r="C401" s="126"/>
      <c r="D401" s="126"/>
      <c r="E401" s="126"/>
      <c r="F401" s="126"/>
      <c r="G401" s="128"/>
      <c r="H401" s="130"/>
      <c r="I401" s="130"/>
      <c r="J401" s="130"/>
      <c r="K401" s="130"/>
      <c r="L401" s="129"/>
      <c r="M401" s="130"/>
      <c r="N401" s="130"/>
      <c r="O401" s="130"/>
      <c r="P401" s="130"/>
      <c r="Q401" s="130"/>
      <c r="R401" s="130"/>
      <c r="S401" s="130"/>
      <c r="T401" s="130"/>
      <c r="U401" s="130"/>
      <c r="V401" s="130"/>
      <c r="W401" s="131"/>
      <c r="X401" s="131"/>
      <c r="Y401" s="131"/>
      <c r="Z401" s="131"/>
      <c r="AA401" s="131"/>
      <c r="AB401" s="131"/>
      <c r="AC401" s="131"/>
      <c r="AD401" s="131"/>
      <c r="AE401" s="131"/>
      <c r="AF401" s="131"/>
      <c r="AG401" s="131"/>
      <c r="AH401" s="131"/>
      <c r="AI401" s="131"/>
      <c r="AJ401" s="131"/>
    </row>
    <row r="402">
      <c r="A402" s="126"/>
      <c r="B402" s="126"/>
      <c r="C402" s="126"/>
      <c r="D402" s="126"/>
      <c r="E402" s="126"/>
      <c r="F402" s="126"/>
      <c r="G402" s="128"/>
      <c r="H402" s="130"/>
      <c r="I402" s="130"/>
      <c r="J402" s="130"/>
      <c r="K402" s="130"/>
      <c r="L402" s="129"/>
      <c r="M402" s="130"/>
      <c r="N402" s="130"/>
      <c r="O402" s="130"/>
      <c r="P402" s="130"/>
      <c r="Q402" s="130"/>
      <c r="R402" s="130"/>
      <c r="S402" s="130"/>
      <c r="T402" s="130"/>
      <c r="U402" s="130"/>
      <c r="V402" s="130"/>
      <c r="W402" s="131"/>
      <c r="X402" s="131"/>
      <c r="Y402" s="131"/>
      <c r="Z402" s="131"/>
      <c r="AA402" s="131"/>
      <c r="AB402" s="131"/>
      <c r="AC402" s="131"/>
      <c r="AD402" s="131"/>
      <c r="AE402" s="131"/>
      <c r="AF402" s="131"/>
      <c r="AG402" s="131"/>
      <c r="AH402" s="131"/>
      <c r="AI402" s="131"/>
      <c r="AJ402" s="131"/>
    </row>
    <row r="403">
      <c r="A403" s="126"/>
      <c r="B403" s="126"/>
      <c r="C403" s="126"/>
      <c r="D403" s="126"/>
      <c r="E403" s="126"/>
      <c r="F403" s="126"/>
      <c r="G403" s="128"/>
      <c r="H403" s="130"/>
      <c r="I403" s="130"/>
      <c r="J403" s="130"/>
      <c r="K403" s="130"/>
      <c r="L403" s="129"/>
      <c r="M403" s="130"/>
      <c r="N403" s="130"/>
      <c r="O403" s="130"/>
      <c r="P403" s="130"/>
      <c r="Q403" s="130"/>
      <c r="R403" s="130"/>
      <c r="S403" s="130"/>
      <c r="T403" s="130"/>
      <c r="U403" s="130"/>
      <c r="V403" s="130"/>
      <c r="W403" s="131"/>
      <c r="X403" s="131"/>
      <c r="Y403" s="131"/>
      <c r="Z403" s="131"/>
      <c r="AA403" s="131"/>
      <c r="AB403" s="131"/>
      <c r="AC403" s="131"/>
      <c r="AD403" s="131"/>
      <c r="AE403" s="131"/>
      <c r="AF403" s="131"/>
      <c r="AG403" s="131"/>
      <c r="AH403" s="131"/>
      <c r="AI403" s="131"/>
      <c r="AJ403" s="131"/>
    </row>
    <row r="404">
      <c r="A404" s="126"/>
      <c r="B404" s="126"/>
      <c r="C404" s="126"/>
      <c r="D404" s="126"/>
      <c r="E404" s="126"/>
      <c r="F404" s="126"/>
      <c r="G404" s="128"/>
      <c r="H404" s="130"/>
      <c r="I404" s="130"/>
      <c r="J404" s="130"/>
      <c r="K404" s="130"/>
      <c r="L404" s="129"/>
      <c r="M404" s="130"/>
      <c r="N404" s="130"/>
      <c r="O404" s="130"/>
      <c r="P404" s="130"/>
      <c r="Q404" s="130"/>
      <c r="R404" s="130"/>
      <c r="S404" s="130"/>
      <c r="T404" s="130"/>
      <c r="U404" s="130"/>
      <c r="V404" s="130"/>
      <c r="W404" s="131"/>
      <c r="X404" s="131"/>
      <c r="Y404" s="131"/>
      <c r="Z404" s="131"/>
      <c r="AA404" s="131"/>
      <c r="AB404" s="131"/>
      <c r="AC404" s="131"/>
      <c r="AD404" s="131"/>
      <c r="AE404" s="131"/>
      <c r="AF404" s="131"/>
      <c r="AG404" s="131"/>
      <c r="AH404" s="131"/>
      <c r="AI404" s="131"/>
      <c r="AJ404" s="131"/>
    </row>
    <row r="405">
      <c r="A405" s="126"/>
      <c r="B405" s="126"/>
      <c r="C405" s="126"/>
      <c r="D405" s="126"/>
      <c r="E405" s="126"/>
      <c r="F405" s="126"/>
      <c r="G405" s="128"/>
      <c r="H405" s="130"/>
      <c r="I405" s="130"/>
      <c r="J405" s="130"/>
      <c r="K405" s="130"/>
      <c r="L405" s="129"/>
      <c r="M405" s="130"/>
      <c r="N405" s="130"/>
      <c r="O405" s="130"/>
      <c r="P405" s="130"/>
      <c r="Q405" s="130"/>
      <c r="R405" s="130"/>
      <c r="S405" s="130"/>
      <c r="T405" s="130"/>
      <c r="U405" s="130"/>
      <c r="V405" s="130"/>
      <c r="W405" s="131"/>
      <c r="X405" s="131"/>
      <c r="Y405" s="131"/>
      <c r="Z405" s="131"/>
      <c r="AA405" s="131"/>
      <c r="AB405" s="131"/>
      <c r="AC405" s="131"/>
      <c r="AD405" s="131"/>
      <c r="AE405" s="131"/>
      <c r="AF405" s="131"/>
      <c r="AG405" s="131"/>
      <c r="AH405" s="131"/>
      <c r="AI405" s="131"/>
      <c r="AJ405" s="131"/>
    </row>
    <row r="406">
      <c r="A406" s="126"/>
      <c r="B406" s="126"/>
      <c r="C406" s="126"/>
      <c r="D406" s="126"/>
      <c r="E406" s="126"/>
      <c r="F406" s="126"/>
      <c r="G406" s="128"/>
      <c r="H406" s="130"/>
      <c r="I406" s="130"/>
      <c r="J406" s="130"/>
      <c r="K406" s="130"/>
      <c r="L406" s="129"/>
      <c r="M406" s="130"/>
      <c r="N406" s="130"/>
      <c r="O406" s="130"/>
      <c r="P406" s="130"/>
      <c r="Q406" s="130"/>
      <c r="R406" s="130"/>
      <c r="S406" s="130"/>
      <c r="T406" s="130"/>
      <c r="U406" s="130"/>
      <c r="V406" s="130"/>
      <c r="W406" s="131"/>
      <c r="X406" s="131"/>
      <c r="Y406" s="131"/>
      <c r="Z406" s="131"/>
      <c r="AA406" s="131"/>
      <c r="AB406" s="131"/>
      <c r="AC406" s="131"/>
      <c r="AD406" s="131"/>
      <c r="AE406" s="131"/>
      <c r="AF406" s="131"/>
      <c r="AG406" s="131"/>
      <c r="AH406" s="131"/>
      <c r="AI406" s="131"/>
      <c r="AJ406" s="131"/>
    </row>
    <row r="407">
      <c r="A407" s="126"/>
      <c r="B407" s="126"/>
      <c r="C407" s="126"/>
      <c r="D407" s="126"/>
      <c r="E407" s="126"/>
      <c r="F407" s="126"/>
      <c r="G407" s="128"/>
      <c r="H407" s="130"/>
      <c r="I407" s="130"/>
      <c r="J407" s="130"/>
      <c r="K407" s="130"/>
      <c r="L407" s="129"/>
      <c r="M407" s="130"/>
      <c r="N407" s="130"/>
      <c r="O407" s="130"/>
      <c r="P407" s="130"/>
      <c r="Q407" s="130"/>
      <c r="R407" s="130"/>
      <c r="S407" s="130"/>
      <c r="T407" s="130"/>
      <c r="U407" s="130"/>
      <c r="V407" s="130"/>
      <c r="W407" s="131"/>
      <c r="X407" s="131"/>
      <c r="Y407" s="131"/>
      <c r="Z407" s="131"/>
      <c r="AA407" s="131"/>
      <c r="AB407" s="131"/>
      <c r="AC407" s="131"/>
      <c r="AD407" s="131"/>
      <c r="AE407" s="131"/>
      <c r="AF407" s="131"/>
      <c r="AG407" s="131"/>
      <c r="AH407" s="131"/>
      <c r="AI407" s="131"/>
      <c r="AJ407" s="131"/>
    </row>
    <row r="408">
      <c r="A408" s="126"/>
      <c r="B408" s="126"/>
      <c r="C408" s="126"/>
      <c r="D408" s="126"/>
      <c r="E408" s="126"/>
      <c r="F408" s="126"/>
      <c r="G408" s="128"/>
      <c r="H408" s="130"/>
      <c r="I408" s="130"/>
      <c r="J408" s="130"/>
      <c r="K408" s="130"/>
      <c r="L408" s="129"/>
      <c r="M408" s="130"/>
      <c r="N408" s="130"/>
      <c r="O408" s="130"/>
      <c r="P408" s="130"/>
      <c r="Q408" s="130"/>
      <c r="R408" s="130"/>
      <c r="S408" s="130"/>
      <c r="T408" s="130"/>
      <c r="U408" s="130"/>
      <c r="V408" s="130"/>
      <c r="W408" s="131"/>
      <c r="X408" s="131"/>
      <c r="Y408" s="131"/>
      <c r="Z408" s="131"/>
      <c r="AA408" s="131"/>
      <c r="AB408" s="131"/>
      <c r="AC408" s="131"/>
      <c r="AD408" s="131"/>
      <c r="AE408" s="131"/>
      <c r="AF408" s="131"/>
      <c r="AG408" s="131"/>
      <c r="AH408" s="131"/>
      <c r="AI408" s="131"/>
      <c r="AJ408" s="131"/>
    </row>
    <row r="409">
      <c r="A409" s="126"/>
      <c r="B409" s="126"/>
      <c r="C409" s="126"/>
      <c r="D409" s="126"/>
      <c r="E409" s="126"/>
      <c r="F409" s="126"/>
      <c r="G409" s="128"/>
      <c r="H409" s="130"/>
      <c r="I409" s="130"/>
      <c r="J409" s="130"/>
      <c r="K409" s="130"/>
      <c r="L409" s="129"/>
      <c r="M409" s="130"/>
      <c r="N409" s="130"/>
      <c r="O409" s="130"/>
      <c r="P409" s="130"/>
      <c r="Q409" s="130"/>
      <c r="R409" s="130"/>
      <c r="S409" s="130"/>
      <c r="T409" s="130"/>
      <c r="U409" s="130"/>
      <c r="V409" s="130"/>
      <c r="W409" s="131"/>
      <c r="X409" s="131"/>
      <c r="Y409" s="131"/>
      <c r="Z409" s="131"/>
      <c r="AA409" s="131"/>
      <c r="AB409" s="131"/>
      <c r="AC409" s="131"/>
      <c r="AD409" s="131"/>
      <c r="AE409" s="131"/>
      <c r="AF409" s="131"/>
      <c r="AG409" s="131"/>
      <c r="AH409" s="131"/>
      <c r="AI409" s="131"/>
      <c r="AJ409" s="131"/>
    </row>
    <row r="410">
      <c r="A410" s="126"/>
      <c r="B410" s="126"/>
      <c r="C410" s="126"/>
      <c r="D410" s="126"/>
      <c r="E410" s="126"/>
      <c r="F410" s="126"/>
      <c r="G410" s="128"/>
      <c r="H410" s="130"/>
      <c r="I410" s="130"/>
      <c r="J410" s="130"/>
      <c r="K410" s="130"/>
      <c r="L410" s="129"/>
      <c r="M410" s="130"/>
      <c r="N410" s="130"/>
      <c r="O410" s="130"/>
      <c r="P410" s="130"/>
      <c r="Q410" s="130"/>
      <c r="R410" s="130"/>
      <c r="S410" s="130"/>
      <c r="T410" s="130"/>
      <c r="U410" s="130"/>
      <c r="V410" s="130"/>
      <c r="W410" s="131"/>
      <c r="X410" s="131"/>
      <c r="Y410" s="131"/>
      <c r="Z410" s="131"/>
      <c r="AA410" s="131"/>
      <c r="AB410" s="131"/>
      <c r="AC410" s="131"/>
      <c r="AD410" s="131"/>
      <c r="AE410" s="131"/>
      <c r="AF410" s="131"/>
      <c r="AG410" s="131"/>
      <c r="AH410" s="131"/>
      <c r="AI410" s="131"/>
      <c r="AJ410" s="131"/>
    </row>
    <row r="411">
      <c r="A411" s="126"/>
      <c r="B411" s="126"/>
      <c r="C411" s="126"/>
      <c r="D411" s="126"/>
      <c r="E411" s="126"/>
      <c r="F411" s="126"/>
      <c r="G411" s="128"/>
      <c r="H411" s="130"/>
      <c r="I411" s="130"/>
      <c r="J411" s="130"/>
      <c r="K411" s="130"/>
      <c r="L411" s="129"/>
      <c r="M411" s="130"/>
      <c r="N411" s="130"/>
      <c r="O411" s="130"/>
      <c r="P411" s="130"/>
      <c r="Q411" s="130"/>
      <c r="R411" s="130"/>
      <c r="S411" s="130"/>
      <c r="T411" s="130"/>
      <c r="U411" s="130"/>
      <c r="V411" s="130"/>
      <c r="W411" s="131"/>
      <c r="X411" s="131"/>
      <c r="Y411" s="131"/>
      <c r="Z411" s="131"/>
      <c r="AA411" s="131"/>
      <c r="AB411" s="131"/>
      <c r="AC411" s="131"/>
      <c r="AD411" s="131"/>
      <c r="AE411" s="131"/>
      <c r="AF411" s="131"/>
      <c r="AG411" s="131"/>
      <c r="AH411" s="131"/>
      <c r="AI411" s="131"/>
      <c r="AJ411" s="131"/>
    </row>
    <row r="412">
      <c r="A412" s="126"/>
      <c r="B412" s="126"/>
      <c r="C412" s="126"/>
      <c r="D412" s="126"/>
      <c r="E412" s="126"/>
      <c r="F412" s="126"/>
      <c r="G412" s="128"/>
      <c r="H412" s="130"/>
      <c r="I412" s="130"/>
      <c r="J412" s="130"/>
      <c r="K412" s="130"/>
      <c r="L412" s="129"/>
      <c r="M412" s="130"/>
      <c r="N412" s="130"/>
      <c r="O412" s="130"/>
      <c r="P412" s="130"/>
      <c r="Q412" s="130"/>
      <c r="R412" s="130"/>
      <c r="S412" s="130"/>
      <c r="T412" s="130"/>
      <c r="U412" s="130"/>
      <c r="V412" s="130"/>
      <c r="W412" s="131"/>
      <c r="X412" s="131"/>
      <c r="Y412" s="131"/>
      <c r="Z412" s="131"/>
      <c r="AA412" s="131"/>
      <c r="AB412" s="131"/>
      <c r="AC412" s="131"/>
      <c r="AD412" s="131"/>
      <c r="AE412" s="131"/>
      <c r="AF412" s="131"/>
      <c r="AG412" s="131"/>
      <c r="AH412" s="131"/>
      <c r="AI412" s="131"/>
      <c r="AJ412" s="131"/>
    </row>
    <row r="413">
      <c r="A413" s="126"/>
      <c r="B413" s="126"/>
      <c r="C413" s="126"/>
      <c r="D413" s="126"/>
      <c r="E413" s="126"/>
      <c r="F413" s="126"/>
      <c r="G413" s="128"/>
      <c r="H413" s="130"/>
      <c r="I413" s="130"/>
      <c r="J413" s="130"/>
      <c r="K413" s="130"/>
      <c r="L413" s="129"/>
      <c r="M413" s="130"/>
      <c r="N413" s="130"/>
      <c r="O413" s="130"/>
      <c r="P413" s="130"/>
      <c r="Q413" s="130"/>
      <c r="R413" s="130"/>
      <c r="S413" s="130"/>
      <c r="T413" s="130"/>
      <c r="U413" s="130"/>
      <c r="V413" s="130"/>
      <c r="W413" s="131"/>
      <c r="X413" s="131"/>
      <c r="Y413" s="131"/>
      <c r="Z413" s="131"/>
      <c r="AA413" s="131"/>
      <c r="AB413" s="131"/>
      <c r="AC413" s="131"/>
      <c r="AD413" s="131"/>
      <c r="AE413" s="131"/>
      <c r="AF413" s="131"/>
      <c r="AG413" s="131"/>
      <c r="AH413" s="131"/>
      <c r="AI413" s="131"/>
      <c r="AJ413" s="131"/>
    </row>
    <row r="414">
      <c r="A414" s="126"/>
      <c r="B414" s="126"/>
      <c r="C414" s="126"/>
      <c r="D414" s="126"/>
      <c r="E414" s="126"/>
      <c r="F414" s="126"/>
      <c r="G414" s="128"/>
      <c r="H414" s="130"/>
      <c r="I414" s="130"/>
      <c r="J414" s="130"/>
      <c r="K414" s="130"/>
      <c r="L414" s="129"/>
      <c r="M414" s="130"/>
      <c r="N414" s="130"/>
      <c r="O414" s="130"/>
      <c r="P414" s="130"/>
      <c r="Q414" s="130"/>
      <c r="R414" s="130"/>
      <c r="S414" s="130"/>
      <c r="T414" s="130"/>
      <c r="U414" s="130"/>
      <c r="V414" s="130"/>
      <c r="W414" s="131"/>
      <c r="X414" s="131"/>
      <c r="Y414" s="131"/>
      <c r="Z414" s="131"/>
      <c r="AA414" s="131"/>
      <c r="AB414" s="131"/>
      <c r="AC414" s="131"/>
      <c r="AD414" s="131"/>
      <c r="AE414" s="131"/>
      <c r="AF414" s="131"/>
      <c r="AG414" s="131"/>
      <c r="AH414" s="131"/>
      <c r="AI414" s="131"/>
      <c r="AJ414" s="131"/>
    </row>
    <row r="415">
      <c r="A415" s="126"/>
      <c r="B415" s="126"/>
      <c r="C415" s="126"/>
      <c r="D415" s="126"/>
      <c r="E415" s="126"/>
      <c r="F415" s="126"/>
      <c r="G415" s="128"/>
      <c r="H415" s="130"/>
      <c r="I415" s="130"/>
      <c r="J415" s="130"/>
      <c r="K415" s="130"/>
      <c r="L415" s="129"/>
      <c r="M415" s="130"/>
      <c r="N415" s="130"/>
      <c r="O415" s="130"/>
      <c r="P415" s="130"/>
      <c r="Q415" s="130"/>
      <c r="R415" s="130"/>
      <c r="S415" s="130"/>
      <c r="T415" s="130"/>
      <c r="U415" s="130"/>
      <c r="V415" s="130"/>
      <c r="W415" s="131"/>
      <c r="X415" s="131"/>
      <c r="Y415" s="131"/>
      <c r="Z415" s="131"/>
      <c r="AA415" s="131"/>
      <c r="AB415" s="131"/>
      <c r="AC415" s="131"/>
      <c r="AD415" s="131"/>
      <c r="AE415" s="131"/>
      <c r="AF415" s="131"/>
      <c r="AG415" s="131"/>
      <c r="AH415" s="131"/>
      <c r="AI415" s="131"/>
      <c r="AJ415" s="131"/>
    </row>
    <row r="416">
      <c r="A416" s="126"/>
      <c r="B416" s="126"/>
      <c r="C416" s="126"/>
      <c r="D416" s="126"/>
      <c r="E416" s="126"/>
      <c r="F416" s="126"/>
      <c r="G416" s="128"/>
      <c r="H416" s="130"/>
      <c r="I416" s="130"/>
      <c r="J416" s="130"/>
      <c r="K416" s="130"/>
      <c r="L416" s="129"/>
      <c r="M416" s="130"/>
      <c r="N416" s="130"/>
      <c r="O416" s="130"/>
      <c r="P416" s="130"/>
      <c r="Q416" s="130"/>
      <c r="R416" s="130"/>
      <c r="S416" s="130"/>
      <c r="T416" s="130"/>
      <c r="U416" s="130"/>
      <c r="V416" s="130"/>
      <c r="W416" s="131"/>
      <c r="X416" s="131"/>
      <c r="Y416" s="131"/>
      <c r="Z416" s="131"/>
      <c r="AA416" s="131"/>
      <c r="AB416" s="131"/>
      <c r="AC416" s="131"/>
      <c r="AD416" s="131"/>
      <c r="AE416" s="131"/>
      <c r="AF416" s="131"/>
      <c r="AG416" s="131"/>
      <c r="AH416" s="131"/>
      <c r="AI416" s="131"/>
      <c r="AJ416" s="131"/>
    </row>
    <row r="417">
      <c r="A417" s="126"/>
      <c r="B417" s="126"/>
      <c r="C417" s="126"/>
      <c r="D417" s="126"/>
      <c r="E417" s="126"/>
      <c r="F417" s="126"/>
      <c r="G417" s="128"/>
      <c r="H417" s="130"/>
      <c r="I417" s="130"/>
      <c r="J417" s="130"/>
      <c r="K417" s="130"/>
      <c r="L417" s="129"/>
      <c r="M417" s="130"/>
      <c r="N417" s="130"/>
      <c r="O417" s="130"/>
      <c r="P417" s="130"/>
      <c r="Q417" s="130"/>
      <c r="R417" s="130"/>
      <c r="S417" s="130"/>
      <c r="T417" s="130"/>
      <c r="U417" s="130"/>
      <c r="V417" s="130"/>
      <c r="W417" s="131"/>
      <c r="X417" s="131"/>
      <c r="Y417" s="131"/>
      <c r="Z417" s="131"/>
      <c r="AA417" s="131"/>
      <c r="AB417" s="131"/>
      <c r="AC417" s="131"/>
      <c r="AD417" s="131"/>
      <c r="AE417" s="131"/>
      <c r="AF417" s="131"/>
      <c r="AG417" s="131"/>
      <c r="AH417" s="131"/>
      <c r="AI417" s="131"/>
      <c r="AJ417" s="131"/>
    </row>
    <row r="418">
      <c r="A418" s="126"/>
      <c r="B418" s="126"/>
      <c r="C418" s="126"/>
      <c r="D418" s="126"/>
      <c r="E418" s="126"/>
      <c r="F418" s="126"/>
      <c r="G418" s="128"/>
      <c r="H418" s="130"/>
      <c r="I418" s="130"/>
      <c r="J418" s="130"/>
      <c r="K418" s="130"/>
      <c r="L418" s="129"/>
      <c r="M418" s="130"/>
      <c r="N418" s="130"/>
      <c r="O418" s="130"/>
      <c r="P418" s="130"/>
      <c r="Q418" s="130"/>
      <c r="R418" s="130"/>
      <c r="S418" s="130"/>
      <c r="T418" s="130"/>
      <c r="U418" s="130"/>
      <c r="V418" s="130"/>
      <c r="W418" s="131"/>
      <c r="X418" s="131"/>
      <c r="Y418" s="131"/>
      <c r="Z418" s="131"/>
      <c r="AA418" s="131"/>
      <c r="AB418" s="131"/>
      <c r="AC418" s="131"/>
      <c r="AD418" s="131"/>
      <c r="AE418" s="131"/>
      <c r="AF418" s="131"/>
      <c r="AG418" s="131"/>
      <c r="AH418" s="131"/>
      <c r="AI418" s="131"/>
      <c r="AJ418" s="131"/>
    </row>
    <row r="419">
      <c r="A419" s="126"/>
      <c r="B419" s="126"/>
      <c r="C419" s="126"/>
      <c r="D419" s="126"/>
      <c r="E419" s="126"/>
      <c r="F419" s="126"/>
      <c r="G419" s="128"/>
      <c r="H419" s="130"/>
      <c r="I419" s="130"/>
      <c r="J419" s="130"/>
      <c r="K419" s="130"/>
      <c r="L419" s="129"/>
      <c r="M419" s="130"/>
      <c r="N419" s="130"/>
      <c r="O419" s="130"/>
      <c r="P419" s="130"/>
      <c r="Q419" s="130"/>
      <c r="R419" s="130"/>
      <c r="S419" s="130"/>
      <c r="T419" s="130"/>
      <c r="U419" s="130"/>
      <c r="V419" s="130"/>
      <c r="W419" s="131"/>
      <c r="X419" s="131"/>
      <c r="Y419" s="131"/>
      <c r="Z419" s="131"/>
      <c r="AA419" s="131"/>
      <c r="AB419" s="131"/>
      <c r="AC419" s="131"/>
      <c r="AD419" s="131"/>
      <c r="AE419" s="131"/>
      <c r="AF419" s="131"/>
      <c r="AG419" s="131"/>
      <c r="AH419" s="131"/>
      <c r="AI419" s="131"/>
      <c r="AJ419" s="131"/>
    </row>
    <row r="420">
      <c r="A420" s="126"/>
      <c r="B420" s="126"/>
      <c r="C420" s="126"/>
      <c r="D420" s="126"/>
      <c r="E420" s="126"/>
      <c r="F420" s="126"/>
      <c r="G420" s="128"/>
      <c r="H420" s="130"/>
      <c r="I420" s="130"/>
      <c r="J420" s="130"/>
      <c r="K420" s="130"/>
      <c r="L420" s="129"/>
      <c r="M420" s="130"/>
      <c r="N420" s="130"/>
      <c r="O420" s="130"/>
      <c r="P420" s="130"/>
      <c r="Q420" s="130"/>
      <c r="R420" s="130"/>
      <c r="S420" s="130"/>
      <c r="T420" s="130"/>
      <c r="U420" s="130"/>
      <c r="V420" s="130"/>
      <c r="W420" s="131"/>
      <c r="X420" s="131"/>
      <c r="Y420" s="131"/>
      <c r="Z420" s="131"/>
      <c r="AA420" s="131"/>
      <c r="AB420" s="131"/>
      <c r="AC420" s="131"/>
      <c r="AD420" s="131"/>
      <c r="AE420" s="131"/>
      <c r="AF420" s="131"/>
      <c r="AG420" s="131"/>
      <c r="AH420" s="131"/>
      <c r="AI420" s="131"/>
      <c r="AJ420" s="131"/>
    </row>
    <row r="421">
      <c r="A421" s="126"/>
      <c r="B421" s="126"/>
      <c r="C421" s="126"/>
      <c r="D421" s="126"/>
      <c r="E421" s="126"/>
      <c r="F421" s="126"/>
      <c r="G421" s="128"/>
      <c r="H421" s="130"/>
      <c r="I421" s="130"/>
      <c r="J421" s="130"/>
      <c r="K421" s="130"/>
      <c r="L421" s="129"/>
      <c r="M421" s="130"/>
      <c r="N421" s="130"/>
      <c r="O421" s="130"/>
      <c r="P421" s="130"/>
      <c r="Q421" s="130"/>
      <c r="R421" s="130"/>
      <c r="S421" s="130"/>
      <c r="T421" s="130"/>
      <c r="U421" s="130"/>
      <c r="V421" s="130"/>
      <c r="W421" s="131"/>
      <c r="X421" s="131"/>
      <c r="Y421" s="131"/>
      <c r="Z421" s="131"/>
      <c r="AA421" s="131"/>
      <c r="AB421" s="131"/>
      <c r="AC421" s="131"/>
      <c r="AD421" s="131"/>
      <c r="AE421" s="131"/>
      <c r="AF421" s="131"/>
      <c r="AG421" s="131"/>
      <c r="AH421" s="131"/>
      <c r="AI421" s="131"/>
      <c r="AJ421" s="131"/>
    </row>
    <row r="422">
      <c r="A422" s="126"/>
      <c r="B422" s="126"/>
      <c r="C422" s="126"/>
      <c r="D422" s="126"/>
      <c r="E422" s="126"/>
      <c r="F422" s="126"/>
      <c r="G422" s="128"/>
      <c r="H422" s="130"/>
      <c r="I422" s="130"/>
      <c r="J422" s="130"/>
      <c r="K422" s="130"/>
      <c r="L422" s="129"/>
      <c r="M422" s="130"/>
      <c r="N422" s="130"/>
      <c r="O422" s="130"/>
      <c r="P422" s="130"/>
      <c r="Q422" s="130"/>
      <c r="R422" s="130"/>
      <c r="S422" s="130"/>
      <c r="T422" s="130"/>
      <c r="U422" s="130"/>
      <c r="V422" s="130"/>
      <c r="W422" s="131"/>
      <c r="X422" s="131"/>
      <c r="Y422" s="131"/>
      <c r="Z422" s="131"/>
      <c r="AA422" s="131"/>
      <c r="AB422" s="131"/>
      <c r="AC422" s="131"/>
      <c r="AD422" s="131"/>
      <c r="AE422" s="131"/>
      <c r="AF422" s="131"/>
      <c r="AG422" s="131"/>
      <c r="AH422" s="131"/>
      <c r="AI422" s="131"/>
      <c r="AJ422" s="131"/>
    </row>
    <row r="423">
      <c r="A423" s="126"/>
      <c r="B423" s="126"/>
      <c r="C423" s="126"/>
      <c r="D423" s="126"/>
      <c r="E423" s="126"/>
      <c r="F423" s="126"/>
      <c r="G423" s="128"/>
      <c r="H423" s="130"/>
      <c r="I423" s="130"/>
      <c r="J423" s="130"/>
      <c r="K423" s="130"/>
      <c r="L423" s="129"/>
      <c r="M423" s="130"/>
      <c r="N423" s="130"/>
      <c r="O423" s="130"/>
      <c r="P423" s="130"/>
      <c r="Q423" s="130"/>
      <c r="R423" s="130"/>
      <c r="S423" s="130"/>
      <c r="T423" s="130"/>
      <c r="U423" s="130"/>
      <c r="V423" s="130"/>
      <c r="W423" s="131"/>
      <c r="X423" s="131"/>
      <c r="Y423" s="131"/>
      <c r="Z423" s="131"/>
      <c r="AA423" s="131"/>
      <c r="AB423" s="131"/>
      <c r="AC423" s="131"/>
      <c r="AD423" s="131"/>
      <c r="AE423" s="131"/>
      <c r="AF423" s="131"/>
      <c r="AG423" s="131"/>
      <c r="AH423" s="131"/>
      <c r="AI423" s="131"/>
      <c r="AJ423" s="131"/>
    </row>
    <row r="424">
      <c r="A424" s="126"/>
      <c r="B424" s="126"/>
      <c r="C424" s="126"/>
      <c r="D424" s="126"/>
      <c r="E424" s="126"/>
      <c r="F424" s="126"/>
      <c r="G424" s="128"/>
      <c r="H424" s="130"/>
      <c r="I424" s="130"/>
      <c r="J424" s="130"/>
      <c r="K424" s="130"/>
      <c r="L424" s="129"/>
      <c r="M424" s="130"/>
      <c r="N424" s="130"/>
      <c r="O424" s="130"/>
      <c r="P424" s="130"/>
      <c r="Q424" s="130"/>
      <c r="R424" s="130"/>
      <c r="S424" s="130"/>
      <c r="T424" s="130"/>
      <c r="U424" s="130"/>
      <c r="V424" s="130"/>
      <c r="W424" s="131"/>
      <c r="X424" s="131"/>
      <c r="Y424" s="131"/>
      <c r="Z424" s="131"/>
      <c r="AA424" s="131"/>
      <c r="AB424" s="131"/>
      <c r="AC424" s="131"/>
      <c r="AD424" s="131"/>
      <c r="AE424" s="131"/>
      <c r="AF424" s="131"/>
      <c r="AG424" s="131"/>
      <c r="AH424" s="131"/>
      <c r="AI424" s="131"/>
      <c r="AJ424" s="131"/>
    </row>
    <row r="425">
      <c r="A425" s="126"/>
      <c r="B425" s="126"/>
      <c r="C425" s="126"/>
      <c r="D425" s="126"/>
      <c r="E425" s="126"/>
      <c r="F425" s="126"/>
      <c r="G425" s="128"/>
      <c r="H425" s="130"/>
      <c r="I425" s="130"/>
      <c r="J425" s="130"/>
      <c r="K425" s="130"/>
      <c r="L425" s="129"/>
      <c r="M425" s="130"/>
      <c r="N425" s="130"/>
      <c r="O425" s="130"/>
      <c r="P425" s="130"/>
      <c r="Q425" s="130"/>
      <c r="R425" s="130"/>
      <c r="S425" s="130"/>
      <c r="T425" s="130"/>
      <c r="U425" s="130"/>
      <c r="V425" s="130"/>
      <c r="W425" s="131"/>
      <c r="X425" s="131"/>
      <c r="Y425" s="131"/>
      <c r="Z425" s="131"/>
      <c r="AA425" s="131"/>
      <c r="AB425" s="131"/>
      <c r="AC425" s="131"/>
      <c r="AD425" s="131"/>
      <c r="AE425" s="131"/>
      <c r="AF425" s="131"/>
      <c r="AG425" s="131"/>
      <c r="AH425" s="131"/>
      <c r="AI425" s="131"/>
      <c r="AJ425" s="131"/>
    </row>
    <row r="426">
      <c r="A426" s="126"/>
      <c r="B426" s="126"/>
      <c r="C426" s="126"/>
      <c r="D426" s="126"/>
      <c r="E426" s="126"/>
      <c r="F426" s="126"/>
      <c r="G426" s="128"/>
      <c r="H426" s="130"/>
      <c r="I426" s="130"/>
      <c r="J426" s="130"/>
      <c r="K426" s="130"/>
      <c r="L426" s="129"/>
      <c r="M426" s="130"/>
      <c r="N426" s="130"/>
      <c r="O426" s="130"/>
      <c r="P426" s="130"/>
      <c r="Q426" s="130"/>
      <c r="R426" s="130"/>
      <c r="S426" s="130"/>
      <c r="T426" s="130"/>
      <c r="U426" s="130"/>
      <c r="V426" s="130"/>
      <c r="W426" s="131"/>
      <c r="X426" s="131"/>
      <c r="Y426" s="131"/>
      <c r="Z426" s="131"/>
      <c r="AA426" s="131"/>
      <c r="AB426" s="131"/>
      <c r="AC426" s="131"/>
      <c r="AD426" s="131"/>
      <c r="AE426" s="131"/>
      <c r="AF426" s="131"/>
      <c r="AG426" s="131"/>
      <c r="AH426" s="131"/>
      <c r="AI426" s="131"/>
      <c r="AJ426" s="131"/>
    </row>
    <row r="427">
      <c r="A427" s="126"/>
      <c r="B427" s="126"/>
      <c r="C427" s="126"/>
      <c r="D427" s="126"/>
      <c r="E427" s="126"/>
      <c r="F427" s="126"/>
      <c r="G427" s="128"/>
      <c r="H427" s="130"/>
      <c r="I427" s="130"/>
      <c r="J427" s="130"/>
      <c r="K427" s="130"/>
      <c r="L427" s="129"/>
      <c r="M427" s="130"/>
      <c r="N427" s="130"/>
      <c r="O427" s="130"/>
      <c r="P427" s="130"/>
      <c r="Q427" s="130"/>
      <c r="R427" s="130"/>
      <c r="S427" s="130"/>
      <c r="T427" s="130"/>
      <c r="U427" s="130"/>
      <c r="V427" s="130"/>
      <c r="W427" s="131"/>
      <c r="X427" s="131"/>
      <c r="Y427" s="131"/>
      <c r="Z427" s="131"/>
      <c r="AA427" s="131"/>
      <c r="AB427" s="131"/>
      <c r="AC427" s="131"/>
      <c r="AD427" s="131"/>
      <c r="AE427" s="131"/>
      <c r="AF427" s="131"/>
      <c r="AG427" s="131"/>
      <c r="AH427" s="131"/>
      <c r="AI427" s="131"/>
      <c r="AJ427" s="131"/>
    </row>
    <row r="428">
      <c r="A428" s="126"/>
      <c r="B428" s="126"/>
      <c r="C428" s="126"/>
      <c r="D428" s="126"/>
      <c r="E428" s="126"/>
      <c r="F428" s="126"/>
      <c r="G428" s="128"/>
      <c r="H428" s="130"/>
      <c r="I428" s="130"/>
      <c r="J428" s="130"/>
      <c r="K428" s="130"/>
      <c r="L428" s="129"/>
      <c r="M428" s="130"/>
      <c r="N428" s="130"/>
      <c r="O428" s="130"/>
      <c r="P428" s="130"/>
      <c r="Q428" s="130"/>
      <c r="R428" s="130"/>
      <c r="S428" s="130"/>
      <c r="T428" s="130"/>
      <c r="U428" s="130"/>
      <c r="V428" s="130"/>
      <c r="W428" s="131"/>
      <c r="X428" s="131"/>
      <c r="Y428" s="131"/>
      <c r="Z428" s="131"/>
      <c r="AA428" s="131"/>
      <c r="AB428" s="131"/>
      <c r="AC428" s="131"/>
      <c r="AD428" s="131"/>
      <c r="AE428" s="131"/>
      <c r="AF428" s="131"/>
      <c r="AG428" s="131"/>
      <c r="AH428" s="131"/>
      <c r="AI428" s="131"/>
      <c r="AJ428" s="131"/>
    </row>
    <row r="429">
      <c r="A429" s="126"/>
      <c r="B429" s="126"/>
      <c r="C429" s="126"/>
      <c r="D429" s="126"/>
      <c r="E429" s="126"/>
      <c r="F429" s="126"/>
      <c r="G429" s="128"/>
      <c r="H429" s="130"/>
      <c r="I429" s="130"/>
      <c r="J429" s="130"/>
      <c r="K429" s="130"/>
      <c r="L429" s="129"/>
      <c r="M429" s="130"/>
      <c r="N429" s="130"/>
      <c r="O429" s="130"/>
      <c r="P429" s="130"/>
      <c r="Q429" s="130"/>
      <c r="R429" s="130"/>
      <c r="S429" s="130"/>
      <c r="T429" s="130"/>
      <c r="U429" s="130"/>
      <c r="V429" s="130"/>
      <c r="W429" s="131"/>
      <c r="X429" s="131"/>
      <c r="Y429" s="131"/>
      <c r="Z429" s="131"/>
      <c r="AA429" s="131"/>
      <c r="AB429" s="131"/>
      <c r="AC429" s="131"/>
      <c r="AD429" s="131"/>
      <c r="AE429" s="131"/>
      <c r="AF429" s="131"/>
      <c r="AG429" s="131"/>
      <c r="AH429" s="131"/>
      <c r="AI429" s="131"/>
      <c r="AJ429" s="131"/>
    </row>
    <row r="430">
      <c r="A430" s="126"/>
      <c r="B430" s="126"/>
      <c r="C430" s="126"/>
      <c r="D430" s="126"/>
      <c r="E430" s="126"/>
      <c r="F430" s="126"/>
      <c r="G430" s="128"/>
      <c r="H430" s="130"/>
      <c r="I430" s="130"/>
      <c r="J430" s="130"/>
      <c r="K430" s="130"/>
      <c r="L430" s="129"/>
      <c r="M430" s="130"/>
      <c r="N430" s="130"/>
      <c r="O430" s="130"/>
      <c r="P430" s="130"/>
      <c r="Q430" s="130"/>
      <c r="R430" s="130"/>
      <c r="S430" s="130"/>
      <c r="T430" s="130"/>
      <c r="U430" s="130"/>
      <c r="V430" s="130"/>
      <c r="W430" s="131"/>
      <c r="X430" s="131"/>
      <c r="Y430" s="131"/>
      <c r="Z430" s="131"/>
      <c r="AA430" s="131"/>
      <c r="AB430" s="131"/>
      <c r="AC430" s="131"/>
      <c r="AD430" s="131"/>
      <c r="AE430" s="131"/>
      <c r="AF430" s="131"/>
      <c r="AG430" s="131"/>
      <c r="AH430" s="131"/>
      <c r="AI430" s="131"/>
      <c r="AJ430" s="131"/>
    </row>
    <row r="431">
      <c r="A431" s="126"/>
      <c r="B431" s="126"/>
      <c r="C431" s="126"/>
      <c r="D431" s="126"/>
      <c r="E431" s="126"/>
      <c r="F431" s="126"/>
      <c r="G431" s="128"/>
      <c r="H431" s="130"/>
      <c r="I431" s="130"/>
      <c r="J431" s="130"/>
      <c r="K431" s="130"/>
      <c r="L431" s="129"/>
      <c r="M431" s="130"/>
      <c r="N431" s="130"/>
      <c r="O431" s="130"/>
      <c r="P431" s="130"/>
      <c r="Q431" s="130"/>
      <c r="R431" s="130"/>
      <c r="S431" s="130"/>
      <c r="T431" s="130"/>
      <c r="U431" s="130"/>
      <c r="V431" s="130"/>
      <c r="W431" s="131"/>
      <c r="X431" s="131"/>
      <c r="Y431" s="131"/>
      <c r="Z431" s="131"/>
      <c r="AA431" s="131"/>
      <c r="AB431" s="131"/>
      <c r="AC431" s="131"/>
      <c r="AD431" s="131"/>
      <c r="AE431" s="131"/>
      <c r="AF431" s="131"/>
      <c r="AG431" s="131"/>
      <c r="AH431" s="131"/>
      <c r="AI431" s="131"/>
      <c r="AJ431" s="131"/>
    </row>
    <row r="432">
      <c r="A432" s="126"/>
      <c r="B432" s="126"/>
      <c r="C432" s="126"/>
      <c r="D432" s="126"/>
      <c r="E432" s="126"/>
      <c r="F432" s="126"/>
      <c r="G432" s="128"/>
      <c r="H432" s="130"/>
      <c r="I432" s="130"/>
      <c r="J432" s="130"/>
      <c r="K432" s="130"/>
      <c r="L432" s="129"/>
      <c r="M432" s="130"/>
      <c r="N432" s="130"/>
      <c r="O432" s="130"/>
      <c r="P432" s="130"/>
      <c r="Q432" s="130"/>
      <c r="R432" s="130"/>
      <c r="S432" s="130"/>
      <c r="T432" s="130"/>
      <c r="U432" s="130"/>
      <c r="V432" s="130"/>
      <c r="W432" s="131"/>
      <c r="X432" s="131"/>
      <c r="Y432" s="131"/>
      <c r="Z432" s="131"/>
      <c r="AA432" s="131"/>
      <c r="AB432" s="131"/>
      <c r="AC432" s="131"/>
      <c r="AD432" s="131"/>
      <c r="AE432" s="131"/>
      <c r="AF432" s="131"/>
      <c r="AG432" s="131"/>
      <c r="AH432" s="131"/>
      <c r="AI432" s="131"/>
      <c r="AJ432" s="131"/>
    </row>
    <row r="433">
      <c r="A433" s="126"/>
      <c r="B433" s="126"/>
      <c r="C433" s="126"/>
      <c r="D433" s="126"/>
      <c r="E433" s="126"/>
      <c r="F433" s="126"/>
      <c r="G433" s="128"/>
      <c r="H433" s="130"/>
      <c r="I433" s="130"/>
      <c r="J433" s="130"/>
      <c r="K433" s="130"/>
      <c r="L433" s="129"/>
      <c r="M433" s="130"/>
      <c r="N433" s="130"/>
      <c r="O433" s="130"/>
      <c r="P433" s="130"/>
      <c r="Q433" s="130"/>
      <c r="R433" s="130"/>
      <c r="S433" s="130"/>
      <c r="T433" s="130"/>
      <c r="U433" s="130"/>
      <c r="V433" s="130"/>
      <c r="W433" s="131"/>
      <c r="X433" s="131"/>
      <c r="Y433" s="131"/>
      <c r="Z433" s="131"/>
      <c r="AA433" s="131"/>
      <c r="AB433" s="131"/>
      <c r="AC433" s="131"/>
      <c r="AD433" s="131"/>
      <c r="AE433" s="131"/>
      <c r="AF433" s="131"/>
      <c r="AG433" s="131"/>
      <c r="AH433" s="131"/>
      <c r="AI433" s="131"/>
      <c r="AJ433" s="131"/>
    </row>
    <row r="434">
      <c r="A434" s="126"/>
      <c r="B434" s="126"/>
      <c r="C434" s="126"/>
      <c r="D434" s="126"/>
      <c r="E434" s="126"/>
      <c r="F434" s="126"/>
      <c r="G434" s="128"/>
      <c r="H434" s="130"/>
      <c r="I434" s="130"/>
      <c r="J434" s="130"/>
      <c r="K434" s="130"/>
      <c r="L434" s="129"/>
      <c r="M434" s="130"/>
      <c r="N434" s="130"/>
      <c r="O434" s="130"/>
      <c r="P434" s="130"/>
      <c r="Q434" s="130"/>
      <c r="R434" s="130"/>
      <c r="S434" s="130"/>
      <c r="T434" s="130"/>
      <c r="U434" s="130"/>
      <c r="V434" s="130"/>
      <c r="W434" s="131"/>
      <c r="X434" s="131"/>
      <c r="Y434" s="131"/>
      <c r="Z434" s="131"/>
      <c r="AA434" s="131"/>
      <c r="AB434" s="131"/>
      <c r="AC434" s="131"/>
      <c r="AD434" s="131"/>
      <c r="AE434" s="131"/>
      <c r="AF434" s="131"/>
      <c r="AG434" s="131"/>
      <c r="AH434" s="131"/>
      <c r="AI434" s="131"/>
      <c r="AJ434" s="131"/>
    </row>
    <row r="435">
      <c r="A435" s="126"/>
      <c r="B435" s="126"/>
      <c r="C435" s="126"/>
      <c r="D435" s="126"/>
      <c r="E435" s="126"/>
      <c r="F435" s="126"/>
      <c r="G435" s="128"/>
      <c r="H435" s="130"/>
      <c r="I435" s="130"/>
      <c r="J435" s="130"/>
      <c r="K435" s="130"/>
      <c r="L435" s="129"/>
      <c r="M435" s="130"/>
      <c r="N435" s="130"/>
      <c r="O435" s="130"/>
      <c r="P435" s="130"/>
      <c r="Q435" s="130"/>
      <c r="R435" s="130"/>
      <c r="S435" s="130"/>
      <c r="T435" s="130"/>
      <c r="U435" s="130"/>
      <c r="V435" s="130"/>
      <c r="W435" s="131"/>
      <c r="X435" s="131"/>
      <c r="Y435" s="131"/>
      <c r="Z435" s="131"/>
      <c r="AA435" s="131"/>
      <c r="AB435" s="131"/>
      <c r="AC435" s="131"/>
      <c r="AD435" s="131"/>
      <c r="AE435" s="131"/>
      <c r="AF435" s="131"/>
      <c r="AG435" s="131"/>
      <c r="AH435" s="131"/>
      <c r="AI435" s="131"/>
      <c r="AJ435" s="131"/>
    </row>
    <row r="436">
      <c r="A436" s="126"/>
      <c r="B436" s="126"/>
      <c r="C436" s="126"/>
      <c r="D436" s="126"/>
      <c r="E436" s="126"/>
      <c r="F436" s="126"/>
      <c r="G436" s="128"/>
      <c r="H436" s="130"/>
      <c r="I436" s="130"/>
      <c r="J436" s="130"/>
      <c r="K436" s="130"/>
      <c r="L436" s="129"/>
      <c r="M436" s="130"/>
      <c r="N436" s="130"/>
      <c r="O436" s="130"/>
      <c r="P436" s="130"/>
      <c r="Q436" s="130"/>
      <c r="R436" s="130"/>
      <c r="S436" s="130"/>
      <c r="T436" s="130"/>
      <c r="U436" s="130"/>
      <c r="V436" s="130"/>
      <c r="W436" s="131"/>
      <c r="X436" s="131"/>
      <c r="Y436" s="131"/>
      <c r="Z436" s="131"/>
      <c r="AA436" s="131"/>
      <c r="AB436" s="131"/>
      <c r="AC436" s="131"/>
      <c r="AD436" s="131"/>
      <c r="AE436" s="131"/>
      <c r="AF436" s="131"/>
      <c r="AG436" s="131"/>
      <c r="AH436" s="131"/>
      <c r="AI436" s="131"/>
      <c r="AJ436" s="131"/>
    </row>
    <row r="437">
      <c r="A437" s="126"/>
      <c r="B437" s="126"/>
      <c r="C437" s="126"/>
      <c r="D437" s="126"/>
      <c r="E437" s="126"/>
      <c r="F437" s="126"/>
      <c r="G437" s="128"/>
      <c r="H437" s="130"/>
      <c r="I437" s="130"/>
      <c r="J437" s="130"/>
      <c r="K437" s="130"/>
      <c r="L437" s="129"/>
      <c r="M437" s="130"/>
      <c r="N437" s="130"/>
      <c r="O437" s="130"/>
      <c r="P437" s="130"/>
      <c r="Q437" s="130"/>
      <c r="R437" s="130"/>
      <c r="S437" s="130"/>
      <c r="T437" s="130"/>
      <c r="U437" s="130"/>
      <c r="V437" s="130"/>
      <c r="W437" s="131"/>
      <c r="X437" s="131"/>
      <c r="Y437" s="131"/>
      <c r="Z437" s="131"/>
      <c r="AA437" s="131"/>
      <c r="AB437" s="131"/>
      <c r="AC437" s="131"/>
      <c r="AD437" s="131"/>
      <c r="AE437" s="131"/>
      <c r="AF437" s="131"/>
      <c r="AG437" s="131"/>
      <c r="AH437" s="131"/>
      <c r="AI437" s="131"/>
      <c r="AJ437" s="131"/>
    </row>
    <row r="438">
      <c r="A438" s="126"/>
      <c r="B438" s="126"/>
      <c r="C438" s="126"/>
      <c r="D438" s="126"/>
      <c r="E438" s="126"/>
      <c r="F438" s="126"/>
      <c r="G438" s="128"/>
      <c r="H438" s="130"/>
      <c r="I438" s="130"/>
      <c r="J438" s="130"/>
      <c r="K438" s="130"/>
      <c r="L438" s="129"/>
      <c r="M438" s="130"/>
      <c r="N438" s="130"/>
      <c r="O438" s="130"/>
      <c r="P438" s="130"/>
      <c r="Q438" s="130"/>
      <c r="R438" s="130"/>
      <c r="S438" s="130"/>
      <c r="T438" s="130"/>
      <c r="U438" s="130"/>
      <c r="V438" s="130"/>
      <c r="W438" s="131"/>
      <c r="X438" s="131"/>
      <c r="Y438" s="131"/>
      <c r="Z438" s="131"/>
      <c r="AA438" s="131"/>
      <c r="AB438" s="131"/>
      <c r="AC438" s="131"/>
      <c r="AD438" s="131"/>
      <c r="AE438" s="131"/>
      <c r="AF438" s="131"/>
      <c r="AG438" s="131"/>
      <c r="AH438" s="131"/>
      <c r="AI438" s="131"/>
      <c r="AJ438" s="131"/>
    </row>
    <row r="439">
      <c r="A439" s="126"/>
      <c r="B439" s="126"/>
      <c r="C439" s="126"/>
      <c r="D439" s="126"/>
      <c r="E439" s="126"/>
      <c r="F439" s="126"/>
      <c r="G439" s="128"/>
      <c r="H439" s="130"/>
      <c r="I439" s="130"/>
      <c r="J439" s="130"/>
      <c r="K439" s="130"/>
      <c r="L439" s="129"/>
      <c r="M439" s="130"/>
      <c r="N439" s="130"/>
      <c r="O439" s="130"/>
      <c r="P439" s="130"/>
      <c r="Q439" s="130"/>
      <c r="R439" s="130"/>
      <c r="S439" s="130"/>
      <c r="T439" s="130"/>
      <c r="U439" s="130"/>
      <c r="V439" s="130"/>
      <c r="W439" s="131"/>
      <c r="X439" s="131"/>
      <c r="Y439" s="131"/>
      <c r="Z439" s="131"/>
      <c r="AA439" s="131"/>
      <c r="AB439" s="131"/>
      <c r="AC439" s="131"/>
      <c r="AD439" s="131"/>
      <c r="AE439" s="131"/>
      <c r="AF439" s="131"/>
      <c r="AG439" s="131"/>
      <c r="AH439" s="131"/>
      <c r="AI439" s="131"/>
      <c r="AJ439" s="131"/>
    </row>
    <row r="440">
      <c r="A440" s="126"/>
      <c r="B440" s="126"/>
      <c r="C440" s="126"/>
      <c r="D440" s="126"/>
      <c r="E440" s="126"/>
      <c r="F440" s="126"/>
      <c r="G440" s="128"/>
      <c r="H440" s="130"/>
      <c r="I440" s="130"/>
      <c r="J440" s="130"/>
      <c r="K440" s="130"/>
      <c r="L440" s="129"/>
      <c r="M440" s="130"/>
      <c r="N440" s="130"/>
      <c r="O440" s="130"/>
      <c r="P440" s="130"/>
      <c r="Q440" s="130"/>
      <c r="R440" s="130"/>
      <c r="S440" s="130"/>
      <c r="T440" s="130"/>
      <c r="U440" s="130"/>
      <c r="V440" s="130"/>
      <c r="W440" s="131"/>
      <c r="X440" s="131"/>
      <c r="Y440" s="131"/>
      <c r="Z440" s="131"/>
      <c r="AA440" s="131"/>
      <c r="AB440" s="131"/>
      <c r="AC440" s="131"/>
      <c r="AD440" s="131"/>
      <c r="AE440" s="131"/>
      <c r="AF440" s="131"/>
      <c r="AG440" s="131"/>
      <c r="AH440" s="131"/>
      <c r="AI440" s="131"/>
      <c r="AJ440" s="131"/>
    </row>
    <row r="441">
      <c r="A441" s="126"/>
      <c r="B441" s="126"/>
      <c r="C441" s="126"/>
      <c r="D441" s="126"/>
      <c r="E441" s="126"/>
      <c r="F441" s="126"/>
      <c r="G441" s="128"/>
      <c r="H441" s="130"/>
      <c r="I441" s="130"/>
      <c r="J441" s="130"/>
      <c r="K441" s="130"/>
      <c r="L441" s="129"/>
      <c r="M441" s="130"/>
      <c r="N441" s="130"/>
      <c r="O441" s="130"/>
      <c r="P441" s="130"/>
      <c r="Q441" s="130"/>
      <c r="R441" s="130"/>
      <c r="S441" s="130"/>
      <c r="T441" s="130"/>
      <c r="U441" s="130"/>
      <c r="V441" s="130"/>
      <c r="W441" s="131"/>
      <c r="X441" s="131"/>
      <c r="Y441" s="131"/>
      <c r="Z441" s="131"/>
      <c r="AA441" s="131"/>
      <c r="AB441" s="131"/>
      <c r="AC441" s="131"/>
      <c r="AD441" s="131"/>
      <c r="AE441" s="131"/>
      <c r="AF441" s="131"/>
      <c r="AG441" s="131"/>
      <c r="AH441" s="131"/>
      <c r="AI441" s="131"/>
      <c r="AJ441" s="131"/>
    </row>
    <row r="442">
      <c r="A442" s="126"/>
      <c r="B442" s="126"/>
      <c r="C442" s="126"/>
      <c r="D442" s="126"/>
      <c r="E442" s="126"/>
      <c r="F442" s="126"/>
      <c r="G442" s="128"/>
      <c r="H442" s="130"/>
      <c r="I442" s="130"/>
      <c r="J442" s="130"/>
      <c r="K442" s="130"/>
      <c r="L442" s="129"/>
      <c r="M442" s="130"/>
      <c r="N442" s="130"/>
      <c r="O442" s="130"/>
      <c r="P442" s="130"/>
      <c r="Q442" s="130"/>
      <c r="R442" s="130"/>
      <c r="S442" s="130"/>
      <c r="T442" s="130"/>
      <c r="U442" s="130"/>
      <c r="V442" s="130"/>
      <c r="W442" s="131"/>
      <c r="X442" s="131"/>
      <c r="Y442" s="131"/>
      <c r="Z442" s="131"/>
      <c r="AA442" s="131"/>
      <c r="AB442" s="131"/>
      <c r="AC442" s="131"/>
      <c r="AD442" s="131"/>
      <c r="AE442" s="131"/>
      <c r="AF442" s="131"/>
      <c r="AG442" s="131"/>
      <c r="AH442" s="131"/>
      <c r="AI442" s="131"/>
      <c r="AJ442" s="131"/>
    </row>
    <row r="443">
      <c r="A443" s="126"/>
      <c r="B443" s="126"/>
      <c r="C443" s="126"/>
      <c r="D443" s="126"/>
      <c r="E443" s="126"/>
      <c r="F443" s="126"/>
      <c r="G443" s="128"/>
      <c r="H443" s="130"/>
      <c r="I443" s="130"/>
      <c r="J443" s="130"/>
      <c r="K443" s="130"/>
      <c r="L443" s="129"/>
      <c r="M443" s="130"/>
      <c r="N443" s="130"/>
      <c r="O443" s="130"/>
      <c r="P443" s="130"/>
      <c r="Q443" s="130"/>
      <c r="R443" s="130"/>
      <c r="S443" s="130"/>
      <c r="T443" s="130"/>
      <c r="U443" s="130"/>
      <c r="V443" s="130"/>
      <c r="W443" s="131"/>
      <c r="X443" s="131"/>
      <c r="Y443" s="131"/>
      <c r="Z443" s="131"/>
      <c r="AA443" s="131"/>
      <c r="AB443" s="131"/>
      <c r="AC443" s="131"/>
      <c r="AD443" s="131"/>
      <c r="AE443" s="131"/>
      <c r="AF443" s="131"/>
      <c r="AG443" s="131"/>
      <c r="AH443" s="131"/>
      <c r="AI443" s="131"/>
      <c r="AJ443" s="131"/>
    </row>
    <row r="444">
      <c r="A444" s="126"/>
      <c r="B444" s="126"/>
      <c r="C444" s="126"/>
      <c r="D444" s="126"/>
      <c r="E444" s="126"/>
      <c r="F444" s="126"/>
      <c r="G444" s="128"/>
      <c r="H444" s="130"/>
      <c r="I444" s="130"/>
      <c r="J444" s="130"/>
      <c r="K444" s="130"/>
      <c r="L444" s="129"/>
      <c r="M444" s="130"/>
      <c r="N444" s="130"/>
      <c r="O444" s="130"/>
      <c r="P444" s="130"/>
      <c r="Q444" s="130"/>
      <c r="R444" s="130"/>
      <c r="S444" s="130"/>
      <c r="T444" s="130"/>
      <c r="U444" s="130"/>
      <c r="V444" s="130"/>
      <c r="W444" s="131"/>
      <c r="X444" s="131"/>
      <c r="Y444" s="131"/>
      <c r="Z444" s="131"/>
      <c r="AA444" s="131"/>
      <c r="AB444" s="131"/>
      <c r="AC444" s="131"/>
      <c r="AD444" s="131"/>
      <c r="AE444" s="131"/>
      <c r="AF444" s="131"/>
      <c r="AG444" s="131"/>
      <c r="AH444" s="131"/>
      <c r="AI444" s="131"/>
      <c r="AJ444" s="131"/>
    </row>
    <row r="445">
      <c r="A445" s="126"/>
      <c r="B445" s="126"/>
      <c r="C445" s="126"/>
      <c r="D445" s="126"/>
      <c r="E445" s="126"/>
      <c r="F445" s="126"/>
      <c r="G445" s="128"/>
      <c r="H445" s="130"/>
      <c r="I445" s="130"/>
      <c r="J445" s="130"/>
      <c r="K445" s="130"/>
      <c r="L445" s="129"/>
      <c r="M445" s="130"/>
      <c r="N445" s="130"/>
      <c r="O445" s="130"/>
      <c r="P445" s="130"/>
      <c r="Q445" s="130"/>
      <c r="R445" s="130"/>
      <c r="S445" s="130"/>
      <c r="T445" s="130"/>
      <c r="U445" s="130"/>
      <c r="V445" s="130"/>
      <c r="W445" s="131"/>
      <c r="X445" s="131"/>
      <c r="Y445" s="131"/>
      <c r="Z445" s="131"/>
      <c r="AA445" s="131"/>
      <c r="AB445" s="131"/>
      <c r="AC445" s="131"/>
      <c r="AD445" s="131"/>
      <c r="AE445" s="131"/>
      <c r="AF445" s="131"/>
      <c r="AG445" s="131"/>
      <c r="AH445" s="131"/>
      <c r="AI445" s="131"/>
      <c r="AJ445" s="131"/>
    </row>
    <row r="446">
      <c r="A446" s="126"/>
      <c r="B446" s="126"/>
      <c r="C446" s="126"/>
      <c r="D446" s="126"/>
      <c r="E446" s="126"/>
      <c r="F446" s="126"/>
      <c r="G446" s="128"/>
      <c r="H446" s="130"/>
      <c r="I446" s="130"/>
      <c r="J446" s="130"/>
      <c r="K446" s="130"/>
      <c r="L446" s="129"/>
      <c r="M446" s="130"/>
      <c r="N446" s="130"/>
      <c r="O446" s="130"/>
      <c r="P446" s="130"/>
      <c r="Q446" s="130"/>
      <c r="R446" s="130"/>
      <c r="S446" s="130"/>
      <c r="T446" s="130"/>
      <c r="U446" s="130"/>
      <c r="V446" s="130"/>
      <c r="W446" s="131"/>
      <c r="X446" s="131"/>
      <c r="Y446" s="131"/>
      <c r="Z446" s="131"/>
      <c r="AA446" s="131"/>
      <c r="AB446" s="131"/>
      <c r="AC446" s="131"/>
      <c r="AD446" s="131"/>
      <c r="AE446" s="131"/>
      <c r="AF446" s="131"/>
      <c r="AG446" s="131"/>
      <c r="AH446" s="131"/>
      <c r="AI446" s="131"/>
      <c r="AJ446" s="131"/>
    </row>
    <row r="447">
      <c r="A447" s="126"/>
      <c r="B447" s="126"/>
      <c r="C447" s="126"/>
      <c r="D447" s="126"/>
      <c r="E447" s="126"/>
      <c r="F447" s="126"/>
      <c r="G447" s="128"/>
      <c r="H447" s="130"/>
      <c r="I447" s="130"/>
      <c r="J447" s="130"/>
      <c r="K447" s="130"/>
      <c r="L447" s="129"/>
      <c r="M447" s="130"/>
      <c r="N447" s="130"/>
      <c r="O447" s="130"/>
      <c r="P447" s="130"/>
      <c r="Q447" s="130"/>
      <c r="R447" s="130"/>
      <c r="S447" s="130"/>
      <c r="T447" s="130"/>
      <c r="U447" s="130"/>
      <c r="V447" s="130"/>
      <c r="W447" s="131"/>
      <c r="X447" s="131"/>
      <c r="Y447" s="131"/>
      <c r="Z447" s="131"/>
      <c r="AA447" s="131"/>
      <c r="AB447" s="131"/>
      <c r="AC447" s="131"/>
      <c r="AD447" s="131"/>
      <c r="AE447" s="131"/>
      <c r="AF447" s="131"/>
      <c r="AG447" s="131"/>
      <c r="AH447" s="131"/>
      <c r="AI447" s="131"/>
      <c r="AJ447" s="131"/>
    </row>
    <row r="448">
      <c r="A448" s="126"/>
      <c r="B448" s="126"/>
      <c r="C448" s="126"/>
      <c r="D448" s="126"/>
      <c r="E448" s="126"/>
      <c r="F448" s="126"/>
      <c r="G448" s="128"/>
      <c r="H448" s="130"/>
      <c r="I448" s="130"/>
      <c r="J448" s="130"/>
      <c r="K448" s="130"/>
      <c r="L448" s="129"/>
      <c r="M448" s="130"/>
      <c r="N448" s="130"/>
      <c r="O448" s="130"/>
      <c r="P448" s="130"/>
      <c r="Q448" s="130"/>
      <c r="R448" s="130"/>
      <c r="S448" s="130"/>
      <c r="T448" s="130"/>
      <c r="U448" s="130"/>
      <c r="V448" s="130"/>
      <c r="W448" s="131"/>
      <c r="X448" s="131"/>
      <c r="Y448" s="131"/>
      <c r="Z448" s="131"/>
      <c r="AA448" s="131"/>
      <c r="AB448" s="131"/>
      <c r="AC448" s="131"/>
      <c r="AD448" s="131"/>
      <c r="AE448" s="131"/>
      <c r="AF448" s="131"/>
      <c r="AG448" s="131"/>
      <c r="AH448" s="131"/>
      <c r="AI448" s="131"/>
      <c r="AJ448" s="131"/>
    </row>
    <row r="449">
      <c r="A449" s="126"/>
      <c r="B449" s="126"/>
      <c r="C449" s="126"/>
      <c r="D449" s="126"/>
      <c r="E449" s="126"/>
      <c r="F449" s="126"/>
      <c r="G449" s="128"/>
      <c r="H449" s="130"/>
      <c r="I449" s="130"/>
      <c r="J449" s="130"/>
      <c r="K449" s="130"/>
      <c r="L449" s="129"/>
      <c r="M449" s="130"/>
      <c r="N449" s="130"/>
      <c r="O449" s="130"/>
      <c r="P449" s="130"/>
      <c r="Q449" s="130"/>
      <c r="R449" s="130"/>
      <c r="S449" s="130"/>
      <c r="T449" s="130"/>
      <c r="U449" s="130"/>
      <c r="V449" s="130"/>
      <c r="W449" s="131"/>
      <c r="X449" s="131"/>
      <c r="Y449" s="131"/>
      <c r="Z449" s="131"/>
      <c r="AA449" s="131"/>
      <c r="AB449" s="131"/>
      <c r="AC449" s="131"/>
      <c r="AD449" s="131"/>
      <c r="AE449" s="131"/>
      <c r="AF449" s="131"/>
      <c r="AG449" s="131"/>
      <c r="AH449" s="131"/>
      <c r="AI449" s="131"/>
      <c r="AJ449" s="131"/>
    </row>
    <row r="450">
      <c r="A450" s="126"/>
      <c r="B450" s="126"/>
      <c r="C450" s="126"/>
      <c r="D450" s="126"/>
      <c r="E450" s="126"/>
      <c r="F450" s="126"/>
      <c r="G450" s="128"/>
      <c r="H450" s="130"/>
      <c r="I450" s="130"/>
      <c r="J450" s="130"/>
      <c r="K450" s="130"/>
      <c r="L450" s="129"/>
      <c r="M450" s="130"/>
      <c r="N450" s="130"/>
      <c r="O450" s="130"/>
      <c r="P450" s="130"/>
      <c r="Q450" s="130"/>
      <c r="R450" s="130"/>
      <c r="S450" s="130"/>
      <c r="T450" s="130"/>
      <c r="U450" s="130"/>
      <c r="V450" s="130"/>
      <c r="W450" s="131"/>
      <c r="X450" s="131"/>
      <c r="Y450" s="131"/>
      <c r="Z450" s="131"/>
      <c r="AA450" s="131"/>
      <c r="AB450" s="131"/>
      <c r="AC450" s="131"/>
      <c r="AD450" s="131"/>
      <c r="AE450" s="131"/>
      <c r="AF450" s="131"/>
      <c r="AG450" s="131"/>
      <c r="AH450" s="131"/>
      <c r="AI450" s="131"/>
      <c r="AJ450" s="131"/>
    </row>
    <row r="451">
      <c r="A451" s="126"/>
      <c r="B451" s="126"/>
      <c r="C451" s="126"/>
      <c r="D451" s="126"/>
      <c r="E451" s="126"/>
      <c r="F451" s="126"/>
      <c r="G451" s="128"/>
      <c r="H451" s="130"/>
      <c r="I451" s="130"/>
      <c r="J451" s="130"/>
      <c r="K451" s="130"/>
      <c r="L451" s="129"/>
      <c r="M451" s="130"/>
      <c r="N451" s="130"/>
      <c r="O451" s="130"/>
      <c r="P451" s="130"/>
      <c r="Q451" s="130"/>
      <c r="R451" s="130"/>
      <c r="S451" s="130"/>
      <c r="T451" s="130"/>
      <c r="U451" s="130"/>
      <c r="V451" s="130"/>
      <c r="W451" s="131"/>
      <c r="X451" s="131"/>
      <c r="Y451" s="131"/>
      <c r="Z451" s="131"/>
      <c r="AA451" s="131"/>
      <c r="AB451" s="131"/>
      <c r="AC451" s="131"/>
      <c r="AD451" s="131"/>
      <c r="AE451" s="131"/>
      <c r="AF451" s="131"/>
      <c r="AG451" s="131"/>
      <c r="AH451" s="131"/>
      <c r="AI451" s="131"/>
      <c r="AJ451" s="131"/>
    </row>
    <row r="452">
      <c r="A452" s="126"/>
      <c r="B452" s="126"/>
      <c r="C452" s="126"/>
      <c r="D452" s="126"/>
      <c r="E452" s="126"/>
      <c r="F452" s="126"/>
      <c r="G452" s="128"/>
      <c r="H452" s="130"/>
      <c r="I452" s="130"/>
      <c r="J452" s="130"/>
      <c r="K452" s="130"/>
      <c r="L452" s="129"/>
      <c r="M452" s="130"/>
      <c r="N452" s="130"/>
      <c r="O452" s="130"/>
      <c r="P452" s="130"/>
      <c r="Q452" s="130"/>
      <c r="R452" s="130"/>
      <c r="S452" s="130"/>
      <c r="T452" s="130"/>
      <c r="U452" s="130"/>
      <c r="V452" s="130"/>
      <c r="W452" s="131"/>
      <c r="X452" s="131"/>
      <c r="Y452" s="131"/>
      <c r="Z452" s="131"/>
      <c r="AA452" s="131"/>
      <c r="AB452" s="131"/>
      <c r="AC452" s="131"/>
      <c r="AD452" s="131"/>
      <c r="AE452" s="131"/>
      <c r="AF452" s="131"/>
      <c r="AG452" s="131"/>
      <c r="AH452" s="131"/>
      <c r="AI452" s="131"/>
      <c r="AJ452" s="131"/>
    </row>
    <row r="453">
      <c r="A453" s="126"/>
      <c r="B453" s="126"/>
      <c r="C453" s="126"/>
      <c r="D453" s="126"/>
      <c r="E453" s="126"/>
      <c r="F453" s="126"/>
      <c r="G453" s="128"/>
      <c r="H453" s="130"/>
      <c r="I453" s="130"/>
      <c r="J453" s="130"/>
      <c r="K453" s="130"/>
      <c r="L453" s="129"/>
      <c r="M453" s="130"/>
      <c r="N453" s="130"/>
      <c r="O453" s="130"/>
      <c r="P453" s="130"/>
      <c r="Q453" s="130"/>
      <c r="R453" s="130"/>
      <c r="S453" s="130"/>
      <c r="T453" s="130"/>
      <c r="U453" s="130"/>
      <c r="V453" s="130"/>
      <c r="W453" s="131"/>
      <c r="X453" s="131"/>
      <c r="Y453" s="131"/>
      <c r="Z453" s="131"/>
      <c r="AA453" s="131"/>
      <c r="AB453" s="131"/>
      <c r="AC453" s="131"/>
      <c r="AD453" s="131"/>
      <c r="AE453" s="131"/>
      <c r="AF453" s="131"/>
      <c r="AG453" s="131"/>
      <c r="AH453" s="131"/>
      <c r="AI453" s="131"/>
      <c r="AJ453" s="131"/>
    </row>
    <row r="454">
      <c r="A454" s="126"/>
      <c r="B454" s="126"/>
      <c r="C454" s="126"/>
      <c r="D454" s="126"/>
      <c r="E454" s="126"/>
      <c r="F454" s="126"/>
      <c r="G454" s="128"/>
      <c r="H454" s="130"/>
      <c r="I454" s="130"/>
      <c r="J454" s="130"/>
      <c r="K454" s="130"/>
      <c r="L454" s="129"/>
      <c r="M454" s="130"/>
      <c r="N454" s="130"/>
      <c r="O454" s="130"/>
      <c r="P454" s="130"/>
      <c r="Q454" s="130"/>
      <c r="R454" s="130"/>
      <c r="S454" s="130"/>
      <c r="T454" s="130"/>
      <c r="U454" s="130"/>
      <c r="V454" s="130"/>
      <c r="W454" s="131"/>
      <c r="X454" s="131"/>
      <c r="Y454" s="131"/>
      <c r="Z454" s="131"/>
      <c r="AA454" s="131"/>
      <c r="AB454" s="131"/>
      <c r="AC454" s="131"/>
      <c r="AD454" s="131"/>
      <c r="AE454" s="131"/>
      <c r="AF454" s="131"/>
      <c r="AG454" s="131"/>
      <c r="AH454" s="131"/>
      <c r="AI454" s="131"/>
      <c r="AJ454" s="131"/>
    </row>
    <row r="455">
      <c r="A455" s="126"/>
      <c r="B455" s="126"/>
      <c r="C455" s="126"/>
      <c r="D455" s="126"/>
      <c r="E455" s="126"/>
      <c r="F455" s="126"/>
      <c r="G455" s="128"/>
      <c r="H455" s="130"/>
      <c r="I455" s="130"/>
      <c r="J455" s="130"/>
      <c r="K455" s="130"/>
      <c r="L455" s="129"/>
      <c r="M455" s="130"/>
      <c r="N455" s="130"/>
      <c r="O455" s="130"/>
      <c r="P455" s="130"/>
      <c r="Q455" s="130"/>
      <c r="R455" s="130"/>
      <c r="S455" s="130"/>
      <c r="T455" s="130"/>
      <c r="U455" s="130"/>
      <c r="V455" s="130"/>
      <c r="W455" s="131"/>
      <c r="X455" s="131"/>
      <c r="Y455" s="131"/>
      <c r="Z455" s="131"/>
      <c r="AA455" s="131"/>
      <c r="AB455" s="131"/>
      <c r="AC455" s="131"/>
      <c r="AD455" s="131"/>
      <c r="AE455" s="131"/>
      <c r="AF455" s="131"/>
      <c r="AG455" s="131"/>
      <c r="AH455" s="131"/>
      <c r="AI455" s="131"/>
      <c r="AJ455" s="131"/>
    </row>
    <row r="456">
      <c r="A456" s="126"/>
      <c r="B456" s="126"/>
      <c r="C456" s="126"/>
      <c r="D456" s="126"/>
      <c r="E456" s="126"/>
      <c r="F456" s="126"/>
      <c r="G456" s="128"/>
      <c r="H456" s="130"/>
      <c r="I456" s="130"/>
      <c r="J456" s="130"/>
      <c r="K456" s="130"/>
      <c r="L456" s="129"/>
      <c r="M456" s="130"/>
      <c r="N456" s="130"/>
      <c r="O456" s="130"/>
      <c r="P456" s="130"/>
      <c r="Q456" s="130"/>
      <c r="R456" s="130"/>
      <c r="S456" s="130"/>
      <c r="T456" s="130"/>
      <c r="U456" s="130"/>
      <c r="V456" s="130"/>
      <c r="W456" s="131"/>
      <c r="X456" s="131"/>
      <c r="Y456" s="131"/>
      <c r="Z456" s="131"/>
      <c r="AA456" s="131"/>
      <c r="AB456" s="131"/>
      <c r="AC456" s="131"/>
      <c r="AD456" s="131"/>
      <c r="AE456" s="131"/>
      <c r="AF456" s="131"/>
      <c r="AG456" s="131"/>
      <c r="AH456" s="131"/>
      <c r="AI456" s="131"/>
      <c r="AJ456" s="131"/>
    </row>
    <row r="457">
      <c r="A457" s="126"/>
      <c r="B457" s="126"/>
      <c r="C457" s="126"/>
      <c r="D457" s="126"/>
      <c r="E457" s="126"/>
      <c r="F457" s="126"/>
      <c r="G457" s="128"/>
      <c r="H457" s="130"/>
      <c r="I457" s="130"/>
      <c r="J457" s="130"/>
      <c r="K457" s="130"/>
      <c r="L457" s="129"/>
      <c r="M457" s="130"/>
      <c r="N457" s="130"/>
      <c r="O457" s="130"/>
      <c r="P457" s="130"/>
      <c r="Q457" s="130"/>
      <c r="R457" s="130"/>
      <c r="S457" s="130"/>
      <c r="T457" s="130"/>
      <c r="U457" s="130"/>
      <c r="V457" s="130"/>
      <c r="W457" s="131"/>
      <c r="X457" s="131"/>
      <c r="Y457" s="131"/>
      <c r="Z457" s="131"/>
      <c r="AA457" s="131"/>
      <c r="AB457" s="131"/>
      <c r="AC457" s="131"/>
      <c r="AD457" s="131"/>
      <c r="AE457" s="131"/>
      <c r="AF457" s="131"/>
      <c r="AG457" s="131"/>
      <c r="AH457" s="131"/>
      <c r="AI457" s="131"/>
      <c r="AJ457" s="131"/>
    </row>
    <row r="458">
      <c r="A458" s="126"/>
      <c r="B458" s="126"/>
      <c r="C458" s="126"/>
      <c r="D458" s="126"/>
      <c r="E458" s="126"/>
      <c r="F458" s="126"/>
      <c r="G458" s="128"/>
      <c r="H458" s="130"/>
      <c r="I458" s="130"/>
      <c r="J458" s="130"/>
      <c r="K458" s="130"/>
      <c r="L458" s="129"/>
      <c r="M458" s="130"/>
      <c r="N458" s="130"/>
      <c r="O458" s="130"/>
      <c r="P458" s="130"/>
      <c r="Q458" s="130"/>
      <c r="R458" s="130"/>
      <c r="S458" s="130"/>
      <c r="T458" s="130"/>
      <c r="U458" s="130"/>
      <c r="V458" s="130"/>
      <c r="W458" s="131"/>
      <c r="X458" s="131"/>
      <c r="Y458" s="131"/>
      <c r="Z458" s="131"/>
      <c r="AA458" s="131"/>
      <c r="AB458" s="131"/>
      <c r="AC458" s="131"/>
      <c r="AD458" s="131"/>
      <c r="AE458" s="131"/>
      <c r="AF458" s="131"/>
      <c r="AG458" s="131"/>
      <c r="AH458" s="131"/>
      <c r="AI458" s="131"/>
      <c r="AJ458" s="131"/>
    </row>
    <row r="459">
      <c r="A459" s="126"/>
      <c r="B459" s="126"/>
      <c r="C459" s="126"/>
      <c r="D459" s="126"/>
      <c r="E459" s="126"/>
      <c r="F459" s="126"/>
      <c r="G459" s="128"/>
      <c r="H459" s="130"/>
      <c r="I459" s="130"/>
      <c r="J459" s="130"/>
      <c r="K459" s="130"/>
      <c r="L459" s="129"/>
      <c r="M459" s="130"/>
      <c r="N459" s="130"/>
      <c r="O459" s="130"/>
      <c r="P459" s="130"/>
      <c r="Q459" s="130"/>
      <c r="R459" s="130"/>
      <c r="S459" s="130"/>
      <c r="T459" s="130"/>
      <c r="U459" s="130"/>
      <c r="V459" s="130"/>
      <c r="W459" s="131"/>
      <c r="X459" s="131"/>
      <c r="Y459" s="131"/>
      <c r="Z459" s="131"/>
      <c r="AA459" s="131"/>
      <c r="AB459" s="131"/>
      <c r="AC459" s="131"/>
      <c r="AD459" s="131"/>
      <c r="AE459" s="131"/>
      <c r="AF459" s="131"/>
      <c r="AG459" s="131"/>
      <c r="AH459" s="131"/>
      <c r="AI459" s="131"/>
      <c r="AJ459" s="131"/>
    </row>
    <row r="460">
      <c r="A460" s="126"/>
      <c r="B460" s="126"/>
      <c r="C460" s="126"/>
      <c r="D460" s="126"/>
      <c r="E460" s="126"/>
      <c r="F460" s="126"/>
      <c r="G460" s="128"/>
      <c r="H460" s="130"/>
      <c r="I460" s="130"/>
      <c r="J460" s="130"/>
      <c r="K460" s="130"/>
      <c r="L460" s="129"/>
      <c r="M460" s="130"/>
      <c r="N460" s="130"/>
      <c r="O460" s="130"/>
      <c r="P460" s="130"/>
      <c r="Q460" s="130"/>
      <c r="R460" s="130"/>
      <c r="S460" s="130"/>
      <c r="T460" s="130"/>
      <c r="U460" s="130"/>
      <c r="V460" s="130"/>
      <c r="W460" s="131"/>
      <c r="X460" s="131"/>
      <c r="Y460" s="131"/>
      <c r="Z460" s="131"/>
      <c r="AA460" s="131"/>
      <c r="AB460" s="131"/>
      <c r="AC460" s="131"/>
      <c r="AD460" s="131"/>
      <c r="AE460" s="131"/>
      <c r="AF460" s="131"/>
      <c r="AG460" s="131"/>
      <c r="AH460" s="131"/>
      <c r="AI460" s="131"/>
      <c r="AJ460" s="131"/>
    </row>
    <row r="461">
      <c r="A461" s="126"/>
      <c r="B461" s="126"/>
      <c r="C461" s="126"/>
      <c r="D461" s="126"/>
      <c r="E461" s="126"/>
      <c r="F461" s="126"/>
      <c r="G461" s="128"/>
      <c r="H461" s="130"/>
      <c r="I461" s="130"/>
      <c r="J461" s="130"/>
      <c r="K461" s="130"/>
      <c r="L461" s="129"/>
      <c r="M461" s="130"/>
      <c r="N461" s="130"/>
      <c r="O461" s="130"/>
      <c r="P461" s="130"/>
      <c r="Q461" s="130"/>
      <c r="R461" s="130"/>
      <c r="S461" s="130"/>
      <c r="T461" s="130"/>
      <c r="U461" s="130"/>
      <c r="V461" s="130"/>
      <c r="W461" s="131"/>
      <c r="X461" s="131"/>
      <c r="Y461" s="131"/>
      <c r="Z461" s="131"/>
      <c r="AA461" s="131"/>
      <c r="AB461" s="131"/>
      <c r="AC461" s="131"/>
      <c r="AD461" s="131"/>
      <c r="AE461" s="131"/>
      <c r="AF461" s="131"/>
      <c r="AG461" s="131"/>
      <c r="AH461" s="131"/>
      <c r="AI461" s="131"/>
      <c r="AJ461" s="131"/>
    </row>
    <row r="462">
      <c r="A462" s="126"/>
      <c r="B462" s="126"/>
      <c r="C462" s="126"/>
      <c r="D462" s="126"/>
      <c r="E462" s="126"/>
      <c r="F462" s="126"/>
      <c r="G462" s="128"/>
      <c r="H462" s="130"/>
      <c r="I462" s="130"/>
      <c r="J462" s="130"/>
      <c r="K462" s="130"/>
      <c r="L462" s="129"/>
      <c r="M462" s="130"/>
      <c r="N462" s="130"/>
      <c r="O462" s="130"/>
      <c r="P462" s="130"/>
      <c r="Q462" s="130"/>
      <c r="R462" s="130"/>
      <c r="S462" s="130"/>
      <c r="T462" s="130"/>
      <c r="U462" s="130"/>
      <c r="V462" s="130"/>
      <c r="W462" s="131"/>
      <c r="X462" s="131"/>
      <c r="Y462" s="131"/>
      <c r="Z462" s="131"/>
      <c r="AA462" s="131"/>
      <c r="AB462" s="131"/>
      <c r="AC462" s="131"/>
      <c r="AD462" s="131"/>
      <c r="AE462" s="131"/>
      <c r="AF462" s="131"/>
      <c r="AG462" s="131"/>
      <c r="AH462" s="131"/>
      <c r="AI462" s="131"/>
      <c r="AJ462" s="131"/>
    </row>
    <row r="463">
      <c r="A463" s="126"/>
      <c r="B463" s="126"/>
      <c r="C463" s="126"/>
      <c r="D463" s="126"/>
      <c r="E463" s="126"/>
      <c r="F463" s="126"/>
      <c r="G463" s="128"/>
      <c r="H463" s="130"/>
      <c r="I463" s="130"/>
      <c r="J463" s="130"/>
      <c r="K463" s="130"/>
      <c r="L463" s="129"/>
      <c r="M463" s="130"/>
      <c r="N463" s="130"/>
      <c r="O463" s="130"/>
      <c r="P463" s="130"/>
      <c r="Q463" s="130"/>
      <c r="R463" s="130"/>
      <c r="S463" s="130"/>
      <c r="T463" s="130"/>
      <c r="U463" s="130"/>
      <c r="V463" s="130"/>
      <c r="W463" s="131"/>
      <c r="X463" s="131"/>
      <c r="Y463" s="131"/>
      <c r="Z463" s="131"/>
      <c r="AA463" s="131"/>
      <c r="AB463" s="131"/>
      <c r="AC463" s="131"/>
      <c r="AD463" s="131"/>
      <c r="AE463" s="131"/>
      <c r="AF463" s="131"/>
      <c r="AG463" s="131"/>
      <c r="AH463" s="131"/>
      <c r="AI463" s="131"/>
      <c r="AJ463" s="131"/>
    </row>
    <row r="464">
      <c r="A464" s="126"/>
      <c r="B464" s="126"/>
      <c r="C464" s="126"/>
      <c r="D464" s="126"/>
      <c r="E464" s="126"/>
      <c r="F464" s="126"/>
      <c r="G464" s="128"/>
      <c r="H464" s="130"/>
      <c r="I464" s="130"/>
      <c r="J464" s="130"/>
      <c r="K464" s="130"/>
      <c r="L464" s="129"/>
      <c r="M464" s="130"/>
      <c r="N464" s="130"/>
      <c r="O464" s="130"/>
      <c r="P464" s="130"/>
      <c r="Q464" s="130"/>
      <c r="R464" s="130"/>
      <c r="S464" s="130"/>
      <c r="T464" s="130"/>
      <c r="U464" s="130"/>
      <c r="V464" s="130"/>
      <c r="W464" s="131"/>
      <c r="X464" s="131"/>
      <c r="Y464" s="131"/>
      <c r="Z464" s="131"/>
      <c r="AA464" s="131"/>
      <c r="AB464" s="131"/>
      <c r="AC464" s="131"/>
      <c r="AD464" s="131"/>
      <c r="AE464" s="131"/>
      <c r="AF464" s="131"/>
      <c r="AG464" s="131"/>
      <c r="AH464" s="131"/>
      <c r="AI464" s="131"/>
      <c r="AJ464" s="131"/>
    </row>
    <row r="465">
      <c r="A465" s="126"/>
      <c r="B465" s="126"/>
      <c r="C465" s="126"/>
      <c r="D465" s="126"/>
      <c r="E465" s="126"/>
      <c r="F465" s="126"/>
      <c r="G465" s="128"/>
      <c r="H465" s="130"/>
      <c r="I465" s="130"/>
      <c r="J465" s="130"/>
      <c r="K465" s="130"/>
      <c r="L465" s="129"/>
      <c r="M465" s="130"/>
      <c r="N465" s="130"/>
      <c r="O465" s="130"/>
      <c r="P465" s="130"/>
      <c r="Q465" s="130"/>
      <c r="R465" s="130"/>
      <c r="S465" s="130"/>
      <c r="T465" s="130"/>
      <c r="U465" s="130"/>
      <c r="V465" s="130"/>
      <c r="W465" s="131"/>
      <c r="X465" s="131"/>
      <c r="Y465" s="131"/>
      <c r="Z465" s="131"/>
      <c r="AA465" s="131"/>
      <c r="AB465" s="131"/>
      <c r="AC465" s="131"/>
      <c r="AD465" s="131"/>
      <c r="AE465" s="131"/>
      <c r="AF465" s="131"/>
      <c r="AG465" s="131"/>
      <c r="AH465" s="131"/>
      <c r="AI465" s="131"/>
      <c r="AJ465" s="131"/>
    </row>
    <row r="466">
      <c r="A466" s="126"/>
      <c r="B466" s="126"/>
      <c r="C466" s="126"/>
      <c r="D466" s="126"/>
      <c r="E466" s="126"/>
      <c r="F466" s="126"/>
      <c r="G466" s="128"/>
      <c r="H466" s="130"/>
      <c r="I466" s="130"/>
      <c r="J466" s="130"/>
      <c r="K466" s="130"/>
      <c r="L466" s="129"/>
      <c r="M466" s="130"/>
      <c r="N466" s="130"/>
      <c r="O466" s="130"/>
      <c r="P466" s="130"/>
      <c r="Q466" s="130"/>
      <c r="R466" s="130"/>
      <c r="S466" s="130"/>
      <c r="T466" s="130"/>
      <c r="U466" s="130"/>
      <c r="V466" s="130"/>
      <c r="W466" s="131"/>
      <c r="X466" s="131"/>
      <c r="Y466" s="131"/>
      <c r="Z466" s="131"/>
      <c r="AA466" s="131"/>
      <c r="AB466" s="131"/>
      <c r="AC466" s="131"/>
      <c r="AD466" s="131"/>
      <c r="AE466" s="131"/>
      <c r="AF466" s="131"/>
      <c r="AG466" s="131"/>
      <c r="AH466" s="131"/>
      <c r="AI466" s="131"/>
      <c r="AJ466" s="131"/>
    </row>
    <row r="467">
      <c r="A467" s="126"/>
      <c r="B467" s="126"/>
      <c r="C467" s="126"/>
      <c r="D467" s="126"/>
      <c r="E467" s="126"/>
      <c r="F467" s="126"/>
      <c r="G467" s="128"/>
      <c r="H467" s="130"/>
      <c r="I467" s="130"/>
      <c r="J467" s="130"/>
      <c r="K467" s="130"/>
      <c r="L467" s="129"/>
      <c r="M467" s="130"/>
      <c r="N467" s="130"/>
      <c r="O467" s="130"/>
      <c r="P467" s="130"/>
      <c r="Q467" s="130"/>
      <c r="R467" s="130"/>
      <c r="S467" s="130"/>
      <c r="T467" s="130"/>
      <c r="U467" s="130"/>
      <c r="V467" s="130"/>
      <c r="W467" s="131"/>
      <c r="X467" s="131"/>
      <c r="Y467" s="131"/>
      <c r="Z467" s="131"/>
      <c r="AA467" s="131"/>
      <c r="AB467" s="131"/>
      <c r="AC467" s="131"/>
      <c r="AD467" s="131"/>
      <c r="AE467" s="131"/>
      <c r="AF467" s="131"/>
      <c r="AG467" s="131"/>
      <c r="AH467" s="131"/>
      <c r="AI467" s="131"/>
      <c r="AJ467" s="131"/>
    </row>
    <row r="468">
      <c r="A468" s="126"/>
      <c r="B468" s="126"/>
      <c r="C468" s="126"/>
      <c r="D468" s="126"/>
      <c r="E468" s="126"/>
      <c r="F468" s="126"/>
      <c r="G468" s="128"/>
      <c r="H468" s="130"/>
      <c r="I468" s="130"/>
      <c r="J468" s="130"/>
      <c r="K468" s="130"/>
      <c r="L468" s="129"/>
      <c r="M468" s="130"/>
      <c r="N468" s="130"/>
      <c r="O468" s="130"/>
      <c r="P468" s="130"/>
      <c r="Q468" s="130"/>
      <c r="R468" s="130"/>
      <c r="S468" s="130"/>
      <c r="T468" s="130"/>
      <c r="U468" s="130"/>
      <c r="V468" s="130"/>
      <c r="W468" s="131"/>
      <c r="X468" s="131"/>
      <c r="Y468" s="131"/>
      <c r="Z468" s="131"/>
      <c r="AA468" s="131"/>
      <c r="AB468" s="131"/>
      <c r="AC468" s="131"/>
      <c r="AD468" s="131"/>
      <c r="AE468" s="131"/>
      <c r="AF468" s="131"/>
      <c r="AG468" s="131"/>
      <c r="AH468" s="131"/>
      <c r="AI468" s="131"/>
      <c r="AJ468" s="131"/>
    </row>
    <row r="469">
      <c r="A469" s="126"/>
      <c r="B469" s="126"/>
      <c r="C469" s="126"/>
      <c r="D469" s="126"/>
      <c r="E469" s="126"/>
      <c r="F469" s="126"/>
      <c r="G469" s="128"/>
      <c r="H469" s="130"/>
      <c r="I469" s="130"/>
      <c r="J469" s="130"/>
      <c r="K469" s="130"/>
      <c r="L469" s="129"/>
      <c r="M469" s="130"/>
      <c r="N469" s="130"/>
      <c r="O469" s="130"/>
      <c r="P469" s="130"/>
      <c r="Q469" s="130"/>
      <c r="R469" s="130"/>
      <c r="S469" s="130"/>
      <c r="T469" s="130"/>
      <c r="U469" s="130"/>
      <c r="V469" s="130"/>
      <c r="W469" s="131"/>
      <c r="X469" s="131"/>
      <c r="Y469" s="131"/>
      <c r="Z469" s="131"/>
      <c r="AA469" s="131"/>
      <c r="AB469" s="131"/>
      <c r="AC469" s="131"/>
      <c r="AD469" s="131"/>
      <c r="AE469" s="131"/>
      <c r="AF469" s="131"/>
      <c r="AG469" s="131"/>
      <c r="AH469" s="131"/>
      <c r="AI469" s="131"/>
      <c r="AJ469" s="131"/>
    </row>
    <row r="470">
      <c r="A470" s="126"/>
      <c r="B470" s="126"/>
      <c r="C470" s="126"/>
      <c r="D470" s="126"/>
      <c r="E470" s="126"/>
      <c r="F470" s="126"/>
      <c r="G470" s="128"/>
      <c r="H470" s="130"/>
      <c r="I470" s="130"/>
      <c r="J470" s="130"/>
      <c r="K470" s="130"/>
      <c r="L470" s="129"/>
      <c r="M470" s="130"/>
      <c r="N470" s="130"/>
      <c r="O470" s="130"/>
      <c r="P470" s="130"/>
      <c r="Q470" s="130"/>
      <c r="R470" s="130"/>
      <c r="S470" s="130"/>
      <c r="T470" s="130"/>
      <c r="U470" s="130"/>
      <c r="V470" s="130"/>
      <c r="W470" s="131"/>
      <c r="X470" s="131"/>
      <c r="Y470" s="131"/>
      <c r="Z470" s="131"/>
      <c r="AA470" s="131"/>
      <c r="AB470" s="131"/>
      <c r="AC470" s="131"/>
      <c r="AD470" s="131"/>
      <c r="AE470" s="131"/>
      <c r="AF470" s="131"/>
      <c r="AG470" s="131"/>
      <c r="AH470" s="131"/>
      <c r="AI470" s="131"/>
      <c r="AJ470" s="131"/>
    </row>
    <row r="471">
      <c r="A471" s="126"/>
      <c r="B471" s="126"/>
      <c r="C471" s="126"/>
      <c r="D471" s="126"/>
      <c r="E471" s="126"/>
      <c r="F471" s="126"/>
      <c r="G471" s="128"/>
      <c r="H471" s="130"/>
      <c r="I471" s="130"/>
      <c r="J471" s="130"/>
      <c r="K471" s="130"/>
      <c r="L471" s="129"/>
      <c r="M471" s="130"/>
      <c r="N471" s="130"/>
      <c r="O471" s="130"/>
      <c r="P471" s="130"/>
      <c r="Q471" s="130"/>
      <c r="R471" s="130"/>
      <c r="S471" s="130"/>
      <c r="T471" s="130"/>
      <c r="U471" s="130"/>
      <c r="V471" s="130"/>
      <c r="W471" s="131"/>
      <c r="X471" s="131"/>
      <c r="Y471" s="131"/>
      <c r="Z471" s="131"/>
      <c r="AA471" s="131"/>
      <c r="AB471" s="131"/>
      <c r="AC471" s="131"/>
      <c r="AD471" s="131"/>
      <c r="AE471" s="131"/>
      <c r="AF471" s="131"/>
      <c r="AG471" s="131"/>
      <c r="AH471" s="131"/>
      <c r="AI471" s="131"/>
      <c r="AJ471" s="131"/>
    </row>
    <row r="472">
      <c r="A472" s="126"/>
      <c r="B472" s="126"/>
      <c r="C472" s="126"/>
      <c r="D472" s="126"/>
      <c r="E472" s="126"/>
      <c r="F472" s="126"/>
      <c r="G472" s="128"/>
      <c r="H472" s="130"/>
      <c r="I472" s="130"/>
      <c r="J472" s="130"/>
      <c r="K472" s="130"/>
      <c r="L472" s="129"/>
      <c r="M472" s="130"/>
      <c r="N472" s="130"/>
      <c r="O472" s="130"/>
      <c r="P472" s="130"/>
      <c r="Q472" s="130"/>
      <c r="R472" s="130"/>
      <c r="S472" s="130"/>
      <c r="T472" s="130"/>
      <c r="U472" s="130"/>
      <c r="V472" s="130"/>
      <c r="W472" s="131"/>
      <c r="X472" s="131"/>
      <c r="Y472" s="131"/>
      <c r="Z472" s="131"/>
      <c r="AA472" s="131"/>
      <c r="AB472" s="131"/>
      <c r="AC472" s="131"/>
      <c r="AD472" s="131"/>
      <c r="AE472" s="131"/>
      <c r="AF472" s="131"/>
      <c r="AG472" s="131"/>
      <c r="AH472" s="131"/>
      <c r="AI472" s="131"/>
      <c r="AJ472" s="131"/>
    </row>
    <row r="473">
      <c r="A473" s="126"/>
      <c r="B473" s="126"/>
      <c r="C473" s="126"/>
      <c r="D473" s="126"/>
      <c r="E473" s="126"/>
      <c r="F473" s="126"/>
      <c r="G473" s="128"/>
      <c r="H473" s="130"/>
      <c r="I473" s="130"/>
      <c r="J473" s="130"/>
      <c r="K473" s="130"/>
      <c r="L473" s="129"/>
      <c r="M473" s="130"/>
      <c r="N473" s="130"/>
      <c r="O473" s="130"/>
      <c r="P473" s="130"/>
      <c r="Q473" s="130"/>
      <c r="R473" s="130"/>
      <c r="S473" s="130"/>
      <c r="T473" s="130"/>
      <c r="U473" s="130"/>
      <c r="V473" s="130"/>
      <c r="W473" s="131"/>
      <c r="X473" s="131"/>
      <c r="Y473" s="131"/>
      <c r="Z473" s="131"/>
      <c r="AA473" s="131"/>
      <c r="AB473" s="131"/>
      <c r="AC473" s="131"/>
      <c r="AD473" s="131"/>
      <c r="AE473" s="131"/>
      <c r="AF473" s="131"/>
      <c r="AG473" s="131"/>
      <c r="AH473" s="131"/>
      <c r="AI473" s="131"/>
      <c r="AJ473" s="131"/>
    </row>
    <row r="474">
      <c r="A474" s="126"/>
      <c r="B474" s="126"/>
      <c r="C474" s="126"/>
      <c r="D474" s="126"/>
      <c r="E474" s="126"/>
      <c r="F474" s="126"/>
      <c r="G474" s="128"/>
      <c r="H474" s="130"/>
      <c r="I474" s="130"/>
      <c r="J474" s="130"/>
      <c r="K474" s="130"/>
      <c r="L474" s="129"/>
      <c r="M474" s="130"/>
      <c r="N474" s="130"/>
      <c r="O474" s="130"/>
      <c r="P474" s="130"/>
      <c r="Q474" s="130"/>
      <c r="R474" s="130"/>
      <c r="S474" s="130"/>
      <c r="T474" s="130"/>
      <c r="U474" s="130"/>
      <c r="V474" s="130"/>
      <c r="W474" s="131"/>
      <c r="X474" s="131"/>
      <c r="Y474" s="131"/>
      <c r="Z474" s="131"/>
      <c r="AA474" s="131"/>
      <c r="AB474" s="131"/>
      <c r="AC474" s="131"/>
      <c r="AD474" s="131"/>
      <c r="AE474" s="131"/>
      <c r="AF474" s="131"/>
      <c r="AG474" s="131"/>
      <c r="AH474" s="131"/>
      <c r="AI474" s="131"/>
      <c r="AJ474" s="131"/>
    </row>
    <row r="475">
      <c r="A475" s="126"/>
      <c r="B475" s="126"/>
      <c r="C475" s="126"/>
      <c r="D475" s="126"/>
      <c r="E475" s="126"/>
      <c r="F475" s="126"/>
      <c r="G475" s="128"/>
      <c r="H475" s="130"/>
      <c r="I475" s="130"/>
      <c r="J475" s="130"/>
      <c r="K475" s="130"/>
      <c r="L475" s="129"/>
      <c r="M475" s="130"/>
      <c r="N475" s="130"/>
      <c r="O475" s="130"/>
      <c r="P475" s="130"/>
      <c r="Q475" s="130"/>
      <c r="R475" s="130"/>
      <c r="S475" s="130"/>
      <c r="T475" s="130"/>
      <c r="U475" s="130"/>
      <c r="V475" s="130"/>
      <c r="W475" s="131"/>
      <c r="X475" s="131"/>
      <c r="Y475" s="131"/>
      <c r="Z475" s="131"/>
      <c r="AA475" s="131"/>
      <c r="AB475" s="131"/>
      <c r="AC475" s="131"/>
      <c r="AD475" s="131"/>
      <c r="AE475" s="131"/>
      <c r="AF475" s="131"/>
      <c r="AG475" s="131"/>
      <c r="AH475" s="131"/>
      <c r="AI475" s="131"/>
      <c r="AJ475" s="131"/>
    </row>
    <row r="476">
      <c r="A476" s="126"/>
      <c r="B476" s="126"/>
      <c r="C476" s="126"/>
      <c r="D476" s="126"/>
      <c r="E476" s="126"/>
      <c r="F476" s="126"/>
      <c r="G476" s="128"/>
      <c r="H476" s="130"/>
      <c r="I476" s="130"/>
      <c r="J476" s="130"/>
      <c r="K476" s="130"/>
      <c r="L476" s="129"/>
      <c r="M476" s="130"/>
      <c r="N476" s="130"/>
      <c r="O476" s="130"/>
      <c r="P476" s="130"/>
      <c r="Q476" s="130"/>
      <c r="R476" s="130"/>
      <c r="S476" s="130"/>
      <c r="T476" s="130"/>
      <c r="U476" s="130"/>
      <c r="V476" s="130"/>
      <c r="W476" s="131"/>
      <c r="X476" s="131"/>
      <c r="Y476" s="131"/>
      <c r="Z476" s="131"/>
      <c r="AA476" s="131"/>
      <c r="AB476" s="131"/>
      <c r="AC476" s="131"/>
      <c r="AD476" s="131"/>
      <c r="AE476" s="131"/>
      <c r="AF476" s="131"/>
      <c r="AG476" s="131"/>
      <c r="AH476" s="131"/>
      <c r="AI476" s="131"/>
      <c r="AJ476" s="131"/>
    </row>
    <row r="477">
      <c r="A477" s="126"/>
      <c r="B477" s="126"/>
      <c r="C477" s="126"/>
      <c r="D477" s="126"/>
      <c r="E477" s="126"/>
      <c r="F477" s="126"/>
      <c r="G477" s="128"/>
      <c r="H477" s="130"/>
      <c r="I477" s="130"/>
      <c r="J477" s="130"/>
      <c r="K477" s="130"/>
      <c r="L477" s="129"/>
      <c r="M477" s="130"/>
      <c r="N477" s="130"/>
      <c r="O477" s="130"/>
      <c r="P477" s="130"/>
      <c r="Q477" s="130"/>
      <c r="R477" s="130"/>
      <c r="S477" s="130"/>
      <c r="T477" s="130"/>
      <c r="U477" s="130"/>
      <c r="V477" s="130"/>
      <c r="W477" s="131"/>
      <c r="X477" s="131"/>
      <c r="Y477" s="131"/>
      <c r="Z477" s="131"/>
      <c r="AA477" s="131"/>
      <c r="AB477" s="131"/>
      <c r="AC477" s="131"/>
      <c r="AD477" s="131"/>
      <c r="AE477" s="131"/>
      <c r="AF477" s="131"/>
      <c r="AG477" s="131"/>
      <c r="AH477" s="131"/>
      <c r="AI477" s="131"/>
      <c r="AJ477" s="131"/>
    </row>
    <row r="478">
      <c r="A478" s="126"/>
      <c r="B478" s="126"/>
      <c r="C478" s="126"/>
      <c r="D478" s="126"/>
      <c r="E478" s="126"/>
      <c r="F478" s="126"/>
      <c r="G478" s="128"/>
      <c r="H478" s="130"/>
      <c r="I478" s="130"/>
      <c r="J478" s="130"/>
      <c r="K478" s="130"/>
      <c r="L478" s="129"/>
      <c r="M478" s="130"/>
      <c r="N478" s="130"/>
      <c r="O478" s="130"/>
      <c r="P478" s="130"/>
      <c r="Q478" s="130"/>
      <c r="R478" s="130"/>
      <c r="S478" s="130"/>
      <c r="T478" s="130"/>
      <c r="U478" s="130"/>
      <c r="V478" s="130"/>
      <c r="W478" s="131"/>
      <c r="X478" s="131"/>
      <c r="Y478" s="131"/>
      <c r="Z478" s="131"/>
      <c r="AA478" s="131"/>
      <c r="AB478" s="131"/>
      <c r="AC478" s="131"/>
      <c r="AD478" s="131"/>
      <c r="AE478" s="131"/>
      <c r="AF478" s="131"/>
      <c r="AG478" s="131"/>
      <c r="AH478" s="131"/>
      <c r="AI478" s="131"/>
      <c r="AJ478" s="131"/>
    </row>
    <row r="479">
      <c r="A479" s="126"/>
      <c r="B479" s="126"/>
      <c r="C479" s="126"/>
      <c r="D479" s="126"/>
      <c r="E479" s="126"/>
      <c r="F479" s="126"/>
      <c r="G479" s="128"/>
      <c r="H479" s="130"/>
      <c r="I479" s="130"/>
      <c r="J479" s="130"/>
      <c r="K479" s="130"/>
      <c r="L479" s="129"/>
      <c r="M479" s="130"/>
      <c r="N479" s="130"/>
      <c r="O479" s="130"/>
      <c r="P479" s="130"/>
      <c r="Q479" s="130"/>
      <c r="R479" s="130"/>
      <c r="S479" s="130"/>
      <c r="T479" s="130"/>
      <c r="U479" s="130"/>
      <c r="V479" s="130"/>
      <c r="W479" s="131"/>
      <c r="X479" s="131"/>
      <c r="Y479" s="131"/>
      <c r="Z479" s="131"/>
      <c r="AA479" s="131"/>
      <c r="AB479" s="131"/>
      <c r="AC479" s="131"/>
      <c r="AD479" s="131"/>
      <c r="AE479" s="131"/>
      <c r="AF479" s="131"/>
      <c r="AG479" s="131"/>
      <c r="AH479" s="131"/>
      <c r="AI479" s="131"/>
      <c r="AJ479" s="131"/>
    </row>
    <row r="480">
      <c r="A480" s="126"/>
      <c r="B480" s="126"/>
      <c r="C480" s="126"/>
      <c r="D480" s="126"/>
      <c r="E480" s="126"/>
      <c r="F480" s="126"/>
      <c r="G480" s="128"/>
      <c r="H480" s="130"/>
      <c r="I480" s="130"/>
      <c r="J480" s="130"/>
      <c r="K480" s="130"/>
      <c r="L480" s="129"/>
      <c r="M480" s="130"/>
      <c r="N480" s="130"/>
      <c r="O480" s="130"/>
      <c r="P480" s="130"/>
      <c r="Q480" s="130"/>
      <c r="R480" s="130"/>
      <c r="S480" s="130"/>
      <c r="T480" s="130"/>
      <c r="U480" s="130"/>
      <c r="V480" s="130"/>
      <c r="W480" s="131"/>
      <c r="X480" s="131"/>
      <c r="Y480" s="131"/>
      <c r="Z480" s="131"/>
      <c r="AA480" s="131"/>
      <c r="AB480" s="131"/>
      <c r="AC480" s="131"/>
      <c r="AD480" s="131"/>
      <c r="AE480" s="131"/>
      <c r="AF480" s="131"/>
      <c r="AG480" s="131"/>
      <c r="AH480" s="131"/>
      <c r="AI480" s="131"/>
      <c r="AJ480" s="131"/>
    </row>
    <row r="481">
      <c r="A481" s="126"/>
      <c r="B481" s="126"/>
      <c r="C481" s="126"/>
      <c r="D481" s="126"/>
      <c r="E481" s="126"/>
      <c r="F481" s="126"/>
      <c r="G481" s="128"/>
      <c r="H481" s="130"/>
      <c r="I481" s="130"/>
      <c r="J481" s="130"/>
      <c r="K481" s="130"/>
      <c r="L481" s="129"/>
      <c r="M481" s="130"/>
      <c r="N481" s="130"/>
      <c r="O481" s="130"/>
      <c r="P481" s="130"/>
      <c r="Q481" s="130"/>
      <c r="R481" s="130"/>
      <c r="S481" s="130"/>
      <c r="T481" s="130"/>
      <c r="U481" s="130"/>
      <c r="V481" s="130"/>
      <c r="W481" s="131"/>
      <c r="X481" s="131"/>
      <c r="Y481" s="131"/>
      <c r="Z481" s="131"/>
      <c r="AA481" s="131"/>
      <c r="AB481" s="131"/>
      <c r="AC481" s="131"/>
      <c r="AD481" s="131"/>
      <c r="AE481" s="131"/>
      <c r="AF481" s="131"/>
      <c r="AG481" s="131"/>
      <c r="AH481" s="131"/>
      <c r="AI481" s="131"/>
      <c r="AJ481" s="131"/>
    </row>
    <row r="482">
      <c r="A482" s="126"/>
      <c r="B482" s="126"/>
      <c r="C482" s="126"/>
      <c r="D482" s="126"/>
      <c r="E482" s="126"/>
      <c r="F482" s="126"/>
      <c r="G482" s="128"/>
      <c r="H482" s="130"/>
      <c r="I482" s="130"/>
      <c r="J482" s="130"/>
      <c r="K482" s="130"/>
      <c r="L482" s="129"/>
      <c r="M482" s="130"/>
      <c r="N482" s="130"/>
      <c r="O482" s="130"/>
      <c r="P482" s="130"/>
      <c r="Q482" s="130"/>
      <c r="R482" s="130"/>
      <c r="S482" s="130"/>
      <c r="T482" s="130"/>
      <c r="U482" s="130"/>
      <c r="V482" s="130"/>
      <c r="W482" s="131"/>
      <c r="X482" s="131"/>
      <c r="Y482" s="131"/>
      <c r="Z482" s="131"/>
      <c r="AA482" s="131"/>
      <c r="AB482" s="131"/>
      <c r="AC482" s="131"/>
      <c r="AD482" s="131"/>
      <c r="AE482" s="131"/>
      <c r="AF482" s="131"/>
      <c r="AG482" s="131"/>
      <c r="AH482" s="131"/>
      <c r="AI482" s="131"/>
      <c r="AJ482" s="131"/>
    </row>
    <row r="483">
      <c r="A483" s="126"/>
      <c r="B483" s="126"/>
      <c r="C483" s="126"/>
      <c r="D483" s="126"/>
      <c r="E483" s="126"/>
      <c r="F483" s="126"/>
      <c r="G483" s="128"/>
      <c r="H483" s="130"/>
      <c r="I483" s="130"/>
      <c r="J483" s="130"/>
      <c r="K483" s="130"/>
      <c r="L483" s="129"/>
      <c r="M483" s="130"/>
      <c r="N483" s="130"/>
      <c r="O483" s="130"/>
      <c r="P483" s="130"/>
      <c r="Q483" s="130"/>
      <c r="R483" s="130"/>
      <c r="S483" s="130"/>
      <c r="T483" s="130"/>
      <c r="U483" s="130"/>
      <c r="V483" s="130"/>
      <c r="W483" s="131"/>
      <c r="X483" s="131"/>
      <c r="Y483" s="131"/>
      <c r="Z483" s="131"/>
      <c r="AA483" s="131"/>
      <c r="AB483" s="131"/>
      <c r="AC483" s="131"/>
      <c r="AD483" s="131"/>
      <c r="AE483" s="131"/>
      <c r="AF483" s="131"/>
      <c r="AG483" s="131"/>
      <c r="AH483" s="131"/>
      <c r="AI483" s="131"/>
      <c r="AJ483" s="131"/>
    </row>
    <row r="484">
      <c r="A484" s="126"/>
      <c r="B484" s="126"/>
      <c r="C484" s="126"/>
      <c r="D484" s="126"/>
      <c r="E484" s="126"/>
      <c r="F484" s="126"/>
      <c r="G484" s="128"/>
      <c r="H484" s="130"/>
      <c r="I484" s="130"/>
      <c r="J484" s="130"/>
      <c r="K484" s="130"/>
      <c r="L484" s="129"/>
      <c r="M484" s="130"/>
      <c r="N484" s="130"/>
      <c r="O484" s="130"/>
      <c r="P484" s="130"/>
      <c r="Q484" s="130"/>
      <c r="R484" s="130"/>
      <c r="S484" s="130"/>
      <c r="T484" s="130"/>
      <c r="U484" s="130"/>
      <c r="V484" s="130"/>
      <c r="W484" s="131"/>
      <c r="X484" s="131"/>
      <c r="Y484" s="131"/>
      <c r="Z484" s="131"/>
      <c r="AA484" s="131"/>
      <c r="AB484" s="131"/>
      <c r="AC484" s="131"/>
      <c r="AD484" s="131"/>
      <c r="AE484" s="131"/>
      <c r="AF484" s="131"/>
      <c r="AG484" s="131"/>
      <c r="AH484" s="131"/>
      <c r="AI484" s="131"/>
      <c r="AJ484" s="131"/>
    </row>
    <row r="485">
      <c r="A485" s="126"/>
      <c r="B485" s="126"/>
      <c r="C485" s="126"/>
      <c r="D485" s="126"/>
      <c r="E485" s="126"/>
      <c r="F485" s="126"/>
      <c r="G485" s="128"/>
      <c r="H485" s="130"/>
      <c r="I485" s="130"/>
      <c r="J485" s="130"/>
      <c r="K485" s="130"/>
      <c r="L485" s="129"/>
      <c r="M485" s="130"/>
      <c r="N485" s="130"/>
      <c r="O485" s="130"/>
      <c r="P485" s="130"/>
      <c r="Q485" s="130"/>
      <c r="R485" s="130"/>
      <c r="S485" s="130"/>
      <c r="T485" s="130"/>
      <c r="U485" s="130"/>
      <c r="V485" s="130"/>
      <c r="W485" s="131"/>
      <c r="X485" s="131"/>
      <c r="Y485" s="131"/>
      <c r="Z485" s="131"/>
      <c r="AA485" s="131"/>
      <c r="AB485" s="131"/>
      <c r="AC485" s="131"/>
      <c r="AD485" s="131"/>
      <c r="AE485" s="131"/>
      <c r="AF485" s="131"/>
      <c r="AG485" s="131"/>
      <c r="AH485" s="131"/>
      <c r="AI485" s="131"/>
      <c r="AJ485" s="131"/>
    </row>
    <row r="486">
      <c r="A486" s="126"/>
      <c r="B486" s="126"/>
      <c r="C486" s="126"/>
      <c r="D486" s="126"/>
      <c r="E486" s="126"/>
      <c r="F486" s="126"/>
      <c r="G486" s="128"/>
      <c r="H486" s="130"/>
      <c r="I486" s="130"/>
      <c r="J486" s="130"/>
      <c r="K486" s="130"/>
      <c r="L486" s="129"/>
      <c r="M486" s="130"/>
      <c r="N486" s="130"/>
      <c r="O486" s="130"/>
      <c r="P486" s="130"/>
      <c r="Q486" s="130"/>
      <c r="R486" s="130"/>
      <c r="S486" s="130"/>
      <c r="T486" s="130"/>
      <c r="U486" s="130"/>
      <c r="V486" s="130"/>
      <c r="W486" s="131"/>
      <c r="X486" s="131"/>
      <c r="Y486" s="131"/>
      <c r="Z486" s="131"/>
      <c r="AA486" s="131"/>
      <c r="AB486" s="131"/>
      <c r="AC486" s="131"/>
      <c r="AD486" s="131"/>
      <c r="AE486" s="131"/>
      <c r="AF486" s="131"/>
      <c r="AG486" s="131"/>
      <c r="AH486" s="131"/>
      <c r="AI486" s="131"/>
      <c r="AJ486" s="131"/>
    </row>
    <row r="487">
      <c r="A487" s="126"/>
      <c r="B487" s="126"/>
      <c r="C487" s="126"/>
      <c r="D487" s="126"/>
      <c r="E487" s="126"/>
      <c r="F487" s="126"/>
      <c r="G487" s="128"/>
      <c r="H487" s="130"/>
      <c r="I487" s="130"/>
      <c r="J487" s="130"/>
      <c r="K487" s="130"/>
      <c r="L487" s="129"/>
      <c r="M487" s="130"/>
      <c r="N487" s="130"/>
      <c r="O487" s="130"/>
      <c r="P487" s="130"/>
      <c r="Q487" s="130"/>
      <c r="R487" s="130"/>
      <c r="S487" s="130"/>
      <c r="T487" s="130"/>
      <c r="U487" s="130"/>
      <c r="V487" s="130"/>
      <c r="W487" s="131"/>
      <c r="X487" s="131"/>
      <c r="Y487" s="131"/>
      <c r="Z487" s="131"/>
      <c r="AA487" s="131"/>
      <c r="AB487" s="131"/>
      <c r="AC487" s="131"/>
      <c r="AD487" s="131"/>
      <c r="AE487" s="131"/>
      <c r="AF487" s="131"/>
      <c r="AG487" s="131"/>
      <c r="AH487" s="131"/>
      <c r="AI487" s="131"/>
      <c r="AJ487" s="131"/>
    </row>
    <row r="488">
      <c r="A488" s="126"/>
      <c r="B488" s="126"/>
      <c r="C488" s="126"/>
      <c r="D488" s="126"/>
      <c r="E488" s="126"/>
      <c r="F488" s="126"/>
      <c r="G488" s="128"/>
      <c r="H488" s="130"/>
      <c r="I488" s="130"/>
      <c r="J488" s="130"/>
      <c r="K488" s="130"/>
      <c r="L488" s="129"/>
      <c r="M488" s="130"/>
      <c r="N488" s="130"/>
      <c r="O488" s="130"/>
      <c r="P488" s="130"/>
      <c r="Q488" s="130"/>
      <c r="R488" s="130"/>
      <c r="S488" s="130"/>
      <c r="T488" s="130"/>
      <c r="U488" s="130"/>
      <c r="V488" s="130"/>
      <c r="W488" s="131"/>
      <c r="X488" s="131"/>
      <c r="Y488" s="131"/>
      <c r="Z488" s="131"/>
      <c r="AA488" s="131"/>
      <c r="AB488" s="131"/>
      <c r="AC488" s="131"/>
      <c r="AD488" s="131"/>
      <c r="AE488" s="131"/>
      <c r="AF488" s="131"/>
      <c r="AG488" s="131"/>
      <c r="AH488" s="131"/>
      <c r="AI488" s="131"/>
      <c r="AJ488" s="131"/>
    </row>
    <row r="489">
      <c r="A489" s="126"/>
      <c r="B489" s="126"/>
      <c r="C489" s="126"/>
      <c r="D489" s="126"/>
      <c r="E489" s="126"/>
      <c r="F489" s="126"/>
      <c r="G489" s="128"/>
      <c r="H489" s="130"/>
      <c r="I489" s="130"/>
      <c r="J489" s="130"/>
      <c r="K489" s="130"/>
      <c r="L489" s="129"/>
      <c r="M489" s="130"/>
      <c r="N489" s="130"/>
      <c r="O489" s="130"/>
      <c r="P489" s="130"/>
      <c r="Q489" s="130"/>
      <c r="R489" s="130"/>
      <c r="S489" s="130"/>
      <c r="T489" s="130"/>
      <c r="U489" s="130"/>
      <c r="V489" s="130"/>
      <c r="W489" s="131"/>
      <c r="X489" s="131"/>
      <c r="Y489" s="131"/>
      <c r="Z489" s="131"/>
      <c r="AA489" s="131"/>
      <c r="AB489" s="131"/>
      <c r="AC489" s="131"/>
      <c r="AD489" s="131"/>
      <c r="AE489" s="131"/>
      <c r="AF489" s="131"/>
      <c r="AG489" s="131"/>
      <c r="AH489" s="131"/>
      <c r="AI489" s="131"/>
      <c r="AJ489" s="131"/>
    </row>
    <row r="490">
      <c r="A490" s="126"/>
      <c r="B490" s="126"/>
      <c r="C490" s="126"/>
      <c r="D490" s="126"/>
      <c r="E490" s="126"/>
      <c r="F490" s="126"/>
      <c r="G490" s="128"/>
      <c r="H490" s="130"/>
      <c r="I490" s="130"/>
      <c r="J490" s="130"/>
      <c r="K490" s="130"/>
      <c r="L490" s="129"/>
      <c r="M490" s="130"/>
      <c r="N490" s="130"/>
      <c r="O490" s="130"/>
      <c r="P490" s="130"/>
      <c r="Q490" s="130"/>
      <c r="R490" s="130"/>
      <c r="S490" s="130"/>
      <c r="T490" s="130"/>
      <c r="U490" s="130"/>
      <c r="V490" s="130"/>
      <c r="W490" s="131"/>
      <c r="X490" s="131"/>
      <c r="Y490" s="131"/>
      <c r="Z490" s="131"/>
      <c r="AA490" s="131"/>
      <c r="AB490" s="131"/>
      <c r="AC490" s="131"/>
      <c r="AD490" s="131"/>
      <c r="AE490" s="131"/>
      <c r="AF490" s="131"/>
      <c r="AG490" s="131"/>
      <c r="AH490" s="131"/>
      <c r="AI490" s="131"/>
      <c r="AJ490" s="131"/>
    </row>
    <row r="491">
      <c r="A491" s="126"/>
      <c r="B491" s="126"/>
      <c r="C491" s="126"/>
      <c r="D491" s="126"/>
      <c r="E491" s="126"/>
      <c r="F491" s="126"/>
      <c r="G491" s="128"/>
      <c r="H491" s="130"/>
      <c r="I491" s="130"/>
      <c r="J491" s="130"/>
      <c r="K491" s="130"/>
      <c r="L491" s="129"/>
      <c r="M491" s="130"/>
      <c r="N491" s="130"/>
      <c r="O491" s="130"/>
      <c r="P491" s="130"/>
      <c r="Q491" s="130"/>
      <c r="R491" s="130"/>
      <c r="S491" s="130"/>
      <c r="T491" s="130"/>
      <c r="U491" s="130"/>
      <c r="V491" s="130"/>
      <c r="W491" s="131"/>
      <c r="X491" s="131"/>
      <c r="Y491" s="131"/>
      <c r="Z491" s="131"/>
      <c r="AA491" s="131"/>
      <c r="AB491" s="131"/>
      <c r="AC491" s="131"/>
      <c r="AD491" s="131"/>
      <c r="AE491" s="131"/>
      <c r="AF491" s="131"/>
      <c r="AG491" s="131"/>
      <c r="AH491" s="131"/>
      <c r="AI491" s="131"/>
      <c r="AJ491" s="131"/>
    </row>
    <row r="492">
      <c r="A492" s="126"/>
      <c r="B492" s="126"/>
      <c r="C492" s="126"/>
      <c r="D492" s="126"/>
      <c r="E492" s="126"/>
      <c r="F492" s="126"/>
      <c r="G492" s="128"/>
      <c r="H492" s="130"/>
      <c r="I492" s="130"/>
      <c r="J492" s="130"/>
      <c r="K492" s="130"/>
      <c r="L492" s="129"/>
      <c r="M492" s="130"/>
      <c r="N492" s="130"/>
      <c r="O492" s="130"/>
      <c r="P492" s="130"/>
      <c r="Q492" s="130"/>
      <c r="R492" s="130"/>
      <c r="S492" s="130"/>
      <c r="T492" s="130"/>
      <c r="U492" s="130"/>
      <c r="V492" s="130"/>
      <c r="W492" s="131"/>
      <c r="X492" s="131"/>
      <c r="Y492" s="131"/>
      <c r="Z492" s="131"/>
      <c r="AA492" s="131"/>
      <c r="AB492" s="131"/>
      <c r="AC492" s="131"/>
      <c r="AD492" s="131"/>
      <c r="AE492" s="131"/>
      <c r="AF492" s="131"/>
      <c r="AG492" s="131"/>
      <c r="AH492" s="131"/>
      <c r="AI492" s="131"/>
      <c r="AJ492" s="131"/>
    </row>
    <row r="493">
      <c r="A493" s="126"/>
      <c r="B493" s="126"/>
      <c r="C493" s="126"/>
      <c r="D493" s="126"/>
      <c r="E493" s="126"/>
      <c r="F493" s="126"/>
      <c r="G493" s="128"/>
      <c r="H493" s="130"/>
      <c r="I493" s="130"/>
      <c r="J493" s="130"/>
      <c r="K493" s="130"/>
      <c r="L493" s="129"/>
      <c r="M493" s="130"/>
      <c r="N493" s="130"/>
      <c r="O493" s="130"/>
      <c r="P493" s="130"/>
      <c r="Q493" s="130"/>
      <c r="R493" s="130"/>
      <c r="S493" s="130"/>
      <c r="T493" s="130"/>
      <c r="U493" s="130"/>
      <c r="V493" s="130"/>
      <c r="W493" s="131"/>
      <c r="X493" s="131"/>
      <c r="Y493" s="131"/>
      <c r="Z493" s="131"/>
      <c r="AA493" s="131"/>
      <c r="AB493" s="131"/>
      <c r="AC493" s="131"/>
      <c r="AD493" s="131"/>
      <c r="AE493" s="131"/>
      <c r="AF493" s="131"/>
      <c r="AG493" s="131"/>
      <c r="AH493" s="131"/>
      <c r="AI493" s="131"/>
      <c r="AJ493" s="131"/>
    </row>
    <row r="494">
      <c r="A494" s="126"/>
      <c r="B494" s="126"/>
      <c r="C494" s="126"/>
      <c r="D494" s="126"/>
      <c r="E494" s="126"/>
      <c r="F494" s="126"/>
      <c r="G494" s="128"/>
      <c r="H494" s="130"/>
      <c r="I494" s="130"/>
      <c r="J494" s="130"/>
      <c r="K494" s="130"/>
      <c r="L494" s="129"/>
      <c r="M494" s="130"/>
      <c r="N494" s="130"/>
      <c r="O494" s="130"/>
      <c r="P494" s="130"/>
      <c r="Q494" s="130"/>
      <c r="R494" s="130"/>
      <c r="S494" s="130"/>
      <c r="T494" s="130"/>
      <c r="U494" s="130"/>
      <c r="V494" s="130"/>
      <c r="W494" s="131"/>
      <c r="X494" s="131"/>
      <c r="Y494" s="131"/>
      <c r="Z494" s="131"/>
      <c r="AA494" s="131"/>
      <c r="AB494" s="131"/>
      <c r="AC494" s="131"/>
      <c r="AD494" s="131"/>
      <c r="AE494" s="131"/>
      <c r="AF494" s="131"/>
      <c r="AG494" s="131"/>
      <c r="AH494" s="131"/>
      <c r="AI494" s="131"/>
      <c r="AJ494" s="131"/>
    </row>
    <row r="495">
      <c r="A495" s="126"/>
      <c r="B495" s="126"/>
      <c r="C495" s="126"/>
      <c r="D495" s="126"/>
      <c r="E495" s="126"/>
      <c r="F495" s="126"/>
      <c r="G495" s="128"/>
      <c r="H495" s="130"/>
      <c r="I495" s="130"/>
      <c r="J495" s="130"/>
      <c r="K495" s="130"/>
      <c r="L495" s="129"/>
      <c r="M495" s="130"/>
      <c r="N495" s="130"/>
      <c r="O495" s="130"/>
      <c r="P495" s="130"/>
      <c r="Q495" s="130"/>
      <c r="R495" s="130"/>
      <c r="S495" s="130"/>
      <c r="T495" s="130"/>
      <c r="U495" s="130"/>
      <c r="V495" s="130"/>
      <c r="W495" s="131"/>
      <c r="X495" s="131"/>
      <c r="Y495" s="131"/>
      <c r="Z495" s="131"/>
      <c r="AA495" s="131"/>
      <c r="AB495" s="131"/>
      <c r="AC495" s="131"/>
      <c r="AD495" s="131"/>
      <c r="AE495" s="131"/>
      <c r="AF495" s="131"/>
      <c r="AG495" s="131"/>
      <c r="AH495" s="131"/>
      <c r="AI495" s="131"/>
      <c r="AJ495" s="131"/>
    </row>
    <row r="496">
      <c r="A496" s="126"/>
      <c r="B496" s="126"/>
      <c r="C496" s="126"/>
      <c r="D496" s="126"/>
      <c r="E496" s="126"/>
      <c r="F496" s="126"/>
      <c r="G496" s="128"/>
      <c r="H496" s="130"/>
      <c r="I496" s="130"/>
      <c r="J496" s="130"/>
      <c r="K496" s="130"/>
      <c r="L496" s="129"/>
      <c r="M496" s="130"/>
      <c r="N496" s="130"/>
      <c r="O496" s="130"/>
      <c r="P496" s="130"/>
      <c r="Q496" s="130"/>
      <c r="R496" s="130"/>
      <c r="S496" s="130"/>
      <c r="T496" s="130"/>
      <c r="U496" s="130"/>
      <c r="V496" s="130"/>
      <c r="W496" s="131"/>
      <c r="X496" s="131"/>
      <c r="Y496" s="131"/>
      <c r="Z496" s="131"/>
      <c r="AA496" s="131"/>
      <c r="AB496" s="131"/>
      <c r="AC496" s="131"/>
      <c r="AD496" s="131"/>
      <c r="AE496" s="131"/>
      <c r="AF496" s="131"/>
      <c r="AG496" s="131"/>
      <c r="AH496" s="131"/>
      <c r="AI496" s="131"/>
      <c r="AJ496" s="131"/>
    </row>
    <row r="497">
      <c r="A497" s="126"/>
      <c r="B497" s="126"/>
      <c r="C497" s="126"/>
      <c r="D497" s="126"/>
      <c r="E497" s="126"/>
      <c r="F497" s="126"/>
      <c r="G497" s="128"/>
      <c r="H497" s="130"/>
      <c r="I497" s="130"/>
      <c r="J497" s="130"/>
      <c r="K497" s="130"/>
      <c r="L497" s="129"/>
      <c r="M497" s="130"/>
      <c r="N497" s="130"/>
      <c r="O497" s="130"/>
      <c r="P497" s="130"/>
      <c r="Q497" s="130"/>
      <c r="R497" s="130"/>
      <c r="S497" s="130"/>
      <c r="T497" s="130"/>
      <c r="U497" s="130"/>
      <c r="V497" s="130"/>
      <c r="W497" s="131"/>
      <c r="X497" s="131"/>
      <c r="Y497" s="131"/>
      <c r="Z497" s="131"/>
      <c r="AA497" s="131"/>
      <c r="AB497" s="131"/>
      <c r="AC497" s="131"/>
      <c r="AD497" s="131"/>
      <c r="AE497" s="131"/>
      <c r="AF497" s="131"/>
      <c r="AG497" s="131"/>
      <c r="AH497" s="131"/>
      <c r="AI497" s="131"/>
      <c r="AJ497" s="131"/>
    </row>
    <row r="498">
      <c r="A498" s="126"/>
      <c r="B498" s="126"/>
      <c r="C498" s="126"/>
      <c r="D498" s="126"/>
      <c r="E498" s="126"/>
      <c r="F498" s="126"/>
      <c r="G498" s="128"/>
      <c r="H498" s="130"/>
      <c r="I498" s="130"/>
      <c r="J498" s="130"/>
      <c r="K498" s="130"/>
      <c r="L498" s="129"/>
      <c r="M498" s="130"/>
      <c r="N498" s="130"/>
      <c r="O498" s="130"/>
      <c r="P498" s="130"/>
      <c r="Q498" s="130"/>
      <c r="R498" s="130"/>
      <c r="S498" s="130"/>
      <c r="T498" s="130"/>
      <c r="U498" s="130"/>
      <c r="V498" s="130"/>
      <c r="W498" s="131"/>
      <c r="X498" s="131"/>
      <c r="Y498" s="131"/>
      <c r="Z498" s="131"/>
      <c r="AA498" s="131"/>
      <c r="AB498" s="131"/>
      <c r="AC498" s="131"/>
      <c r="AD498" s="131"/>
      <c r="AE498" s="131"/>
      <c r="AF498" s="131"/>
      <c r="AG498" s="131"/>
      <c r="AH498" s="131"/>
      <c r="AI498" s="131"/>
      <c r="AJ498" s="131"/>
    </row>
    <row r="499">
      <c r="A499" s="126"/>
      <c r="B499" s="126"/>
      <c r="C499" s="126"/>
      <c r="D499" s="126"/>
      <c r="E499" s="126"/>
      <c r="F499" s="126"/>
      <c r="G499" s="128"/>
      <c r="H499" s="130"/>
      <c r="I499" s="130"/>
      <c r="J499" s="130"/>
      <c r="K499" s="130"/>
      <c r="L499" s="129"/>
      <c r="M499" s="130"/>
      <c r="N499" s="130"/>
      <c r="O499" s="130"/>
      <c r="P499" s="130"/>
      <c r="Q499" s="130"/>
      <c r="R499" s="130"/>
      <c r="S499" s="130"/>
      <c r="T499" s="130"/>
      <c r="U499" s="130"/>
      <c r="V499" s="130"/>
      <c r="W499" s="131"/>
      <c r="X499" s="131"/>
      <c r="Y499" s="131"/>
      <c r="Z499" s="131"/>
      <c r="AA499" s="131"/>
      <c r="AB499" s="131"/>
      <c r="AC499" s="131"/>
      <c r="AD499" s="131"/>
      <c r="AE499" s="131"/>
      <c r="AF499" s="131"/>
      <c r="AG499" s="131"/>
      <c r="AH499" s="131"/>
      <c r="AI499" s="131"/>
      <c r="AJ499" s="131"/>
    </row>
    <row r="500">
      <c r="A500" s="126"/>
      <c r="B500" s="126"/>
      <c r="C500" s="126"/>
      <c r="D500" s="126"/>
      <c r="E500" s="126"/>
      <c r="F500" s="126"/>
      <c r="G500" s="128"/>
      <c r="H500" s="130"/>
      <c r="I500" s="130"/>
      <c r="J500" s="130"/>
      <c r="K500" s="130"/>
      <c r="L500" s="129"/>
      <c r="M500" s="130"/>
      <c r="N500" s="130"/>
      <c r="O500" s="130"/>
      <c r="P500" s="130"/>
      <c r="Q500" s="130"/>
      <c r="R500" s="130"/>
      <c r="S500" s="130"/>
      <c r="T500" s="130"/>
      <c r="U500" s="130"/>
      <c r="V500" s="130"/>
      <c r="W500" s="131"/>
      <c r="X500" s="131"/>
      <c r="Y500" s="131"/>
      <c r="Z500" s="131"/>
      <c r="AA500" s="131"/>
      <c r="AB500" s="131"/>
      <c r="AC500" s="131"/>
      <c r="AD500" s="131"/>
      <c r="AE500" s="131"/>
      <c r="AF500" s="131"/>
      <c r="AG500" s="131"/>
      <c r="AH500" s="131"/>
      <c r="AI500" s="131"/>
      <c r="AJ500" s="131"/>
    </row>
    <row r="501">
      <c r="A501" s="126"/>
      <c r="B501" s="126"/>
      <c r="C501" s="126"/>
      <c r="D501" s="126"/>
      <c r="E501" s="126"/>
      <c r="F501" s="126"/>
      <c r="G501" s="128"/>
      <c r="H501" s="130"/>
      <c r="I501" s="130"/>
      <c r="J501" s="130"/>
      <c r="K501" s="130"/>
      <c r="L501" s="129"/>
      <c r="M501" s="130"/>
      <c r="N501" s="130"/>
      <c r="O501" s="130"/>
      <c r="P501" s="130"/>
      <c r="Q501" s="130"/>
      <c r="R501" s="130"/>
      <c r="S501" s="130"/>
      <c r="T501" s="130"/>
      <c r="U501" s="130"/>
      <c r="V501" s="130"/>
      <c r="W501" s="131"/>
      <c r="X501" s="131"/>
      <c r="Y501" s="131"/>
      <c r="Z501" s="131"/>
      <c r="AA501" s="131"/>
      <c r="AB501" s="131"/>
      <c r="AC501" s="131"/>
      <c r="AD501" s="131"/>
      <c r="AE501" s="131"/>
      <c r="AF501" s="131"/>
      <c r="AG501" s="131"/>
      <c r="AH501" s="131"/>
      <c r="AI501" s="131"/>
      <c r="AJ501" s="131"/>
    </row>
    <row r="502">
      <c r="A502" s="126"/>
      <c r="B502" s="126"/>
      <c r="C502" s="126"/>
      <c r="D502" s="126"/>
      <c r="E502" s="126"/>
      <c r="F502" s="126"/>
      <c r="G502" s="128"/>
      <c r="H502" s="130"/>
      <c r="I502" s="130"/>
      <c r="J502" s="130"/>
      <c r="K502" s="130"/>
      <c r="L502" s="129"/>
      <c r="M502" s="130"/>
      <c r="N502" s="130"/>
      <c r="O502" s="130"/>
      <c r="P502" s="130"/>
      <c r="Q502" s="130"/>
      <c r="R502" s="130"/>
      <c r="S502" s="130"/>
      <c r="T502" s="130"/>
      <c r="U502" s="130"/>
      <c r="V502" s="130"/>
      <c r="W502" s="131"/>
      <c r="X502" s="131"/>
      <c r="Y502" s="131"/>
      <c r="Z502" s="131"/>
      <c r="AA502" s="131"/>
      <c r="AB502" s="131"/>
      <c r="AC502" s="131"/>
      <c r="AD502" s="131"/>
      <c r="AE502" s="131"/>
      <c r="AF502" s="131"/>
      <c r="AG502" s="131"/>
      <c r="AH502" s="131"/>
      <c r="AI502" s="131"/>
      <c r="AJ502" s="131"/>
    </row>
    <row r="503">
      <c r="A503" s="126"/>
      <c r="B503" s="126"/>
      <c r="C503" s="126"/>
      <c r="D503" s="126"/>
      <c r="E503" s="126"/>
      <c r="F503" s="126"/>
      <c r="G503" s="128"/>
      <c r="H503" s="130"/>
      <c r="I503" s="130"/>
      <c r="J503" s="130"/>
      <c r="K503" s="130"/>
      <c r="L503" s="129"/>
      <c r="M503" s="130"/>
      <c r="N503" s="130"/>
      <c r="O503" s="130"/>
      <c r="P503" s="130"/>
      <c r="Q503" s="130"/>
      <c r="R503" s="130"/>
      <c r="S503" s="130"/>
      <c r="T503" s="130"/>
      <c r="U503" s="130"/>
      <c r="V503" s="130"/>
      <c r="W503" s="131"/>
      <c r="X503" s="131"/>
      <c r="Y503" s="131"/>
      <c r="Z503" s="131"/>
      <c r="AA503" s="131"/>
      <c r="AB503" s="131"/>
      <c r="AC503" s="131"/>
      <c r="AD503" s="131"/>
      <c r="AE503" s="131"/>
      <c r="AF503" s="131"/>
      <c r="AG503" s="131"/>
      <c r="AH503" s="131"/>
      <c r="AI503" s="131"/>
      <c r="AJ503" s="131"/>
    </row>
    <row r="504">
      <c r="A504" s="126"/>
      <c r="B504" s="126"/>
      <c r="C504" s="126"/>
      <c r="D504" s="126"/>
      <c r="E504" s="126"/>
      <c r="F504" s="126"/>
      <c r="G504" s="128"/>
      <c r="H504" s="130"/>
      <c r="I504" s="130"/>
      <c r="J504" s="130"/>
      <c r="K504" s="130"/>
      <c r="L504" s="129"/>
      <c r="M504" s="130"/>
      <c r="N504" s="130"/>
      <c r="O504" s="130"/>
      <c r="P504" s="130"/>
      <c r="Q504" s="130"/>
      <c r="R504" s="130"/>
      <c r="S504" s="130"/>
      <c r="T504" s="130"/>
      <c r="U504" s="130"/>
      <c r="V504" s="130"/>
      <c r="W504" s="131"/>
      <c r="X504" s="131"/>
      <c r="Y504" s="131"/>
      <c r="Z504" s="131"/>
      <c r="AA504" s="131"/>
      <c r="AB504" s="131"/>
      <c r="AC504" s="131"/>
      <c r="AD504" s="131"/>
      <c r="AE504" s="131"/>
      <c r="AF504" s="131"/>
      <c r="AG504" s="131"/>
      <c r="AH504" s="131"/>
      <c r="AI504" s="131"/>
      <c r="AJ504" s="131"/>
    </row>
    <row r="505">
      <c r="A505" s="126"/>
      <c r="B505" s="126"/>
      <c r="C505" s="126"/>
      <c r="D505" s="126"/>
      <c r="E505" s="126"/>
      <c r="F505" s="126"/>
      <c r="G505" s="128"/>
      <c r="H505" s="130"/>
      <c r="I505" s="130"/>
      <c r="J505" s="130"/>
      <c r="K505" s="130"/>
      <c r="L505" s="129"/>
      <c r="M505" s="130"/>
      <c r="N505" s="130"/>
      <c r="O505" s="130"/>
      <c r="P505" s="130"/>
      <c r="Q505" s="130"/>
      <c r="R505" s="130"/>
      <c r="S505" s="130"/>
      <c r="T505" s="130"/>
      <c r="U505" s="130"/>
      <c r="V505" s="130"/>
      <c r="W505" s="131"/>
      <c r="X505" s="131"/>
      <c r="Y505" s="131"/>
      <c r="Z505" s="131"/>
      <c r="AA505" s="131"/>
      <c r="AB505" s="131"/>
      <c r="AC505" s="131"/>
      <c r="AD505" s="131"/>
      <c r="AE505" s="131"/>
      <c r="AF505" s="131"/>
      <c r="AG505" s="131"/>
      <c r="AH505" s="131"/>
      <c r="AI505" s="131"/>
      <c r="AJ505" s="131"/>
    </row>
    <row r="506">
      <c r="A506" s="126"/>
      <c r="B506" s="126"/>
      <c r="C506" s="126"/>
      <c r="D506" s="126"/>
      <c r="E506" s="126"/>
      <c r="F506" s="126"/>
      <c r="G506" s="128"/>
      <c r="H506" s="130"/>
      <c r="I506" s="130"/>
      <c r="J506" s="130"/>
      <c r="K506" s="130"/>
      <c r="L506" s="129"/>
      <c r="M506" s="130"/>
      <c r="N506" s="130"/>
      <c r="O506" s="130"/>
      <c r="P506" s="130"/>
      <c r="Q506" s="130"/>
      <c r="R506" s="130"/>
      <c r="S506" s="130"/>
      <c r="T506" s="130"/>
      <c r="U506" s="130"/>
      <c r="V506" s="130"/>
      <c r="W506" s="131"/>
      <c r="X506" s="131"/>
      <c r="Y506" s="131"/>
      <c r="Z506" s="131"/>
      <c r="AA506" s="131"/>
      <c r="AB506" s="131"/>
      <c r="AC506" s="131"/>
      <c r="AD506" s="131"/>
      <c r="AE506" s="131"/>
      <c r="AF506" s="131"/>
      <c r="AG506" s="131"/>
      <c r="AH506" s="131"/>
      <c r="AI506" s="131"/>
      <c r="AJ506" s="131"/>
    </row>
    <row r="507">
      <c r="A507" s="126"/>
      <c r="B507" s="126"/>
      <c r="C507" s="126"/>
      <c r="D507" s="126"/>
      <c r="E507" s="126"/>
      <c r="F507" s="126"/>
      <c r="G507" s="128"/>
      <c r="H507" s="130"/>
      <c r="I507" s="130"/>
      <c r="J507" s="130"/>
      <c r="K507" s="130"/>
      <c r="L507" s="129"/>
      <c r="M507" s="130"/>
      <c r="N507" s="130"/>
      <c r="O507" s="130"/>
      <c r="P507" s="130"/>
      <c r="Q507" s="130"/>
      <c r="R507" s="130"/>
      <c r="S507" s="130"/>
      <c r="T507" s="130"/>
      <c r="U507" s="130"/>
      <c r="V507" s="130"/>
      <c r="W507" s="131"/>
      <c r="X507" s="131"/>
      <c r="Y507" s="131"/>
      <c r="Z507" s="131"/>
      <c r="AA507" s="131"/>
      <c r="AB507" s="131"/>
      <c r="AC507" s="131"/>
      <c r="AD507" s="131"/>
      <c r="AE507" s="131"/>
      <c r="AF507" s="131"/>
      <c r="AG507" s="131"/>
      <c r="AH507" s="131"/>
      <c r="AI507" s="131"/>
      <c r="AJ507" s="131"/>
    </row>
    <row r="508">
      <c r="A508" s="126"/>
      <c r="B508" s="126"/>
      <c r="C508" s="126"/>
      <c r="D508" s="126"/>
      <c r="E508" s="126"/>
      <c r="F508" s="126"/>
      <c r="G508" s="128"/>
      <c r="H508" s="130"/>
      <c r="I508" s="130"/>
      <c r="J508" s="130"/>
      <c r="K508" s="130"/>
      <c r="L508" s="129"/>
      <c r="M508" s="130"/>
      <c r="N508" s="130"/>
      <c r="O508" s="130"/>
      <c r="P508" s="130"/>
      <c r="Q508" s="130"/>
      <c r="R508" s="130"/>
      <c r="S508" s="130"/>
      <c r="T508" s="130"/>
      <c r="U508" s="130"/>
      <c r="V508" s="130"/>
      <c r="W508" s="131"/>
      <c r="X508" s="131"/>
      <c r="Y508" s="131"/>
      <c r="Z508" s="131"/>
      <c r="AA508" s="131"/>
      <c r="AB508" s="131"/>
      <c r="AC508" s="131"/>
      <c r="AD508" s="131"/>
      <c r="AE508" s="131"/>
      <c r="AF508" s="131"/>
      <c r="AG508" s="131"/>
      <c r="AH508" s="131"/>
      <c r="AI508" s="131"/>
      <c r="AJ508" s="131"/>
    </row>
    <row r="509">
      <c r="A509" s="126"/>
      <c r="B509" s="126"/>
      <c r="C509" s="126"/>
      <c r="D509" s="126"/>
      <c r="E509" s="126"/>
      <c r="F509" s="126"/>
      <c r="G509" s="128"/>
      <c r="H509" s="130"/>
      <c r="I509" s="130"/>
      <c r="J509" s="130"/>
      <c r="K509" s="130"/>
      <c r="L509" s="129"/>
      <c r="M509" s="130"/>
      <c r="N509" s="130"/>
      <c r="O509" s="130"/>
      <c r="P509" s="130"/>
      <c r="Q509" s="130"/>
      <c r="R509" s="130"/>
      <c r="S509" s="130"/>
      <c r="T509" s="130"/>
      <c r="U509" s="130"/>
      <c r="V509" s="130"/>
      <c r="W509" s="131"/>
      <c r="X509" s="131"/>
      <c r="Y509" s="131"/>
      <c r="Z509" s="131"/>
      <c r="AA509" s="131"/>
      <c r="AB509" s="131"/>
      <c r="AC509" s="131"/>
      <c r="AD509" s="131"/>
      <c r="AE509" s="131"/>
      <c r="AF509" s="131"/>
      <c r="AG509" s="131"/>
      <c r="AH509" s="131"/>
      <c r="AI509" s="131"/>
      <c r="AJ509" s="131"/>
    </row>
    <row r="510">
      <c r="A510" s="126"/>
      <c r="B510" s="126"/>
      <c r="C510" s="126"/>
      <c r="D510" s="126"/>
      <c r="E510" s="126"/>
      <c r="F510" s="126"/>
      <c r="G510" s="128"/>
      <c r="H510" s="130"/>
      <c r="I510" s="130"/>
      <c r="J510" s="130"/>
      <c r="K510" s="130"/>
      <c r="L510" s="129"/>
      <c r="M510" s="130"/>
      <c r="N510" s="130"/>
      <c r="O510" s="130"/>
      <c r="P510" s="130"/>
      <c r="Q510" s="130"/>
      <c r="R510" s="130"/>
      <c r="S510" s="130"/>
      <c r="T510" s="130"/>
      <c r="U510" s="130"/>
      <c r="V510" s="130"/>
      <c r="W510" s="131"/>
      <c r="X510" s="131"/>
      <c r="Y510" s="131"/>
      <c r="Z510" s="131"/>
      <c r="AA510" s="131"/>
      <c r="AB510" s="131"/>
      <c r="AC510" s="131"/>
      <c r="AD510" s="131"/>
      <c r="AE510" s="131"/>
      <c r="AF510" s="131"/>
      <c r="AG510" s="131"/>
      <c r="AH510" s="131"/>
      <c r="AI510" s="131"/>
      <c r="AJ510" s="131"/>
    </row>
    <row r="511">
      <c r="A511" s="126"/>
      <c r="B511" s="126"/>
      <c r="C511" s="126"/>
      <c r="D511" s="126"/>
      <c r="E511" s="126"/>
      <c r="F511" s="126"/>
      <c r="G511" s="128"/>
      <c r="H511" s="130"/>
      <c r="I511" s="130"/>
      <c r="J511" s="130"/>
      <c r="K511" s="130"/>
      <c r="L511" s="129"/>
      <c r="M511" s="130"/>
      <c r="N511" s="130"/>
      <c r="O511" s="130"/>
      <c r="P511" s="130"/>
      <c r="Q511" s="130"/>
      <c r="R511" s="130"/>
      <c r="S511" s="130"/>
      <c r="T511" s="130"/>
      <c r="U511" s="130"/>
      <c r="V511" s="130"/>
      <c r="W511" s="131"/>
      <c r="X511" s="131"/>
      <c r="Y511" s="131"/>
      <c r="Z511" s="131"/>
      <c r="AA511" s="131"/>
      <c r="AB511" s="131"/>
      <c r="AC511" s="131"/>
      <c r="AD511" s="131"/>
      <c r="AE511" s="131"/>
      <c r="AF511" s="131"/>
      <c r="AG511" s="131"/>
      <c r="AH511" s="131"/>
      <c r="AI511" s="131"/>
      <c r="AJ511" s="131"/>
    </row>
    <row r="512">
      <c r="A512" s="126"/>
      <c r="B512" s="126"/>
      <c r="C512" s="126"/>
      <c r="D512" s="126"/>
      <c r="E512" s="126"/>
      <c r="F512" s="126"/>
      <c r="G512" s="128"/>
      <c r="H512" s="130"/>
      <c r="I512" s="130"/>
      <c r="J512" s="130"/>
      <c r="K512" s="130"/>
      <c r="L512" s="129"/>
      <c r="M512" s="130"/>
      <c r="N512" s="130"/>
      <c r="O512" s="130"/>
      <c r="P512" s="130"/>
      <c r="Q512" s="130"/>
      <c r="R512" s="130"/>
      <c r="S512" s="130"/>
      <c r="T512" s="130"/>
      <c r="U512" s="130"/>
      <c r="V512" s="130"/>
      <c r="W512" s="131"/>
      <c r="X512" s="131"/>
      <c r="Y512" s="131"/>
      <c r="Z512" s="131"/>
      <c r="AA512" s="131"/>
      <c r="AB512" s="131"/>
      <c r="AC512" s="131"/>
      <c r="AD512" s="131"/>
      <c r="AE512" s="131"/>
      <c r="AF512" s="131"/>
      <c r="AG512" s="131"/>
      <c r="AH512" s="131"/>
      <c r="AI512" s="131"/>
      <c r="AJ512" s="131"/>
    </row>
    <row r="513">
      <c r="A513" s="126"/>
      <c r="B513" s="126"/>
      <c r="C513" s="126"/>
      <c r="D513" s="126"/>
      <c r="E513" s="126"/>
      <c r="F513" s="126"/>
      <c r="G513" s="128"/>
      <c r="H513" s="130"/>
      <c r="I513" s="130"/>
      <c r="J513" s="130"/>
      <c r="K513" s="130"/>
      <c r="L513" s="129"/>
      <c r="M513" s="130"/>
      <c r="N513" s="130"/>
      <c r="O513" s="130"/>
      <c r="P513" s="130"/>
      <c r="Q513" s="130"/>
      <c r="R513" s="130"/>
      <c r="S513" s="130"/>
      <c r="T513" s="130"/>
      <c r="U513" s="130"/>
      <c r="V513" s="130"/>
      <c r="W513" s="131"/>
      <c r="X513" s="131"/>
      <c r="Y513" s="131"/>
      <c r="Z513" s="131"/>
      <c r="AA513" s="131"/>
      <c r="AB513" s="131"/>
      <c r="AC513" s="131"/>
      <c r="AD513" s="131"/>
      <c r="AE513" s="131"/>
      <c r="AF513" s="131"/>
      <c r="AG513" s="131"/>
      <c r="AH513" s="131"/>
      <c r="AI513" s="131"/>
      <c r="AJ513" s="131"/>
    </row>
    <row r="514">
      <c r="A514" s="126"/>
      <c r="B514" s="126"/>
      <c r="C514" s="126"/>
      <c r="D514" s="126"/>
      <c r="E514" s="126"/>
      <c r="F514" s="126"/>
      <c r="G514" s="128"/>
      <c r="H514" s="130"/>
      <c r="I514" s="130"/>
      <c r="J514" s="130"/>
      <c r="K514" s="130"/>
      <c r="L514" s="129"/>
      <c r="M514" s="130"/>
      <c r="N514" s="130"/>
      <c r="O514" s="130"/>
      <c r="P514" s="130"/>
      <c r="Q514" s="130"/>
      <c r="R514" s="130"/>
      <c r="S514" s="130"/>
      <c r="T514" s="130"/>
      <c r="U514" s="130"/>
      <c r="V514" s="130"/>
      <c r="W514" s="131"/>
      <c r="X514" s="131"/>
      <c r="Y514" s="131"/>
      <c r="Z514" s="131"/>
      <c r="AA514" s="131"/>
      <c r="AB514" s="131"/>
      <c r="AC514" s="131"/>
      <c r="AD514" s="131"/>
      <c r="AE514" s="131"/>
      <c r="AF514" s="131"/>
      <c r="AG514" s="131"/>
      <c r="AH514" s="131"/>
      <c r="AI514" s="131"/>
      <c r="AJ514" s="131"/>
    </row>
    <row r="515">
      <c r="A515" s="126"/>
      <c r="B515" s="126"/>
      <c r="C515" s="126"/>
      <c r="D515" s="126"/>
      <c r="E515" s="126"/>
      <c r="F515" s="126"/>
      <c r="G515" s="128"/>
      <c r="H515" s="130"/>
      <c r="I515" s="130"/>
      <c r="J515" s="130"/>
      <c r="K515" s="130"/>
      <c r="L515" s="129"/>
      <c r="M515" s="130"/>
      <c r="N515" s="130"/>
      <c r="O515" s="130"/>
      <c r="P515" s="130"/>
      <c r="Q515" s="130"/>
      <c r="R515" s="130"/>
      <c r="S515" s="130"/>
      <c r="T515" s="130"/>
      <c r="U515" s="130"/>
      <c r="V515" s="130"/>
      <c r="W515" s="131"/>
      <c r="X515" s="131"/>
      <c r="Y515" s="131"/>
      <c r="Z515" s="131"/>
      <c r="AA515" s="131"/>
      <c r="AB515" s="131"/>
      <c r="AC515" s="131"/>
      <c r="AD515" s="131"/>
      <c r="AE515" s="131"/>
      <c r="AF515" s="131"/>
      <c r="AG515" s="131"/>
      <c r="AH515" s="131"/>
      <c r="AI515" s="131"/>
      <c r="AJ515" s="131"/>
    </row>
    <row r="516">
      <c r="A516" s="126"/>
      <c r="B516" s="126"/>
      <c r="C516" s="126"/>
      <c r="D516" s="126"/>
      <c r="E516" s="126"/>
      <c r="F516" s="126"/>
      <c r="G516" s="128"/>
      <c r="H516" s="130"/>
      <c r="I516" s="130"/>
      <c r="J516" s="130"/>
      <c r="K516" s="130"/>
      <c r="L516" s="129"/>
      <c r="M516" s="130"/>
      <c r="N516" s="130"/>
      <c r="O516" s="130"/>
      <c r="P516" s="130"/>
      <c r="Q516" s="130"/>
      <c r="R516" s="130"/>
      <c r="S516" s="130"/>
      <c r="T516" s="130"/>
      <c r="U516" s="130"/>
      <c r="V516" s="130"/>
      <c r="W516" s="131"/>
      <c r="X516" s="131"/>
      <c r="Y516" s="131"/>
      <c r="Z516" s="131"/>
      <c r="AA516" s="131"/>
      <c r="AB516" s="131"/>
      <c r="AC516" s="131"/>
      <c r="AD516" s="131"/>
      <c r="AE516" s="131"/>
      <c r="AF516" s="131"/>
      <c r="AG516" s="131"/>
      <c r="AH516" s="131"/>
      <c r="AI516" s="131"/>
      <c r="AJ516" s="131"/>
    </row>
    <row r="517">
      <c r="A517" s="126"/>
      <c r="B517" s="126"/>
      <c r="C517" s="126"/>
      <c r="D517" s="126"/>
      <c r="E517" s="126"/>
      <c r="F517" s="126"/>
      <c r="G517" s="128"/>
      <c r="H517" s="130"/>
      <c r="I517" s="130"/>
      <c r="J517" s="130"/>
      <c r="K517" s="130"/>
      <c r="L517" s="129"/>
      <c r="M517" s="130"/>
      <c r="N517" s="130"/>
      <c r="O517" s="130"/>
      <c r="P517" s="130"/>
      <c r="Q517" s="130"/>
      <c r="R517" s="130"/>
      <c r="S517" s="130"/>
      <c r="T517" s="130"/>
      <c r="U517" s="130"/>
      <c r="V517" s="130"/>
      <c r="W517" s="131"/>
      <c r="X517" s="131"/>
      <c r="Y517" s="131"/>
      <c r="Z517" s="131"/>
      <c r="AA517" s="131"/>
      <c r="AB517" s="131"/>
      <c r="AC517" s="131"/>
      <c r="AD517" s="131"/>
      <c r="AE517" s="131"/>
      <c r="AF517" s="131"/>
      <c r="AG517" s="131"/>
      <c r="AH517" s="131"/>
      <c r="AI517" s="131"/>
      <c r="AJ517" s="131"/>
    </row>
    <row r="518">
      <c r="A518" s="126"/>
      <c r="B518" s="126"/>
      <c r="C518" s="126"/>
      <c r="D518" s="126"/>
      <c r="E518" s="126"/>
      <c r="F518" s="126"/>
      <c r="G518" s="128"/>
      <c r="H518" s="130"/>
      <c r="I518" s="130"/>
      <c r="J518" s="130"/>
      <c r="K518" s="130"/>
      <c r="L518" s="129"/>
      <c r="M518" s="130"/>
      <c r="N518" s="130"/>
      <c r="O518" s="130"/>
      <c r="P518" s="130"/>
      <c r="Q518" s="130"/>
      <c r="R518" s="130"/>
      <c r="S518" s="130"/>
      <c r="T518" s="130"/>
      <c r="U518" s="130"/>
      <c r="V518" s="130"/>
      <c r="W518" s="131"/>
      <c r="X518" s="131"/>
      <c r="Y518" s="131"/>
      <c r="Z518" s="131"/>
      <c r="AA518" s="131"/>
      <c r="AB518" s="131"/>
      <c r="AC518" s="131"/>
      <c r="AD518" s="131"/>
      <c r="AE518" s="131"/>
      <c r="AF518" s="131"/>
      <c r="AG518" s="131"/>
      <c r="AH518" s="131"/>
      <c r="AI518" s="131"/>
      <c r="AJ518" s="131"/>
    </row>
    <row r="519">
      <c r="A519" s="126"/>
      <c r="B519" s="126"/>
      <c r="C519" s="126"/>
      <c r="D519" s="126"/>
      <c r="E519" s="126"/>
      <c r="F519" s="126"/>
      <c r="G519" s="128"/>
      <c r="H519" s="130"/>
      <c r="I519" s="130"/>
      <c r="J519" s="130"/>
      <c r="K519" s="130"/>
      <c r="L519" s="129"/>
      <c r="M519" s="130"/>
      <c r="N519" s="130"/>
      <c r="O519" s="130"/>
      <c r="P519" s="130"/>
      <c r="Q519" s="130"/>
      <c r="R519" s="130"/>
      <c r="S519" s="130"/>
      <c r="T519" s="130"/>
      <c r="U519" s="130"/>
      <c r="V519" s="130"/>
      <c r="W519" s="131"/>
      <c r="X519" s="131"/>
      <c r="Y519" s="131"/>
      <c r="Z519" s="131"/>
      <c r="AA519" s="131"/>
      <c r="AB519" s="131"/>
      <c r="AC519" s="131"/>
      <c r="AD519" s="131"/>
      <c r="AE519" s="131"/>
      <c r="AF519" s="131"/>
      <c r="AG519" s="131"/>
      <c r="AH519" s="131"/>
      <c r="AI519" s="131"/>
      <c r="AJ519" s="131"/>
    </row>
    <row r="520">
      <c r="A520" s="126"/>
      <c r="B520" s="126"/>
      <c r="C520" s="126"/>
      <c r="D520" s="126"/>
      <c r="E520" s="126"/>
      <c r="F520" s="126"/>
      <c r="G520" s="128"/>
      <c r="H520" s="130"/>
      <c r="I520" s="130"/>
      <c r="J520" s="130"/>
      <c r="K520" s="130"/>
      <c r="L520" s="129"/>
      <c r="M520" s="130"/>
      <c r="N520" s="130"/>
      <c r="O520" s="130"/>
      <c r="P520" s="130"/>
      <c r="Q520" s="130"/>
      <c r="R520" s="130"/>
      <c r="S520" s="130"/>
      <c r="T520" s="130"/>
      <c r="U520" s="130"/>
      <c r="V520" s="130"/>
      <c r="W520" s="131"/>
      <c r="X520" s="131"/>
      <c r="Y520" s="131"/>
      <c r="Z520" s="131"/>
      <c r="AA520" s="131"/>
      <c r="AB520" s="131"/>
      <c r="AC520" s="131"/>
      <c r="AD520" s="131"/>
      <c r="AE520" s="131"/>
      <c r="AF520" s="131"/>
      <c r="AG520" s="131"/>
      <c r="AH520" s="131"/>
      <c r="AI520" s="131"/>
      <c r="AJ520" s="131"/>
    </row>
    <row r="521">
      <c r="A521" s="126"/>
      <c r="B521" s="126"/>
      <c r="C521" s="126"/>
      <c r="D521" s="126"/>
      <c r="E521" s="126"/>
      <c r="F521" s="126"/>
      <c r="G521" s="128"/>
      <c r="H521" s="130"/>
      <c r="I521" s="130"/>
      <c r="J521" s="130"/>
      <c r="K521" s="130"/>
      <c r="L521" s="129"/>
      <c r="M521" s="130"/>
      <c r="N521" s="130"/>
      <c r="O521" s="130"/>
      <c r="P521" s="130"/>
      <c r="Q521" s="130"/>
      <c r="R521" s="130"/>
      <c r="S521" s="130"/>
      <c r="T521" s="130"/>
      <c r="U521" s="130"/>
      <c r="V521" s="130"/>
      <c r="W521" s="131"/>
      <c r="X521" s="131"/>
      <c r="Y521" s="131"/>
      <c r="Z521" s="131"/>
      <c r="AA521" s="131"/>
      <c r="AB521" s="131"/>
      <c r="AC521" s="131"/>
      <c r="AD521" s="131"/>
      <c r="AE521" s="131"/>
      <c r="AF521" s="131"/>
      <c r="AG521" s="131"/>
      <c r="AH521" s="131"/>
      <c r="AI521" s="131"/>
      <c r="AJ521" s="131"/>
    </row>
    <row r="522">
      <c r="A522" s="126"/>
      <c r="B522" s="126"/>
      <c r="C522" s="126"/>
      <c r="D522" s="126"/>
      <c r="E522" s="126"/>
      <c r="F522" s="126"/>
      <c r="G522" s="128"/>
      <c r="H522" s="130"/>
      <c r="I522" s="130"/>
      <c r="J522" s="130"/>
      <c r="K522" s="130"/>
      <c r="L522" s="129"/>
      <c r="M522" s="130"/>
      <c r="N522" s="130"/>
      <c r="O522" s="130"/>
      <c r="P522" s="130"/>
      <c r="Q522" s="130"/>
      <c r="R522" s="130"/>
      <c r="S522" s="130"/>
      <c r="T522" s="130"/>
      <c r="U522" s="130"/>
      <c r="V522" s="130"/>
      <c r="W522" s="131"/>
      <c r="X522" s="131"/>
      <c r="Y522" s="131"/>
      <c r="Z522" s="131"/>
      <c r="AA522" s="131"/>
      <c r="AB522" s="131"/>
      <c r="AC522" s="131"/>
      <c r="AD522" s="131"/>
      <c r="AE522" s="131"/>
      <c r="AF522" s="131"/>
      <c r="AG522" s="131"/>
      <c r="AH522" s="131"/>
      <c r="AI522" s="131"/>
      <c r="AJ522" s="131"/>
    </row>
    <row r="523">
      <c r="A523" s="126"/>
      <c r="B523" s="126"/>
      <c r="C523" s="126"/>
      <c r="D523" s="126"/>
      <c r="E523" s="126"/>
      <c r="F523" s="126"/>
      <c r="G523" s="128"/>
      <c r="H523" s="130"/>
      <c r="I523" s="130"/>
      <c r="J523" s="130"/>
      <c r="K523" s="130"/>
      <c r="L523" s="129"/>
      <c r="M523" s="130"/>
      <c r="N523" s="130"/>
      <c r="O523" s="130"/>
      <c r="P523" s="130"/>
      <c r="Q523" s="130"/>
      <c r="R523" s="130"/>
      <c r="S523" s="130"/>
      <c r="T523" s="130"/>
      <c r="U523" s="130"/>
      <c r="V523" s="130"/>
      <c r="W523" s="131"/>
      <c r="X523" s="131"/>
      <c r="Y523" s="131"/>
      <c r="Z523" s="131"/>
      <c r="AA523" s="131"/>
      <c r="AB523" s="131"/>
      <c r="AC523" s="131"/>
      <c r="AD523" s="131"/>
      <c r="AE523" s="131"/>
      <c r="AF523" s="131"/>
      <c r="AG523" s="131"/>
      <c r="AH523" s="131"/>
      <c r="AI523" s="131"/>
      <c r="AJ523" s="131"/>
    </row>
    <row r="524">
      <c r="A524" s="126"/>
      <c r="B524" s="126"/>
      <c r="C524" s="126"/>
      <c r="D524" s="126"/>
      <c r="E524" s="126"/>
      <c r="F524" s="126"/>
      <c r="G524" s="128"/>
      <c r="H524" s="130"/>
      <c r="I524" s="130"/>
      <c r="J524" s="130"/>
      <c r="K524" s="130"/>
      <c r="L524" s="129"/>
      <c r="M524" s="130"/>
      <c r="N524" s="130"/>
      <c r="O524" s="130"/>
      <c r="P524" s="130"/>
      <c r="Q524" s="130"/>
      <c r="R524" s="130"/>
      <c r="S524" s="130"/>
      <c r="T524" s="130"/>
      <c r="U524" s="130"/>
      <c r="V524" s="130"/>
      <c r="W524" s="131"/>
      <c r="X524" s="131"/>
      <c r="Y524" s="131"/>
      <c r="Z524" s="131"/>
      <c r="AA524" s="131"/>
      <c r="AB524" s="131"/>
      <c r="AC524" s="131"/>
      <c r="AD524" s="131"/>
      <c r="AE524" s="131"/>
      <c r="AF524" s="131"/>
      <c r="AG524" s="131"/>
      <c r="AH524" s="131"/>
      <c r="AI524" s="131"/>
      <c r="AJ524" s="131"/>
    </row>
    <row r="525">
      <c r="A525" s="126"/>
      <c r="B525" s="126"/>
      <c r="C525" s="126"/>
      <c r="D525" s="126"/>
      <c r="E525" s="126"/>
      <c r="F525" s="126"/>
      <c r="G525" s="128"/>
      <c r="H525" s="130"/>
      <c r="I525" s="130"/>
      <c r="J525" s="130"/>
      <c r="K525" s="130"/>
      <c r="L525" s="129"/>
      <c r="M525" s="130"/>
      <c r="N525" s="130"/>
      <c r="O525" s="130"/>
      <c r="P525" s="130"/>
      <c r="Q525" s="130"/>
      <c r="R525" s="130"/>
      <c r="S525" s="130"/>
      <c r="T525" s="130"/>
      <c r="U525" s="130"/>
      <c r="V525" s="130"/>
      <c r="W525" s="131"/>
      <c r="X525" s="131"/>
      <c r="Y525" s="131"/>
      <c r="Z525" s="131"/>
      <c r="AA525" s="131"/>
      <c r="AB525" s="131"/>
      <c r="AC525" s="131"/>
      <c r="AD525" s="131"/>
      <c r="AE525" s="131"/>
      <c r="AF525" s="131"/>
      <c r="AG525" s="131"/>
      <c r="AH525" s="131"/>
      <c r="AI525" s="131"/>
      <c r="AJ525" s="131"/>
    </row>
    <row r="526">
      <c r="A526" s="126"/>
      <c r="B526" s="126"/>
      <c r="C526" s="126"/>
      <c r="D526" s="126"/>
      <c r="E526" s="126"/>
      <c r="F526" s="126"/>
      <c r="G526" s="128"/>
      <c r="H526" s="130"/>
      <c r="I526" s="130"/>
      <c r="J526" s="130"/>
      <c r="K526" s="130"/>
      <c r="L526" s="129"/>
      <c r="M526" s="130"/>
      <c r="N526" s="130"/>
      <c r="O526" s="130"/>
      <c r="P526" s="130"/>
      <c r="Q526" s="130"/>
      <c r="R526" s="130"/>
      <c r="S526" s="130"/>
      <c r="T526" s="130"/>
      <c r="U526" s="130"/>
      <c r="V526" s="130"/>
      <c r="W526" s="131"/>
      <c r="X526" s="131"/>
      <c r="Y526" s="131"/>
      <c r="Z526" s="131"/>
      <c r="AA526" s="131"/>
      <c r="AB526" s="131"/>
      <c r="AC526" s="131"/>
      <c r="AD526" s="131"/>
      <c r="AE526" s="131"/>
      <c r="AF526" s="131"/>
      <c r="AG526" s="131"/>
      <c r="AH526" s="131"/>
      <c r="AI526" s="131"/>
      <c r="AJ526" s="131"/>
    </row>
    <row r="527">
      <c r="A527" s="126"/>
      <c r="B527" s="126"/>
      <c r="C527" s="126"/>
      <c r="D527" s="126"/>
      <c r="E527" s="126"/>
      <c r="F527" s="126"/>
      <c r="G527" s="128"/>
      <c r="H527" s="130"/>
      <c r="I527" s="130"/>
      <c r="J527" s="130"/>
      <c r="K527" s="130"/>
      <c r="L527" s="129"/>
      <c r="M527" s="130"/>
      <c r="N527" s="130"/>
      <c r="O527" s="130"/>
      <c r="P527" s="130"/>
      <c r="Q527" s="130"/>
      <c r="R527" s="130"/>
      <c r="S527" s="130"/>
      <c r="T527" s="130"/>
      <c r="U527" s="130"/>
      <c r="V527" s="130"/>
      <c r="W527" s="131"/>
      <c r="X527" s="131"/>
      <c r="Y527" s="131"/>
      <c r="Z527" s="131"/>
      <c r="AA527" s="131"/>
      <c r="AB527" s="131"/>
      <c r="AC527" s="131"/>
      <c r="AD527" s="131"/>
      <c r="AE527" s="131"/>
      <c r="AF527" s="131"/>
      <c r="AG527" s="131"/>
      <c r="AH527" s="131"/>
      <c r="AI527" s="131"/>
      <c r="AJ527" s="131"/>
    </row>
    <row r="528">
      <c r="A528" s="126"/>
      <c r="B528" s="126"/>
      <c r="C528" s="126"/>
      <c r="D528" s="126"/>
      <c r="E528" s="126"/>
      <c r="F528" s="126"/>
      <c r="G528" s="128"/>
      <c r="H528" s="130"/>
      <c r="I528" s="130"/>
      <c r="J528" s="130"/>
      <c r="K528" s="130"/>
      <c r="L528" s="129"/>
      <c r="M528" s="130"/>
      <c r="N528" s="130"/>
      <c r="O528" s="130"/>
      <c r="P528" s="130"/>
      <c r="Q528" s="130"/>
      <c r="R528" s="130"/>
      <c r="S528" s="130"/>
      <c r="T528" s="130"/>
      <c r="U528" s="130"/>
      <c r="V528" s="130"/>
      <c r="W528" s="131"/>
      <c r="X528" s="131"/>
      <c r="Y528" s="131"/>
      <c r="Z528" s="131"/>
      <c r="AA528" s="131"/>
      <c r="AB528" s="131"/>
      <c r="AC528" s="131"/>
      <c r="AD528" s="131"/>
      <c r="AE528" s="131"/>
      <c r="AF528" s="131"/>
      <c r="AG528" s="131"/>
      <c r="AH528" s="131"/>
      <c r="AI528" s="131"/>
      <c r="AJ528" s="131"/>
    </row>
    <row r="529">
      <c r="A529" s="126"/>
      <c r="B529" s="126"/>
      <c r="C529" s="126"/>
      <c r="D529" s="126"/>
      <c r="E529" s="126"/>
      <c r="F529" s="126"/>
      <c r="G529" s="128"/>
      <c r="H529" s="130"/>
      <c r="I529" s="130"/>
      <c r="J529" s="130"/>
      <c r="K529" s="130"/>
      <c r="L529" s="129"/>
      <c r="M529" s="130"/>
      <c r="N529" s="130"/>
      <c r="O529" s="130"/>
      <c r="P529" s="130"/>
      <c r="Q529" s="130"/>
      <c r="R529" s="130"/>
      <c r="S529" s="130"/>
      <c r="T529" s="130"/>
      <c r="U529" s="130"/>
      <c r="V529" s="130"/>
      <c r="W529" s="131"/>
      <c r="X529" s="131"/>
      <c r="Y529" s="131"/>
      <c r="Z529" s="131"/>
      <c r="AA529" s="131"/>
      <c r="AB529" s="131"/>
      <c r="AC529" s="131"/>
      <c r="AD529" s="131"/>
      <c r="AE529" s="131"/>
      <c r="AF529" s="131"/>
      <c r="AG529" s="131"/>
      <c r="AH529" s="131"/>
      <c r="AI529" s="131"/>
      <c r="AJ529" s="131"/>
    </row>
    <row r="530">
      <c r="A530" s="126"/>
      <c r="B530" s="126"/>
      <c r="C530" s="126"/>
      <c r="D530" s="126"/>
      <c r="E530" s="126"/>
      <c r="F530" s="126"/>
      <c r="G530" s="128"/>
      <c r="H530" s="130"/>
      <c r="I530" s="130"/>
      <c r="J530" s="130"/>
      <c r="K530" s="130"/>
      <c r="L530" s="129"/>
      <c r="M530" s="130"/>
      <c r="N530" s="130"/>
      <c r="O530" s="130"/>
      <c r="P530" s="130"/>
      <c r="Q530" s="130"/>
      <c r="R530" s="130"/>
      <c r="S530" s="130"/>
      <c r="T530" s="130"/>
      <c r="U530" s="130"/>
      <c r="V530" s="130"/>
      <c r="W530" s="131"/>
      <c r="X530" s="131"/>
      <c r="Y530" s="131"/>
      <c r="Z530" s="131"/>
      <c r="AA530" s="131"/>
      <c r="AB530" s="131"/>
      <c r="AC530" s="131"/>
      <c r="AD530" s="131"/>
      <c r="AE530" s="131"/>
      <c r="AF530" s="131"/>
      <c r="AG530" s="131"/>
      <c r="AH530" s="131"/>
      <c r="AI530" s="131"/>
      <c r="AJ530" s="131"/>
    </row>
    <row r="531">
      <c r="A531" s="126"/>
      <c r="B531" s="126"/>
      <c r="C531" s="126"/>
      <c r="D531" s="126"/>
      <c r="E531" s="126"/>
      <c r="F531" s="126"/>
      <c r="G531" s="128"/>
      <c r="H531" s="130"/>
      <c r="I531" s="130"/>
      <c r="J531" s="130"/>
      <c r="K531" s="130"/>
      <c r="L531" s="129"/>
      <c r="M531" s="130"/>
      <c r="N531" s="130"/>
      <c r="O531" s="130"/>
      <c r="P531" s="130"/>
      <c r="Q531" s="130"/>
      <c r="R531" s="130"/>
      <c r="S531" s="130"/>
      <c r="T531" s="130"/>
      <c r="U531" s="130"/>
      <c r="V531" s="130"/>
      <c r="W531" s="131"/>
      <c r="X531" s="131"/>
      <c r="Y531" s="131"/>
      <c r="Z531" s="131"/>
      <c r="AA531" s="131"/>
      <c r="AB531" s="131"/>
      <c r="AC531" s="131"/>
      <c r="AD531" s="131"/>
      <c r="AE531" s="131"/>
      <c r="AF531" s="131"/>
      <c r="AG531" s="131"/>
      <c r="AH531" s="131"/>
      <c r="AI531" s="131"/>
      <c r="AJ531" s="131"/>
    </row>
    <row r="532">
      <c r="A532" s="126"/>
      <c r="B532" s="126"/>
      <c r="C532" s="126"/>
      <c r="D532" s="126"/>
      <c r="E532" s="126"/>
      <c r="F532" s="126"/>
      <c r="G532" s="128"/>
      <c r="H532" s="130"/>
      <c r="I532" s="130"/>
      <c r="J532" s="130"/>
      <c r="K532" s="130"/>
      <c r="L532" s="129"/>
      <c r="M532" s="130"/>
      <c r="N532" s="130"/>
      <c r="O532" s="130"/>
      <c r="P532" s="130"/>
      <c r="Q532" s="130"/>
      <c r="R532" s="130"/>
      <c r="S532" s="130"/>
      <c r="T532" s="130"/>
      <c r="U532" s="130"/>
      <c r="V532" s="130"/>
      <c r="W532" s="131"/>
      <c r="X532" s="131"/>
      <c r="Y532" s="131"/>
      <c r="Z532" s="131"/>
      <c r="AA532" s="131"/>
      <c r="AB532" s="131"/>
      <c r="AC532" s="131"/>
      <c r="AD532" s="131"/>
      <c r="AE532" s="131"/>
      <c r="AF532" s="131"/>
      <c r="AG532" s="131"/>
      <c r="AH532" s="131"/>
      <c r="AI532" s="131"/>
      <c r="AJ532" s="131"/>
    </row>
    <row r="533">
      <c r="A533" s="126"/>
      <c r="B533" s="126"/>
      <c r="C533" s="126"/>
      <c r="D533" s="126"/>
      <c r="E533" s="126"/>
      <c r="F533" s="126"/>
      <c r="G533" s="128"/>
      <c r="H533" s="130"/>
      <c r="I533" s="130"/>
      <c r="J533" s="130"/>
      <c r="K533" s="130"/>
      <c r="L533" s="129"/>
      <c r="M533" s="130"/>
      <c r="N533" s="130"/>
      <c r="O533" s="130"/>
      <c r="P533" s="130"/>
      <c r="Q533" s="130"/>
      <c r="R533" s="130"/>
      <c r="S533" s="130"/>
      <c r="T533" s="130"/>
      <c r="U533" s="130"/>
      <c r="V533" s="130"/>
      <c r="W533" s="131"/>
      <c r="X533" s="131"/>
      <c r="Y533" s="131"/>
      <c r="Z533" s="131"/>
      <c r="AA533" s="131"/>
      <c r="AB533" s="131"/>
      <c r="AC533" s="131"/>
      <c r="AD533" s="131"/>
      <c r="AE533" s="131"/>
      <c r="AF533" s="131"/>
      <c r="AG533" s="131"/>
      <c r="AH533" s="131"/>
      <c r="AI533" s="131"/>
      <c r="AJ533" s="131"/>
    </row>
    <row r="534">
      <c r="A534" s="126"/>
      <c r="B534" s="126"/>
      <c r="C534" s="126"/>
      <c r="D534" s="126"/>
      <c r="E534" s="126"/>
      <c r="F534" s="126"/>
      <c r="G534" s="128"/>
      <c r="H534" s="130"/>
      <c r="I534" s="130"/>
      <c r="J534" s="130"/>
      <c r="K534" s="130"/>
      <c r="L534" s="129"/>
      <c r="M534" s="130"/>
      <c r="N534" s="130"/>
      <c r="O534" s="130"/>
      <c r="P534" s="130"/>
      <c r="Q534" s="130"/>
      <c r="R534" s="130"/>
      <c r="S534" s="130"/>
      <c r="T534" s="130"/>
      <c r="U534" s="130"/>
      <c r="V534" s="130"/>
      <c r="W534" s="131"/>
      <c r="X534" s="131"/>
      <c r="Y534" s="131"/>
      <c r="Z534" s="131"/>
      <c r="AA534" s="131"/>
      <c r="AB534" s="131"/>
      <c r="AC534" s="131"/>
      <c r="AD534" s="131"/>
      <c r="AE534" s="131"/>
      <c r="AF534" s="131"/>
      <c r="AG534" s="131"/>
      <c r="AH534" s="131"/>
      <c r="AI534" s="131"/>
      <c r="AJ534" s="131"/>
    </row>
    <row r="535">
      <c r="A535" s="126"/>
      <c r="B535" s="126"/>
      <c r="C535" s="126"/>
      <c r="D535" s="126"/>
      <c r="E535" s="126"/>
      <c r="F535" s="126"/>
      <c r="G535" s="128"/>
      <c r="H535" s="130"/>
      <c r="I535" s="130"/>
      <c r="J535" s="130"/>
      <c r="K535" s="130"/>
      <c r="L535" s="129"/>
      <c r="M535" s="130"/>
      <c r="N535" s="130"/>
      <c r="O535" s="130"/>
      <c r="P535" s="130"/>
      <c r="Q535" s="130"/>
      <c r="R535" s="130"/>
      <c r="S535" s="130"/>
      <c r="T535" s="130"/>
      <c r="U535" s="130"/>
      <c r="V535" s="130"/>
      <c r="W535" s="131"/>
      <c r="X535" s="131"/>
      <c r="Y535" s="131"/>
      <c r="Z535" s="131"/>
      <c r="AA535" s="131"/>
      <c r="AB535" s="131"/>
      <c r="AC535" s="131"/>
      <c r="AD535" s="131"/>
      <c r="AE535" s="131"/>
      <c r="AF535" s="131"/>
      <c r="AG535" s="131"/>
      <c r="AH535" s="131"/>
      <c r="AI535" s="131"/>
      <c r="AJ535" s="131"/>
    </row>
    <row r="536">
      <c r="A536" s="126"/>
      <c r="B536" s="126"/>
      <c r="C536" s="126"/>
      <c r="D536" s="126"/>
      <c r="E536" s="126"/>
      <c r="F536" s="126"/>
      <c r="G536" s="128"/>
      <c r="H536" s="130"/>
      <c r="I536" s="130"/>
      <c r="J536" s="130"/>
      <c r="K536" s="130"/>
      <c r="L536" s="129"/>
      <c r="M536" s="130"/>
      <c r="N536" s="130"/>
      <c r="O536" s="130"/>
      <c r="P536" s="130"/>
      <c r="Q536" s="130"/>
      <c r="R536" s="130"/>
      <c r="S536" s="130"/>
      <c r="T536" s="130"/>
      <c r="U536" s="130"/>
      <c r="V536" s="130"/>
      <c r="W536" s="131"/>
      <c r="X536" s="131"/>
      <c r="Y536" s="131"/>
      <c r="Z536" s="131"/>
      <c r="AA536" s="131"/>
      <c r="AB536" s="131"/>
      <c r="AC536" s="131"/>
      <c r="AD536" s="131"/>
      <c r="AE536" s="131"/>
      <c r="AF536" s="131"/>
      <c r="AG536" s="131"/>
      <c r="AH536" s="131"/>
      <c r="AI536" s="131"/>
      <c r="AJ536" s="131"/>
    </row>
    <row r="537">
      <c r="A537" s="126"/>
      <c r="B537" s="126"/>
      <c r="C537" s="126"/>
      <c r="D537" s="126"/>
      <c r="E537" s="126"/>
      <c r="F537" s="126"/>
      <c r="G537" s="128"/>
      <c r="H537" s="130"/>
      <c r="I537" s="130"/>
      <c r="J537" s="130"/>
      <c r="K537" s="130"/>
      <c r="L537" s="129"/>
      <c r="M537" s="130"/>
      <c r="N537" s="130"/>
      <c r="O537" s="130"/>
      <c r="P537" s="130"/>
      <c r="Q537" s="130"/>
      <c r="R537" s="130"/>
      <c r="S537" s="130"/>
      <c r="T537" s="130"/>
      <c r="U537" s="130"/>
      <c r="V537" s="130"/>
      <c r="W537" s="131"/>
      <c r="X537" s="131"/>
      <c r="Y537" s="131"/>
      <c r="Z537" s="131"/>
      <c r="AA537" s="131"/>
      <c r="AB537" s="131"/>
      <c r="AC537" s="131"/>
      <c r="AD537" s="131"/>
      <c r="AE537" s="131"/>
      <c r="AF537" s="131"/>
      <c r="AG537" s="131"/>
      <c r="AH537" s="131"/>
      <c r="AI537" s="131"/>
      <c r="AJ537" s="131"/>
    </row>
    <row r="538">
      <c r="A538" s="126"/>
      <c r="B538" s="126"/>
      <c r="C538" s="126"/>
      <c r="D538" s="126"/>
      <c r="E538" s="126"/>
      <c r="F538" s="126"/>
      <c r="G538" s="128"/>
      <c r="H538" s="130"/>
      <c r="I538" s="130"/>
      <c r="J538" s="130"/>
      <c r="K538" s="130"/>
      <c r="L538" s="129"/>
      <c r="M538" s="130"/>
      <c r="N538" s="130"/>
      <c r="O538" s="130"/>
      <c r="P538" s="130"/>
      <c r="Q538" s="130"/>
      <c r="R538" s="130"/>
      <c r="S538" s="130"/>
      <c r="T538" s="130"/>
      <c r="U538" s="130"/>
      <c r="V538" s="130"/>
      <c r="W538" s="131"/>
      <c r="X538" s="131"/>
      <c r="Y538" s="131"/>
      <c r="Z538" s="131"/>
      <c r="AA538" s="131"/>
      <c r="AB538" s="131"/>
      <c r="AC538" s="131"/>
      <c r="AD538" s="131"/>
      <c r="AE538" s="131"/>
      <c r="AF538" s="131"/>
      <c r="AG538" s="131"/>
      <c r="AH538" s="131"/>
      <c r="AI538" s="131"/>
      <c r="AJ538" s="131"/>
    </row>
    <row r="539">
      <c r="A539" s="126"/>
      <c r="B539" s="126"/>
      <c r="C539" s="126"/>
      <c r="D539" s="126"/>
      <c r="E539" s="126"/>
      <c r="F539" s="126"/>
      <c r="G539" s="128"/>
      <c r="H539" s="130"/>
      <c r="I539" s="130"/>
      <c r="J539" s="130"/>
      <c r="K539" s="130"/>
      <c r="L539" s="129"/>
      <c r="M539" s="130"/>
      <c r="N539" s="130"/>
      <c r="O539" s="130"/>
      <c r="P539" s="130"/>
      <c r="Q539" s="130"/>
      <c r="R539" s="130"/>
      <c r="S539" s="130"/>
      <c r="T539" s="130"/>
      <c r="U539" s="130"/>
      <c r="V539" s="130"/>
      <c r="W539" s="131"/>
      <c r="X539" s="131"/>
      <c r="Y539" s="131"/>
      <c r="Z539" s="131"/>
      <c r="AA539" s="131"/>
      <c r="AB539" s="131"/>
      <c r="AC539" s="131"/>
      <c r="AD539" s="131"/>
      <c r="AE539" s="131"/>
      <c r="AF539" s="131"/>
      <c r="AG539" s="131"/>
      <c r="AH539" s="131"/>
      <c r="AI539" s="131"/>
      <c r="AJ539" s="131"/>
    </row>
    <row r="540">
      <c r="A540" s="126"/>
      <c r="B540" s="126"/>
      <c r="C540" s="126"/>
      <c r="D540" s="126"/>
      <c r="E540" s="126"/>
      <c r="F540" s="126"/>
      <c r="G540" s="128"/>
      <c r="H540" s="130"/>
      <c r="I540" s="130"/>
      <c r="J540" s="130"/>
      <c r="K540" s="130"/>
      <c r="L540" s="129"/>
      <c r="M540" s="130"/>
      <c r="N540" s="130"/>
      <c r="O540" s="130"/>
      <c r="P540" s="130"/>
      <c r="Q540" s="130"/>
      <c r="R540" s="130"/>
      <c r="S540" s="130"/>
      <c r="T540" s="130"/>
      <c r="U540" s="130"/>
      <c r="V540" s="130"/>
      <c r="W540" s="131"/>
      <c r="X540" s="131"/>
      <c r="Y540" s="131"/>
      <c r="Z540" s="131"/>
      <c r="AA540" s="131"/>
      <c r="AB540" s="131"/>
      <c r="AC540" s="131"/>
      <c r="AD540" s="131"/>
      <c r="AE540" s="131"/>
      <c r="AF540" s="131"/>
      <c r="AG540" s="131"/>
      <c r="AH540" s="131"/>
      <c r="AI540" s="131"/>
      <c r="AJ540" s="131"/>
    </row>
    <row r="541">
      <c r="A541" s="126"/>
      <c r="B541" s="126"/>
      <c r="C541" s="126"/>
      <c r="D541" s="126"/>
      <c r="E541" s="126"/>
      <c r="F541" s="126"/>
      <c r="G541" s="128"/>
      <c r="H541" s="130"/>
      <c r="I541" s="130"/>
      <c r="J541" s="130"/>
      <c r="K541" s="130"/>
      <c r="L541" s="129"/>
      <c r="M541" s="130"/>
      <c r="N541" s="130"/>
      <c r="O541" s="130"/>
      <c r="P541" s="130"/>
      <c r="Q541" s="130"/>
      <c r="R541" s="130"/>
      <c r="S541" s="130"/>
      <c r="T541" s="130"/>
      <c r="U541" s="130"/>
      <c r="V541" s="130"/>
      <c r="W541" s="131"/>
      <c r="X541" s="131"/>
      <c r="Y541" s="131"/>
      <c r="Z541" s="131"/>
      <c r="AA541" s="131"/>
      <c r="AB541" s="131"/>
      <c r="AC541" s="131"/>
      <c r="AD541" s="131"/>
      <c r="AE541" s="131"/>
      <c r="AF541" s="131"/>
      <c r="AG541" s="131"/>
      <c r="AH541" s="131"/>
      <c r="AI541" s="131"/>
      <c r="AJ541" s="131"/>
    </row>
    <row r="542">
      <c r="A542" s="126"/>
      <c r="B542" s="126"/>
      <c r="C542" s="126"/>
      <c r="D542" s="126"/>
      <c r="E542" s="126"/>
      <c r="F542" s="126"/>
      <c r="G542" s="128"/>
      <c r="H542" s="130"/>
      <c r="I542" s="130"/>
      <c r="J542" s="130"/>
      <c r="K542" s="130"/>
      <c r="L542" s="129"/>
      <c r="M542" s="130"/>
      <c r="N542" s="130"/>
      <c r="O542" s="130"/>
      <c r="P542" s="130"/>
      <c r="Q542" s="130"/>
      <c r="R542" s="130"/>
      <c r="S542" s="130"/>
      <c r="T542" s="130"/>
      <c r="U542" s="130"/>
      <c r="V542" s="130"/>
      <c r="W542" s="131"/>
      <c r="X542" s="131"/>
      <c r="Y542" s="131"/>
      <c r="Z542" s="131"/>
      <c r="AA542" s="131"/>
      <c r="AB542" s="131"/>
      <c r="AC542" s="131"/>
      <c r="AD542" s="131"/>
      <c r="AE542" s="131"/>
      <c r="AF542" s="131"/>
      <c r="AG542" s="131"/>
      <c r="AH542" s="131"/>
      <c r="AI542" s="131"/>
      <c r="AJ542" s="131"/>
    </row>
    <row r="543">
      <c r="A543" s="126"/>
      <c r="B543" s="126"/>
      <c r="C543" s="126"/>
      <c r="D543" s="126"/>
      <c r="E543" s="126"/>
      <c r="F543" s="126"/>
      <c r="G543" s="128"/>
      <c r="H543" s="130"/>
      <c r="I543" s="130"/>
      <c r="J543" s="130"/>
      <c r="K543" s="130"/>
      <c r="L543" s="129"/>
      <c r="M543" s="130"/>
      <c r="N543" s="130"/>
      <c r="O543" s="130"/>
      <c r="P543" s="130"/>
      <c r="Q543" s="130"/>
      <c r="R543" s="130"/>
      <c r="S543" s="130"/>
      <c r="T543" s="130"/>
      <c r="U543" s="130"/>
      <c r="V543" s="130"/>
      <c r="W543" s="131"/>
      <c r="X543" s="131"/>
      <c r="Y543" s="131"/>
      <c r="Z543" s="131"/>
      <c r="AA543" s="131"/>
      <c r="AB543" s="131"/>
      <c r="AC543" s="131"/>
      <c r="AD543" s="131"/>
      <c r="AE543" s="131"/>
      <c r="AF543" s="131"/>
      <c r="AG543" s="131"/>
      <c r="AH543" s="131"/>
      <c r="AI543" s="131"/>
      <c r="AJ543" s="131"/>
    </row>
    <row r="544">
      <c r="A544" s="126"/>
      <c r="B544" s="126"/>
      <c r="C544" s="126"/>
      <c r="D544" s="126"/>
      <c r="E544" s="126"/>
      <c r="F544" s="126"/>
      <c r="G544" s="128"/>
      <c r="H544" s="130"/>
      <c r="I544" s="130"/>
      <c r="J544" s="130"/>
      <c r="K544" s="130"/>
      <c r="L544" s="129"/>
      <c r="M544" s="130"/>
      <c r="N544" s="130"/>
      <c r="O544" s="130"/>
      <c r="P544" s="130"/>
      <c r="Q544" s="130"/>
      <c r="R544" s="130"/>
      <c r="S544" s="130"/>
      <c r="T544" s="130"/>
      <c r="U544" s="130"/>
      <c r="V544" s="130"/>
      <c r="W544" s="131"/>
      <c r="X544" s="131"/>
      <c r="Y544" s="131"/>
      <c r="Z544" s="131"/>
      <c r="AA544" s="131"/>
      <c r="AB544" s="131"/>
      <c r="AC544" s="131"/>
      <c r="AD544" s="131"/>
      <c r="AE544" s="131"/>
      <c r="AF544" s="131"/>
      <c r="AG544" s="131"/>
      <c r="AH544" s="131"/>
      <c r="AI544" s="131"/>
      <c r="AJ544" s="131"/>
    </row>
    <row r="545">
      <c r="A545" s="126"/>
      <c r="B545" s="126"/>
      <c r="C545" s="126"/>
      <c r="D545" s="126"/>
      <c r="E545" s="126"/>
      <c r="F545" s="126"/>
      <c r="G545" s="128"/>
      <c r="H545" s="130"/>
      <c r="I545" s="130"/>
      <c r="J545" s="130"/>
      <c r="K545" s="130"/>
      <c r="L545" s="129"/>
      <c r="M545" s="130"/>
      <c r="N545" s="130"/>
      <c r="O545" s="130"/>
      <c r="P545" s="130"/>
      <c r="Q545" s="130"/>
      <c r="R545" s="130"/>
      <c r="S545" s="130"/>
      <c r="T545" s="130"/>
      <c r="U545" s="130"/>
      <c r="V545" s="130"/>
      <c r="W545" s="131"/>
      <c r="X545" s="131"/>
      <c r="Y545" s="131"/>
      <c r="Z545" s="131"/>
      <c r="AA545" s="131"/>
      <c r="AB545" s="131"/>
      <c r="AC545" s="131"/>
      <c r="AD545" s="131"/>
      <c r="AE545" s="131"/>
      <c r="AF545" s="131"/>
      <c r="AG545" s="131"/>
      <c r="AH545" s="131"/>
      <c r="AI545" s="131"/>
      <c r="AJ545" s="131"/>
    </row>
    <row r="546">
      <c r="A546" s="126"/>
      <c r="B546" s="126"/>
      <c r="C546" s="126"/>
      <c r="D546" s="126"/>
      <c r="E546" s="126"/>
      <c r="F546" s="126"/>
      <c r="G546" s="128"/>
      <c r="H546" s="130"/>
      <c r="I546" s="130"/>
      <c r="J546" s="130"/>
      <c r="K546" s="130"/>
      <c r="L546" s="129"/>
      <c r="M546" s="130"/>
      <c r="N546" s="130"/>
      <c r="O546" s="130"/>
      <c r="P546" s="130"/>
      <c r="Q546" s="130"/>
      <c r="R546" s="130"/>
      <c r="S546" s="130"/>
      <c r="T546" s="130"/>
      <c r="U546" s="130"/>
      <c r="V546" s="130"/>
      <c r="W546" s="131"/>
      <c r="X546" s="131"/>
      <c r="Y546" s="131"/>
      <c r="Z546" s="131"/>
      <c r="AA546" s="131"/>
      <c r="AB546" s="131"/>
      <c r="AC546" s="131"/>
      <c r="AD546" s="131"/>
      <c r="AE546" s="131"/>
      <c r="AF546" s="131"/>
      <c r="AG546" s="131"/>
      <c r="AH546" s="131"/>
      <c r="AI546" s="131"/>
      <c r="AJ546" s="131"/>
    </row>
    <row r="547">
      <c r="A547" s="126"/>
      <c r="B547" s="126"/>
      <c r="C547" s="126"/>
      <c r="D547" s="126"/>
      <c r="E547" s="126"/>
      <c r="F547" s="126"/>
      <c r="G547" s="128"/>
      <c r="H547" s="130"/>
      <c r="I547" s="130"/>
      <c r="J547" s="130"/>
      <c r="K547" s="130"/>
      <c r="L547" s="129"/>
      <c r="M547" s="130"/>
      <c r="N547" s="130"/>
      <c r="O547" s="130"/>
      <c r="P547" s="130"/>
      <c r="Q547" s="130"/>
      <c r="R547" s="130"/>
      <c r="S547" s="130"/>
      <c r="T547" s="130"/>
      <c r="U547" s="130"/>
      <c r="V547" s="130"/>
      <c r="W547" s="131"/>
      <c r="X547" s="131"/>
      <c r="Y547" s="131"/>
      <c r="Z547" s="131"/>
      <c r="AA547" s="131"/>
      <c r="AB547" s="131"/>
      <c r="AC547" s="131"/>
      <c r="AD547" s="131"/>
      <c r="AE547" s="131"/>
      <c r="AF547" s="131"/>
      <c r="AG547" s="131"/>
      <c r="AH547" s="131"/>
      <c r="AI547" s="131"/>
      <c r="AJ547" s="131"/>
    </row>
    <row r="548">
      <c r="A548" s="126"/>
      <c r="B548" s="126"/>
      <c r="C548" s="126"/>
      <c r="D548" s="126"/>
      <c r="E548" s="126"/>
      <c r="F548" s="126"/>
      <c r="G548" s="128"/>
      <c r="H548" s="130"/>
      <c r="I548" s="130"/>
      <c r="J548" s="130"/>
      <c r="K548" s="130"/>
      <c r="L548" s="129"/>
      <c r="M548" s="130"/>
      <c r="N548" s="130"/>
      <c r="O548" s="130"/>
      <c r="P548" s="130"/>
      <c r="Q548" s="130"/>
      <c r="R548" s="130"/>
      <c r="S548" s="130"/>
      <c r="T548" s="130"/>
      <c r="U548" s="130"/>
      <c r="V548" s="130"/>
      <c r="W548" s="131"/>
      <c r="X548" s="131"/>
      <c r="Y548" s="131"/>
      <c r="Z548" s="131"/>
      <c r="AA548" s="131"/>
      <c r="AB548" s="131"/>
      <c r="AC548" s="131"/>
      <c r="AD548" s="131"/>
      <c r="AE548" s="131"/>
      <c r="AF548" s="131"/>
      <c r="AG548" s="131"/>
      <c r="AH548" s="131"/>
      <c r="AI548" s="131"/>
      <c r="AJ548" s="131"/>
    </row>
    <row r="549">
      <c r="A549" s="126"/>
      <c r="B549" s="126"/>
      <c r="C549" s="126"/>
      <c r="D549" s="126"/>
      <c r="E549" s="126"/>
      <c r="F549" s="126"/>
      <c r="G549" s="128"/>
      <c r="H549" s="130"/>
      <c r="I549" s="130"/>
      <c r="J549" s="130"/>
      <c r="K549" s="130"/>
      <c r="L549" s="129"/>
      <c r="M549" s="130"/>
      <c r="N549" s="130"/>
      <c r="O549" s="130"/>
      <c r="P549" s="130"/>
      <c r="Q549" s="130"/>
      <c r="R549" s="130"/>
      <c r="S549" s="130"/>
      <c r="T549" s="130"/>
      <c r="U549" s="130"/>
      <c r="V549" s="130"/>
      <c r="W549" s="131"/>
      <c r="X549" s="131"/>
      <c r="Y549" s="131"/>
      <c r="Z549" s="131"/>
      <c r="AA549" s="131"/>
      <c r="AB549" s="131"/>
      <c r="AC549" s="131"/>
      <c r="AD549" s="131"/>
      <c r="AE549" s="131"/>
      <c r="AF549" s="131"/>
      <c r="AG549" s="131"/>
      <c r="AH549" s="131"/>
      <c r="AI549" s="131"/>
      <c r="AJ549" s="131"/>
    </row>
    <row r="550">
      <c r="A550" s="126"/>
      <c r="B550" s="126"/>
      <c r="C550" s="126"/>
      <c r="D550" s="126"/>
      <c r="E550" s="126"/>
      <c r="F550" s="126"/>
      <c r="G550" s="128"/>
      <c r="H550" s="130"/>
      <c r="I550" s="130"/>
      <c r="J550" s="130"/>
      <c r="K550" s="130"/>
      <c r="L550" s="129"/>
      <c r="M550" s="130"/>
      <c r="N550" s="130"/>
      <c r="O550" s="130"/>
      <c r="P550" s="130"/>
      <c r="Q550" s="130"/>
      <c r="R550" s="130"/>
      <c r="S550" s="130"/>
      <c r="T550" s="130"/>
      <c r="U550" s="130"/>
      <c r="V550" s="130"/>
      <c r="W550" s="131"/>
      <c r="X550" s="131"/>
      <c r="Y550" s="131"/>
      <c r="Z550" s="131"/>
      <c r="AA550" s="131"/>
      <c r="AB550" s="131"/>
      <c r="AC550" s="131"/>
      <c r="AD550" s="131"/>
      <c r="AE550" s="131"/>
      <c r="AF550" s="131"/>
      <c r="AG550" s="131"/>
      <c r="AH550" s="131"/>
      <c r="AI550" s="131"/>
      <c r="AJ550" s="131"/>
    </row>
    <row r="551">
      <c r="A551" s="126"/>
      <c r="B551" s="126"/>
      <c r="C551" s="126"/>
      <c r="D551" s="126"/>
      <c r="E551" s="126"/>
      <c r="F551" s="126"/>
      <c r="G551" s="128"/>
      <c r="H551" s="130"/>
      <c r="I551" s="130"/>
      <c r="J551" s="130"/>
      <c r="K551" s="130"/>
      <c r="L551" s="129"/>
      <c r="M551" s="130"/>
      <c r="N551" s="130"/>
      <c r="O551" s="130"/>
      <c r="P551" s="130"/>
      <c r="Q551" s="130"/>
      <c r="R551" s="130"/>
      <c r="S551" s="130"/>
      <c r="T551" s="130"/>
      <c r="U551" s="130"/>
      <c r="V551" s="130"/>
      <c r="W551" s="131"/>
      <c r="X551" s="131"/>
      <c r="Y551" s="131"/>
      <c r="Z551" s="131"/>
      <c r="AA551" s="131"/>
      <c r="AB551" s="131"/>
      <c r="AC551" s="131"/>
      <c r="AD551" s="131"/>
      <c r="AE551" s="131"/>
      <c r="AF551" s="131"/>
      <c r="AG551" s="131"/>
      <c r="AH551" s="131"/>
      <c r="AI551" s="131"/>
      <c r="AJ551" s="131"/>
    </row>
    <row r="552">
      <c r="A552" s="126"/>
      <c r="B552" s="126"/>
      <c r="C552" s="126"/>
      <c r="D552" s="126"/>
      <c r="E552" s="126"/>
      <c r="F552" s="126"/>
      <c r="G552" s="128"/>
      <c r="H552" s="130"/>
      <c r="I552" s="130"/>
      <c r="J552" s="130"/>
      <c r="K552" s="130"/>
      <c r="L552" s="129"/>
      <c r="M552" s="130"/>
      <c r="N552" s="130"/>
      <c r="O552" s="130"/>
      <c r="P552" s="130"/>
      <c r="Q552" s="130"/>
      <c r="R552" s="130"/>
      <c r="S552" s="130"/>
      <c r="T552" s="130"/>
      <c r="U552" s="130"/>
      <c r="V552" s="130"/>
      <c r="W552" s="131"/>
      <c r="X552" s="131"/>
      <c r="Y552" s="131"/>
      <c r="Z552" s="131"/>
      <c r="AA552" s="131"/>
      <c r="AB552" s="131"/>
      <c r="AC552" s="131"/>
      <c r="AD552" s="131"/>
      <c r="AE552" s="131"/>
      <c r="AF552" s="131"/>
      <c r="AG552" s="131"/>
      <c r="AH552" s="131"/>
      <c r="AI552" s="131"/>
      <c r="AJ552" s="131"/>
    </row>
    <row r="553">
      <c r="A553" s="126"/>
      <c r="B553" s="126"/>
      <c r="C553" s="126"/>
      <c r="D553" s="126"/>
      <c r="E553" s="126"/>
      <c r="F553" s="126"/>
      <c r="G553" s="128"/>
      <c r="H553" s="130"/>
      <c r="I553" s="130"/>
      <c r="J553" s="130"/>
      <c r="K553" s="130"/>
      <c r="L553" s="129"/>
      <c r="M553" s="130"/>
      <c r="N553" s="130"/>
      <c r="O553" s="130"/>
      <c r="P553" s="130"/>
      <c r="Q553" s="130"/>
      <c r="R553" s="130"/>
      <c r="S553" s="130"/>
      <c r="T553" s="130"/>
      <c r="U553" s="130"/>
      <c r="V553" s="130"/>
      <c r="W553" s="131"/>
      <c r="X553" s="131"/>
      <c r="Y553" s="131"/>
      <c r="Z553" s="131"/>
      <c r="AA553" s="131"/>
      <c r="AB553" s="131"/>
      <c r="AC553" s="131"/>
      <c r="AD553" s="131"/>
      <c r="AE553" s="131"/>
      <c r="AF553" s="131"/>
      <c r="AG553" s="131"/>
      <c r="AH553" s="131"/>
      <c r="AI553" s="131"/>
      <c r="AJ553" s="131"/>
    </row>
    <row r="554">
      <c r="A554" s="126"/>
      <c r="B554" s="126"/>
      <c r="C554" s="126"/>
      <c r="D554" s="126"/>
      <c r="E554" s="126"/>
      <c r="F554" s="126"/>
      <c r="G554" s="128"/>
      <c r="H554" s="130"/>
      <c r="I554" s="130"/>
      <c r="J554" s="130"/>
      <c r="K554" s="130"/>
      <c r="L554" s="129"/>
      <c r="M554" s="130"/>
      <c r="N554" s="130"/>
      <c r="O554" s="130"/>
      <c r="P554" s="130"/>
      <c r="Q554" s="130"/>
      <c r="R554" s="130"/>
      <c r="S554" s="130"/>
      <c r="T554" s="130"/>
      <c r="U554" s="130"/>
      <c r="V554" s="130"/>
      <c r="W554" s="131"/>
      <c r="X554" s="131"/>
      <c r="Y554" s="131"/>
      <c r="Z554" s="131"/>
      <c r="AA554" s="131"/>
      <c r="AB554" s="131"/>
      <c r="AC554" s="131"/>
      <c r="AD554" s="131"/>
      <c r="AE554" s="131"/>
      <c r="AF554" s="131"/>
      <c r="AG554" s="131"/>
      <c r="AH554" s="131"/>
      <c r="AI554" s="131"/>
      <c r="AJ554" s="131"/>
    </row>
    <row r="555">
      <c r="A555" s="126"/>
      <c r="B555" s="126"/>
      <c r="C555" s="126"/>
      <c r="D555" s="126"/>
      <c r="E555" s="126"/>
      <c r="F555" s="126"/>
      <c r="G555" s="128"/>
      <c r="H555" s="130"/>
      <c r="I555" s="130"/>
      <c r="J555" s="130"/>
      <c r="K555" s="130"/>
      <c r="L555" s="129"/>
      <c r="M555" s="130"/>
      <c r="N555" s="130"/>
      <c r="O555" s="130"/>
      <c r="P555" s="130"/>
      <c r="Q555" s="130"/>
      <c r="R555" s="130"/>
      <c r="S555" s="130"/>
      <c r="T555" s="130"/>
      <c r="U555" s="130"/>
      <c r="V555" s="130"/>
      <c r="W555" s="131"/>
      <c r="X555" s="131"/>
      <c r="Y555" s="131"/>
      <c r="Z555" s="131"/>
      <c r="AA555" s="131"/>
      <c r="AB555" s="131"/>
      <c r="AC555" s="131"/>
      <c r="AD555" s="131"/>
      <c r="AE555" s="131"/>
      <c r="AF555" s="131"/>
      <c r="AG555" s="131"/>
      <c r="AH555" s="131"/>
      <c r="AI555" s="131"/>
      <c r="AJ555" s="131"/>
    </row>
    <row r="556">
      <c r="A556" s="126"/>
      <c r="B556" s="126"/>
      <c r="C556" s="126"/>
      <c r="D556" s="126"/>
      <c r="E556" s="126"/>
      <c r="F556" s="126"/>
      <c r="G556" s="128"/>
      <c r="H556" s="130"/>
      <c r="I556" s="130"/>
      <c r="J556" s="130"/>
      <c r="K556" s="130"/>
      <c r="L556" s="129"/>
      <c r="M556" s="130"/>
      <c r="N556" s="130"/>
      <c r="O556" s="130"/>
      <c r="P556" s="130"/>
      <c r="Q556" s="130"/>
      <c r="R556" s="130"/>
      <c r="S556" s="130"/>
      <c r="T556" s="130"/>
      <c r="U556" s="130"/>
      <c r="V556" s="130"/>
      <c r="W556" s="131"/>
      <c r="X556" s="131"/>
      <c r="Y556" s="131"/>
      <c r="Z556" s="131"/>
      <c r="AA556" s="131"/>
      <c r="AB556" s="131"/>
      <c r="AC556" s="131"/>
      <c r="AD556" s="131"/>
      <c r="AE556" s="131"/>
      <c r="AF556" s="131"/>
      <c r="AG556" s="131"/>
      <c r="AH556" s="131"/>
      <c r="AI556" s="131"/>
      <c r="AJ556" s="131"/>
    </row>
    <row r="557">
      <c r="A557" s="126"/>
      <c r="B557" s="126"/>
      <c r="C557" s="126"/>
      <c r="D557" s="126"/>
      <c r="E557" s="126"/>
      <c r="F557" s="126"/>
      <c r="G557" s="128"/>
      <c r="H557" s="130"/>
      <c r="I557" s="130"/>
      <c r="J557" s="130"/>
      <c r="K557" s="130"/>
      <c r="L557" s="129"/>
      <c r="M557" s="130"/>
      <c r="N557" s="130"/>
      <c r="O557" s="130"/>
      <c r="P557" s="130"/>
      <c r="Q557" s="130"/>
      <c r="R557" s="130"/>
      <c r="S557" s="130"/>
      <c r="T557" s="130"/>
      <c r="U557" s="130"/>
      <c r="V557" s="130"/>
      <c r="W557" s="131"/>
      <c r="X557" s="131"/>
      <c r="Y557" s="131"/>
      <c r="Z557" s="131"/>
      <c r="AA557" s="131"/>
      <c r="AB557" s="131"/>
      <c r="AC557" s="131"/>
      <c r="AD557" s="131"/>
      <c r="AE557" s="131"/>
      <c r="AF557" s="131"/>
      <c r="AG557" s="131"/>
      <c r="AH557" s="131"/>
      <c r="AI557" s="131"/>
      <c r="AJ557" s="131"/>
    </row>
    <row r="558">
      <c r="A558" s="126"/>
      <c r="B558" s="126"/>
      <c r="C558" s="126"/>
      <c r="D558" s="126"/>
      <c r="E558" s="126"/>
      <c r="F558" s="126"/>
      <c r="G558" s="128"/>
      <c r="H558" s="130"/>
      <c r="I558" s="130"/>
      <c r="J558" s="130"/>
      <c r="K558" s="130"/>
      <c r="L558" s="129"/>
      <c r="M558" s="130"/>
      <c r="N558" s="130"/>
      <c r="O558" s="130"/>
      <c r="P558" s="130"/>
      <c r="Q558" s="130"/>
      <c r="R558" s="130"/>
      <c r="S558" s="130"/>
      <c r="T558" s="130"/>
      <c r="U558" s="130"/>
      <c r="V558" s="130"/>
      <c r="W558" s="131"/>
      <c r="X558" s="131"/>
      <c r="Y558" s="131"/>
      <c r="Z558" s="131"/>
      <c r="AA558" s="131"/>
      <c r="AB558" s="131"/>
      <c r="AC558" s="131"/>
      <c r="AD558" s="131"/>
      <c r="AE558" s="131"/>
      <c r="AF558" s="131"/>
      <c r="AG558" s="131"/>
      <c r="AH558" s="131"/>
      <c r="AI558" s="131"/>
      <c r="AJ558" s="131"/>
    </row>
    <row r="559">
      <c r="A559" s="126"/>
      <c r="B559" s="126"/>
      <c r="C559" s="126"/>
      <c r="D559" s="126"/>
      <c r="E559" s="126"/>
      <c r="F559" s="126"/>
      <c r="G559" s="128"/>
      <c r="H559" s="130"/>
      <c r="I559" s="130"/>
      <c r="J559" s="130"/>
      <c r="K559" s="130"/>
      <c r="L559" s="129"/>
      <c r="M559" s="130"/>
      <c r="N559" s="130"/>
      <c r="O559" s="130"/>
      <c r="P559" s="130"/>
      <c r="Q559" s="130"/>
      <c r="R559" s="130"/>
      <c r="S559" s="130"/>
      <c r="T559" s="130"/>
      <c r="U559" s="130"/>
      <c r="V559" s="130"/>
      <c r="W559" s="131"/>
      <c r="X559" s="131"/>
      <c r="Y559" s="131"/>
      <c r="Z559" s="131"/>
      <c r="AA559" s="131"/>
      <c r="AB559" s="131"/>
      <c r="AC559" s="131"/>
      <c r="AD559" s="131"/>
      <c r="AE559" s="131"/>
      <c r="AF559" s="131"/>
      <c r="AG559" s="131"/>
      <c r="AH559" s="131"/>
      <c r="AI559" s="131"/>
      <c r="AJ559" s="131"/>
    </row>
    <row r="560">
      <c r="A560" s="126"/>
      <c r="B560" s="126"/>
      <c r="C560" s="126"/>
      <c r="D560" s="126"/>
      <c r="E560" s="126"/>
      <c r="F560" s="126"/>
      <c r="G560" s="128"/>
      <c r="H560" s="130"/>
      <c r="I560" s="130"/>
      <c r="J560" s="130"/>
      <c r="K560" s="130"/>
      <c r="L560" s="129"/>
      <c r="M560" s="130"/>
      <c r="N560" s="130"/>
      <c r="O560" s="130"/>
      <c r="P560" s="130"/>
      <c r="Q560" s="130"/>
      <c r="R560" s="130"/>
      <c r="S560" s="130"/>
      <c r="T560" s="130"/>
      <c r="U560" s="130"/>
      <c r="V560" s="130"/>
      <c r="W560" s="131"/>
      <c r="X560" s="131"/>
      <c r="Y560" s="131"/>
      <c r="Z560" s="131"/>
      <c r="AA560" s="131"/>
      <c r="AB560" s="131"/>
      <c r="AC560" s="131"/>
      <c r="AD560" s="131"/>
      <c r="AE560" s="131"/>
      <c r="AF560" s="131"/>
      <c r="AG560" s="131"/>
      <c r="AH560" s="131"/>
      <c r="AI560" s="131"/>
      <c r="AJ560" s="131"/>
    </row>
    <row r="561">
      <c r="A561" s="126"/>
      <c r="B561" s="126"/>
      <c r="C561" s="126"/>
      <c r="D561" s="126"/>
      <c r="E561" s="126"/>
      <c r="F561" s="126"/>
      <c r="G561" s="128"/>
      <c r="H561" s="130"/>
      <c r="I561" s="130"/>
      <c r="J561" s="130"/>
      <c r="K561" s="130"/>
      <c r="L561" s="129"/>
      <c r="M561" s="130"/>
      <c r="N561" s="130"/>
      <c r="O561" s="130"/>
      <c r="P561" s="130"/>
      <c r="Q561" s="130"/>
      <c r="R561" s="130"/>
      <c r="S561" s="130"/>
      <c r="T561" s="130"/>
      <c r="U561" s="130"/>
      <c r="V561" s="130"/>
      <c r="W561" s="131"/>
      <c r="X561" s="131"/>
      <c r="Y561" s="131"/>
      <c r="Z561" s="131"/>
      <c r="AA561" s="131"/>
      <c r="AB561" s="131"/>
      <c r="AC561" s="131"/>
      <c r="AD561" s="131"/>
      <c r="AE561" s="131"/>
      <c r="AF561" s="131"/>
      <c r="AG561" s="131"/>
      <c r="AH561" s="131"/>
      <c r="AI561" s="131"/>
      <c r="AJ561" s="131"/>
    </row>
    <row r="562">
      <c r="A562" s="126"/>
      <c r="B562" s="126"/>
      <c r="C562" s="126"/>
      <c r="D562" s="126"/>
      <c r="E562" s="126"/>
      <c r="F562" s="126"/>
      <c r="G562" s="128"/>
      <c r="H562" s="130"/>
      <c r="I562" s="130"/>
      <c r="J562" s="130"/>
      <c r="K562" s="130"/>
      <c r="L562" s="129"/>
      <c r="M562" s="130"/>
      <c r="N562" s="130"/>
      <c r="O562" s="130"/>
      <c r="P562" s="130"/>
      <c r="Q562" s="130"/>
      <c r="R562" s="130"/>
      <c r="S562" s="130"/>
      <c r="T562" s="130"/>
      <c r="U562" s="130"/>
      <c r="V562" s="130"/>
      <c r="W562" s="131"/>
      <c r="X562" s="131"/>
      <c r="Y562" s="131"/>
      <c r="Z562" s="131"/>
      <c r="AA562" s="131"/>
      <c r="AB562" s="131"/>
      <c r="AC562" s="131"/>
      <c r="AD562" s="131"/>
      <c r="AE562" s="131"/>
      <c r="AF562" s="131"/>
      <c r="AG562" s="131"/>
      <c r="AH562" s="131"/>
      <c r="AI562" s="131"/>
      <c r="AJ562" s="131"/>
    </row>
    <row r="563">
      <c r="A563" s="126"/>
      <c r="B563" s="126"/>
      <c r="C563" s="126"/>
      <c r="D563" s="126"/>
      <c r="E563" s="126"/>
      <c r="F563" s="126"/>
      <c r="G563" s="128"/>
      <c r="H563" s="130"/>
      <c r="I563" s="130"/>
      <c r="J563" s="130"/>
      <c r="K563" s="130"/>
      <c r="L563" s="129"/>
      <c r="M563" s="130"/>
      <c r="N563" s="130"/>
      <c r="O563" s="130"/>
      <c r="P563" s="130"/>
      <c r="Q563" s="130"/>
      <c r="R563" s="130"/>
      <c r="S563" s="130"/>
      <c r="T563" s="130"/>
      <c r="U563" s="130"/>
      <c r="V563" s="130"/>
      <c r="W563" s="131"/>
      <c r="X563" s="131"/>
      <c r="Y563" s="131"/>
      <c r="Z563" s="131"/>
      <c r="AA563" s="131"/>
      <c r="AB563" s="131"/>
      <c r="AC563" s="131"/>
      <c r="AD563" s="131"/>
      <c r="AE563" s="131"/>
      <c r="AF563" s="131"/>
      <c r="AG563" s="131"/>
      <c r="AH563" s="131"/>
      <c r="AI563" s="131"/>
      <c r="AJ563" s="131"/>
    </row>
    <row r="564">
      <c r="A564" s="126"/>
      <c r="B564" s="126"/>
      <c r="C564" s="126"/>
      <c r="D564" s="126"/>
      <c r="E564" s="126"/>
      <c r="F564" s="126"/>
      <c r="G564" s="128"/>
      <c r="H564" s="130"/>
      <c r="I564" s="130"/>
      <c r="J564" s="130"/>
      <c r="K564" s="130"/>
      <c r="L564" s="129"/>
      <c r="M564" s="130"/>
      <c r="N564" s="130"/>
      <c r="O564" s="130"/>
      <c r="P564" s="130"/>
      <c r="Q564" s="130"/>
      <c r="R564" s="130"/>
      <c r="S564" s="130"/>
      <c r="T564" s="130"/>
      <c r="U564" s="130"/>
      <c r="V564" s="130"/>
      <c r="W564" s="131"/>
      <c r="X564" s="131"/>
      <c r="Y564" s="131"/>
      <c r="Z564" s="131"/>
      <c r="AA564" s="131"/>
      <c r="AB564" s="131"/>
      <c r="AC564" s="131"/>
      <c r="AD564" s="131"/>
      <c r="AE564" s="131"/>
      <c r="AF564" s="131"/>
      <c r="AG564" s="131"/>
      <c r="AH564" s="131"/>
      <c r="AI564" s="131"/>
      <c r="AJ564" s="131"/>
    </row>
    <row r="565">
      <c r="A565" s="126"/>
      <c r="B565" s="126"/>
      <c r="C565" s="126"/>
      <c r="D565" s="126"/>
      <c r="E565" s="126"/>
      <c r="F565" s="126"/>
      <c r="G565" s="128"/>
      <c r="H565" s="130"/>
      <c r="I565" s="130"/>
      <c r="J565" s="130"/>
      <c r="K565" s="130"/>
      <c r="L565" s="129"/>
      <c r="M565" s="130"/>
      <c r="N565" s="130"/>
      <c r="O565" s="130"/>
      <c r="P565" s="130"/>
      <c r="Q565" s="130"/>
      <c r="R565" s="130"/>
      <c r="S565" s="130"/>
      <c r="T565" s="130"/>
      <c r="U565" s="130"/>
      <c r="V565" s="130"/>
      <c r="W565" s="131"/>
      <c r="X565" s="131"/>
      <c r="Y565" s="131"/>
      <c r="Z565" s="131"/>
      <c r="AA565" s="131"/>
      <c r="AB565" s="131"/>
      <c r="AC565" s="131"/>
      <c r="AD565" s="131"/>
      <c r="AE565" s="131"/>
      <c r="AF565" s="131"/>
      <c r="AG565" s="131"/>
      <c r="AH565" s="131"/>
      <c r="AI565" s="131"/>
      <c r="AJ565" s="131"/>
    </row>
    <row r="566">
      <c r="A566" s="126"/>
      <c r="B566" s="126"/>
      <c r="C566" s="126"/>
      <c r="D566" s="126"/>
      <c r="E566" s="126"/>
      <c r="F566" s="126"/>
      <c r="G566" s="128"/>
      <c r="H566" s="130"/>
      <c r="I566" s="130"/>
      <c r="J566" s="130"/>
      <c r="K566" s="130"/>
      <c r="L566" s="129"/>
      <c r="M566" s="130"/>
      <c r="N566" s="130"/>
      <c r="O566" s="130"/>
      <c r="P566" s="130"/>
      <c r="Q566" s="130"/>
      <c r="R566" s="130"/>
      <c r="S566" s="130"/>
      <c r="T566" s="130"/>
      <c r="U566" s="130"/>
      <c r="V566" s="130"/>
      <c r="W566" s="131"/>
      <c r="X566" s="131"/>
      <c r="Y566" s="131"/>
      <c r="Z566" s="131"/>
      <c r="AA566" s="131"/>
      <c r="AB566" s="131"/>
      <c r="AC566" s="131"/>
      <c r="AD566" s="131"/>
      <c r="AE566" s="131"/>
      <c r="AF566" s="131"/>
      <c r="AG566" s="131"/>
      <c r="AH566" s="131"/>
      <c r="AI566" s="131"/>
      <c r="AJ566" s="131"/>
    </row>
    <row r="567">
      <c r="A567" s="126"/>
      <c r="B567" s="126"/>
      <c r="C567" s="126"/>
      <c r="D567" s="126"/>
      <c r="E567" s="126"/>
      <c r="F567" s="126"/>
      <c r="G567" s="128"/>
      <c r="H567" s="130"/>
      <c r="I567" s="130"/>
      <c r="J567" s="130"/>
      <c r="K567" s="130"/>
      <c r="L567" s="129"/>
      <c r="M567" s="130"/>
      <c r="N567" s="130"/>
      <c r="O567" s="130"/>
      <c r="P567" s="130"/>
      <c r="Q567" s="130"/>
      <c r="R567" s="130"/>
      <c r="S567" s="130"/>
      <c r="T567" s="130"/>
      <c r="U567" s="130"/>
      <c r="V567" s="130"/>
      <c r="W567" s="131"/>
      <c r="X567" s="131"/>
      <c r="Y567" s="131"/>
      <c r="Z567" s="131"/>
      <c r="AA567" s="131"/>
      <c r="AB567" s="131"/>
      <c r="AC567" s="131"/>
      <c r="AD567" s="131"/>
      <c r="AE567" s="131"/>
      <c r="AF567" s="131"/>
      <c r="AG567" s="131"/>
      <c r="AH567" s="131"/>
      <c r="AI567" s="131"/>
      <c r="AJ567" s="131"/>
    </row>
    <row r="568">
      <c r="A568" s="126"/>
      <c r="B568" s="126"/>
      <c r="C568" s="126"/>
      <c r="D568" s="126"/>
      <c r="E568" s="126"/>
      <c r="F568" s="126"/>
      <c r="G568" s="128"/>
      <c r="H568" s="130"/>
      <c r="I568" s="130"/>
      <c r="J568" s="130"/>
      <c r="K568" s="130"/>
      <c r="L568" s="129"/>
      <c r="M568" s="130"/>
      <c r="N568" s="130"/>
      <c r="O568" s="130"/>
      <c r="P568" s="130"/>
      <c r="Q568" s="130"/>
      <c r="R568" s="130"/>
      <c r="S568" s="130"/>
      <c r="T568" s="130"/>
      <c r="U568" s="130"/>
      <c r="V568" s="130"/>
      <c r="W568" s="131"/>
      <c r="X568" s="131"/>
      <c r="Y568" s="131"/>
      <c r="Z568" s="131"/>
      <c r="AA568" s="131"/>
      <c r="AB568" s="131"/>
      <c r="AC568" s="131"/>
      <c r="AD568" s="131"/>
      <c r="AE568" s="131"/>
      <c r="AF568" s="131"/>
      <c r="AG568" s="131"/>
      <c r="AH568" s="131"/>
      <c r="AI568" s="131"/>
      <c r="AJ568" s="131"/>
    </row>
    <row r="569">
      <c r="A569" s="126"/>
      <c r="B569" s="126"/>
      <c r="C569" s="126"/>
      <c r="D569" s="126"/>
      <c r="E569" s="126"/>
      <c r="F569" s="126"/>
      <c r="G569" s="128"/>
      <c r="H569" s="130"/>
      <c r="I569" s="130"/>
      <c r="J569" s="130"/>
      <c r="K569" s="130"/>
      <c r="L569" s="129"/>
      <c r="M569" s="130"/>
      <c r="N569" s="130"/>
      <c r="O569" s="130"/>
      <c r="P569" s="130"/>
      <c r="Q569" s="130"/>
      <c r="R569" s="130"/>
      <c r="S569" s="130"/>
      <c r="T569" s="130"/>
      <c r="U569" s="130"/>
      <c r="V569" s="130"/>
      <c r="W569" s="131"/>
      <c r="X569" s="131"/>
      <c r="Y569" s="131"/>
      <c r="Z569" s="131"/>
      <c r="AA569" s="131"/>
      <c r="AB569" s="131"/>
      <c r="AC569" s="131"/>
      <c r="AD569" s="131"/>
      <c r="AE569" s="131"/>
      <c r="AF569" s="131"/>
      <c r="AG569" s="131"/>
      <c r="AH569" s="131"/>
      <c r="AI569" s="131"/>
      <c r="AJ569" s="131"/>
    </row>
    <row r="570">
      <c r="A570" s="126"/>
      <c r="B570" s="126"/>
      <c r="C570" s="126"/>
      <c r="D570" s="126"/>
      <c r="E570" s="126"/>
      <c r="F570" s="126"/>
      <c r="G570" s="128"/>
      <c r="H570" s="130"/>
      <c r="I570" s="130"/>
      <c r="J570" s="130"/>
      <c r="K570" s="130"/>
      <c r="L570" s="129"/>
      <c r="M570" s="130"/>
      <c r="N570" s="130"/>
      <c r="O570" s="130"/>
      <c r="P570" s="130"/>
      <c r="Q570" s="130"/>
      <c r="R570" s="130"/>
      <c r="S570" s="130"/>
      <c r="T570" s="130"/>
      <c r="U570" s="130"/>
      <c r="V570" s="130"/>
      <c r="W570" s="131"/>
      <c r="X570" s="131"/>
      <c r="Y570" s="131"/>
      <c r="Z570" s="131"/>
      <c r="AA570" s="131"/>
      <c r="AB570" s="131"/>
      <c r="AC570" s="131"/>
      <c r="AD570" s="131"/>
      <c r="AE570" s="131"/>
      <c r="AF570" s="131"/>
      <c r="AG570" s="131"/>
      <c r="AH570" s="131"/>
      <c r="AI570" s="131"/>
      <c r="AJ570" s="131"/>
    </row>
    <row r="571">
      <c r="A571" s="126"/>
      <c r="B571" s="126"/>
      <c r="C571" s="126"/>
      <c r="D571" s="126"/>
      <c r="E571" s="126"/>
      <c r="F571" s="126"/>
      <c r="G571" s="128"/>
      <c r="H571" s="130"/>
      <c r="I571" s="130"/>
      <c r="J571" s="130"/>
      <c r="K571" s="130"/>
      <c r="L571" s="129"/>
      <c r="M571" s="130"/>
      <c r="N571" s="130"/>
      <c r="O571" s="130"/>
      <c r="P571" s="130"/>
      <c r="Q571" s="130"/>
      <c r="R571" s="130"/>
      <c r="S571" s="130"/>
      <c r="T571" s="130"/>
      <c r="U571" s="130"/>
      <c r="V571" s="130"/>
      <c r="W571" s="131"/>
      <c r="X571" s="131"/>
      <c r="Y571" s="131"/>
      <c r="Z571" s="131"/>
      <c r="AA571" s="131"/>
      <c r="AB571" s="131"/>
      <c r="AC571" s="131"/>
      <c r="AD571" s="131"/>
      <c r="AE571" s="131"/>
      <c r="AF571" s="131"/>
      <c r="AG571" s="131"/>
      <c r="AH571" s="131"/>
      <c r="AI571" s="131"/>
      <c r="AJ571" s="131"/>
    </row>
    <row r="572">
      <c r="A572" s="126"/>
      <c r="B572" s="126"/>
      <c r="C572" s="126"/>
      <c r="D572" s="126"/>
      <c r="E572" s="126"/>
      <c r="F572" s="126"/>
      <c r="G572" s="128"/>
      <c r="H572" s="130"/>
      <c r="I572" s="130"/>
      <c r="J572" s="130"/>
      <c r="K572" s="130"/>
      <c r="L572" s="129"/>
      <c r="M572" s="130"/>
      <c r="N572" s="130"/>
      <c r="O572" s="130"/>
      <c r="P572" s="130"/>
      <c r="Q572" s="130"/>
      <c r="R572" s="130"/>
      <c r="S572" s="130"/>
      <c r="T572" s="130"/>
      <c r="U572" s="130"/>
      <c r="V572" s="130"/>
      <c r="W572" s="131"/>
      <c r="X572" s="131"/>
      <c r="Y572" s="131"/>
      <c r="Z572" s="131"/>
      <c r="AA572" s="131"/>
      <c r="AB572" s="131"/>
      <c r="AC572" s="131"/>
      <c r="AD572" s="131"/>
      <c r="AE572" s="131"/>
      <c r="AF572" s="131"/>
      <c r="AG572" s="131"/>
      <c r="AH572" s="131"/>
      <c r="AI572" s="131"/>
      <c r="AJ572" s="131"/>
    </row>
    <row r="573">
      <c r="A573" s="126"/>
      <c r="B573" s="126"/>
      <c r="C573" s="126"/>
      <c r="D573" s="126"/>
      <c r="E573" s="126"/>
      <c r="F573" s="126"/>
      <c r="G573" s="128"/>
      <c r="H573" s="130"/>
      <c r="I573" s="130"/>
      <c r="J573" s="130"/>
      <c r="K573" s="130"/>
      <c r="L573" s="129"/>
      <c r="M573" s="130"/>
      <c r="N573" s="130"/>
      <c r="O573" s="130"/>
      <c r="P573" s="130"/>
      <c r="Q573" s="130"/>
      <c r="R573" s="130"/>
      <c r="S573" s="130"/>
      <c r="T573" s="130"/>
      <c r="U573" s="130"/>
      <c r="V573" s="130"/>
      <c r="W573" s="131"/>
      <c r="X573" s="131"/>
      <c r="Y573" s="131"/>
      <c r="Z573" s="131"/>
      <c r="AA573" s="131"/>
      <c r="AB573" s="131"/>
      <c r="AC573" s="131"/>
      <c r="AD573" s="131"/>
      <c r="AE573" s="131"/>
      <c r="AF573" s="131"/>
      <c r="AG573" s="131"/>
      <c r="AH573" s="131"/>
      <c r="AI573" s="131"/>
      <c r="AJ573" s="131"/>
    </row>
    <row r="574">
      <c r="A574" s="126"/>
      <c r="B574" s="126"/>
      <c r="C574" s="126"/>
      <c r="D574" s="126"/>
      <c r="E574" s="126"/>
      <c r="F574" s="126"/>
      <c r="G574" s="128"/>
      <c r="H574" s="130"/>
      <c r="I574" s="130"/>
      <c r="J574" s="130"/>
      <c r="K574" s="130"/>
      <c r="L574" s="129"/>
      <c r="M574" s="130"/>
      <c r="N574" s="130"/>
      <c r="O574" s="130"/>
      <c r="P574" s="130"/>
      <c r="Q574" s="130"/>
      <c r="R574" s="130"/>
      <c r="S574" s="130"/>
      <c r="T574" s="130"/>
      <c r="U574" s="130"/>
      <c r="V574" s="130"/>
      <c r="W574" s="131"/>
      <c r="X574" s="131"/>
      <c r="Y574" s="131"/>
      <c r="Z574" s="131"/>
      <c r="AA574" s="131"/>
      <c r="AB574" s="131"/>
      <c r="AC574" s="131"/>
      <c r="AD574" s="131"/>
      <c r="AE574" s="131"/>
      <c r="AF574" s="131"/>
      <c r="AG574" s="131"/>
      <c r="AH574" s="131"/>
      <c r="AI574" s="131"/>
      <c r="AJ574" s="131"/>
    </row>
    <row r="575">
      <c r="A575" s="126"/>
      <c r="B575" s="126"/>
      <c r="C575" s="126"/>
      <c r="D575" s="126"/>
      <c r="E575" s="126"/>
      <c r="F575" s="126"/>
      <c r="G575" s="128"/>
      <c r="H575" s="130"/>
      <c r="I575" s="130"/>
      <c r="J575" s="130"/>
      <c r="K575" s="130"/>
      <c r="L575" s="129"/>
      <c r="M575" s="130"/>
      <c r="N575" s="130"/>
      <c r="O575" s="130"/>
      <c r="P575" s="130"/>
      <c r="Q575" s="130"/>
      <c r="R575" s="130"/>
      <c r="S575" s="130"/>
      <c r="T575" s="130"/>
      <c r="U575" s="130"/>
      <c r="V575" s="130"/>
      <c r="W575" s="131"/>
      <c r="X575" s="131"/>
      <c r="Y575" s="131"/>
      <c r="Z575" s="131"/>
      <c r="AA575" s="131"/>
      <c r="AB575" s="131"/>
      <c r="AC575" s="131"/>
      <c r="AD575" s="131"/>
      <c r="AE575" s="131"/>
      <c r="AF575" s="131"/>
      <c r="AG575" s="131"/>
      <c r="AH575" s="131"/>
      <c r="AI575" s="131"/>
      <c r="AJ575" s="131"/>
    </row>
    <row r="576">
      <c r="A576" s="126"/>
      <c r="B576" s="126"/>
      <c r="C576" s="126"/>
      <c r="D576" s="126"/>
      <c r="E576" s="126"/>
      <c r="F576" s="126"/>
      <c r="G576" s="128"/>
      <c r="H576" s="130"/>
      <c r="I576" s="130"/>
      <c r="J576" s="130"/>
      <c r="K576" s="130"/>
      <c r="L576" s="129"/>
      <c r="M576" s="130"/>
      <c r="N576" s="130"/>
      <c r="O576" s="130"/>
      <c r="P576" s="130"/>
      <c r="Q576" s="130"/>
      <c r="R576" s="130"/>
      <c r="S576" s="130"/>
      <c r="T576" s="130"/>
      <c r="U576" s="130"/>
      <c r="V576" s="130"/>
      <c r="W576" s="131"/>
      <c r="X576" s="131"/>
      <c r="Y576" s="131"/>
      <c r="Z576" s="131"/>
      <c r="AA576" s="131"/>
      <c r="AB576" s="131"/>
      <c r="AC576" s="131"/>
      <c r="AD576" s="131"/>
      <c r="AE576" s="131"/>
      <c r="AF576" s="131"/>
      <c r="AG576" s="131"/>
      <c r="AH576" s="131"/>
      <c r="AI576" s="131"/>
      <c r="AJ576" s="131"/>
    </row>
    <row r="577">
      <c r="A577" s="126"/>
      <c r="B577" s="126"/>
      <c r="C577" s="126"/>
      <c r="D577" s="126"/>
      <c r="E577" s="126"/>
      <c r="F577" s="126"/>
      <c r="G577" s="128"/>
      <c r="H577" s="130"/>
      <c r="I577" s="130"/>
      <c r="J577" s="130"/>
      <c r="K577" s="130"/>
      <c r="L577" s="129"/>
      <c r="M577" s="130"/>
      <c r="N577" s="130"/>
      <c r="O577" s="130"/>
      <c r="P577" s="130"/>
      <c r="Q577" s="130"/>
      <c r="R577" s="130"/>
      <c r="S577" s="130"/>
      <c r="T577" s="130"/>
      <c r="U577" s="130"/>
      <c r="V577" s="130"/>
      <c r="W577" s="131"/>
      <c r="X577" s="131"/>
      <c r="Y577" s="131"/>
      <c r="Z577" s="131"/>
      <c r="AA577" s="131"/>
      <c r="AB577" s="131"/>
      <c r="AC577" s="131"/>
      <c r="AD577" s="131"/>
      <c r="AE577" s="131"/>
      <c r="AF577" s="131"/>
      <c r="AG577" s="131"/>
      <c r="AH577" s="131"/>
      <c r="AI577" s="131"/>
      <c r="AJ577" s="131"/>
    </row>
    <row r="578">
      <c r="A578" s="126"/>
      <c r="B578" s="126"/>
      <c r="C578" s="126"/>
      <c r="D578" s="126"/>
      <c r="E578" s="126"/>
      <c r="F578" s="126"/>
      <c r="G578" s="128"/>
      <c r="H578" s="130"/>
      <c r="I578" s="130"/>
      <c r="J578" s="130"/>
      <c r="K578" s="130"/>
      <c r="L578" s="129"/>
      <c r="M578" s="130"/>
      <c r="N578" s="130"/>
      <c r="O578" s="130"/>
      <c r="P578" s="130"/>
      <c r="Q578" s="130"/>
      <c r="R578" s="130"/>
      <c r="S578" s="130"/>
      <c r="T578" s="130"/>
      <c r="U578" s="130"/>
      <c r="V578" s="130"/>
      <c r="W578" s="131"/>
      <c r="X578" s="131"/>
      <c r="Y578" s="131"/>
      <c r="Z578" s="131"/>
      <c r="AA578" s="131"/>
      <c r="AB578" s="131"/>
      <c r="AC578" s="131"/>
      <c r="AD578" s="131"/>
      <c r="AE578" s="131"/>
      <c r="AF578" s="131"/>
      <c r="AG578" s="131"/>
      <c r="AH578" s="131"/>
      <c r="AI578" s="131"/>
      <c r="AJ578" s="131"/>
    </row>
    <row r="579">
      <c r="A579" s="126"/>
      <c r="B579" s="126"/>
      <c r="C579" s="126"/>
      <c r="D579" s="126"/>
      <c r="E579" s="126"/>
      <c r="F579" s="126"/>
      <c r="G579" s="128"/>
      <c r="H579" s="130"/>
      <c r="I579" s="130"/>
      <c r="J579" s="130"/>
      <c r="K579" s="130"/>
      <c r="L579" s="129"/>
      <c r="M579" s="130"/>
      <c r="N579" s="130"/>
      <c r="O579" s="130"/>
      <c r="P579" s="130"/>
      <c r="Q579" s="130"/>
      <c r="R579" s="130"/>
      <c r="S579" s="130"/>
      <c r="T579" s="130"/>
      <c r="U579" s="130"/>
      <c r="V579" s="130"/>
      <c r="W579" s="131"/>
      <c r="X579" s="131"/>
      <c r="Y579" s="131"/>
      <c r="Z579" s="131"/>
      <c r="AA579" s="131"/>
      <c r="AB579" s="131"/>
      <c r="AC579" s="131"/>
      <c r="AD579" s="131"/>
      <c r="AE579" s="131"/>
      <c r="AF579" s="131"/>
      <c r="AG579" s="131"/>
      <c r="AH579" s="131"/>
      <c r="AI579" s="131"/>
      <c r="AJ579" s="131"/>
    </row>
    <row r="580">
      <c r="A580" s="126"/>
      <c r="B580" s="126"/>
      <c r="C580" s="126"/>
      <c r="D580" s="126"/>
      <c r="E580" s="126"/>
      <c r="F580" s="126"/>
      <c r="G580" s="128"/>
      <c r="H580" s="130"/>
      <c r="I580" s="130"/>
      <c r="J580" s="130"/>
      <c r="K580" s="130"/>
      <c r="L580" s="129"/>
      <c r="M580" s="130"/>
      <c r="N580" s="130"/>
      <c r="O580" s="130"/>
      <c r="P580" s="130"/>
      <c r="Q580" s="130"/>
      <c r="R580" s="130"/>
      <c r="S580" s="130"/>
      <c r="T580" s="130"/>
      <c r="U580" s="130"/>
      <c r="V580" s="130"/>
      <c r="W580" s="131"/>
      <c r="X580" s="131"/>
      <c r="Y580" s="131"/>
      <c r="Z580" s="131"/>
      <c r="AA580" s="131"/>
      <c r="AB580" s="131"/>
      <c r="AC580" s="131"/>
      <c r="AD580" s="131"/>
      <c r="AE580" s="131"/>
      <c r="AF580" s="131"/>
      <c r="AG580" s="131"/>
      <c r="AH580" s="131"/>
      <c r="AI580" s="131"/>
      <c r="AJ580" s="131"/>
    </row>
    <row r="581">
      <c r="A581" s="126"/>
      <c r="B581" s="126"/>
      <c r="C581" s="126"/>
      <c r="D581" s="126"/>
      <c r="E581" s="126"/>
      <c r="F581" s="126"/>
      <c r="G581" s="128"/>
      <c r="H581" s="130"/>
      <c r="I581" s="130"/>
      <c r="J581" s="130"/>
      <c r="K581" s="130"/>
      <c r="L581" s="129"/>
      <c r="M581" s="130"/>
      <c r="N581" s="130"/>
      <c r="O581" s="130"/>
      <c r="P581" s="130"/>
      <c r="Q581" s="130"/>
      <c r="R581" s="130"/>
      <c r="S581" s="130"/>
      <c r="T581" s="130"/>
      <c r="U581" s="130"/>
      <c r="V581" s="130"/>
      <c r="W581" s="131"/>
      <c r="X581" s="131"/>
      <c r="Y581" s="131"/>
      <c r="Z581" s="131"/>
      <c r="AA581" s="131"/>
      <c r="AB581" s="131"/>
      <c r="AC581" s="131"/>
      <c r="AD581" s="131"/>
      <c r="AE581" s="131"/>
      <c r="AF581" s="131"/>
      <c r="AG581" s="131"/>
      <c r="AH581" s="131"/>
      <c r="AI581" s="131"/>
      <c r="AJ581" s="131"/>
    </row>
    <row r="582">
      <c r="A582" s="126"/>
      <c r="B582" s="126"/>
      <c r="C582" s="126"/>
      <c r="D582" s="126"/>
      <c r="E582" s="126"/>
      <c r="F582" s="126"/>
      <c r="G582" s="128"/>
      <c r="H582" s="130"/>
      <c r="I582" s="130"/>
      <c r="J582" s="130"/>
      <c r="K582" s="130"/>
      <c r="L582" s="129"/>
      <c r="M582" s="130"/>
      <c r="N582" s="130"/>
      <c r="O582" s="130"/>
      <c r="P582" s="130"/>
      <c r="Q582" s="130"/>
      <c r="R582" s="130"/>
      <c r="S582" s="130"/>
      <c r="T582" s="130"/>
      <c r="U582" s="130"/>
      <c r="V582" s="130"/>
      <c r="W582" s="131"/>
      <c r="X582" s="131"/>
      <c r="Y582" s="131"/>
      <c r="Z582" s="131"/>
      <c r="AA582" s="131"/>
      <c r="AB582" s="131"/>
      <c r="AC582" s="131"/>
      <c r="AD582" s="131"/>
      <c r="AE582" s="131"/>
      <c r="AF582" s="131"/>
      <c r="AG582" s="131"/>
      <c r="AH582" s="131"/>
      <c r="AI582" s="131"/>
      <c r="AJ582" s="131"/>
    </row>
    <row r="583">
      <c r="A583" s="126"/>
      <c r="B583" s="126"/>
      <c r="C583" s="126"/>
      <c r="D583" s="126"/>
      <c r="E583" s="126"/>
      <c r="F583" s="126"/>
      <c r="G583" s="128"/>
      <c r="H583" s="130"/>
      <c r="I583" s="130"/>
      <c r="J583" s="130"/>
      <c r="K583" s="130"/>
      <c r="L583" s="129"/>
      <c r="M583" s="130"/>
      <c r="N583" s="130"/>
      <c r="O583" s="130"/>
      <c r="P583" s="130"/>
      <c r="Q583" s="130"/>
      <c r="R583" s="130"/>
      <c r="S583" s="130"/>
      <c r="T583" s="130"/>
      <c r="U583" s="130"/>
      <c r="V583" s="130"/>
      <c r="W583" s="131"/>
      <c r="X583" s="131"/>
      <c r="Y583" s="131"/>
      <c r="Z583" s="131"/>
      <c r="AA583" s="131"/>
      <c r="AB583" s="131"/>
      <c r="AC583" s="131"/>
      <c r="AD583" s="131"/>
      <c r="AE583" s="131"/>
      <c r="AF583" s="131"/>
      <c r="AG583" s="131"/>
      <c r="AH583" s="131"/>
      <c r="AI583" s="131"/>
      <c r="AJ583" s="131"/>
    </row>
    <row r="584">
      <c r="A584" s="126"/>
      <c r="B584" s="126"/>
      <c r="C584" s="126"/>
      <c r="D584" s="126"/>
      <c r="E584" s="126"/>
      <c r="F584" s="126"/>
      <c r="G584" s="128"/>
      <c r="H584" s="130"/>
      <c r="I584" s="130"/>
      <c r="J584" s="130"/>
      <c r="K584" s="130"/>
      <c r="L584" s="129"/>
      <c r="M584" s="130"/>
      <c r="N584" s="130"/>
      <c r="O584" s="130"/>
      <c r="P584" s="130"/>
      <c r="Q584" s="130"/>
      <c r="R584" s="130"/>
      <c r="S584" s="130"/>
      <c r="T584" s="130"/>
      <c r="U584" s="130"/>
      <c r="V584" s="130"/>
      <c r="W584" s="131"/>
      <c r="X584" s="131"/>
      <c r="Y584" s="131"/>
      <c r="Z584" s="131"/>
      <c r="AA584" s="131"/>
      <c r="AB584" s="131"/>
      <c r="AC584" s="131"/>
      <c r="AD584" s="131"/>
      <c r="AE584" s="131"/>
      <c r="AF584" s="131"/>
      <c r="AG584" s="131"/>
      <c r="AH584" s="131"/>
      <c r="AI584" s="131"/>
      <c r="AJ584" s="131"/>
    </row>
    <row r="585">
      <c r="A585" s="126"/>
      <c r="B585" s="126"/>
      <c r="C585" s="126"/>
      <c r="D585" s="126"/>
      <c r="E585" s="126"/>
      <c r="F585" s="126"/>
      <c r="G585" s="128"/>
      <c r="H585" s="130"/>
      <c r="I585" s="130"/>
      <c r="J585" s="130"/>
      <c r="K585" s="130"/>
      <c r="L585" s="129"/>
      <c r="M585" s="130"/>
      <c r="N585" s="130"/>
      <c r="O585" s="130"/>
      <c r="P585" s="130"/>
      <c r="Q585" s="130"/>
      <c r="R585" s="130"/>
      <c r="S585" s="130"/>
      <c r="T585" s="130"/>
      <c r="U585" s="130"/>
      <c r="V585" s="130"/>
      <c r="W585" s="131"/>
      <c r="X585" s="131"/>
      <c r="Y585" s="131"/>
      <c r="Z585" s="131"/>
      <c r="AA585" s="131"/>
      <c r="AB585" s="131"/>
      <c r="AC585" s="131"/>
      <c r="AD585" s="131"/>
      <c r="AE585" s="131"/>
      <c r="AF585" s="131"/>
      <c r="AG585" s="131"/>
      <c r="AH585" s="131"/>
      <c r="AI585" s="131"/>
      <c r="AJ585" s="131"/>
    </row>
    <row r="586">
      <c r="A586" s="126"/>
      <c r="B586" s="126"/>
      <c r="C586" s="126"/>
      <c r="D586" s="126"/>
      <c r="E586" s="126"/>
      <c r="F586" s="126"/>
      <c r="G586" s="128"/>
      <c r="H586" s="130"/>
      <c r="I586" s="130"/>
      <c r="J586" s="130"/>
      <c r="K586" s="130"/>
      <c r="L586" s="129"/>
      <c r="M586" s="130"/>
      <c r="N586" s="130"/>
      <c r="O586" s="130"/>
      <c r="P586" s="130"/>
      <c r="Q586" s="130"/>
      <c r="R586" s="130"/>
      <c r="S586" s="130"/>
      <c r="T586" s="130"/>
      <c r="U586" s="130"/>
      <c r="V586" s="130"/>
      <c r="W586" s="131"/>
      <c r="X586" s="131"/>
      <c r="Y586" s="131"/>
      <c r="Z586" s="131"/>
      <c r="AA586" s="131"/>
      <c r="AB586" s="131"/>
      <c r="AC586" s="131"/>
      <c r="AD586" s="131"/>
      <c r="AE586" s="131"/>
      <c r="AF586" s="131"/>
      <c r="AG586" s="131"/>
      <c r="AH586" s="131"/>
      <c r="AI586" s="131"/>
      <c r="AJ586" s="131"/>
    </row>
    <row r="587">
      <c r="A587" s="126"/>
      <c r="B587" s="126"/>
      <c r="C587" s="126"/>
      <c r="D587" s="126"/>
      <c r="E587" s="126"/>
      <c r="F587" s="126"/>
      <c r="G587" s="128"/>
      <c r="H587" s="130"/>
      <c r="I587" s="130"/>
      <c r="J587" s="130"/>
      <c r="K587" s="130"/>
      <c r="L587" s="129"/>
      <c r="M587" s="130"/>
      <c r="N587" s="130"/>
      <c r="O587" s="130"/>
      <c r="P587" s="130"/>
      <c r="Q587" s="130"/>
      <c r="R587" s="130"/>
      <c r="S587" s="130"/>
      <c r="T587" s="130"/>
      <c r="U587" s="130"/>
      <c r="V587" s="130"/>
      <c r="W587" s="131"/>
      <c r="X587" s="131"/>
      <c r="Y587" s="131"/>
      <c r="Z587" s="131"/>
      <c r="AA587" s="131"/>
      <c r="AB587" s="131"/>
      <c r="AC587" s="131"/>
      <c r="AD587" s="131"/>
      <c r="AE587" s="131"/>
      <c r="AF587" s="131"/>
      <c r="AG587" s="131"/>
      <c r="AH587" s="131"/>
      <c r="AI587" s="131"/>
      <c r="AJ587" s="131"/>
    </row>
    <row r="588">
      <c r="A588" s="126"/>
      <c r="B588" s="126"/>
      <c r="C588" s="126"/>
      <c r="D588" s="126"/>
      <c r="E588" s="126"/>
      <c r="F588" s="126"/>
      <c r="G588" s="128"/>
      <c r="H588" s="130"/>
      <c r="I588" s="130"/>
      <c r="J588" s="130"/>
      <c r="K588" s="130"/>
      <c r="L588" s="129"/>
      <c r="M588" s="130"/>
      <c r="N588" s="130"/>
      <c r="O588" s="130"/>
      <c r="P588" s="130"/>
      <c r="Q588" s="130"/>
      <c r="R588" s="130"/>
      <c r="S588" s="130"/>
      <c r="T588" s="130"/>
      <c r="U588" s="130"/>
      <c r="V588" s="130"/>
      <c r="W588" s="131"/>
      <c r="X588" s="131"/>
      <c r="Y588" s="131"/>
      <c r="Z588" s="131"/>
      <c r="AA588" s="131"/>
      <c r="AB588" s="131"/>
      <c r="AC588" s="131"/>
      <c r="AD588" s="131"/>
      <c r="AE588" s="131"/>
      <c r="AF588" s="131"/>
      <c r="AG588" s="131"/>
      <c r="AH588" s="131"/>
      <c r="AI588" s="131"/>
      <c r="AJ588" s="131"/>
    </row>
    <row r="589">
      <c r="A589" s="126"/>
      <c r="B589" s="126"/>
      <c r="C589" s="126"/>
      <c r="D589" s="126"/>
      <c r="E589" s="126"/>
      <c r="F589" s="126"/>
      <c r="G589" s="128"/>
      <c r="H589" s="130"/>
      <c r="I589" s="130"/>
      <c r="J589" s="130"/>
      <c r="K589" s="130"/>
      <c r="L589" s="129"/>
      <c r="M589" s="130"/>
      <c r="N589" s="130"/>
      <c r="O589" s="130"/>
      <c r="P589" s="130"/>
      <c r="Q589" s="130"/>
      <c r="R589" s="130"/>
      <c r="S589" s="130"/>
      <c r="T589" s="130"/>
      <c r="U589" s="130"/>
      <c r="V589" s="130"/>
      <c r="W589" s="131"/>
      <c r="X589" s="131"/>
      <c r="Y589" s="131"/>
      <c r="Z589" s="131"/>
      <c r="AA589" s="131"/>
      <c r="AB589" s="131"/>
      <c r="AC589" s="131"/>
      <c r="AD589" s="131"/>
      <c r="AE589" s="131"/>
      <c r="AF589" s="131"/>
      <c r="AG589" s="131"/>
      <c r="AH589" s="131"/>
      <c r="AI589" s="131"/>
      <c r="AJ589" s="131"/>
    </row>
    <row r="590">
      <c r="A590" s="126"/>
      <c r="B590" s="126"/>
      <c r="C590" s="126"/>
      <c r="D590" s="126"/>
      <c r="E590" s="126"/>
      <c r="F590" s="126"/>
      <c r="G590" s="128"/>
      <c r="H590" s="130"/>
      <c r="I590" s="130"/>
      <c r="J590" s="130"/>
      <c r="K590" s="130"/>
      <c r="L590" s="129"/>
      <c r="M590" s="130"/>
      <c r="N590" s="130"/>
      <c r="O590" s="130"/>
      <c r="P590" s="130"/>
      <c r="Q590" s="130"/>
      <c r="R590" s="130"/>
      <c r="S590" s="130"/>
      <c r="T590" s="130"/>
      <c r="U590" s="130"/>
      <c r="V590" s="130"/>
      <c r="W590" s="131"/>
      <c r="X590" s="131"/>
      <c r="Y590" s="131"/>
      <c r="Z590" s="131"/>
      <c r="AA590" s="131"/>
      <c r="AB590" s="131"/>
      <c r="AC590" s="131"/>
      <c r="AD590" s="131"/>
      <c r="AE590" s="131"/>
      <c r="AF590" s="131"/>
      <c r="AG590" s="131"/>
      <c r="AH590" s="131"/>
      <c r="AI590" s="131"/>
      <c r="AJ590" s="131"/>
    </row>
    <row r="591">
      <c r="A591" s="126"/>
      <c r="B591" s="126"/>
      <c r="C591" s="126"/>
      <c r="D591" s="126"/>
      <c r="E591" s="126"/>
      <c r="F591" s="126"/>
      <c r="G591" s="128"/>
      <c r="H591" s="130"/>
      <c r="I591" s="130"/>
      <c r="J591" s="130"/>
      <c r="K591" s="130"/>
      <c r="L591" s="129"/>
      <c r="M591" s="130"/>
      <c r="N591" s="130"/>
      <c r="O591" s="130"/>
      <c r="P591" s="130"/>
      <c r="Q591" s="130"/>
      <c r="R591" s="130"/>
      <c r="S591" s="130"/>
      <c r="T591" s="130"/>
      <c r="U591" s="130"/>
      <c r="V591" s="130"/>
      <c r="W591" s="131"/>
      <c r="X591" s="131"/>
      <c r="Y591" s="131"/>
      <c r="Z591" s="131"/>
      <c r="AA591" s="131"/>
      <c r="AB591" s="131"/>
      <c r="AC591" s="131"/>
      <c r="AD591" s="131"/>
      <c r="AE591" s="131"/>
      <c r="AF591" s="131"/>
      <c r="AG591" s="131"/>
      <c r="AH591" s="131"/>
      <c r="AI591" s="131"/>
      <c r="AJ591" s="131"/>
    </row>
    <row r="592">
      <c r="A592" s="126"/>
      <c r="B592" s="126"/>
      <c r="C592" s="126"/>
      <c r="D592" s="126"/>
      <c r="E592" s="126"/>
      <c r="F592" s="126"/>
      <c r="G592" s="128"/>
      <c r="H592" s="130"/>
      <c r="I592" s="130"/>
      <c r="J592" s="130"/>
      <c r="K592" s="130"/>
      <c r="L592" s="129"/>
      <c r="M592" s="130"/>
      <c r="N592" s="130"/>
      <c r="O592" s="130"/>
      <c r="P592" s="130"/>
      <c r="Q592" s="130"/>
      <c r="R592" s="130"/>
      <c r="S592" s="130"/>
      <c r="T592" s="130"/>
      <c r="U592" s="130"/>
      <c r="V592" s="130"/>
      <c r="W592" s="131"/>
      <c r="X592" s="131"/>
      <c r="Y592" s="131"/>
      <c r="Z592" s="131"/>
      <c r="AA592" s="131"/>
      <c r="AB592" s="131"/>
      <c r="AC592" s="131"/>
      <c r="AD592" s="131"/>
      <c r="AE592" s="131"/>
      <c r="AF592" s="131"/>
      <c r="AG592" s="131"/>
      <c r="AH592" s="131"/>
      <c r="AI592" s="131"/>
      <c r="AJ592" s="131"/>
    </row>
    <row r="593">
      <c r="A593" s="126"/>
      <c r="B593" s="126"/>
      <c r="C593" s="126"/>
      <c r="D593" s="126"/>
      <c r="E593" s="126"/>
      <c r="F593" s="126"/>
      <c r="G593" s="128"/>
      <c r="H593" s="130"/>
      <c r="I593" s="130"/>
      <c r="J593" s="130"/>
      <c r="K593" s="130"/>
      <c r="L593" s="129"/>
      <c r="M593" s="130"/>
      <c r="N593" s="130"/>
      <c r="O593" s="130"/>
      <c r="P593" s="130"/>
      <c r="Q593" s="130"/>
      <c r="R593" s="130"/>
      <c r="S593" s="130"/>
      <c r="T593" s="130"/>
      <c r="U593" s="130"/>
      <c r="V593" s="130"/>
      <c r="W593" s="131"/>
      <c r="X593" s="131"/>
      <c r="Y593" s="131"/>
      <c r="Z593" s="131"/>
      <c r="AA593" s="131"/>
      <c r="AB593" s="131"/>
      <c r="AC593" s="131"/>
      <c r="AD593" s="131"/>
      <c r="AE593" s="131"/>
      <c r="AF593" s="131"/>
      <c r="AG593" s="131"/>
      <c r="AH593" s="131"/>
      <c r="AI593" s="131"/>
      <c r="AJ593" s="131"/>
    </row>
    <row r="594">
      <c r="A594" s="126"/>
      <c r="B594" s="126"/>
      <c r="C594" s="126"/>
      <c r="D594" s="126"/>
      <c r="E594" s="126"/>
      <c r="F594" s="126"/>
      <c r="G594" s="128"/>
      <c r="H594" s="130"/>
      <c r="I594" s="130"/>
      <c r="J594" s="130"/>
      <c r="K594" s="130"/>
      <c r="L594" s="129"/>
      <c r="M594" s="130"/>
      <c r="N594" s="130"/>
      <c r="O594" s="130"/>
      <c r="P594" s="130"/>
      <c r="Q594" s="130"/>
      <c r="R594" s="130"/>
      <c r="S594" s="130"/>
      <c r="T594" s="130"/>
      <c r="U594" s="130"/>
      <c r="V594" s="130"/>
      <c r="W594" s="131"/>
      <c r="X594" s="131"/>
      <c r="Y594" s="131"/>
      <c r="Z594" s="131"/>
      <c r="AA594" s="131"/>
      <c r="AB594" s="131"/>
      <c r="AC594" s="131"/>
      <c r="AD594" s="131"/>
      <c r="AE594" s="131"/>
      <c r="AF594" s="131"/>
      <c r="AG594" s="131"/>
      <c r="AH594" s="131"/>
      <c r="AI594" s="131"/>
      <c r="AJ594" s="131"/>
    </row>
    <row r="595">
      <c r="A595" s="126"/>
      <c r="B595" s="126"/>
      <c r="C595" s="126"/>
      <c r="D595" s="126"/>
      <c r="E595" s="126"/>
      <c r="F595" s="126"/>
      <c r="G595" s="128"/>
      <c r="H595" s="130"/>
      <c r="I595" s="130"/>
      <c r="J595" s="130"/>
      <c r="K595" s="130"/>
      <c r="L595" s="129"/>
      <c r="M595" s="130"/>
      <c r="N595" s="130"/>
      <c r="O595" s="130"/>
      <c r="P595" s="130"/>
      <c r="Q595" s="130"/>
      <c r="R595" s="130"/>
      <c r="S595" s="130"/>
      <c r="T595" s="130"/>
      <c r="U595" s="130"/>
      <c r="V595" s="130"/>
      <c r="W595" s="131"/>
      <c r="X595" s="131"/>
      <c r="Y595" s="131"/>
      <c r="Z595" s="131"/>
      <c r="AA595" s="131"/>
      <c r="AB595" s="131"/>
      <c r="AC595" s="131"/>
      <c r="AD595" s="131"/>
      <c r="AE595" s="131"/>
      <c r="AF595" s="131"/>
      <c r="AG595" s="131"/>
      <c r="AH595" s="131"/>
      <c r="AI595" s="131"/>
      <c r="AJ595" s="131"/>
    </row>
    <row r="596">
      <c r="A596" s="126"/>
      <c r="B596" s="126"/>
      <c r="C596" s="126"/>
      <c r="D596" s="126"/>
      <c r="E596" s="126"/>
      <c r="F596" s="126"/>
      <c r="G596" s="128"/>
      <c r="H596" s="130"/>
      <c r="I596" s="130"/>
      <c r="J596" s="130"/>
      <c r="K596" s="130"/>
      <c r="L596" s="129"/>
      <c r="M596" s="130"/>
      <c r="N596" s="130"/>
      <c r="O596" s="130"/>
      <c r="P596" s="130"/>
      <c r="Q596" s="130"/>
      <c r="R596" s="130"/>
      <c r="S596" s="130"/>
      <c r="T596" s="130"/>
      <c r="U596" s="130"/>
      <c r="V596" s="130"/>
      <c r="W596" s="131"/>
      <c r="X596" s="131"/>
      <c r="Y596" s="131"/>
      <c r="Z596" s="131"/>
      <c r="AA596" s="131"/>
      <c r="AB596" s="131"/>
      <c r="AC596" s="131"/>
      <c r="AD596" s="131"/>
      <c r="AE596" s="131"/>
      <c r="AF596" s="131"/>
      <c r="AG596" s="131"/>
      <c r="AH596" s="131"/>
      <c r="AI596" s="131"/>
      <c r="AJ596" s="131"/>
    </row>
    <row r="597">
      <c r="A597" s="126"/>
      <c r="B597" s="126"/>
      <c r="C597" s="126"/>
      <c r="D597" s="126"/>
      <c r="E597" s="126"/>
      <c r="F597" s="126"/>
      <c r="G597" s="128"/>
      <c r="H597" s="130"/>
      <c r="I597" s="130"/>
      <c r="J597" s="130"/>
      <c r="K597" s="130"/>
      <c r="L597" s="129"/>
      <c r="M597" s="130"/>
      <c r="N597" s="130"/>
      <c r="O597" s="130"/>
      <c r="P597" s="130"/>
      <c r="Q597" s="130"/>
      <c r="R597" s="130"/>
      <c r="S597" s="130"/>
      <c r="T597" s="130"/>
      <c r="U597" s="130"/>
      <c r="V597" s="130"/>
      <c r="W597" s="131"/>
      <c r="X597" s="131"/>
      <c r="Y597" s="131"/>
      <c r="Z597" s="131"/>
      <c r="AA597" s="131"/>
      <c r="AB597" s="131"/>
      <c r="AC597" s="131"/>
      <c r="AD597" s="131"/>
      <c r="AE597" s="131"/>
      <c r="AF597" s="131"/>
      <c r="AG597" s="131"/>
      <c r="AH597" s="131"/>
      <c r="AI597" s="131"/>
      <c r="AJ597" s="131"/>
    </row>
    <row r="598">
      <c r="A598" s="126"/>
      <c r="B598" s="126"/>
      <c r="C598" s="126"/>
      <c r="D598" s="126"/>
      <c r="E598" s="126"/>
      <c r="F598" s="126"/>
      <c r="G598" s="128"/>
      <c r="H598" s="130"/>
      <c r="I598" s="130"/>
      <c r="J598" s="130"/>
      <c r="K598" s="130"/>
      <c r="L598" s="129"/>
      <c r="M598" s="130"/>
      <c r="N598" s="130"/>
      <c r="O598" s="130"/>
      <c r="P598" s="130"/>
      <c r="Q598" s="130"/>
      <c r="R598" s="130"/>
      <c r="S598" s="130"/>
      <c r="T598" s="130"/>
      <c r="U598" s="130"/>
      <c r="V598" s="130"/>
      <c r="W598" s="131"/>
      <c r="X598" s="131"/>
      <c r="Y598" s="131"/>
      <c r="Z598" s="131"/>
      <c r="AA598" s="131"/>
      <c r="AB598" s="131"/>
      <c r="AC598" s="131"/>
      <c r="AD598" s="131"/>
      <c r="AE598" s="131"/>
      <c r="AF598" s="131"/>
      <c r="AG598" s="131"/>
      <c r="AH598" s="131"/>
      <c r="AI598" s="131"/>
      <c r="AJ598" s="131"/>
    </row>
    <row r="599">
      <c r="A599" s="126"/>
      <c r="B599" s="126"/>
      <c r="C599" s="126"/>
      <c r="D599" s="126"/>
      <c r="E599" s="126"/>
      <c r="F599" s="126"/>
      <c r="G599" s="128"/>
      <c r="H599" s="130"/>
      <c r="I599" s="130"/>
      <c r="J599" s="130"/>
      <c r="K599" s="130"/>
      <c r="L599" s="129"/>
      <c r="M599" s="130"/>
      <c r="N599" s="130"/>
      <c r="O599" s="130"/>
      <c r="P599" s="130"/>
      <c r="Q599" s="130"/>
      <c r="R599" s="130"/>
      <c r="S599" s="130"/>
      <c r="T599" s="130"/>
      <c r="U599" s="130"/>
      <c r="V599" s="130"/>
      <c r="W599" s="131"/>
      <c r="X599" s="131"/>
      <c r="Y599" s="131"/>
      <c r="Z599" s="131"/>
      <c r="AA599" s="131"/>
      <c r="AB599" s="131"/>
      <c r="AC599" s="131"/>
      <c r="AD599" s="131"/>
      <c r="AE599" s="131"/>
      <c r="AF599" s="131"/>
      <c r="AG599" s="131"/>
      <c r="AH599" s="131"/>
      <c r="AI599" s="131"/>
      <c r="AJ599" s="131"/>
    </row>
    <row r="600">
      <c r="A600" s="126"/>
      <c r="B600" s="126"/>
      <c r="C600" s="126"/>
      <c r="D600" s="126"/>
      <c r="E600" s="126"/>
      <c r="F600" s="126"/>
      <c r="G600" s="128"/>
      <c r="H600" s="130"/>
      <c r="I600" s="130"/>
      <c r="J600" s="130"/>
      <c r="K600" s="130"/>
      <c r="L600" s="129"/>
      <c r="M600" s="130"/>
      <c r="N600" s="130"/>
      <c r="O600" s="130"/>
      <c r="P600" s="130"/>
      <c r="Q600" s="130"/>
      <c r="R600" s="130"/>
      <c r="S600" s="130"/>
      <c r="T600" s="130"/>
      <c r="U600" s="130"/>
      <c r="V600" s="130"/>
      <c r="W600" s="131"/>
      <c r="X600" s="131"/>
      <c r="Y600" s="131"/>
      <c r="Z600" s="131"/>
      <c r="AA600" s="131"/>
      <c r="AB600" s="131"/>
      <c r="AC600" s="131"/>
      <c r="AD600" s="131"/>
      <c r="AE600" s="131"/>
      <c r="AF600" s="131"/>
      <c r="AG600" s="131"/>
      <c r="AH600" s="131"/>
      <c r="AI600" s="131"/>
      <c r="AJ600" s="131"/>
    </row>
    <row r="601">
      <c r="A601" s="126"/>
      <c r="B601" s="126"/>
      <c r="C601" s="126"/>
      <c r="D601" s="126"/>
      <c r="E601" s="126"/>
      <c r="F601" s="126"/>
      <c r="G601" s="128"/>
      <c r="H601" s="130"/>
      <c r="I601" s="130"/>
      <c r="J601" s="130"/>
      <c r="K601" s="130"/>
      <c r="L601" s="129"/>
      <c r="M601" s="130"/>
      <c r="N601" s="130"/>
      <c r="O601" s="130"/>
      <c r="P601" s="130"/>
      <c r="Q601" s="130"/>
      <c r="R601" s="130"/>
      <c r="S601" s="130"/>
      <c r="T601" s="130"/>
      <c r="U601" s="130"/>
      <c r="V601" s="130"/>
      <c r="W601" s="131"/>
      <c r="X601" s="131"/>
      <c r="Y601" s="131"/>
      <c r="Z601" s="131"/>
      <c r="AA601" s="131"/>
      <c r="AB601" s="131"/>
      <c r="AC601" s="131"/>
      <c r="AD601" s="131"/>
      <c r="AE601" s="131"/>
      <c r="AF601" s="131"/>
      <c r="AG601" s="131"/>
      <c r="AH601" s="131"/>
      <c r="AI601" s="131"/>
      <c r="AJ601" s="131"/>
    </row>
    <row r="602">
      <c r="A602" s="126"/>
      <c r="B602" s="126"/>
      <c r="C602" s="126"/>
      <c r="D602" s="126"/>
      <c r="E602" s="126"/>
      <c r="F602" s="126"/>
      <c r="G602" s="128"/>
      <c r="H602" s="130"/>
      <c r="I602" s="130"/>
      <c r="J602" s="130"/>
      <c r="K602" s="130"/>
      <c r="L602" s="129"/>
      <c r="M602" s="130"/>
      <c r="N602" s="130"/>
      <c r="O602" s="130"/>
      <c r="P602" s="130"/>
      <c r="Q602" s="130"/>
      <c r="R602" s="130"/>
      <c r="S602" s="130"/>
      <c r="T602" s="130"/>
      <c r="U602" s="130"/>
      <c r="V602" s="130"/>
      <c r="W602" s="131"/>
      <c r="X602" s="131"/>
      <c r="Y602" s="131"/>
      <c r="Z602" s="131"/>
      <c r="AA602" s="131"/>
      <c r="AB602" s="131"/>
      <c r="AC602" s="131"/>
      <c r="AD602" s="131"/>
      <c r="AE602" s="131"/>
      <c r="AF602" s="131"/>
      <c r="AG602" s="131"/>
      <c r="AH602" s="131"/>
      <c r="AI602" s="131"/>
      <c r="AJ602" s="131"/>
    </row>
    <row r="603">
      <c r="A603" s="126"/>
      <c r="B603" s="126"/>
      <c r="C603" s="126"/>
      <c r="D603" s="126"/>
      <c r="E603" s="126"/>
      <c r="F603" s="126"/>
      <c r="G603" s="128"/>
      <c r="H603" s="130"/>
      <c r="I603" s="130"/>
      <c r="J603" s="130"/>
      <c r="K603" s="130"/>
      <c r="L603" s="129"/>
      <c r="M603" s="130"/>
      <c r="N603" s="130"/>
      <c r="O603" s="130"/>
      <c r="P603" s="130"/>
      <c r="Q603" s="130"/>
      <c r="R603" s="130"/>
      <c r="S603" s="130"/>
      <c r="T603" s="130"/>
      <c r="U603" s="130"/>
      <c r="V603" s="130"/>
      <c r="W603" s="131"/>
      <c r="X603" s="131"/>
      <c r="Y603" s="131"/>
      <c r="Z603" s="131"/>
      <c r="AA603" s="131"/>
      <c r="AB603" s="131"/>
      <c r="AC603" s="131"/>
      <c r="AD603" s="131"/>
      <c r="AE603" s="131"/>
      <c r="AF603" s="131"/>
      <c r="AG603" s="131"/>
      <c r="AH603" s="131"/>
      <c r="AI603" s="131"/>
      <c r="AJ603" s="131"/>
    </row>
    <row r="604">
      <c r="A604" s="126"/>
      <c r="B604" s="126"/>
      <c r="C604" s="126"/>
      <c r="D604" s="126"/>
      <c r="E604" s="126"/>
      <c r="F604" s="126"/>
      <c r="G604" s="128"/>
      <c r="H604" s="130"/>
      <c r="I604" s="130"/>
      <c r="J604" s="130"/>
      <c r="K604" s="130"/>
      <c r="L604" s="129"/>
      <c r="M604" s="130"/>
      <c r="N604" s="130"/>
      <c r="O604" s="130"/>
      <c r="P604" s="130"/>
      <c r="Q604" s="130"/>
      <c r="R604" s="130"/>
      <c r="S604" s="130"/>
      <c r="T604" s="130"/>
      <c r="U604" s="130"/>
      <c r="V604" s="130"/>
      <c r="W604" s="131"/>
      <c r="X604" s="131"/>
      <c r="Y604" s="131"/>
      <c r="Z604" s="131"/>
      <c r="AA604" s="131"/>
      <c r="AB604" s="131"/>
      <c r="AC604" s="131"/>
      <c r="AD604" s="131"/>
      <c r="AE604" s="131"/>
      <c r="AF604" s="131"/>
      <c r="AG604" s="131"/>
      <c r="AH604" s="131"/>
      <c r="AI604" s="131"/>
      <c r="AJ604" s="131"/>
    </row>
    <row r="605">
      <c r="A605" s="126"/>
      <c r="B605" s="126"/>
      <c r="C605" s="126"/>
      <c r="D605" s="126"/>
      <c r="E605" s="126"/>
      <c r="F605" s="126"/>
      <c r="G605" s="128"/>
      <c r="H605" s="130"/>
      <c r="I605" s="130"/>
      <c r="J605" s="130"/>
      <c r="K605" s="130"/>
      <c r="L605" s="129"/>
      <c r="M605" s="130"/>
      <c r="N605" s="130"/>
      <c r="O605" s="130"/>
      <c r="P605" s="130"/>
      <c r="Q605" s="130"/>
      <c r="R605" s="130"/>
      <c r="S605" s="130"/>
      <c r="T605" s="130"/>
      <c r="U605" s="130"/>
      <c r="V605" s="130"/>
      <c r="W605" s="131"/>
      <c r="X605" s="131"/>
      <c r="Y605" s="131"/>
      <c r="Z605" s="131"/>
      <c r="AA605" s="131"/>
      <c r="AB605" s="131"/>
      <c r="AC605" s="131"/>
      <c r="AD605" s="131"/>
      <c r="AE605" s="131"/>
      <c r="AF605" s="131"/>
      <c r="AG605" s="131"/>
      <c r="AH605" s="131"/>
      <c r="AI605" s="131"/>
      <c r="AJ605" s="131"/>
    </row>
    <row r="606">
      <c r="A606" s="126"/>
      <c r="B606" s="126"/>
      <c r="C606" s="126"/>
      <c r="D606" s="126"/>
      <c r="E606" s="126"/>
      <c r="F606" s="126"/>
      <c r="G606" s="128"/>
      <c r="H606" s="130"/>
      <c r="I606" s="130"/>
      <c r="J606" s="130"/>
      <c r="K606" s="130"/>
      <c r="L606" s="129"/>
      <c r="M606" s="130"/>
      <c r="N606" s="130"/>
      <c r="O606" s="130"/>
      <c r="P606" s="130"/>
      <c r="Q606" s="130"/>
      <c r="R606" s="130"/>
      <c r="S606" s="130"/>
      <c r="T606" s="130"/>
      <c r="U606" s="130"/>
      <c r="V606" s="130"/>
      <c r="W606" s="131"/>
      <c r="X606" s="131"/>
      <c r="Y606" s="131"/>
      <c r="Z606" s="131"/>
      <c r="AA606" s="131"/>
      <c r="AB606" s="131"/>
      <c r="AC606" s="131"/>
      <c r="AD606" s="131"/>
      <c r="AE606" s="131"/>
      <c r="AF606" s="131"/>
      <c r="AG606" s="131"/>
      <c r="AH606" s="131"/>
      <c r="AI606" s="131"/>
      <c r="AJ606" s="131"/>
    </row>
    <row r="607">
      <c r="A607" s="126"/>
      <c r="B607" s="126"/>
      <c r="C607" s="126"/>
      <c r="D607" s="126"/>
      <c r="E607" s="126"/>
      <c r="F607" s="126"/>
      <c r="G607" s="128"/>
      <c r="H607" s="130"/>
      <c r="I607" s="130"/>
      <c r="J607" s="130"/>
      <c r="K607" s="130"/>
      <c r="L607" s="129"/>
      <c r="M607" s="130"/>
      <c r="N607" s="130"/>
      <c r="O607" s="130"/>
      <c r="P607" s="130"/>
      <c r="Q607" s="130"/>
      <c r="R607" s="130"/>
      <c r="S607" s="130"/>
      <c r="T607" s="130"/>
      <c r="U607" s="130"/>
      <c r="V607" s="130"/>
      <c r="W607" s="131"/>
      <c r="X607" s="131"/>
      <c r="Y607" s="131"/>
      <c r="Z607" s="131"/>
      <c r="AA607" s="131"/>
      <c r="AB607" s="131"/>
      <c r="AC607" s="131"/>
      <c r="AD607" s="131"/>
      <c r="AE607" s="131"/>
      <c r="AF607" s="131"/>
      <c r="AG607" s="131"/>
      <c r="AH607" s="131"/>
      <c r="AI607" s="131"/>
      <c r="AJ607" s="131"/>
    </row>
    <row r="608">
      <c r="A608" s="126"/>
      <c r="B608" s="126"/>
      <c r="C608" s="126"/>
      <c r="D608" s="126"/>
      <c r="E608" s="126"/>
      <c r="F608" s="126"/>
      <c r="G608" s="128"/>
      <c r="H608" s="130"/>
      <c r="I608" s="130"/>
      <c r="J608" s="130"/>
      <c r="K608" s="130"/>
      <c r="L608" s="129"/>
      <c r="M608" s="130"/>
      <c r="N608" s="130"/>
      <c r="O608" s="130"/>
      <c r="P608" s="130"/>
      <c r="Q608" s="130"/>
      <c r="R608" s="130"/>
      <c r="S608" s="130"/>
      <c r="T608" s="130"/>
      <c r="U608" s="130"/>
      <c r="V608" s="130"/>
      <c r="W608" s="131"/>
      <c r="X608" s="131"/>
      <c r="Y608" s="131"/>
      <c r="Z608" s="131"/>
      <c r="AA608" s="131"/>
      <c r="AB608" s="131"/>
      <c r="AC608" s="131"/>
      <c r="AD608" s="131"/>
      <c r="AE608" s="131"/>
      <c r="AF608" s="131"/>
      <c r="AG608" s="131"/>
      <c r="AH608" s="131"/>
      <c r="AI608" s="131"/>
      <c r="AJ608" s="131"/>
    </row>
    <row r="609">
      <c r="A609" s="126"/>
      <c r="B609" s="126"/>
      <c r="C609" s="126"/>
      <c r="D609" s="126"/>
      <c r="E609" s="126"/>
      <c r="F609" s="126"/>
      <c r="G609" s="128"/>
      <c r="H609" s="130"/>
      <c r="I609" s="130"/>
      <c r="J609" s="130"/>
      <c r="K609" s="130"/>
      <c r="L609" s="129"/>
      <c r="M609" s="130"/>
      <c r="N609" s="130"/>
      <c r="O609" s="130"/>
      <c r="P609" s="130"/>
      <c r="Q609" s="130"/>
      <c r="R609" s="130"/>
      <c r="S609" s="130"/>
      <c r="T609" s="130"/>
      <c r="U609" s="130"/>
      <c r="V609" s="130"/>
      <c r="W609" s="131"/>
      <c r="X609" s="131"/>
      <c r="Y609" s="131"/>
      <c r="Z609" s="131"/>
      <c r="AA609" s="131"/>
      <c r="AB609" s="131"/>
      <c r="AC609" s="131"/>
      <c r="AD609" s="131"/>
      <c r="AE609" s="131"/>
      <c r="AF609" s="131"/>
      <c r="AG609" s="131"/>
      <c r="AH609" s="131"/>
      <c r="AI609" s="131"/>
      <c r="AJ609" s="131"/>
    </row>
    <row r="610">
      <c r="A610" s="126"/>
      <c r="B610" s="126"/>
      <c r="C610" s="126"/>
      <c r="D610" s="126"/>
      <c r="E610" s="126"/>
      <c r="F610" s="126"/>
      <c r="G610" s="128"/>
      <c r="H610" s="130"/>
      <c r="I610" s="130"/>
      <c r="J610" s="130"/>
      <c r="K610" s="130"/>
      <c r="L610" s="129"/>
      <c r="M610" s="130"/>
      <c r="N610" s="130"/>
      <c r="O610" s="130"/>
      <c r="P610" s="130"/>
      <c r="Q610" s="130"/>
      <c r="R610" s="130"/>
      <c r="S610" s="130"/>
      <c r="T610" s="130"/>
      <c r="U610" s="130"/>
      <c r="V610" s="130"/>
      <c r="W610" s="131"/>
      <c r="X610" s="131"/>
      <c r="Y610" s="131"/>
      <c r="Z610" s="131"/>
      <c r="AA610" s="131"/>
      <c r="AB610" s="131"/>
      <c r="AC610" s="131"/>
      <c r="AD610" s="131"/>
      <c r="AE610" s="131"/>
      <c r="AF610" s="131"/>
      <c r="AG610" s="131"/>
      <c r="AH610" s="131"/>
      <c r="AI610" s="131"/>
      <c r="AJ610" s="131"/>
    </row>
    <row r="611">
      <c r="A611" s="126"/>
      <c r="B611" s="126"/>
      <c r="C611" s="126"/>
      <c r="D611" s="126"/>
      <c r="E611" s="126"/>
      <c r="F611" s="126"/>
      <c r="G611" s="128"/>
      <c r="H611" s="130"/>
      <c r="I611" s="130"/>
      <c r="J611" s="130"/>
      <c r="K611" s="130"/>
      <c r="L611" s="129"/>
      <c r="M611" s="130"/>
      <c r="N611" s="130"/>
      <c r="O611" s="130"/>
      <c r="P611" s="130"/>
      <c r="Q611" s="130"/>
      <c r="R611" s="130"/>
      <c r="S611" s="130"/>
      <c r="T611" s="130"/>
      <c r="U611" s="130"/>
      <c r="V611" s="130"/>
      <c r="W611" s="131"/>
      <c r="X611" s="131"/>
      <c r="Y611" s="131"/>
      <c r="Z611" s="131"/>
      <c r="AA611" s="131"/>
      <c r="AB611" s="131"/>
      <c r="AC611" s="131"/>
      <c r="AD611" s="131"/>
      <c r="AE611" s="131"/>
      <c r="AF611" s="131"/>
      <c r="AG611" s="131"/>
      <c r="AH611" s="131"/>
      <c r="AI611" s="131"/>
      <c r="AJ611" s="131"/>
    </row>
    <row r="612">
      <c r="A612" s="126"/>
      <c r="B612" s="126"/>
      <c r="C612" s="126"/>
      <c r="D612" s="126"/>
      <c r="E612" s="126"/>
      <c r="F612" s="126"/>
      <c r="G612" s="128"/>
      <c r="H612" s="130"/>
      <c r="I612" s="130"/>
      <c r="J612" s="130"/>
      <c r="K612" s="130"/>
      <c r="L612" s="129"/>
      <c r="M612" s="130"/>
      <c r="N612" s="130"/>
      <c r="O612" s="130"/>
      <c r="P612" s="130"/>
      <c r="Q612" s="130"/>
      <c r="R612" s="130"/>
      <c r="S612" s="130"/>
      <c r="T612" s="130"/>
      <c r="U612" s="130"/>
      <c r="V612" s="130"/>
      <c r="W612" s="131"/>
      <c r="X612" s="131"/>
      <c r="Y612" s="131"/>
      <c r="Z612" s="131"/>
      <c r="AA612" s="131"/>
      <c r="AB612" s="131"/>
      <c r="AC612" s="131"/>
      <c r="AD612" s="131"/>
      <c r="AE612" s="131"/>
      <c r="AF612" s="131"/>
      <c r="AG612" s="131"/>
      <c r="AH612" s="131"/>
      <c r="AI612" s="131"/>
      <c r="AJ612" s="131"/>
    </row>
    <row r="613">
      <c r="A613" s="126"/>
      <c r="B613" s="126"/>
      <c r="C613" s="126"/>
      <c r="D613" s="126"/>
      <c r="E613" s="126"/>
      <c r="F613" s="126"/>
      <c r="G613" s="128"/>
      <c r="H613" s="130"/>
      <c r="I613" s="130"/>
      <c r="J613" s="130"/>
      <c r="K613" s="130"/>
      <c r="L613" s="129"/>
      <c r="M613" s="130"/>
      <c r="N613" s="130"/>
      <c r="O613" s="130"/>
      <c r="P613" s="130"/>
      <c r="Q613" s="130"/>
      <c r="R613" s="130"/>
      <c r="S613" s="130"/>
      <c r="T613" s="130"/>
      <c r="U613" s="130"/>
      <c r="V613" s="130"/>
      <c r="W613" s="131"/>
      <c r="X613" s="131"/>
      <c r="Y613" s="131"/>
      <c r="Z613" s="131"/>
      <c r="AA613" s="131"/>
      <c r="AB613" s="131"/>
      <c r="AC613" s="131"/>
      <c r="AD613" s="131"/>
      <c r="AE613" s="131"/>
      <c r="AF613" s="131"/>
      <c r="AG613" s="131"/>
      <c r="AH613" s="131"/>
      <c r="AI613" s="131"/>
      <c r="AJ613" s="131"/>
    </row>
    <row r="614">
      <c r="A614" s="126"/>
      <c r="B614" s="126"/>
      <c r="C614" s="126"/>
      <c r="D614" s="126"/>
      <c r="E614" s="126"/>
      <c r="F614" s="126"/>
      <c r="G614" s="128"/>
      <c r="H614" s="130"/>
      <c r="I614" s="130"/>
      <c r="J614" s="130"/>
      <c r="K614" s="130"/>
      <c r="L614" s="129"/>
      <c r="M614" s="130"/>
      <c r="N614" s="130"/>
      <c r="O614" s="130"/>
      <c r="P614" s="130"/>
      <c r="Q614" s="130"/>
      <c r="R614" s="130"/>
      <c r="S614" s="130"/>
      <c r="T614" s="130"/>
      <c r="U614" s="130"/>
      <c r="V614" s="130"/>
      <c r="W614" s="131"/>
      <c r="X614" s="131"/>
      <c r="Y614" s="131"/>
      <c r="Z614" s="131"/>
      <c r="AA614" s="131"/>
      <c r="AB614" s="131"/>
      <c r="AC614" s="131"/>
      <c r="AD614" s="131"/>
      <c r="AE614" s="131"/>
      <c r="AF614" s="131"/>
      <c r="AG614" s="131"/>
      <c r="AH614" s="131"/>
      <c r="AI614" s="131"/>
      <c r="AJ614" s="131"/>
    </row>
    <row r="615">
      <c r="A615" s="126"/>
      <c r="B615" s="126"/>
      <c r="C615" s="126"/>
      <c r="D615" s="126"/>
      <c r="E615" s="126"/>
      <c r="F615" s="126"/>
      <c r="G615" s="128"/>
      <c r="H615" s="130"/>
      <c r="I615" s="130"/>
      <c r="J615" s="130"/>
      <c r="K615" s="130"/>
      <c r="L615" s="129"/>
      <c r="M615" s="130"/>
      <c r="N615" s="130"/>
      <c r="O615" s="130"/>
      <c r="P615" s="130"/>
      <c r="Q615" s="130"/>
      <c r="R615" s="130"/>
      <c r="S615" s="130"/>
      <c r="T615" s="130"/>
      <c r="U615" s="130"/>
      <c r="V615" s="130"/>
      <c r="W615" s="131"/>
      <c r="X615" s="131"/>
      <c r="Y615" s="131"/>
      <c r="Z615" s="131"/>
      <c r="AA615" s="131"/>
      <c r="AB615" s="131"/>
      <c r="AC615" s="131"/>
      <c r="AD615" s="131"/>
      <c r="AE615" s="131"/>
      <c r="AF615" s="131"/>
      <c r="AG615" s="131"/>
      <c r="AH615" s="131"/>
      <c r="AI615" s="131"/>
      <c r="AJ615" s="131"/>
    </row>
    <row r="616">
      <c r="A616" s="126"/>
      <c r="B616" s="126"/>
      <c r="C616" s="126"/>
      <c r="D616" s="126"/>
      <c r="E616" s="126"/>
      <c r="F616" s="126"/>
      <c r="G616" s="128"/>
      <c r="H616" s="130"/>
      <c r="I616" s="130"/>
      <c r="J616" s="130"/>
      <c r="K616" s="130"/>
      <c r="L616" s="129"/>
      <c r="M616" s="130"/>
      <c r="N616" s="130"/>
      <c r="O616" s="130"/>
      <c r="P616" s="130"/>
      <c r="Q616" s="130"/>
      <c r="R616" s="130"/>
      <c r="S616" s="130"/>
      <c r="T616" s="130"/>
      <c r="U616" s="130"/>
      <c r="V616" s="130"/>
      <c r="W616" s="131"/>
      <c r="X616" s="131"/>
      <c r="Y616" s="131"/>
      <c r="Z616" s="131"/>
      <c r="AA616" s="131"/>
      <c r="AB616" s="131"/>
      <c r="AC616" s="131"/>
      <c r="AD616" s="131"/>
      <c r="AE616" s="131"/>
      <c r="AF616" s="131"/>
      <c r="AG616" s="131"/>
      <c r="AH616" s="131"/>
      <c r="AI616" s="131"/>
      <c r="AJ616" s="131"/>
    </row>
    <row r="617">
      <c r="A617" s="126"/>
      <c r="B617" s="126"/>
      <c r="C617" s="126"/>
      <c r="D617" s="126"/>
      <c r="E617" s="126"/>
      <c r="F617" s="126"/>
      <c r="G617" s="128"/>
      <c r="H617" s="130"/>
      <c r="I617" s="130"/>
      <c r="J617" s="130"/>
      <c r="K617" s="130"/>
      <c r="L617" s="129"/>
      <c r="M617" s="130"/>
      <c r="N617" s="130"/>
      <c r="O617" s="130"/>
      <c r="P617" s="130"/>
      <c r="Q617" s="130"/>
      <c r="R617" s="130"/>
      <c r="S617" s="130"/>
      <c r="T617" s="130"/>
      <c r="U617" s="130"/>
      <c r="V617" s="130"/>
      <c r="W617" s="131"/>
      <c r="X617" s="131"/>
      <c r="Y617" s="131"/>
      <c r="Z617" s="131"/>
      <c r="AA617" s="131"/>
      <c r="AB617" s="131"/>
      <c r="AC617" s="131"/>
      <c r="AD617" s="131"/>
      <c r="AE617" s="131"/>
      <c r="AF617" s="131"/>
      <c r="AG617" s="131"/>
      <c r="AH617" s="131"/>
      <c r="AI617" s="131"/>
      <c r="AJ617" s="131"/>
    </row>
    <row r="618">
      <c r="A618" s="126"/>
      <c r="B618" s="126"/>
      <c r="C618" s="126"/>
      <c r="D618" s="126"/>
      <c r="E618" s="126"/>
      <c r="F618" s="126"/>
      <c r="G618" s="128"/>
      <c r="H618" s="130"/>
      <c r="I618" s="130"/>
      <c r="J618" s="130"/>
      <c r="K618" s="130"/>
      <c r="L618" s="129"/>
      <c r="M618" s="130"/>
      <c r="N618" s="130"/>
      <c r="O618" s="130"/>
      <c r="P618" s="130"/>
      <c r="Q618" s="130"/>
      <c r="R618" s="130"/>
      <c r="S618" s="130"/>
      <c r="T618" s="130"/>
      <c r="U618" s="130"/>
      <c r="V618" s="130"/>
      <c r="W618" s="131"/>
      <c r="X618" s="131"/>
      <c r="Y618" s="131"/>
      <c r="Z618" s="131"/>
      <c r="AA618" s="131"/>
      <c r="AB618" s="131"/>
      <c r="AC618" s="131"/>
      <c r="AD618" s="131"/>
      <c r="AE618" s="131"/>
      <c r="AF618" s="131"/>
      <c r="AG618" s="131"/>
      <c r="AH618" s="131"/>
      <c r="AI618" s="131"/>
      <c r="AJ618" s="131"/>
    </row>
    <row r="619">
      <c r="A619" s="126"/>
      <c r="B619" s="126"/>
      <c r="C619" s="126"/>
      <c r="D619" s="126"/>
      <c r="E619" s="126"/>
      <c r="F619" s="126"/>
      <c r="G619" s="128"/>
      <c r="H619" s="130"/>
      <c r="I619" s="130"/>
      <c r="J619" s="130"/>
      <c r="K619" s="130"/>
      <c r="L619" s="129"/>
      <c r="M619" s="130"/>
      <c r="N619" s="130"/>
      <c r="O619" s="130"/>
      <c r="P619" s="130"/>
      <c r="Q619" s="130"/>
      <c r="R619" s="130"/>
      <c r="S619" s="130"/>
      <c r="T619" s="130"/>
      <c r="U619" s="130"/>
      <c r="V619" s="130"/>
      <c r="W619" s="131"/>
      <c r="X619" s="131"/>
      <c r="Y619" s="131"/>
      <c r="Z619" s="131"/>
      <c r="AA619" s="131"/>
      <c r="AB619" s="131"/>
      <c r="AC619" s="131"/>
      <c r="AD619" s="131"/>
      <c r="AE619" s="131"/>
      <c r="AF619" s="131"/>
      <c r="AG619" s="131"/>
      <c r="AH619" s="131"/>
      <c r="AI619" s="131"/>
      <c r="AJ619" s="131"/>
    </row>
    <row r="620">
      <c r="A620" s="126"/>
      <c r="B620" s="126"/>
      <c r="C620" s="126"/>
      <c r="D620" s="126"/>
      <c r="E620" s="126"/>
      <c r="F620" s="126"/>
      <c r="G620" s="128"/>
      <c r="H620" s="130"/>
      <c r="I620" s="130"/>
      <c r="J620" s="130"/>
      <c r="K620" s="130"/>
      <c r="L620" s="129"/>
      <c r="M620" s="130"/>
      <c r="N620" s="130"/>
      <c r="O620" s="130"/>
      <c r="P620" s="130"/>
      <c r="Q620" s="130"/>
      <c r="R620" s="130"/>
      <c r="S620" s="130"/>
      <c r="T620" s="130"/>
      <c r="U620" s="130"/>
      <c r="V620" s="130"/>
      <c r="W620" s="131"/>
      <c r="X620" s="131"/>
      <c r="Y620" s="131"/>
      <c r="Z620" s="131"/>
      <c r="AA620" s="131"/>
      <c r="AB620" s="131"/>
      <c r="AC620" s="131"/>
      <c r="AD620" s="131"/>
      <c r="AE620" s="131"/>
      <c r="AF620" s="131"/>
      <c r="AG620" s="131"/>
      <c r="AH620" s="131"/>
      <c r="AI620" s="131"/>
      <c r="AJ620" s="131"/>
    </row>
    <row r="621">
      <c r="A621" s="126"/>
      <c r="B621" s="126"/>
      <c r="C621" s="126"/>
      <c r="D621" s="126"/>
      <c r="E621" s="126"/>
      <c r="F621" s="126"/>
      <c r="G621" s="128"/>
      <c r="H621" s="130"/>
      <c r="I621" s="130"/>
      <c r="J621" s="130"/>
      <c r="K621" s="130"/>
      <c r="L621" s="129"/>
      <c r="M621" s="130"/>
      <c r="N621" s="130"/>
      <c r="O621" s="130"/>
      <c r="P621" s="130"/>
      <c r="Q621" s="130"/>
      <c r="R621" s="130"/>
      <c r="S621" s="130"/>
      <c r="T621" s="130"/>
      <c r="U621" s="130"/>
      <c r="V621" s="130"/>
      <c r="W621" s="131"/>
      <c r="X621" s="131"/>
      <c r="Y621" s="131"/>
      <c r="Z621" s="131"/>
      <c r="AA621" s="131"/>
      <c r="AB621" s="131"/>
      <c r="AC621" s="131"/>
      <c r="AD621" s="131"/>
      <c r="AE621" s="131"/>
      <c r="AF621" s="131"/>
      <c r="AG621" s="131"/>
      <c r="AH621" s="131"/>
      <c r="AI621" s="131"/>
      <c r="AJ621" s="131"/>
    </row>
    <row r="622">
      <c r="A622" s="126"/>
      <c r="B622" s="126"/>
      <c r="C622" s="126"/>
      <c r="D622" s="126"/>
      <c r="E622" s="126"/>
      <c r="F622" s="126"/>
      <c r="G622" s="128"/>
      <c r="H622" s="130"/>
      <c r="I622" s="130"/>
      <c r="J622" s="130"/>
      <c r="K622" s="130"/>
      <c r="L622" s="129"/>
      <c r="M622" s="130"/>
      <c r="N622" s="130"/>
      <c r="O622" s="130"/>
      <c r="P622" s="130"/>
      <c r="Q622" s="130"/>
      <c r="R622" s="130"/>
      <c r="S622" s="130"/>
      <c r="T622" s="130"/>
      <c r="U622" s="130"/>
      <c r="V622" s="130"/>
      <c r="W622" s="131"/>
      <c r="X622" s="131"/>
      <c r="Y622" s="131"/>
      <c r="Z622" s="131"/>
      <c r="AA622" s="131"/>
      <c r="AB622" s="131"/>
      <c r="AC622" s="131"/>
      <c r="AD622" s="131"/>
      <c r="AE622" s="131"/>
      <c r="AF622" s="131"/>
      <c r="AG622" s="131"/>
      <c r="AH622" s="131"/>
      <c r="AI622" s="131"/>
      <c r="AJ622" s="131"/>
    </row>
    <row r="623">
      <c r="A623" s="126"/>
      <c r="B623" s="126"/>
      <c r="C623" s="126"/>
      <c r="D623" s="126"/>
      <c r="E623" s="126"/>
      <c r="F623" s="126"/>
      <c r="G623" s="128"/>
      <c r="H623" s="130"/>
      <c r="I623" s="130"/>
      <c r="J623" s="130"/>
      <c r="K623" s="130"/>
      <c r="L623" s="129"/>
      <c r="M623" s="130"/>
      <c r="N623" s="130"/>
      <c r="O623" s="130"/>
      <c r="P623" s="130"/>
      <c r="Q623" s="130"/>
      <c r="R623" s="130"/>
      <c r="S623" s="130"/>
      <c r="T623" s="130"/>
      <c r="U623" s="130"/>
      <c r="V623" s="130"/>
      <c r="W623" s="131"/>
      <c r="X623" s="131"/>
      <c r="Y623" s="131"/>
      <c r="Z623" s="131"/>
      <c r="AA623" s="131"/>
      <c r="AB623" s="131"/>
      <c r="AC623" s="131"/>
      <c r="AD623" s="131"/>
      <c r="AE623" s="131"/>
      <c r="AF623" s="131"/>
      <c r="AG623" s="131"/>
      <c r="AH623" s="131"/>
      <c r="AI623" s="131"/>
      <c r="AJ623" s="131"/>
    </row>
    <row r="624">
      <c r="A624" s="126"/>
      <c r="B624" s="126"/>
      <c r="C624" s="126"/>
      <c r="D624" s="126"/>
      <c r="E624" s="126"/>
      <c r="F624" s="126"/>
      <c r="G624" s="128"/>
      <c r="H624" s="130"/>
      <c r="I624" s="130"/>
      <c r="J624" s="130"/>
      <c r="K624" s="130"/>
      <c r="L624" s="129"/>
      <c r="M624" s="130"/>
      <c r="N624" s="130"/>
      <c r="O624" s="130"/>
      <c r="P624" s="130"/>
      <c r="Q624" s="130"/>
      <c r="R624" s="130"/>
      <c r="S624" s="130"/>
      <c r="T624" s="130"/>
      <c r="U624" s="130"/>
      <c r="V624" s="130"/>
      <c r="W624" s="131"/>
      <c r="X624" s="131"/>
      <c r="Y624" s="131"/>
      <c r="Z624" s="131"/>
      <c r="AA624" s="131"/>
      <c r="AB624" s="131"/>
      <c r="AC624" s="131"/>
      <c r="AD624" s="131"/>
      <c r="AE624" s="131"/>
      <c r="AF624" s="131"/>
      <c r="AG624" s="131"/>
      <c r="AH624" s="131"/>
      <c r="AI624" s="131"/>
      <c r="AJ624" s="131"/>
    </row>
    <row r="625">
      <c r="A625" s="126"/>
      <c r="B625" s="126"/>
      <c r="C625" s="126"/>
      <c r="D625" s="126"/>
      <c r="E625" s="126"/>
      <c r="F625" s="126"/>
      <c r="G625" s="128"/>
      <c r="H625" s="130"/>
      <c r="I625" s="130"/>
      <c r="J625" s="130"/>
      <c r="K625" s="130"/>
      <c r="L625" s="129"/>
      <c r="M625" s="130"/>
      <c r="N625" s="130"/>
      <c r="O625" s="130"/>
      <c r="P625" s="130"/>
      <c r="Q625" s="130"/>
      <c r="R625" s="130"/>
      <c r="S625" s="130"/>
      <c r="T625" s="130"/>
      <c r="U625" s="130"/>
      <c r="V625" s="130"/>
      <c r="W625" s="131"/>
      <c r="X625" s="131"/>
      <c r="Y625" s="131"/>
      <c r="Z625" s="131"/>
      <c r="AA625" s="131"/>
      <c r="AB625" s="131"/>
      <c r="AC625" s="131"/>
      <c r="AD625" s="131"/>
      <c r="AE625" s="131"/>
      <c r="AF625" s="131"/>
      <c r="AG625" s="131"/>
      <c r="AH625" s="131"/>
      <c r="AI625" s="131"/>
      <c r="AJ625" s="131"/>
    </row>
    <row r="626">
      <c r="A626" s="126"/>
      <c r="B626" s="126"/>
      <c r="C626" s="126"/>
      <c r="D626" s="126"/>
      <c r="E626" s="126"/>
      <c r="F626" s="126"/>
      <c r="G626" s="128"/>
      <c r="H626" s="130"/>
      <c r="I626" s="130"/>
      <c r="J626" s="130"/>
      <c r="K626" s="130"/>
      <c r="L626" s="129"/>
      <c r="M626" s="130"/>
      <c r="N626" s="130"/>
      <c r="O626" s="130"/>
      <c r="P626" s="130"/>
      <c r="Q626" s="130"/>
      <c r="R626" s="130"/>
      <c r="S626" s="130"/>
      <c r="T626" s="130"/>
      <c r="U626" s="130"/>
      <c r="V626" s="130"/>
      <c r="W626" s="131"/>
      <c r="X626" s="131"/>
      <c r="Y626" s="131"/>
      <c r="Z626" s="131"/>
      <c r="AA626" s="131"/>
      <c r="AB626" s="131"/>
      <c r="AC626" s="131"/>
      <c r="AD626" s="131"/>
      <c r="AE626" s="131"/>
      <c r="AF626" s="131"/>
      <c r="AG626" s="131"/>
      <c r="AH626" s="131"/>
      <c r="AI626" s="131"/>
      <c r="AJ626" s="131"/>
    </row>
    <row r="627">
      <c r="A627" s="126"/>
      <c r="B627" s="126"/>
      <c r="C627" s="126"/>
      <c r="D627" s="126"/>
      <c r="E627" s="126"/>
      <c r="F627" s="126"/>
      <c r="G627" s="128"/>
      <c r="H627" s="130"/>
      <c r="I627" s="130"/>
      <c r="J627" s="130"/>
      <c r="K627" s="130"/>
      <c r="L627" s="129"/>
      <c r="M627" s="130"/>
      <c r="N627" s="130"/>
      <c r="O627" s="130"/>
      <c r="P627" s="130"/>
      <c r="Q627" s="130"/>
      <c r="R627" s="130"/>
      <c r="S627" s="130"/>
      <c r="T627" s="130"/>
      <c r="U627" s="130"/>
      <c r="V627" s="130"/>
      <c r="W627" s="131"/>
      <c r="X627" s="131"/>
      <c r="Y627" s="131"/>
      <c r="Z627" s="131"/>
      <c r="AA627" s="131"/>
      <c r="AB627" s="131"/>
      <c r="AC627" s="131"/>
      <c r="AD627" s="131"/>
      <c r="AE627" s="131"/>
      <c r="AF627" s="131"/>
      <c r="AG627" s="131"/>
      <c r="AH627" s="131"/>
      <c r="AI627" s="131"/>
      <c r="AJ627" s="131"/>
    </row>
    <row r="628">
      <c r="A628" s="126"/>
      <c r="B628" s="126"/>
      <c r="C628" s="126"/>
      <c r="D628" s="126"/>
      <c r="E628" s="126"/>
      <c r="F628" s="126"/>
      <c r="G628" s="128"/>
      <c r="H628" s="130"/>
      <c r="I628" s="130"/>
      <c r="J628" s="130"/>
      <c r="K628" s="130"/>
      <c r="L628" s="129"/>
      <c r="M628" s="130"/>
      <c r="N628" s="130"/>
      <c r="O628" s="130"/>
      <c r="P628" s="130"/>
      <c r="Q628" s="130"/>
      <c r="R628" s="130"/>
      <c r="S628" s="130"/>
      <c r="T628" s="130"/>
      <c r="U628" s="130"/>
      <c r="V628" s="130"/>
      <c r="W628" s="131"/>
      <c r="X628" s="131"/>
      <c r="Y628" s="131"/>
      <c r="Z628" s="131"/>
      <c r="AA628" s="131"/>
      <c r="AB628" s="131"/>
      <c r="AC628" s="131"/>
      <c r="AD628" s="131"/>
      <c r="AE628" s="131"/>
      <c r="AF628" s="131"/>
      <c r="AG628" s="131"/>
      <c r="AH628" s="131"/>
      <c r="AI628" s="131"/>
      <c r="AJ628" s="131"/>
    </row>
    <row r="629">
      <c r="A629" s="126"/>
      <c r="B629" s="126"/>
      <c r="C629" s="126"/>
      <c r="D629" s="126"/>
      <c r="E629" s="126"/>
      <c r="F629" s="126"/>
      <c r="G629" s="128"/>
      <c r="H629" s="130"/>
      <c r="I629" s="130"/>
      <c r="J629" s="130"/>
      <c r="K629" s="130"/>
      <c r="L629" s="129"/>
      <c r="M629" s="130"/>
      <c r="N629" s="130"/>
      <c r="O629" s="130"/>
      <c r="P629" s="130"/>
      <c r="Q629" s="130"/>
      <c r="R629" s="130"/>
      <c r="S629" s="130"/>
      <c r="T629" s="130"/>
      <c r="U629" s="130"/>
      <c r="V629" s="130"/>
      <c r="W629" s="131"/>
      <c r="X629" s="131"/>
      <c r="Y629" s="131"/>
      <c r="Z629" s="131"/>
      <c r="AA629" s="131"/>
      <c r="AB629" s="131"/>
      <c r="AC629" s="131"/>
      <c r="AD629" s="131"/>
      <c r="AE629" s="131"/>
      <c r="AF629" s="131"/>
      <c r="AG629" s="131"/>
      <c r="AH629" s="131"/>
      <c r="AI629" s="131"/>
      <c r="AJ629" s="131"/>
    </row>
    <row r="630">
      <c r="A630" s="126"/>
      <c r="B630" s="126"/>
      <c r="C630" s="126"/>
      <c r="D630" s="126"/>
      <c r="E630" s="126"/>
      <c r="F630" s="126"/>
      <c r="G630" s="128"/>
      <c r="H630" s="130"/>
      <c r="I630" s="130"/>
      <c r="J630" s="130"/>
      <c r="K630" s="130"/>
      <c r="L630" s="129"/>
      <c r="M630" s="130"/>
      <c r="N630" s="130"/>
      <c r="O630" s="130"/>
      <c r="P630" s="130"/>
      <c r="Q630" s="130"/>
      <c r="R630" s="130"/>
      <c r="S630" s="130"/>
      <c r="T630" s="130"/>
      <c r="U630" s="130"/>
      <c r="V630" s="130"/>
      <c r="W630" s="131"/>
      <c r="X630" s="131"/>
      <c r="Y630" s="131"/>
      <c r="Z630" s="131"/>
      <c r="AA630" s="131"/>
      <c r="AB630" s="131"/>
      <c r="AC630" s="131"/>
      <c r="AD630" s="131"/>
      <c r="AE630" s="131"/>
      <c r="AF630" s="131"/>
      <c r="AG630" s="131"/>
      <c r="AH630" s="131"/>
      <c r="AI630" s="131"/>
      <c r="AJ630" s="131"/>
    </row>
    <row r="631">
      <c r="A631" s="126"/>
      <c r="B631" s="126"/>
      <c r="C631" s="126"/>
      <c r="D631" s="126"/>
      <c r="E631" s="126"/>
      <c r="F631" s="126"/>
      <c r="G631" s="128"/>
      <c r="H631" s="130"/>
      <c r="I631" s="130"/>
      <c r="J631" s="130"/>
      <c r="K631" s="130"/>
      <c r="L631" s="129"/>
      <c r="M631" s="130"/>
      <c r="N631" s="130"/>
      <c r="O631" s="130"/>
      <c r="P631" s="130"/>
      <c r="Q631" s="130"/>
      <c r="R631" s="130"/>
      <c r="S631" s="130"/>
      <c r="T631" s="130"/>
      <c r="U631" s="130"/>
      <c r="V631" s="130"/>
      <c r="W631" s="131"/>
      <c r="X631" s="131"/>
      <c r="Y631" s="131"/>
      <c r="Z631" s="131"/>
      <c r="AA631" s="131"/>
      <c r="AB631" s="131"/>
      <c r="AC631" s="131"/>
      <c r="AD631" s="131"/>
      <c r="AE631" s="131"/>
      <c r="AF631" s="131"/>
      <c r="AG631" s="131"/>
      <c r="AH631" s="131"/>
      <c r="AI631" s="131"/>
      <c r="AJ631" s="131"/>
    </row>
    <row r="632">
      <c r="A632" s="126"/>
      <c r="B632" s="126"/>
      <c r="C632" s="126"/>
      <c r="D632" s="126"/>
      <c r="E632" s="126"/>
      <c r="F632" s="126"/>
      <c r="G632" s="128"/>
      <c r="H632" s="130"/>
      <c r="I632" s="130"/>
      <c r="J632" s="130"/>
      <c r="K632" s="130"/>
      <c r="L632" s="129"/>
      <c r="M632" s="130"/>
      <c r="N632" s="130"/>
      <c r="O632" s="130"/>
      <c r="P632" s="130"/>
      <c r="Q632" s="130"/>
      <c r="R632" s="130"/>
      <c r="S632" s="130"/>
      <c r="T632" s="130"/>
      <c r="U632" s="130"/>
      <c r="V632" s="130"/>
      <c r="W632" s="131"/>
      <c r="X632" s="131"/>
      <c r="Y632" s="131"/>
      <c r="Z632" s="131"/>
      <c r="AA632" s="131"/>
      <c r="AB632" s="131"/>
      <c r="AC632" s="131"/>
      <c r="AD632" s="131"/>
      <c r="AE632" s="131"/>
      <c r="AF632" s="131"/>
      <c r="AG632" s="131"/>
      <c r="AH632" s="131"/>
      <c r="AI632" s="131"/>
      <c r="AJ632" s="131"/>
    </row>
    <row r="633">
      <c r="A633" s="126"/>
      <c r="B633" s="126"/>
      <c r="C633" s="126"/>
      <c r="D633" s="126"/>
      <c r="E633" s="126"/>
      <c r="F633" s="126"/>
      <c r="G633" s="128"/>
      <c r="H633" s="130"/>
      <c r="I633" s="130"/>
      <c r="J633" s="130"/>
      <c r="K633" s="130"/>
      <c r="L633" s="129"/>
      <c r="M633" s="130"/>
      <c r="N633" s="130"/>
      <c r="O633" s="130"/>
      <c r="P633" s="130"/>
      <c r="Q633" s="130"/>
      <c r="R633" s="130"/>
      <c r="S633" s="130"/>
      <c r="T633" s="130"/>
      <c r="U633" s="130"/>
      <c r="V633" s="130"/>
      <c r="W633" s="131"/>
      <c r="X633" s="131"/>
      <c r="Y633" s="131"/>
      <c r="Z633" s="131"/>
      <c r="AA633" s="131"/>
      <c r="AB633" s="131"/>
      <c r="AC633" s="131"/>
      <c r="AD633" s="131"/>
      <c r="AE633" s="131"/>
      <c r="AF633" s="131"/>
      <c r="AG633" s="131"/>
      <c r="AH633" s="131"/>
      <c r="AI633" s="131"/>
      <c r="AJ633" s="131"/>
    </row>
    <row r="634">
      <c r="A634" s="126"/>
      <c r="B634" s="126"/>
      <c r="C634" s="126"/>
      <c r="D634" s="126"/>
      <c r="E634" s="126"/>
      <c r="F634" s="126"/>
      <c r="G634" s="128"/>
      <c r="H634" s="130"/>
      <c r="I634" s="130"/>
      <c r="J634" s="130"/>
      <c r="K634" s="130"/>
      <c r="L634" s="129"/>
      <c r="M634" s="130"/>
      <c r="N634" s="130"/>
      <c r="O634" s="130"/>
      <c r="P634" s="130"/>
      <c r="Q634" s="130"/>
      <c r="R634" s="130"/>
      <c r="S634" s="130"/>
      <c r="T634" s="130"/>
      <c r="U634" s="130"/>
      <c r="V634" s="130"/>
      <c r="W634" s="131"/>
      <c r="X634" s="131"/>
      <c r="Y634" s="131"/>
      <c r="Z634" s="131"/>
      <c r="AA634" s="131"/>
      <c r="AB634" s="131"/>
      <c r="AC634" s="131"/>
      <c r="AD634" s="131"/>
      <c r="AE634" s="131"/>
      <c r="AF634" s="131"/>
      <c r="AG634" s="131"/>
      <c r="AH634" s="131"/>
      <c r="AI634" s="131"/>
      <c r="AJ634" s="131"/>
    </row>
    <row r="635">
      <c r="A635" s="126"/>
      <c r="B635" s="126"/>
      <c r="C635" s="126"/>
      <c r="D635" s="126"/>
      <c r="E635" s="126"/>
      <c r="F635" s="126"/>
      <c r="G635" s="128"/>
      <c r="H635" s="130"/>
      <c r="I635" s="130"/>
      <c r="J635" s="130"/>
      <c r="K635" s="130"/>
      <c r="L635" s="129"/>
      <c r="M635" s="130"/>
      <c r="N635" s="130"/>
      <c r="O635" s="130"/>
      <c r="P635" s="130"/>
      <c r="Q635" s="130"/>
      <c r="R635" s="130"/>
      <c r="S635" s="130"/>
      <c r="T635" s="130"/>
      <c r="U635" s="130"/>
      <c r="V635" s="130"/>
      <c r="W635" s="131"/>
      <c r="X635" s="131"/>
      <c r="Y635" s="131"/>
      <c r="Z635" s="131"/>
      <c r="AA635" s="131"/>
      <c r="AB635" s="131"/>
      <c r="AC635" s="131"/>
      <c r="AD635" s="131"/>
      <c r="AE635" s="131"/>
      <c r="AF635" s="131"/>
      <c r="AG635" s="131"/>
      <c r="AH635" s="131"/>
      <c r="AI635" s="131"/>
      <c r="AJ635" s="131"/>
    </row>
    <row r="636">
      <c r="A636" s="126"/>
      <c r="B636" s="126"/>
      <c r="C636" s="126"/>
      <c r="D636" s="126"/>
      <c r="E636" s="126"/>
      <c r="F636" s="126"/>
      <c r="G636" s="128"/>
      <c r="H636" s="130"/>
      <c r="I636" s="130"/>
      <c r="J636" s="130"/>
      <c r="K636" s="130"/>
      <c r="L636" s="129"/>
      <c r="M636" s="130"/>
      <c r="N636" s="130"/>
      <c r="O636" s="130"/>
      <c r="P636" s="130"/>
      <c r="Q636" s="130"/>
      <c r="R636" s="130"/>
      <c r="S636" s="130"/>
      <c r="T636" s="130"/>
      <c r="U636" s="130"/>
      <c r="V636" s="130"/>
      <c r="W636" s="131"/>
      <c r="X636" s="131"/>
      <c r="Y636" s="131"/>
      <c r="Z636" s="131"/>
      <c r="AA636" s="131"/>
      <c r="AB636" s="131"/>
      <c r="AC636" s="131"/>
      <c r="AD636" s="131"/>
      <c r="AE636" s="131"/>
      <c r="AF636" s="131"/>
      <c r="AG636" s="131"/>
      <c r="AH636" s="131"/>
      <c r="AI636" s="131"/>
      <c r="AJ636" s="131"/>
    </row>
    <row r="637">
      <c r="A637" s="126"/>
      <c r="B637" s="126"/>
      <c r="C637" s="126"/>
      <c r="D637" s="126"/>
      <c r="E637" s="126"/>
      <c r="F637" s="126"/>
      <c r="G637" s="128"/>
      <c r="H637" s="130"/>
      <c r="I637" s="130"/>
      <c r="J637" s="130"/>
      <c r="K637" s="130"/>
      <c r="L637" s="129"/>
      <c r="M637" s="130"/>
      <c r="N637" s="130"/>
      <c r="O637" s="130"/>
      <c r="P637" s="130"/>
      <c r="Q637" s="130"/>
      <c r="R637" s="130"/>
      <c r="S637" s="130"/>
      <c r="T637" s="130"/>
      <c r="U637" s="130"/>
      <c r="V637" s="130"/>
      <c r="W637" s="131"/>
      <c r="X637" s="131"/>
      <c r="Y637" s="131"/>
      <c r="Z637" s="131"/>
      <c r="AA637" s="131"/>
      <c r="AB637" s="131"/>
      <c r="AC637" s="131"/>
      <c r="AD637" s="131"/>
      <c r="AE637" s="131"/>
      <c r="AF637" s="131"/>
      <c r="AG637" s="131"/>
      <c r="AH637" s="131"/>
      <c r="AI637" s="131"/>
      <c r="AJ637" s="131"/>
    </row>
    <row r="638">
      <c r="A638" s="126"/>
      <c r="B638" s="126"/>
      <c r="C638" s="126"/>
      <c r="D638" s="126"/>
      <c r="E638" s="126"/>
      <c r="F638" s="126"/>
      <c r="G638" s="128"/>
      <c r="H638" s="130"/>
      <c r="I638" s="130"/>
      <c r="J638" s="130"/>
      <c r="K638" s="130"/>
      <c r="L638" s="129"/>
      <c r="M638" s="130"/>
      <c r="N638" s="130"/>
      <c r="O638" s="130"/>
      <c r="P638" s="130"/>
      <c r="Q638" s="130"/>
      <c r="R638" s="130"/>
      <c r="S638" s="130"/>
      <c r="T638" s="130"/>
      <c r="U638" s="130"/>
      <c r="V638" s="130"/>
      <c r="W638" s="131"/>
      <c r="X638" s="131"/>
      <c r="Y638" s="131"/>
      <c r="Z638" s="131"/>
      <c r="AA638" s="131"/>
      <c r="AB638" s="131"/>
      <c r="AC638" s="131"/>
      <c r="AD638" s="131"/>
      <c r="AE638" s="131"/>
      <c r="AF638" s="131"/>
      <c r="AG638" s="131"/>
      <c r="AH638" s="131"/>
      <c r="AI638" s="131"/>
      <c r="AJ638" s="131"/>
    </row>
    <row r="639">
      <c r="A639" s="126"/>
      <c r="B639" s="126"/>
      <c r="C639" s="126"/>
      <c r="D639" s="126"/>
      <c r="E639" s="126"/>
      <c r="F639" s="126"/>
      <c r="G639" s="128"/>
      <c r="H639" s="130"/>
      <c r="I639" s="130"/>
      <c r="J639" s="130"/>
      <c r="K639" s="130"/>
      <c r="L639" s="129"/>
      <c r="M639" s="130"/>
      <c r="N639" s="130"/>
      <c r="O639" s="130"/>
      <c r="P639" s="130"/>
      <c r="Q639" s="130"/>
      <c r="R639" s="130"/>
      <c r="S639" s="130"/>
      <c r="T639" s="130"/>
      <c r="U639" s="130"/>
      <c r="V639" s="130"/>
      <c r="W639" s="131"/>
      <c r="X639" s="131"/>
      <c r="Y639" s="131"/>
      <c r="Z639" s="131"/>
      <c r="AA639" s="131"/>
      <c r="AB639" s="131"/>
      <c r="AC639" s="131"/>
      <c r="AD639" s="131"/>
      <c r="AE639" s="131"/>
      <c r="AF639" s="131"/>
      <c r="AG639" s="131"/>
      <c r="AH639" s="131"/>
      <c r="AI639" s="131"/>
      <c r="AJ639" s="131"/>
    </row>
    <row r="640">
      <c r="A640" s="126"/>
      <c r="B640" s="126"/>
      <c r="C640" s="126"/>
      <c r="D640" s="126"/>
      <c r="E640" s="126"/>
      <c r="F640" s="126"/>
      <c r="G640" s="128"/>
      <c r="H640" s="130"/>
      <c r="I640" s="130"/>
      <c r="J640" s="130"/>
      <c r="K640" s="130"/>
      <c r="L640" s="129"/>
      <c r="M640" s="130"/>
      <c r="N640" s="130"/>
      <c r="O640" s="130"/>
      <c r="P640" s="130"/>
      <c r="Q640" s="130"/>
      <c r="R640" s="130"/>
      <c r="S640" s="130"/>
      <c r="T640" s="130"/>
      <c r="U640" s="130"/>
      <c r="V640" s="130"/>
      <c r="W640" s="131"/>
      <c r="X640" s="131"/>
      <c r="Y640" s="131"/>
      <c r="Z640" s="131"/>
      <c r="AA640" s="131"/>
      <c r="AB640" s="131"/>
      <c r="AC640" s="131"/>
      <c r="AD640" s="131"/>
      <c r="AE640" s="131"/>
      <c r="AF640" s="131"/>
      <c r="AG640" s="131"/>
      <c r="AH640" s="131"/>
      <c r="AI640" s="131"/>
      <c r="AJ640" s="131"/>
    </row>
    <row r="641">
      <c r="A641" s="126"/>
      <c r="B641" s="126"/>
      <c r="C641" s="126"/>
      <c r="D641" s="126"/>
      <c r="E641" s="126"/>
      <c r="F641" s="126"/>
      <c r="G641" s="128"/>
      <c r="H641" s="130"/>
      <c r="I641" s="130"/>
      <c r="J641" s="130"/>
      <c r="K641" s="130"/>
      <c r="L641" s="129"/>
      <c r="M641" s="130"/>
      <c r="N641" s="130"/>
      <c r="O641" s="130"/>
      <c r="P641" s="130"/>
      <c r="Q641" s="130"/>
      <c r="R641" s="130"/>
      <c r="S641" s="130"/>
      <c r="T641" s="130"/>
      <c r="U641" s="130"/>
      <c r="V641" s="130"/>
      <c r="W641" s="131"/>
      <c r="X641" s="131"/>
      <c r="Y641" s="131"/>
      <c r="Z641" s="131"/>
      <c r="AA641" s="131"/>
      <c r="AB641" s="131"/>
      <c r="AC641" s="131"/>
      <c r="AD641" s="131"/>
      <c r="AE641" s="131"/>
      <c r="AF641" s="131"/>
      <c r="AG641" s="131"/>
      <c r="AH641" s="131"/>
      <c r="AI641" s="131"/>
      <c r="AJ641" s="131"/>
    </row>
    <row r="642">
      <c r="A642" s="126"/>
      <c r="B642" s="126"/>
      <c r="C642" s="126"/>
      <c r="D642" s="126"/>
      <c r="E642" s="126"/>
      <c r="F642" s="126"/>
      <c r="G642" s="128"/>
      <c r="H642" s="130"/>
      <c r="I642" s="130"/>
      <c r="J642" s="130"/>
      <c r="K642" s="130"/>
      <c r="L642" s="129"/>
      <c r="M642" s="130"/>
      <c r="N642" s="130"/>
      <c r="O642" s="130"/>
      <c r="P642" s="130"/>
      <c r="Q642" s="130"/>
      <c r="R642" s="130"/>
      <c r="S642" s="130"/>
      <c r="T642" s="130"/>
      <c r="U642" s="130"/>
      <c r="V642" s="130"/>
      <c r="W642" s="131"/>
      <c r="X642" s="131"/>
      <c r="Y642" s="131"/>
      <c r="Z642" s="131"/>
      <c r="AA642" s="131"/>
      <c r="AB642" s="131"/>
      <c r="AC642" s="131"/>
      <c r="AD642" s="131"/>
      <c r="AE642" s="131"/>
      <c r="AF642" s="131"/>
      <c r="AG642" s="131"/>
      <c r="AH642" s="131"/>
      <c r="AI642" s="131"/>
      <c r="AJ642" s="131"/>
    </row>
    <row r="643">
      <c r="A643" s="126"/>
      <c r="B643" s="126"/>
      <c r="C643" s="126"/>
      <c r="D643" s="126"/>
      <c r="E643" s="126"/>
      <c r="F643" s="126"/>
      <c r="G643" s="128"/>
      <c r="H643" s="130"/>
      <c r="I643" s="130"/>
      <c r="J643" s="130"/>
      <c r="K643" s="130"/>
      <c r="L643" s="129"/>
      <c r="M643" s="130"/>
      <c r="N643" s="130"/>
      <c r="O643" s="130"/>
      <c r="P643" s="130"/>
      <c r="Q643" s="130"/>
      <c r="R643" s="130"/>
      <c r="S643" s="130"/>
      <c r="T643" s="130"/>
      <c r="U643" s="130"/>
      <c r="V643" s="130"/>
      <c r="W643" s="131"/>
      <c r="X643" s="131"/>
      <c r="Y643" s="131"/>
      <c r="Z643" s="131"/>
      <c r="AA643" s="131"/>
      <c r="AB643" s="131"/>
      <c r="AC643" s="131"/>
      <c r="AD643" s="131"/>
      <c r="AE643" s="131"/>
      <c r="AF643" s="131"/>
      <c r="AG643" s="131"/>
      <c r="AH643" s="131"/>
      <c r="AI643" s="131"/>
      <c r="AJ643" s="131"/>
    </row>
    <row r="644">
      <c r="A644" s="126"/>
      <c r="B644" s="126"/>
      <c r="C644" s="126"/>
      <c r="D644" s="126"/>
      <c r="E644" s="126"/>
      <c r="F644" s="126"/>
      <c r="G644" s="128"/>
      <c r="H644" s="130"/>
      <c r="I644" s="130"/>
      <c r="J644" s="130"/>
      <c r="K644" s="130"/>
      <c r="L644" s="129"/>
      <c r="M644" s="130"/>
      <c r="N644" s="130"/>
      <c r="O644" s="130"/>
      <c r="P644" s="130"/>
      <c r="Q644" s="130"/>
      <c r="R644" s="130"/>
      <c r="S644" s="130"/>
      <c r="T644" s="130"/>
      <c r="U644" s="130"/>
      <c r="V644" s="130"/>
      <c r="W644" s="131"/>
      <c r="X644" s="131"/>
      <c r="Y644" s="131"/>
      <c r="Z644" s="131"/>
      <c r="AA644" s="131"/>
      <c r="AB644" s="131"/>
      <c r="AC644" s="131"/>
      <c r="AD644" s="131"/>
      <c r="AE644" s="131"/>
      <c r="AF644" s="131"/>
      <c r="AG644" s="131"/>
      <c r="AH644" s="131"/>
      <c r="AI644" s="131"/>
      <c r="AJ644" s="131"/>
    </row>
    <row r="645">
      <c r="A645" s="126"/>
      <c r="B645" s="126"/>
      <c r="C645" s="126"/>
      <c r="D645" s="126"/>
      <c r="E645" s="126"/>
      <c r="F645" s="126"/>
      <c r="G645" s="128"/>
      <c r="H645" s="130"/>
      <c r="I645" s="130"/>
      <c r="J645" s="130"/>
      <c r="K645" s="130"/>
      <c r="L645" s="129"/>
      <c r="M645" s="130"/>
      <c r="N645" s="130"/>
      <c r="O645" s="130"/>
      <c r="P645" s="130"/>
      <c r="Q645" s="130"/>
      <c r="R645" s="130"/>
      <c r="S645" s="130"/>
      <c r="T645" s="130"/>
      <c r="U645" s="130"/>
      <c r="V645" s="130"/>
      <c r="W645" s="131"/>
      <c r="X645" s="131"/>
      <c r="Y645" s="131"/>
      <c r="Z645" s="131"/>
      <c r="AA645" s="131"/>
      <c r="AB645" s="131"/>
      <c r="AC645" s="131"/>
      <c r="AD645" s="131"/>
      <c r="AE645" s="131"/>
      <c r="AF645" s="131"/>
      <c r="AG645" s="131"/>
      <c r="AH645" s="131"/>
      <c r="AI645" s="131"/>
      <c r="AJ645" s="131"/>
    </row>
    <row r="646">
      <c r="A646" s="126"/>
      <c r="B646" s="126"/>
      <c r="C646" s="126"/>
      <c r="D646" s="126"/>
      <c r="E646" s="126"/>
      <c r="F646" s="126"/>
      <c r="G646" s="128"/>
      <c r="H646" s="130"/>
      <c r="I646" s="130"/>
      <c r="J646" s="130"/>
      <c r="K646" s="130"/>
      <c r="L646" s="129"/>
      <c r="M646" s="130"/>
      <c r="N646" s="130"/>
      <c r="O646" s="130"/>
      <c r="P646" s="130"/>
      <c r="Q646" s="130"/>
      <c r="R646" s="130"/>
      <c r="S646" s="130"/>
      <c r="T646" s="130"/>
      <c r="U646" s="130"/>
      <c r="V646" s="130"/>
      <c r="W646" s="131"/>
      <c r="X646" s="131"/>
      <c r="Y646" s="131"/>
      <c r="Z646" s="131"/>
      <c r="AA646" s="131"/>
      <c r="AB646" s="131"/>
      <c r="AC646" s="131"/>
      <c r="AD646" s="131"/>
      <c r="AE646" s="131"/>
      <c r="AF646" s="131"/>
      <c r="AG646" s="131"/>
      <c r="AH646" s="131"/>
      <c r="AI646" s="131"/>
      <c r="AJ646" s="131"/>
    </row>
    <row r="647">
      <c r="A647" s="126"/>
      <c r="B647" s="126"/>
      <c r="C647" s="126"/>
      <c r="D647" s="126"/>
      <c r="E647" s="126"/>
      <c r="F647" s="126"/>
      <c r="G647" s="128"/>
      <c r="H647" s="130"/>
      <c r="I647" s="130"/>
      <c r="J647" s="130"/>
      <c r="K647" s="130"/>
      <c r="L647" s="129"/>
      <c r="M647" s="130"/>
      <c r="N647" s="130"/>
      <c r="O647" s="130"/>
      <c r="P647" s="130"/>
      <c r="Q647" s="130"/>
      <c r="R647" s="130"/>
      <c r="S647" s="130"/>
      <c r="T647" s="130"/>
      <c r="U647" s="130"/>
      <c r="V647" s="130"/>
      <c r="W647" s="131"/>
      <c r="X647" s="131"/>
      <c r="Y647" s="131"/>
      <c r="Z647" s="131"/>
      <c r="AA647" s="131"/>
      <c r="AB647" s="131"/>
      <c r="AC647" s="131"/>
      <c r="AD647" s="131"/>
      <c r="AE647" s="131"/>
      <c r="AF647" s="131"/>
      <c r="AG647" s="131"/>
      <c r="AH647" s="131"/>
      <c r="AI647" s="131"/>
      <c r="AJ647" s="131"/>
    </row>
    <row r="648">
      <c r="A648" s="126"/>
      <c r="B648" s="126"/>
      <c r="C648" s="126"/>
      <c r="D648" s="126"/>
      <c r="E648" s="126"/>
      <c r="F648" s="126"/>
      <c r="G648" s="128"/>
      <c r="H648" s="130"/>
      <c r="I648" s="130"/>
      <c r="J648" s="130"/>
      <c r="K648" s="130"/>
      <c r="L648" s="129"/>
      <c r="M648" s="130"/>
      <c r="N648" s="130"/>
      <c r="O648" s="130"/>
      <c r="P648" s="130"/>
      <c r="Q648" s="130"/>
      <c r="R648" s="130"/>
      <c r="S648" s="130"/>
      <c r="T648" s="130"/>
      <c r="U648" s="130"/>
      <c r="V648" s="130"/>
      <c r="W648" s="131"/>
      <c r="X648" s="131"/>
      <c r="Y648" s="131"/>
      <c r="Z648" s="131"/>
      <c r="AA648" s="131"/>
      <c r="AB648" s="131"/>
      <c r="AC648" s="131"/>
      <c r="AD648" s="131"/>
      <c r="AE648" s="131"/>
      <c r="AF648" s="131"/>
      <c r="AG648" s="131"/>
      <c r="AH648" s="131"/>
      <c r="AI648" s="131"/>
      <c r="AJ648" s="131"/>
    </row>
    <row r="649">
      <c r="A649" s="126"/>
      <c r="B649" s="126"/>
      <c r="C649" s="126"/>
      <c r="D649" s="126"/>
      <c r="E649" s="126"/>
      <c r="F649" s="126"/>
      <c r="G649" s="128"/>
      <c r="H649" s="130"/>
      <c r="I649" s="130"/>
      <c r="J649" s="130"/>
      <c r="K649" s="130"/>
      <c r="L649" s="129"/>
      <c r="M649" s="130"/>
      <c r="N649" s="130"/>
      <c r="O649" s="130"/>
      <c r="P649" s="130"/>
      <c r="Q649" s="130"/>
      <c r="R649" s="130"/>
      <c r="S649" s="130"/>
      <c r="T649" s="130"/>
      <c r="U649" s="130"/>
      <c r="V649" s="130"/>
      <c r="W649" s="131"/>
      <c r="X649" s="131"/>
      <c r="Y649" s="131"/>
      <c r="Z649" s="131"/>
      <c r="AA649" s="131"/>
      <c r="AB649" s="131"/>
      <c r="AC649" s="131"/>
      <c r="AD649" s="131"/>
      <c r="AE649" s="131"/>
      <c r="AF649" s="131"/>
      <c r="AG649" s="131"/>
      <c r="AH649" s="131"/>
      <c r="AI649" s="131"/>
      <c r="AJ649" s="131"/>
    </row>
    <row r="650">
      <c r="A650" s="126"/>
      <c r="B650" s="126"/>
      <c r="C650" s="126"/>
      <c r="D650" s="126"/>
      <c r="E650" s="126"/>
      <c r="F650" s="126"/>
      <c r="G650" s="128"/>
      <c r="H650" s="130"/>
      <c r="I650" s="130"/>
      <c r="J650" s="130"/>
      <c r="K650" s="130"/>
      <c r="L650" s="129"/>
      <c r="M650" s="130"/>
      <c r="N650" s="130"/>
      <c r="O650" s="130"/>
      <c r="P650" s="130"/>
      <c r="Q650" s="130"/>
      <c r="R650" s="130"/>
      <c r="S650" s="130"/>
      <c r="T650" s="130"/>
      <c r="U650" s="130"/>
      <c r="V650" s="130"/>
      <c r="W650" s="131"/>
      <c r="X650" s="131"/>
      <c r="Y650" s="131"/>
      <c r="Z650" s="131"/>
      <c r="AA650" s="131"/>
      <c r="AB650" s="131"/>
      <c r="AC650" s="131"/>
      <c r="AD650" s="131"/>
      <c r="AE650" s="131"/>
      <c r="AF650" s="131"/>
      <c r="AG650" s="131"/>
      <c r="AH650" s="131"/>
      <c r="AI650" s="131"/>
      <c r="AJ650" s="131"/>
    </row>
    <row r="651">
      <c r="A651" s="126"/>
      <c r="B651" s="126"/>
      <c r="C651" s="126"/>
      <c r="D651" s="126"/>
      <c r="E651" s="126"/>
      <c r="F651" s="126"/>
      <c r="G651" s="128"/>
      <c r="H651" s="130"/>
      <c r="I651" s="130"/>
      <c r="J651" s="130"/>
      <c r="K651" s="130"/>
      <c r="L651" s="129"/>
      <c r="M651" s="130"/>
      <c r="N651" s="130"/>
      <c r="O651" s="130"/>
      <c r="P651" s="130"/>
      <c r="Q651" s="130"/>
      <c r="R651" s="130"/>
      <c r="S651" s="130"/>
      <c r="T651" s="130"/>
      <c r="U651" s="130"/>
      <c r="V651" s="130"/>
      <c r="W651" s="131"/>
      <c r="X651" s="131"/>
      <c r="Y651" s="131"/>
      <c r="Z651" s="131"/>
      <c r="AA651" s="131"/>
      <c r="AB651" s="131"/>
      <c r="AC651" s="131"/>
      <c r="AD651" s="131"/>
      <c r="AE651" s="131"/>
      <c r="AF651" s="131"/>
      <c r="AG651" s="131"/>
      <c r="AH651" s="131"/>
      <c r="AI651" s="131"/>
      <c r="AJ651" s="131"/>
    </row>
    <row r="652">
      <c r="A652" s="126"/>
      <c r="B652" s="126"/>
      <c r="C652" s="126"/>
      <c r="D652" s="126"/>
      <c r="E652" s="126"/>
      <c r="F652" s="126"/>
      <c r="G652" s="128"/>
      <c r="H652" s="130"/>
      <c r="I652" s="130"/>
      <c r="J652" s="130"/>
      <c r="K652" s="130"/>
      <c r="L652" s="129"/>
      <c r="M652" s="130"/>
      <c r="N652" s="130"/>
      <c r="O652" s="130"/>
      <c r="P652" s="130"/>
      <c r="Q652" s="130"/>
      <c r="R652" s="130"/>
      <c r="S652" s="130"/>
      <c r="T652" s="130"/>
      <c r="U652" s="130"/>
      <c r="V652" s="130"/>
      <c r="W652" s="131"/>
      <c r="X652" s="131"/>
      <c r="Y652" s="131"/>
      <c r="Z652" s="131"/>
      <c r="AA652" s="131"/>
      <c r="AB652" s="131"/>
      <c r="AC652" s="131"/>
      <c r="AD652" s="131"/>
      <c r="AE652" s="131"/>
      <c r="AF652" s="131"/>
      <c r="AG652" s="131"/>
      <c r="AH652" s="131"/>
      <c r="AI652" s="131"/>
      <c r="AJ652" s="131"/>
    </row>
    <row r="653">
      <c r="A653" s="126"/>
      <c r="B653" s="126"/>
      <c r="C653" s="126"/>
      <c r="D653" s="126"/>
      <c r="E653" s="126"/>
      <c r="F653" s="126"/>
      <c r="G653" s="128"/>
      <c r="H653" s="130"/>
      <c r="I653" s="130"/>
      <c r="J653" s="130"/>
      <c r="K653" s="130"/>
      <c r="L653" s="129"/>
      <c r="M653" s="130"/>
      <c r="N653" s="130"/>
      <c r="O653" s="130"/>
      <c r="P653" s="130"/>
      <c r="Q653" s="130"/>
      <c r="R653" s="130"/>
      <c r="S653" s="130"/>
      <c r="T653" s="130"/>
      <c r="U653" s="130"/>
      <c r="V653" s="130"/>
      <c r="W653" s="131"/>
      <c r="X653" s="131"/>
      <c r="Y653" s="131"/>
      <c r="Z653" s="131"/>
      <c r="AA653" s="131"/>
      <c r="AB653" s="131"/>
      <c r="AC653" s="131"/>
      <c r="AD653" s="131"/>
      <c r="AE653" s="131"/>
      <c r="AF653" s="131"/>
      <c r="AG653" s="131"/>
      <c r="AH653" s="131"/>
      <c r="AI653" s="131"/>
      <c r="AJ653" s="131"/>
    </row>
    <row r="654">
      <c r="A654" s="126"/>
      <c r="B654" s="126"/>
      <c r="C654" s="126"/>
      <c r="D654" s="126"/>
      <c r="E654" s="126"/>
      <c r="F654" s="126"/>
      <c r="G654" s="128"/>
      <c r="H654" s="130"/>
      <c r="I654" s="130"/>
      <c r="J654" s="130"/>
      <c r="K654" s="130"/>
      <c r="L654" s="129"/>
      <c r="M654" s="130"/>
      <c r="N654" s="130"/>
      <c r="O654" s="130"/>
      <c r="P654" s="130"/>
      <c r="Q654" s="130"/>
      <c r="R654" s="130"/>
      <c r="S654" s="130"/>
      <c r="T654" s="130"/>
      <c r="U654" s="130"/>
      <c r="V654" s="130"/>
      <c r="W654" s="131"/>
      <c r="X654" s="131"/>
      <c r="Y654" s="131"/>
      <c r="Z654" s="131"/>
      <c r="AA654" s="131"/>
      <c r="AB654" s="131"/>
      <c r="AC654" s="131"/>
      <c r="AD654" s="131"/>
      <c r="AE654" s="131"/>
      <c r="AF654" s="131"/>
      <c r="AG654" s="131"/>
      <c r="AH654" s="131"/>
      <c r="AI654" s="131"/>
      <c r="AJ654" s="131"/>
    </row>
    <row r="655">
      <c r="A655" s="126"/>
      <c r="B655" s="126"/>
      <c r="C655" s="126"/>
      <c r="D655" s="126"/>
      <c r="E655" s="126"/>
      <c r="F655" s="126"/>
      <c r="G655" s="128"/>
      <c r="H655" s="130"/>
      <c r="I655" s="130"/>
      <c r="J655" s="130"/>
      <c r="K655" s="130"/>
      <c r="L655" s="129"/>
      <c r="M655" s="130"/>
      <c r="N655" s="130"/>
      <c r="O655" s="130"/>
      <c r="P655" s="130"/>
      <c r="Q655" s="130"/>
      <c r="R655" s="130"/>
      <c r="S655" s="130"/>
      <c r="T655" s="130"/>
      <c r="U655" s="130"/>
      <c r="V655" s="130"/>
      <c r="W655" s="131"/>
      <c r="X655" s="131"/>
      <c r="Y655" s="131"/>
      <c r="Z655" s="131"/>
      <c r="AA655" s="131"/>
      <c r="AB655" s="131"/>
      <c r="AC655" s="131"/>
      <c r="AD655" s="131"/>
      <c r="AE655" s="131"/>
      <c r="AF655" s="131"/>
      <c r="AG655" s="131"/>
      <c r="AH655" s="131"/>
      <c r="AI655" s="131"/>
      <c r="AJ655" s="131"/>
    </row>
    <row r="656">
      <c r="A656" s="126"/>
      <c r="B656" s="126"/>
      <c r="C656" s="126"/>
      <c r="D656" s="126"/>
      <c r="E656" s="126"/>
      <c r="F656" s="126"/>
      <c r="G656" s="128"/>
      <c r="H656" s="130"/>
      <c r="I656" s="130"/>
      <c r="J656" s="130"/>
      <c r="K656" s="130"/>
      <c r="L656" s="129"/>
      <c r="M656" s="130"/>
      <c r="N656" s="130"/>
      <c r="O656" s="130"/>
      <c r="P656" s="130"/>
      <c r="Q656" s="130"/>
      <c r="R656" s="130"/>
      <c r="S656" s="130"/>
      <c r="T656" s="130"/>
      <c r="U656" s="130"/>
      <c r="V656" s="130"/>
      <c r="W656" s="131"/>
      <c r="X656" s="131"/>
      <c r="Y656" s="131"/>
      <c r="Z656" s="131"/>
      <c r="AA656" s="131"/>
      <c r="AB656" s="131"/>
      <c r="AC656" s="131"/>
      <c r="AD656" s="131"/>
      <c r="AE656" s="131"/>
      <c r="AF656" s="131"/>
      <c r="AG656" s="131"/>
      <c r="AH656" s="131"/>
      <c r="AI656" s="131"/>
      <c r="AJ656" s="131"/>
    </row>
    <row r="657">
      <c r="A657" s="126"/>
      <c r="B657" s="126"/>
      <c r="C657" s="126"/>
      <c r="D657" s="126"/>
      <c r="E657" s="126"/>
      <c r="F657" s="126"/>
      <c r="G657" s="128"/>
      <c r="H657" s="130"/>
      <c r="I657" s="130"/>
      <c r="J657" s="130"/>
      <c r="K657" s="130"/>
      <c r="L657" s="129"/>
      <c r="M657" s="130"/>
      <c r="N657" s="130"/>
      <c r="O657" s="130"/>
      <c r="P657" s="130"/>
      <c r="Q657" s="130"/>
      <c r="R657" s="130"/>
      <c r="S657" s="130"/>
      <c r="T657" s="130"/>
      <c r="U657" s="130"/>
      <c r="V657" s="130"/>
      <c r="W657" s="131"/>
      <c r="X657" s="131"/>
      <c r="Y657" s="131"/>
      <c r="Z657" s="131"/>
      <c r="AA657" s="131"/>
      <c r="AB657" s="131"/>
      <c r="AC657" s="131"/>
      <c r="AD657" s="131"/>
      <c r="AE657" s="131"/>
      <c r="AF657" s="131"/>
      <c r="AG657" s="131"/>
      <c r="AH657" s="131"/>
      <c r="AI657" s="131"/>
      <c r="AJ657" s="131"/>
    </row>
    <row r="658">
      <c r="A658" s="126"/>
      <c r="B658" s="126"/>
      <c r="C658" s="126"/>
      <c r="D658" s="126"/>
      <c r="E658" s="126"/>
      <c r="F658" s="126"/>
      <c r="G658" s="128"/>
      <c r="H658" s="130"/>
      <c r="I658" s="130"/>
      <c r="J658" s="130"/>
      <c r="K658" s="130"/>
      <c r="L658" s="129"/>
      <c r="M658" s="130"/>
      <c r="N658" s="130"/>
      <c r="O658" s="130"/>
      <c r="P658" s="130"/>
      <c r="Q658" s="130"/>
      <c r="R658" s="130"/>
      <c r="S658" s="130"/>
      <c r="T658" s="130"/>
      <c r="U658" s="130"/>
      <c r="V658" s="130"/>
      <c r="W658" s="131"/>
      <c r="X658" s="131"/>
      <c r="Y658" s="131"/>
      <c r="Z658" s="131"/>
      <c r="AA658" s="131"/>
      <c r="AB658" s="131"/>
      <c r="AC658" s="131"/>
      <c r="AD658" s="131"/>
      <c r="AE658" s="131"/>
      <c r="AF658" s="131"/>
      <c r="AG658" s="131"/>
      <c r="AH658" s="131"/>
      <c r="AI658" s="131"/>
      <c r="AJ658" s="131"/>
    </row>
    <row r="659">
      <c r="A659" s="126"/>
      <c r="B659" s="126"/>
      <c r="C659" s="126"/>
      <c r="D659" s="126"/>
      <c r="E659" s="126"/>
      <c r="F659" s="126"/>
      <c r="G659" s="128"/>
      <c r="H659" s="130"/>
      <c r="I659" s="130"/>
      <c r="J659" s="130"/>
      <c r="K659" s="130"/>
      <c r="L659" s="129"/>
      <c r="M659" s="130"/>
      <c r="N659" s="130"/>
      <c r="O659" s="130"/>
      <c r="P659" s="130"/>
      <c r="Q659" s="130"/>
      <c r="R659" s="130"/>
      <c r="S659" s="130"/>
      <c r="T659" s="130"/>
      <c r="U659" s="130"/>
      <c r="V659" s="130"/>
      <c r="W659" s="131"/>
      <c r="X659" s="131"/>
      <c r="Y659" s="131"/>
      <c r="Z659" s="131"/>
      <c r="AA659" s="131"/>
      <c r="AB659" s="131"/>
      <c r="AC659" s="131"/>
      <c r="AD659" s="131"/>
      <c r="AE659" s="131"/>
      <c r="AF659" s="131"/>
      <c r="AG659" s="131"/>
      <c r="AH659" s="131"/>
      <c r="AI659" s="131"/>
      <c r="AJ659" s="131"/>
    </row>
    <row r="660">
      <c r="A660" s="126"/>
      <c r="B660" s="126"/>
      <c r="C660" s="126"/>
      <c r="D660" s="126"/>
      <c r="E660" s="126"/>
      <c r="F660" s="126"/>
      <c r="G660" s="128"/>
      <c r="H660" s="130"/>
      <c r="I660" s="130"/>
      <c r="J660" s="130"/>
      <c r="K660" s="130"/>
      <c r="L660" s="129"/>
      <c r="M660" s="130"/>
      <c r="N660" s="130"/>
      <c r="O660" s="130"/>
      <c r="P660" s="130"/>
      <c r="Q660" s="130"/>
      <c r="R660" s="130"/>
      <c r="S660" s="130"/>
      <c r="T660" s="130"/>
      <c r="U660" s="130"/>
      <c r="V660" s="130"/>
      <c r="W660" s="131"/>
      <c r="X660" s="131"/>
      <c r="Y660" s="131"/>
      <c r="Z660" s="131"/>
      <c r="AA660" s="131"/>
      <c r="AB660" s="131"/>
      <c r="AC660" s="131"/>
      <c r="AD660" s="131"/>
      <c r="AE660" s="131"/>
      <c r="AF660" s="131"/>
      <c r="AG660" s="131"/>
      <c r="AH660" s="131"/>
      <c r="AI660" s="131"/>
      <c r="AJ660" s="131"/>
    </row>
    <row r="661">
      <c r="A661" s="126"/>
      <c r="B661" s="126"/>
      <c r="C661" s="126"/>
      <c r="D661" s="126"/>
      <c r="E661" s="126"/>
      <c r="F661" s="126"/>
      <c r="G661" s="128"/>
      <c r="H661" s="130"/>
      <c r="I661" s="130"/>
      <c r="J661" s="130"/>
      <c r="K661" s="130"/>
      <c r="L661" s="129"/>
      <c r="M661" s="130"/>
      <c r="N661" s="130"/>
      <c r="O661" s="130"/>
      <c r="P661" s="130"/>
      <c r="Q661" s="130"/>
      <c r="R661" s="130"/>
      <c r="S661" s="130"/>
      <c r="T661" s="130"/>
      <c r="U661" s="130"/>
      <c r="V661" s="130"/>
      <c r="W661" s="131"/>
      <c r="X661" s="131"/>
      <c r="Y661" s="131"/>
      <c r="Z661" s="131"/>
      <c r="AA661" s="131"/>
      <c r="AB661" s="131"/>
      <c r="AC661" s="131"/>
      <c r="AD661" s="131"/>
      <c r="AE661" s="131"/>
      <c r="AF661" s="131"/>
      <c r="AG661" s="131"/>
      <c r="AH661" s="131"/>
      <c r="AI661" s="131"/>
      <c r="AJ661" s="131"/>
    </row>
    <row r="662">
      <c r="A662" s="126"/>
      <c r="B662" s="126"/>
      <c r="C662" s="126"/>
      <c r="D662" s="126"/>
      <c r="E662" s="126"/>
      <c r="F662" s="126"/>
      <c r="G662" s="128"/>
      <c r="H662" s="130"/>
      <c r="I662" s="130"/>
      <c r="J662" s="130"/>
      <c r="K662" s="130"/>
      <c r="L662" s="129"/>
      <c r="M662" s="130"/>
      <c r="N662" s="130"/>
      <c r="O662" s="130"/>
      <c r="P662" s="130"/>
      <c r="Q662" s="130"/>
      <c r="R662" s="130"/>
      <c r="S662" s="130"/>
      <c r="T662" s="130"/>
      <c r="U662" s="130"/>
      <c r="V662" s="130"/>
      <c r="W662" s="131"/>
      <c r="X662" s="131"/>
      <c r="Y662" s="131"/>
      <c r="Z662" s="131"/>
      <c r="AA662" s="131"/>
      <c r="AB662" s="131"/>
      <c r="AC662" s="131"/>
      <c r="AD662" s="131"/>
      <c r="AE662" s="131"/>
      <c r="AF662" s="131"/>
      <c r="AG662" s="131"/>
      <c r="AH662" s="131"/>
      <c r="AI662" s="131"/>
      <c r="AJ662" s="131"/>
    </row>
    <row r="663">
      <c r="A663" s="126"/>
      <c r="B663" s="126"/>
      <c r="C663" s="126"/>
      <c r="D663" s="126"/>
      <c r="E663" s="126"/>
      <c r="F663" s="126"/>
      <c r="G663" s="128"/>
      <c r="H663" s="130"/>
      <c r="I663" s="130"/>
      <c r="J663" s="130"/>
      <c r="K663" s="130"/>
      <c r="L663" s="129"/>
      <c r="M663" s="130"/>
      <c r="N663" s="130"/>
      <c r="O663" s="130"/>
      <c r="P663" s="130"/>
      <c r="Q663" s="130"/>
      <c r="R663" s="130"/>
      <c r="S663" s="130"/>
      <c r="T663" s="130"/>
      <c r="U663" s="130"/>
      <c r="V663" s="130"/>
      <c r="W663" s="131"/>
      <c r="X663" s="131"/>
      <c r="Y663" s="131"/>
      <c r="Z663" s="131"/>
      <c r="AA663" s="131"/>
      <c r="AB663" s="131"/>
      <c r="AC663" s="131"/>
      <c r="AD663" s="131"/>
      <c r="AE663" s="131"/>
      <c r="AF663" s="131"/>
      <c r="AG663" s="131"/>
      <c r="AH663" s="131"/>
      <c r="AI663" s="131"/>
      <c r="AJ663" s="131"/>
    </row>
    <row r="664">
      <c r="A664" s="126"/>
      <c r="B664" s="126"/>
      <c r="C664" s="126"/>
      <c r="D664" s="126"/>
      <c r="E664" s="126"/>
      <c r="F664" s="126"/>
      <c r="G664" s="128"/>
      <c r="H664" s="130"/>
      <c r="I664" s="130"/>
      <c r="J664" s="130"/>
      <c r="K664" s="130"/>
      <c r="L664" s="129"/>
      <c r="M664" s="130"/>
      <c r="N664" s="130"/>
      <c r="O664" s="130"/>
      <c r="P664" s="130"/>
      <c r="Q664" s="130"/>
      <c r="R664" s="130"/>
      <c r="S664" s="130"/>
      <c r="T664" s="130"/>
      <c r="U664" s="130"/>
      <c r="V664" s="130"/>
      <c r="W664" s="131"/>
      <c r="X664" s="131"/>
      <c r="Y664" s="131"/>
      <c r="Z664" s="131"/>
      <c r="AA664" s="131"/>
      <c r="AB664" s="131"/>
      <c r="AC664" s="131"/>
      <c r="AD664" s="131"/>
      <c r="AE664" s="131"/>
      <c r="AF664" s="131"/>
      <c r="AG664" s="131"/>
      <c r="AH664" s="131"/>
      <c r="AI664" s="131"/>
      <c r="AJ664" s="131"/>
    </row>
    <row r="665">
      <c r="A665" s="126"/>
      <c r="B665" s="126"/>
      <c r="C665" s="126"/>
      <c r="D665" s="126"/>
      <c r="E665" s="126"/>
      <c r="F665" s="126"/>
      <c r="G665" s="128"/>
      <c r="H665" s="130"/>
      <c r="I665" s="130"/>
      <c r="J665" s="130"/>
      <c r="K665" s="130"/>
      <c r="L665" s="129"/>
      <c r="M665" s="130"/>
      <c r="N665" s="130"/>
      <c r="O665" s="130"/>
      <c r="P665" s="130"/>
      <c r="Q665" s="130"/>
      <c r="R665" s="130"/>
      <c r="S665" s="130"/>
      <c r="T665" s="130"/>
      <c r="U665" s="130"/>
      <c r="V665" s="130"/>
      <c r="W665" s="131"/>
      <c r="X665" s="131"/>
      <c r="Y665" s="131"/>
      <c r="Z665" s="131"/>
      <c r="AA665" s="131"/>
      <c r="AB665" s="131"/>
      <c r="AC665" s="131"/>
      <c r="AD665" s="131"/>
      <c r="AE665" s="131"/>
      <c r="AF665" s="131"/>
      <c r="AG665" s="131"/>
      <c r="AH665" s="131"/>
      <c r="AI665" s="131"/>
      <c r="AJ665" s="131"/>
    </row>
    <row r="666">
      <c r="A666" s="126"/>
      <c r="B666" s="126"/>
      <c r="C666" s="126"/>
      <c r="D666" s="126"/>
      <c r="E666" s="126"/>
      <c r="F666" s="126"/>
      <c r="G666" s="128"/>
      <c r="H666" s="130"/>
      <c r="I666" s="130"/>
      <c r="J666" s="130"/>
      <c r="K666" s="130"/>
      <c r="L666" s="129"/>
      <c r="M666" s="130"/>
      <c r="N666" s="130"/>
      <c r="O666" s="130"/>
      <c r="P666" s="130"/>
      <c r="Q666" s="130"/>
      <c r="R666" s="130"/>
      <c r="S666" s="130"/>
      <c r="T666" s="130"/>
      <c r="U666" s="130"/>
      <c r="V666" s="130"/>
      <c r="W666" s="131"/>
      <c r="X666" s="131"/>
      <c r="Y666" s="131"/>
      <c r="Z666" s="131"/>
      <c r="AA666" s="131"/>
      <c r="AB666" s="131"/>
      <c r="AC666" s="131"/>
      <c r="AD666" s="131"/>
      <c r="AE666" s="131"/>
      <c r="AF666" s="131"/>
      <c r="AG666" s="131"/>
      <c r="AH666" s="131"/>
      <c r="AI666" s="131"/>
      <c r="AJ666" s="131"/>
    </row>
    <row r="667">
      <c r="A667" s="126"/>
      <c r="B667" s="126"/>
      <c r="C667" s="126"/>
      <c r="D667" s="126"/>
      <c r="E667" s="126"/>
      <c r="F667" s="126"/>
      <c r="G667" s="128"/>
      <c r="H667" s="130"/>
      <c r="I667" s="130"/>
      <c r="J667" s="130"/>
      <c r="K667" s="130"/>
      <c r="L667" s="129"/>
      <c r="M667" s="130"/>
      <c r="N667" s="130"/>
      <c r="O667" s="130"/>
      <c r="P667" s="130"/>
      <c r="Q667" s="130"/>
      <c r="R667" s="130"/>
      <c r="S667" s="130"/>
      <c r="T667" s="130"/>
      <c r="U667" s="130"/>
      <c r="V667" s="130"/>
      <c r="W667" s="131"/>
      <c r="X667" s="131"/>
      <c r="Y667" s="131"/>
      <c r="Z667" s="131"/>
      <c r="AA667" s="131"/>
      <c r="AB667" s="131"/>
      <c r="AC667" s="131"/>
      <c r="AD667" s="131"/>
      <c r="AE667" s="131"/>
      <c r="AF667" s="131"/>
      <c r="AG667" s="131"/>
      <c r="AH667" s="131"/>
      <c r="AI667" s="131"/>
      <c r="AJ667" s="131"/>
    </row>
    <row r="668">
      <c r="A668" s="126"/>
      <c r="B668" s="126"/>
      <c r="C668" s="126"/>
      <c r="D668" s="126"/>
      <c r="E668" s="126"/>
      <c r="F668" s="126"/>
      <c r="G668" s="128"/>
      <c r="H668" s="130"/>
      <c r="I668" s="130"/>
      <c r="J668" s="130"/>
      <c r="K668" s="130"/>
      <c r="L668" s="129"/>
      <c r="M668" s="130"/>
      <c r="N668" s="130"/>
      <c r="O668" s="130"/>
      <c r="P668" s="130"/>
      <c r="Q668" s="130"/>
      <c r="R668" s="130"/>
      <c r="S668" s="130"/>
      <c r="T668" s="130"/>
      <c r="U668" s="130"/>
      <c r="V668" s="130"/>
      <c r="W668" s="131"/>
      <c r="X668" s="131"/>
      <c r="Y668" s="131"/>
      <c r="Z668" s="131"/>
      <c r="AA668" s="131"/>
      <c r="AB668" s="131"/>
      <c r="AC668" s="131"/>
      <c r="AD668" s="131"/>
      <c r="AE668" s="131"/>
      <c r="AF668" s="131"/>
      <c r="AG668" s="131"/>
      <c r="AH668" s="131"/>
      <c r="AI668" s="131"/>
      <c r="AJ668" s="131"/>
    </row>
    <row r="669">
      <c r="A669" s="126"/>
      <c r="B669" s="126"/>
      <c r="C669" s="126"/>
      <c r="D669" s="126"/>
      <c r="E669" s="126"/>
      <c r="F669" s="126"/>
      <c r="G669" s="128"/>
      <c r="H669" s="130"/>
      <c r="I669" s="130"/>
      <c r="J669" s="130"/>
      <c r="K669" s="130"/>
      <c r="L669" s="129"/>
      <c r="M669" s="130"/>
      <c r="N669" s="130"/>
      <c r="O669" s="130"/>
      <c r="P669" s="130"/>
      <c r="Q669" s="130"/>
      <c r="R669" s="130"/>
      <c r="S669" s="130"/>
      <c r="T669" s="130"/>
      <c r="U669" s="130"/>
      <c r="V669" s="130"/>
      <c r="W669" s="131"/>
      <c r="X669" s="131"/>
      <c r="Y669" s="131"/>
      <c r="Z669" s="131"/>
      <c r="AA669" s="131"/>
      <c r="AB669" s="131"/>
      <c r="AC669" s="131"/>
      <c r="AD669" s="131"/>
      <c r="AE669" s="131"/>
      <c r="AF669" s="131"/>
      <c r="AG669" s="131"/>
      <c r="AH669" s="131"/>
      <c r="AI669" s="131"/>
      <c r="AJ669" s="131"/>
    </row>
    <row r="670">
      <c r="A670" s="126"/>
      <c r="B670" s="126"/>
      <c r="C670" s="126"/>
      <c r="D670" s="126"/>
      <c r="E670" s="126"/>
      <c r="F670" s="126"/>
      <c r="G670" s="128"/>
      <c r="H670" s="130"/>
      <c r="I670" s="130"/>
      <c r="J670" s="130"/>
      <c r="K670" s="130"/>
      <c r="L670" s="129"/>
      <c r="M670" s="130"/>
      <c r="N670" s="130"/>
      <c r="O670" s="130"/>
      <c r="P670" s="130"/>
      <c r="Q670" s="130"/>
      <c r="R670" s="130"/>
      <c r="S670" s="130"/>
      <c r="T670" s="130"/>
      <c r="U670" s="130"/>
      <c r="V670" s="130"/>
      <c r="W670" s="131"/>
      <c r="X670" s="131"/>
      <c r="Y670" s="131"/>
      <c r="Z670" s="131"/>
      <c r="AA670" s="131"/>
      <c r="AB670" s="131"/>
      <c r="AC670" s="131"/>
      <c r="AD670" s="131"/>
      <c r="AE670" s="131"/>
      <c r="AF670" s="131"/>
      <c r="AG670" s="131"/>
      <c r="AH670" s="131"/>
      <c r="AI670" s="131"/>
      <c r="AJ670" s="131"/>
    </row>
    <row r="671">
      <c r="A671" s="126"/>
      <c r="B671" s="126"/>
      <c r="C671" s="126"/>
      <c r="D671" s="126"/>
      <c r="E671" s="126"/>
      <c r="F671" s="126"/>
      <c r="G671" s="128"/>
      <c r="H671" s="130"/>
      <c r="I671" s="130"/>
      <c r="J671" s="130"/>
      <c r="K671" s="130"/>
      <c r="L671" s="129"/>
      <c r="M671" s="130"/>
      <c r="N671" s="130"/>
      <c r="O671" s="130"/>
      <c r="P671" s="130"/>
      <c r="Q671" s="130"/>
      <c r="R671" s="130"/>
      <c r="S671" s="130"/>
      <c r="T671" s="130"/>
      <c r="U671" s="130"/>
      <c r="V671" s="130"/>
      <c r="W671" s="131"/>
      <c r="X671" s="131"/>
      <c r="Y671" s="131"/>
      <c r="Z671" s="131"/>
      <c r="AA671" s="131"/>
      <c r="AB671" s="131"/>
      <c r="AC671" s="131"/>
      <c r="AD671" s="131"/>
      <c r="AE671" s="131"/>
      <c r="AF671" s="131"/>
      <c r="AG671" s="131"/>
      <c r="AH671" s="131"/>
      <c r="AI671" s="131"/>
      <c r="AJ671" s="131"/>
    </row>
    <row r="672">
      <c r="A672" s="126"/>
      <c r="B672" s="126"/>
      <c r="C672" s="126"/>
      <c r="D672" s="126"/>
      <c r="E672" s="126"/>
      <c r="F672" s="126"/>
      <c r="G672" s="128"/>
      <c r="H672" s="130"/>
      <c r="I672" s="130"/>
      <c r="J672" s="130"/>
      <c r="K672" s="130"/>
      <c r="L672" s="129"/>
      <c r="M672" s="130"/>
      <c r="N672" s="130"/>
      <c r="O672" s="130"/>
      <c r="P672" s="130"/>
      <c r="Q672" s="130"/>
      <c r="R672" s="130"/>
      <c r="S672" s="130"/>
      <c r="T672" s="130"/>
      <c r="U672" s="130"/>
      <c r="V672" s="130"/>
      <c r="W672" s="131"/>
      <c r="X672" s="131"/>
      <c r="Y672" s="131"/>
      <c r="Z672" s="131"/>
      <c r="AA672" s="131"/>
      <c r="AB672" s="131"/>
      <c r="AC672" s="131"/>
      <c r="AD672" s="131"/>
      <c r="AE672" s="131"/>
      <c r="AF672" s="131"/>
      <c r="AG672" s="131"/>
      <c r="AH672" s="131"/>
      <c r="AI672" s="131"/>
      <c r="AJ672" s="131"/>
    </row>
    <row r="673">
      <c r="A673" s="126"/>
      <c r="B673" s="126"/>
      <c r="C673" s="126"/>
      <c r="D673" s="126"/>
      <c r="E673" s="126"/>
      <c r="F673" s="126"/>
      <c r="G673" s="128"/>
      <c r="H673" s="130"/>
      <c r="I673" s="130"/>
      <c r="J673" s="130"/>
      <c r="K673" s="130"/>
      <c r="L673" s="129"/>
      <c r="M673" s="130"/>
      <c r="N673" s="130"/>
      <c r="O673" s="130"/>
      <c r="P673" s="130"/>
      <c r="Q673" s="130"/>
      <c r="R673" s="130"/>
      <c r="S673" s="130"/>
      <c r="T673" s="130"/>
      <c r="U673" s="130"/>
      <c r="V673" s="130"/>
      <c r="W673" s="131"/>
      <c r="X673" s="131"/>
      <c r="Y673" s="131"/>
      <c r="Z673" s="131"/>
      <c r="AA673" s="131"/>
      <c r="AB673" s="131"/>
      <c r="AC673" s="131"/>
      <c r="AD673" s="131"/>
      <c r="AE673" s="131"/>
      <c r="AF673" s="131"/>
      <c r="AG673" s="131"/>
      <c r="AH673" s="131"/>
      <c r="AI673" s="131"/>
      <c r="AJ673" s="131"/>
    </row>
    <row r="674">
      <c r="A674" s="126"/>
      <c r="B674" s="126"/>
      <c r="C674" s="126"/>
      <c r="D674" s="126"/>
      <c r="E674" s="126"/>
      <c r="F674" s="126"/>
      <c r="G674" s="128"/>
      <c r="H674" s="130"/>
      <c r="I674" s="130"/>
      <c r="J674" s="130"/>
      <c r="K674" s="130"/>
      <c r="L674" s="129"/>
      <c r="M674" s="130"/>
      <c r="N674" s="130"/>
      <c r="O674" s="130"/>
      <c r="P674" s="130"/>
      <c r="Q674" s="130"/>
      <c r="R674" s="130"/>
      <c r="S674" s="130"/>
      <c r="T674" s="130"/>
      <c r="U674" s="130"/>
      <c r="V674" s="130"/>
      <c r="W674" s="131"/>
      <c r="X674" s="131"/>
      <c r="Y674" s="131"/>
      <c r="Z674" s="131"/>
      <c r="AA674" s="131"/>
      <c r="AB674" s="131"/>
      <c r="AC674" s="131"/>
      <c r="AD674" s="131"/>
      <c r="AE674" s="131"/>
      <c r="AF674" s="131"/>
      <c r="AG674" s="131"/>
      <c r="AH674" s="131"/>
      <c r="AI674" s="131"/>
      <c r="AJ674" s="131"/>
    </row>
    <row r="675">
      <c r="A675" s="126"/>
      <c r="B675" s="126"/>
      <c r="C675" s="126"/>
      <c r="D675" s="126"/>
      <c r="E675" s="126"/>
      <c r="F675" s="126"/>
      <c r="G675" s="128"/>
      <c r="H675" s="130"/>
      <c r="I675" s="130"/>
      <c r="J675" s="130"/>
      <c r="K675" s="130"/>
      <c r="L675" s="129"/>
      <c r="M675" s="130"/>
      <c r="N675" s="130"/>
      <c r="O675" s="130"/>
      <c r="P675" s="130"/>
      <c r="Q675" s="130"/>
      <c r="R675" s="130"/>
      <c r="S675" s="130"/>
      <c r="T675" s="130"/>
      <c r="U675" s="130"/>
      <c r="V675" s="130"/>
      <c r="W675" s="131"/>
      <c r="X675" s="131"/>
      <c r="Y675" s="131"/>
      <c r="Z675" s="131"/>
      <c r="AA675" s="131"/>
      <c r="AB675" s="131"/>
      <c r="AC675" s="131"/>
      <c r="AD675" s="131"/>
      <c r="AE675" s="131"/>
      <c r="AF675" s="131"/>
      <c r="AG675" s="131"/>
      <c r="AH675" s="131"/>
      <c r="AI675" s="131"/>
      <c r="AJ675" s="131"/>
    </row>
    <row r="676">
      <c r="A676" s="126"/>
      <c r="B676" s="126"/>
      <c r="C676" s="126"/>
      <c r="D676" s="126"/>
      <c r="E676" s="126"/>
      <c r="F676" s="126"/>
      <c r="G676" s="128"/>
      <c r="H676" s="130"/>
      <c r="I676" s="130"/>
      <c r="J676" s="130"/>
      <c r="K676" s="130"/>
      <c r="L676" s="129"/>
      <c r="M676" s="130"/>
      <c r="N676" s="130"/>
      <c r="O676" s="130"/>
      <c r="P676" s="130"/>
      <c r="Q676" s="130"/>
      <c r="R676" s="130"/>
      <c r="S676" s="130"/>
      <c r="T676" s="130"/>
      <c r="U676" s="130"/>
      <c r="V676" s="130"/>
      <c r="W676" s="131"/>
      <c r="X676" s="131"/>
      <c r="Y676" s="131"/>
      <c r="Z676" s="131"/>
      <c r="AA676" s="131"/>
      <c r="AB676" s="131"/>
      <c r="AC676" s="131"/>
      <c r="AD676" s="131"/>
      <c r="AE676" s="131"/>
      <c r="AF676" s="131"/>
      <c r="AG676" s="131"/>
      <c r="AH676" s="131"/>
      <c r="AI676" s="131"/>
      <c r="AJ676" s="131"/>
    </row>
    <row r="677">
      <c r="A677" s="126"/>
      <c r="B677" s="126"/>
      <c r="C677" s="126"/>
      <c r="D677" s="126"/>
      <c r="E677" s="126"/>
      <c r="F677" s="126"/>
      <c r="G677" s="128"/>
      <c r="H677" s="130"/>
      <c r="I677" s="130"/>
      <c r="J677" s="130"/>
      <c r="K677" s="130"/>
      <c r="L677" s="129"/>
      <c r="M677" s="130"/>
      <c r="N677" s="130"/>
      <c r="O677" s="130"/>
      <c r="P677" s="130"/>
      <c r="Q677" s="130"/>
      <c r="R677" s="130"/>
      <c r="S677" s="130"/>
      <c r="T677" s="130"/>
      <c r="U677" s="130"/>
      <c r="V677" s="130"/>
      <c r="W677" s="131"/>
      <c r="X677" s="131"/>
      <c r="Y677" s="131"/>
      <c r="Z677" s="131"/>
      <c r="AA677" s="131"/>
      <c r="AB677" s="131"/>
      <c r="AC677" s="131"/>
      <c r="AD677" s="131"/>
      <c r="AE677" s="131"/>
      <c r="AF677" s="131"/>
      <c r="AG677" s="131"/>
      <c r="AH677" s="131"/>
      <c r="AI677" s="131"/>
      <c r="AJ677" s="131"/>
    </row>
    <row r="678">
      <c r="A678" s="126"/>
      <c r="B678" s="126"/>
      <c r="C678" s="126"/>
      <c r="D678" s="126"/>
      <c r="E678" s="126"/>
      <c r="F678" s="126"/>
      <c r="G678" s="128"/>
      <c r="H678" s="130"/>
      <c r="I678" s="130"/>
      <c r="J678" s="130"/>
      <c r="K678" s="130"/>
      <c r="L678" s="129"/>
      <c r="M678" s="130"/>
      <c r="N678" s="130"/>
      <c r="O678" s="130"/>
      <c r="P678" s="130"/>
      <c r="Q678" s="130"/>
      <c r="R678" s="130"/>
      <c r="S678" s="130"/>
      <c r="T678" s="130"/>
      <c r="U678" s="130"/>
      <c r="V678" s="130"/>
      <c r="W678" s="131"/>
      <c r="X678" s="131"/>
      <c r="Y678" s="131"/>
      <c r="Z678" s="131"/>
      <c r="AA678" s="131"/>
      <c r="AB678" s="131"/>
      <c r="AC678" s="131"/>
      <c r="AD678" s="131"/>
      <c r="AE678" s="131"/>
      <c r="AF678" s="131"/>
      <c r="AG678" s="131"/>
      <c r="AH678" s="131"/>
      <c r="AI678" s="131"/>
      <c r="AJ678" s="131"/>
    </row>
    <row r="679">
      <c r="A679" s="126"/>
      <c r="B679" s="126"/>
      <c r="C679" s="126"/>
      <c r="D679" s="126"/>
      <c r="E679" s="126"/>
      <c r="F679" s="126"/>
      <c r="G679" s="128"/>
      <c r="H679" s="130"/>
      <c r="I679" s="130"/>
      <c r="J679" s="130"/>
      <c r="K679" s="130"/>
      <c r="L679" s="129"/>
      <c r="M679" s="130"/>
      <c r="N679" s="130"/>
      <c r="O679" s="130"/>
      <c r="P679" s="130"/>
      <c r="Q679" s="130"/>
      <c r="R679" s="130"/>
      <c r="S679" s="130"/>
      <c r="T679" s="130"/>
      <c r="U679" s="130"/>
      <c r="V679" s="130"/>
      <c r="W679" s="131"/>
      <c r="X679" s="131"/>
      <c r="Y679" s="131"/>
      <c r="Z679" s="131"/>
      <c r="AA679" s="131"/>
      <c r="AB679" s="131"/>
      <c r="AC679" s="131"/>
      <c r="AD679" s="131"/>
      <c r="AE679" s="131"/>
      <c r="AF679" s="131"/>
      <c r="AG679" s="131"/>
      <c r="AH679" s="131"/>
      <c r="AI679" s="131"/>
      <c r="AJ679" s="131"/>
    </row>
    <row r="680">
      <c r="A680" s="126"/>
      <c r="B680" s="126"/>
      <c r="C680" s="126"/>
      <c r="D680" s="126"/>
      <c r="E680" s="126"/>
      <c r="F680" s="126"/>
      <c r="G680" s="128"/>
      <c r="H680" s="130"/>
      <c r="I680" s="130"/>
      <c r="J680" s="130"/>
      <c r="K680" s="130"/>
      <c r="L680" s="129"/>
      <c r="M680" s="130"/>
      <c r="N680" s="130"/>
      <c r="O680" s="130"/>
      <c r="P680" s="130"/>
      <c r="Q680" s="130"/>
      <c r="R680" s="130"/>
      <c r="S680" s="130"/>
      <c r="T680" s="130"/>
      <c r="U680" s="130"/>
      <c r="V680" s="130"/>
      <c r="W680" s="131"/>
      <c r="X680" s="131"/>
      <c r="Y680" s="131"/>
      <c r="Z680" s="131"/>
      <c r="AA680" s="131"/>
      <c r="AB680" s="131"/>
      <c r="AC680" s="131"/>
      <c r="AD680" s="131"/>
      <c r="AE680" s="131"/>
      <c r="AF680" s="131"/>
      <c r="AG680" s="131"/>
      <c r="AH680" s="131"/>
      <c r="AI680" s="131"/>
      <c r="AJ680" s="131"/>
    </row>
    <row r="681">
      <c r="A681" s="126"/>
      <c r="B681" s="126"/>
      <c r="C681" s="126"/>
      <c r="D681" s="126"/>
      <c r="E681" s="126"/>
      <c r="F681" s="126"/>
      <c r="G681" s="128"/>
      <c r="H681" s="130"/>
      <c r="I681" s="130"/>
      <c r="J681" s="130"/>
      <c r="K681" s="130"/>
      <c r="L681" s="129"/>
      <c r="M681" s="130"/>
      <c r="N681" s="130"/>
      <c r="O681" s="130"/>
      <c r="P681" s="130"/>
      <c r="Q681" s="130"/>
      <c r="R681" s="130"/>
      <c r="S681" s="130"/>
      <c r="T681" s="130"/>
      <c r="U681" s="130"/>
      <c r="V681" s="130"/>
      <c r="W681" s="131"/>
      <c r="X681" s="131"/>
      <c r="Y681" s="131"/>
      <c r="Z681" s="131"/>
      <c r="AA681" s="131"/>
      <c r="AB681" s="131"/>
      <c r="AC681" s="131"/>
      <c r="AD681" s="131"/>
      <c r="AE681" s="131"/>
      <c r="AF681" s="131"/>
      <c r="AG681" s="131"/>
      <c r="AH681" s="131"/>
      <c r="AI681" s="131"/>
      <c r="AJ681" s="131"/>
    </row>
    <row r="682">
      <c r="A682" s="126"/>
      <c r="B682" s="126"/>
      <c r="C682" s="126"/>
      <c r="D682" s="126"/>
      <c r="E682" s="126"/>
      <c r="F682" s="126"/>
      <c r="G682" s="128"/>
      <c r="H682" s="130"/>
      <c r="I682" s="130"/>
      <c r="J682" s="130"/>
      <c r="K682" s="130"/>
      <c r="L682" s="129"/>
      <c r="M682" s="130"/>
      <c r="N682" s="130"/>
      <c r="O682" s="130"/>
      <c r="P682" s="130"/>
      <c r="Q682" s="130"/>
      <c r="R682" s="130"/>
      <c r="S682" s="130"/>
      <c r="T682" s="130"/>
      <c r="U682" s="130"/>
      <c r="V682" s="130"/>
      <c r="W682" s="131"/>
      <c r="X682" s="131"/>
      <c r="Y682" s="131"/>
      <c r="Z682" s="131"/>
      <c r="AA682" s="131"/>
      <c r="AB682" s="131"/>
      <c r="AC682" s="131"/>
      <c r="AD682" s="131"/>
      <c r="AE682" s="131"/>
      <c r="AF682" s="131"/>
      <c r="AG682" s="131"/>
      <c r="AH682" s="131"/>
      <c r="AI682" s="131"/>
      <c r="AJ682" s="131"/>
    </row>
    <row r="683">
      <c r="A683" s="126"/>
      <c r="B683" s="126"/>
      <c r="C683" s="126"/>
      <c r="D683" s="126"/>
      <c r="E683" s="126"/>
      <c r="F683" s="126"/>
      <c r="G683" s="128"/>
      <c r="H683" s="130"/>
      <c r="I683" s="130"/>
      <c r="J683" s="130"/>
      <c r="K683" s="130"/>
      <c r="L683" s="129"/>
      <c r="M683" s="130"/>
      <c r="N683" s="130"/>
      <c r="O683" s="130"/>
      <c r="P683" s="130"/>
      <c r="Q683" s="130"/>
      <c r="R683" s="130"/>
      <c r="S683" s="130"/>
      <c r="T683" s="130"/>
      <c r="U683" s="130"/>
      <c r="V683" s="130"/>
      <c r="W683" s="131"/>
      <c r="X683" s="131"/>
      <c r="Y683" s="131"/>
      <c r="Z683" s="131"/>
      <c r="AA683" s="131"/>
      <c r="AB683" s="131"/>
      <c r="AC683" s="131"/>
      <c r="AD683" s="131"/>
      <c r="AE683" s="131"/>
      <c r="AF683" s="131"/>
      <c r="AG683" s="131"/>
      <c r="AH683" s="131"/>
      <c r="AI683" s="131"/>
      <c r="AJ683" s="131"/>
    </row>
    <row r="684">
      <c r="A684" s="126"/>
      <c r="B684" s="126"/>
      <c r="C684" s="126"/>
      <c r="D684" s="126"/>
      <c r="E684" s="126"/>
      <c r="F684" s="126"/>
      <c r="G684" s="128"/>
      <c r="H684" s="130"/>
      <c r="I684" s="130"/>
      <c r="J684" s="130"/>
      <c r="K684" s="130"/>
      <c r="L684" s="129"/>
      <c r="M684" s="130"/>
      <c r="N684" s="130"/>
      <c r="O684" s="130"/>
      <c r="P684" s="130"/>
      <c r="Q684" s="130"/>
      <c r="R684" s="130"/>
      <c r="S684" s="130"/>
      <c r="T684" s="130"/>
      <c r="U684" s="130"/>
      <c r="V684" s="130"/>
      <c r="W684" s="131"/>
      <c r="X684" s="131"/>
      <c r="Y684" s="131"/>
      <c r="Z684" s="131"/>
      <c r="AA684" s="131"/>
      <c r="AB684" s="131"/>
      <c r="AC684" s="131"/>
      <c r="AD684" s="131"/>
      <c r="AE684" s="131"/>
      <c r="AF684" s="131"/>
      <c r="AG684" s="131"/>
      <c r="AH684" s="131"/>
      <c r="AI684" s="131"/>
      <c r="AJ684" s="131"/>
    </row>
    <row r="685">
      <c r="A685" s="126"/>
      <c r="B685" s="126"/>
      <c r="C685" s="126"/>
      <c r="D685" s="126"/>
      <c r="E685" s="126"/>
      <c r="F685" s="126"/>
      <c r="G685" s="128"/>
      <c r="H685" s="130"/>
      <c r="I685" s="130"/>
      <c r="J685" s="130"/>
      <c r="K685" s="130"/>
      <c r="L685" s="129"/>
      <c r="M685" s="130"/>
      <c r="N685" s="130"/>
      <c r="O685" s="130"/>
      <c r="P685" s="130"/>
      <c r="Q685" s="130"/>
      <c r="R685" s="130"/>
      <c r="S685" s="130"/>
      <c r="T685" s="130"/>
      <c r="U685" s="130"/>
      <c r="V685" s="130"/>
      <c r="W685" s="131"/>
      <c r="X685" s="131"/>
      <c r="Y685" s="131"/>
      <c r="Z685" s="131"/>
      <c r="AA685" s="131"/>
      <c r="AB685" s="131"/>
      <c r="AC685" s="131"/>
      <c r="AD685" s="131"/>
      <c r="AE685" s="131"/>
      <c r="AF685" s="131"/>
      <c r="AG685" s="131"/>
      <c r="AH685" s="131"/>
      <c r="AI685" s="131"/>
      <c r="AJ685" s="131"/>
    </row>
    <row r="686">
      <c r="A686" s="126"/>
      <c r="B686" s="126"/>
      <c r="C686" s="126"/>
      <c r="D686" s="126"/>
      <c r="E686" s="126"/>
      <c r="F686" s="126"/>
      <c r="G686" s="128"/>
      <c r="H686" s="130"/>
      <c r="I686" s="130"/>
      <c r="J686" s="130"/>
      <c r="K686" s="130"/>
      <c r="L686" s="129"/>
      <c r="M686" s="130"/>
      <c r="N686" s="130"/>
      <c r="O686" s="130"/>
      <c r="P686" s="130"/>
      <c r="Q686" s="130"/>
      <c r="R686" s="130"/>
      <c r="S686" s="130"/>
      <c r="T686" s="130"/>
      <c r="U686" s="130"/>
      <c r="V686" s="130"/>
      <c r="W686" s="131"/>
      <c r="X686" s="131"/>
      <c r="Y686" s="131"/>
      <c r="Z686" s="131"/>
      <c r="AA686" s="131"/>
      <c r="AB686" s="131"/>
      <c r="AC686" s="131"/>
      <c r="AD686" s="131"/>
      <c r="AE686" s="131"/>
      <c r="AF686" s="131"/>
      <c r="AG686" s="131"/>
      <c r="AH686" s="131"/>
      <c r="AI686" s="131"/>
      <c r="AJ686" s="131"/>
    </row>
    <row r="687">
      <c r="A687" s="126"/>
      <c r="B687" s="126"/>
      <c r="C687" s="126"/>
      <c r="D687" s="126"/>
      <c r="E687" s="126"/>
      <c r="F687" s="126"/>
      <c r="G687" s="128"/>
      <c r="H687" s="130"/>
      <c r="I687" s="130"/>
      <c r="J687" s="130"/>
      <c r="K687" s="130"/>
      <c r="L687" s="129"/>
      <c r="M687" s="130"/>
      <c r="N687" s="130"/>
      <c r="O687" s="130"/>
      <c r="P687" s="130"/>
      <c r="Q687" s="130"/>
      <c r="R687" s="130"/>
      <c r="S687" s="130"/>
      <c r="T687" s="130"/>
      <c r="U687" s="130"/>
      <c r="V687" s="130"/>
      <c r="W687" s="131"/>
      <c r="X687" s="131"/>
      <c r="Y687" s="131"/>
      <c r="Z687" s="131"/>
      <c r="AA687" s="131"/>
      <c r="AB687" s="131"/>
      <c r="AC687" s="131"/>
      <c r="AD687" s="131"/>
      <c r="AE687" s="131"/>
      <c r="AF687" s="131"/>
      <c r="AG687" s="131"/>
      <c r="AH687" s="131"/>
      <c r="AI687" s="131"/>
      <c r="AJ687" s="131"/>
    </row>
    <row r="688">
      <c r="A688" s="126"/>
      <c r="B688" s="126"/>
      <c r="C688" s="126"/>
      <c r="D688" s="126"/>
      <c r="E688" s="126"/>
      <c r="F688" s="126"/>
      <c r="G688" s="128"/>
      <c r="H688" s="130"/>
      <c r="I688" s="130"/>
      <c r="J688" s="130"/>
      <c r="K688" s="130"/>
      <c r="L688" s="129"/>
      <c r="M688" s="130"/>
      <c r="N688" s="130"/>
      <c r="O688" s="130"/>
      <c r="P688" s="130"/>
      <c r="Q688" s="130"/>
      <c r="R688" s="130"/>
      <c r="S688" s="130"/>
      <c r="T688" s="130"/>
      <c r="U688" s="130"/>
      <c r="V688" s="130"/>
      <c r="W688" s="131"/>
      <c r="X688" s="131"/>
      <c r="Y688" s="131"/>
      <c r="Z688" s="131"/>
      <c r="AA688" s="131"/>
      <c r="AB688" s="131"/>
      <c r="AC688" s="131"/>
      <c r="AD688" s="131"/>
      <c r="AE688" s="131"/>
      <c r="AF688" s="131"/>
      <c r="AG688" s="131"/>
      <c r="AH688" s="131"/>
      <c r="AI688" s="131"/>
      <c r="AJ688" s="131"/>
    </row>
    <row r="689">
      <c r="A689" s="126"/>
      <c r="B689" s="126"/>
      <c r="C689" s="126"/>
      <c r="D689" s="126"/>
      <c r="E689" s="126"/>
      <c r="F689" s="126"/>
      <c r="G689" s="128"/>
      <c r="H689" s="130"/>
      <c r="I689" s="130"/>
      <c r="J689" s="130"/>
      <c r="K689" s="130"/>
      <c r="L689" s="129"/>
      <c r="M689" s="130"/>
      <c r="N689" s="130"/>
      <c r="O689" s="130"/>
      <c r="P689" s="130"/>
      <c r="Q689" s="130"/>
      <c r="R689" s="130"/>
      <c r="S689" s="130"/>
      <c r="T689" s="130"/>
      <c r="U689" s="130"/>
      <c r="V689" s="130"/>
      <c r="W689" s="131"/>
      <c r="X689" s="131"/>
      <c r="Y689" s="131"/>
      <c r="Z689" s="131"/>
      <c r="AA689" s="131"/>
      <c r="AB689" s="131"/>
      <c r="AC689" s="131"/>
      <c r="AD689" s="131"/>
      <c r="AE689" s="131"/>
      <c r="AF689" s="131"/>
      <c r="AG689" s="131"/>
      <c r="AH689" s="131"/>
      <c r="AI689" s="131"/>
      <c r="AJ689" s="131"/>
    </row>
    <row r="690">
      <c r="A690" s="126"/>
      <c r="B690" s="126"/>
      <c r="C690" s="126"/>
      <c r="D690" s="126"/>
      <c r="E690" s="126"/>
      <c r="F690" s="126"/>
      <c r="G690" s="128"/>
      <c r="H690" s="130"/>
      <c r="I690" s="130"/>
      <c r="J690" s="130"/>
      <c r="K690" s="130"/>
      <c r="L690" s="129"/>
      <c r="M690" s="130"/>
      <c r="N690" s="130"/>
      <c r="O690" s="130"/>
      <c r="P690" s="130"/>
      <c r="Q690" s="130"/>
      <c r="R690" s="130"/>
      <c r="S690" s="130"/>
      <c r="T690" s="130"/>
      <c r="U690" s="130"/>
      <c r="V690" s="130"/>
      <c r="W690" s="131"/>
      <c r="X690" s="131"/>
      <c r="Y690" s="131"/>
      <c r="Z690" s="131"/>
      <c r="AA690" s="131"/>
      <c r="AB690" s="131"/>
      <c r="AC690" s="131"/>
      <c r="AD690" s="131"/>
      <c r="AE690" s="131"/>
      <c r="AF690" s="131"/>
      <c r="AG690" s="131"/>
      <c r="AH690" s="131"/>
      <c r="AI690" s="131"/>
      <c r="AJ690" s="131"/>
    </row>
    <row r="691">
      <c r="A691" s="126"/>
      <c r="B691" s="126"/>
      <c r="C691" s="126"/>
      <c r="D691" s="126"/>
      <c r="E691" s="126"/>
      <c r="F691" s="126"/>
      <c r="G691" s="128"/>
      <c r="H691" s="130"/>
      <c r="I691" s="130"/>
      <c r="J691" s="130"/>
      <c r="K691" s="130"/>
      <c r="L691" s="129"/>
      <c r="M691" s="130"/>
      <c r="N691" s="130"/>
      <c r="O691" s="130"/>
      <c r="P691" s="130"/>
      <c r="Q691" s="130"/>
      <c r="R691" s="130"/>
      <c r="S691" s="130"/>
      <c r="T691" s="130"/>
      <c r="U691" s="130"/>
      <c r="V691" s="130"/>
      <c r="W691" s="131"/>
      <c r="X691" s="131"/>
      <c r="Y691" s="131"/>
      <c r="Z691" s="131"/>
      <c r="AA691" s="131"/>
      <c r="AB691" s="131"/>
      <c r="AC691" s="131"/>
      <c r="AD691" s="131"/>
      <c r="AE691" s="131"/>
      <c r="AF691" s="131"/>
      <c r="AG691" s="131"/>
      <c r="AH691" s="131"/>
      <c r="AI691" s="131"/>
      <c r="AJ691" s="131"/>
    </row>
    <row r="692">
      <c r="A692" s="126"/>
      <c r="B692" s="126"/>
      <c r="C692" s="126"/>
      <c r="D692" s="126"/>
      <c r="E692" s="126"/>
      <c r="F692" s="126"/>
      <c r="G692" s="128"/>
      <c r="H692" s="130"/>
      <c r="I692" s="130"/>
      <c r="J692" s="130"/>
      <c r="K692" s="130"/>
      <c r="L692" s="129"/>
      <c r="M692" s="130"/>
      <c r="N692" s="130"/>
      <c r="O692" s="130"/>
      <c r="P692" s="130"/>
      <c r="Q692" s="130"/>
      <c r="R692" s="130"/>
      <c r="S692" s="130"/>
      <c r="T692" s="130"/>
      <c r="U692" s="130"/>
      <c r="V692" s="130"/>
      <c r="W692" s="131"/>
      <c r="X692" s="131"/>
      <c r="Y692" s="131"/>
      <c r="Z692" s="131"/>
      <c r="AA692" s="131"/>
      <c r="AB692" s="131"/>
      <c r="AC692" s="131"/>
      <c r="AD692" s="131"/>
      <c r="AE692" s="131"/>
      <c r="AF692" s="131"/>
      <c r="AG692" s="131"/>
      <c r="AH692" s="131"/>
      <c r="AI692" s="131"/>
      <c r="AJ692" s="131"/>
    </row>
    <row r="693">
      <c r="A693" s="126"/>
      <c r="B693" s="126"/>
      <c r="C693" s="126"/>
      <c r="D693" s="126"/>
      <c r="E693" s="126"/>
      <c r="F693" s="126"/>
      <c r="G693" s="128"/>
      <c r="H693" s="130"/>
      <c r="I693" s="130"/>
      <c r="J693" s="130"/>
      <c r="K693" s="130"/>
      <c r="L693" s="129"/>
      <c r="M693" s="130"/>
      <c r="N693" s="130"/>
      <c r="O693" s="130"/>
      <c r="P693" s="130"/>
      <c r="Q693" s="130"/>
      <c r="R693" s="130"/>
      <c r="S693" s="130"/>
      <c r="T693" s="130"/>
      <c r="U693" s="130"/>
      <c r="V693" s="130"/>
      <c r="W693" s="131"/>
      <c r="X693" s="131"/>
      <c r="Y693" s="131"/>
      <c r="Z693" s="131"/>
      <c r="AA693" s="131"/>
      <c r="AB693" s="131"/>
      <c r="AC693" s="131"/>
      <c r="AD693" s="131"/>
      <c r="AE693" s="131"/>
      <c r="AF693" s="131"/>
      <c r="AG693" s="131"/>
      <c r="AH693" s="131"/>
      <c r="AI693" s="131"/>
      <c r="AJ693" s="131"/>
    </row>
    <row r="694">
      <c r="A694" s="126"/>
      <c r="B694" s="126"/>
      <c r="C694" s="126"/>
      <c r="D694" s="126"/>
      <c r="E694" s="126"/>
      <c r="F694" s="126"/>
      <c r="G694" s="128"/>
      <c r="H694" s="130"/>
      <c r="I694" s="130"/>
      <c r="J694" s="130"/>
      <c r="K694" s="130"/>
      <c r="L694" s="129"/>
      <c r="M694" s="130"/>
      <c r="N694" s="130"/>
      <c r="O694" s="130"/>
      <c r="P694" s="130"/>
      <c r="Q694" s="130"/>
      <c r="R694" s="130"/>
      <c r="S694" s="130"/>
      <c r="T694" s="130"/>
      <c r="U694" s="130"/>
      <c r="V694" s="130"/>
      <c r="W694" s="131"/>
      <c r="X694" s="131"/>
      <c r="Y694" s="131"/>
      <c r="Z694" s="131"/>
      <c r="AA694" s="131"/>
      <c r="AB694" s="131"/>
      <c r="AC694" s="131"/>
      <c r="AD694" s="131"/>
      <c r="AE694" s="131"/>
      <c r="AF694" s="131"/>
      <c r="AG694" s="131"/>
      <c r="AH694" s="131"/>
      <c r="AI694" s="131"/>
      <c r="AJ694" s="131"/>
    </row>
    <row r="695">
      <c r="A695" s="126"/>
      <c r="B695" s="126"/>
      <c r="C695" s="126"/>
      <c r="D695" s="126"/>
      <c r="E695" s="126"/>
      <c r="F695" s="126"/>
      <c r="G695" s="128"/>
      <c r="H695" s="130"/>
      <c r="I695" s="130"/>
      <c r="J695" s="130"/>
      <c r="K695" s="130"/>
      <c r="L695" s="129"/>
      <c r="M695" s="130"/>
      <c r="N695" s="130"/>
      <c r="O695" s="130"/>
      <c r="P695" s="130"/>
      <c r="Q695" s="130"/>
      <c r="R695" s="130"/>
      <c r="S695" s="130"/>
      <c r="T695" s="130"/>
      <c r="U695" s="130"/>
      <c r="V695" s="130"/>
      <c r="W695" s="131"/>
      <c r="X695" s="131"/>
      <c r="Y695" s="131"/>
      <c r="Z695" s="131"/>
      <c r="AA695" s="131"/>
      <c r="AB695" s="131"/>
      <c r="AC695" s="131"/>
      <c r="AD695" s="131"/>
      <c r="AE695" s="131"/>
      <c r="AF695" s="131"/>
      <c r="AG695" s="131"/>
      <c r="AH695" s="131"/>
      <c r="AI695" s="131"/>
      <c r="AJ695" s="131"/>
    </row>
    <row r="696">
      <c r="A696" s="126"/>
      <c r="B696" s="126"/>
      <c r="C696" s="126"/>
      <c r="D696" s="126"/>
      <c r="E696" s="126"/>
      <c r="F696" s="126"/>
      <c r="G696" s="128"/>
      <c r="H696" s="130"/>
      <c r="I696" s="130"/>
      <c r="J696" s="130"/>
      <c r="K696" s="130"/>
      <c r="L696" s="129"/>
      <c r="M696" s="130"/>
      <c r="N696" s="130"/>
      <c r="O696" s="130"/>
      <c r="P696" s="130"/>
      <c r="Q696" s="130"/>
      <c r="R696" s="130"/>
      <c r="S696" s="130"/>
      <c r="T696" s="130"/>
      <c r="U696" s="130"/>
      <c r="V696" s="130"/>
      <c r="W696" s="131"/>
      <c r="X696" s="131"/>
      <c r="Y696" s="131"/>
      <c r="Z696" s="131"/>
      <c r="AA696" s="131"/>
      <c r="AB696" s="131"/>
      <c r="AC696" s="131"/>
      <c r="AD696" s="131"/>
      <c r="AE696" s="131"/>
      <c r="AF696" s="131"/>
      <c r="AG696" s="131"/>
      <c r="AH696" s="131"/>
      <c r="AI696" s="131"/>
      <c r="AJ696" s="131"/>
    </row>
    <row r="697">
      <c r="A697" s="126"/>
      <c r="B697" s="126"/>
      <c r="C697" s="126"/>
      <c r="D697" s="126"/>
      <c r="E697" s="126"/>
      <c r="F697" s="126"/>
      <c r="G697" s="128"/>
      <c r="H697" s="130"/>
      <c r="I697" s="130"/>
      <c r="J697" s="130"/>
      <c r="K697" s="130"/>
      <c r="L697" s="129"/>
      <c r="M697" s="130"/>
      <c r="N697" s="130"/>
      <c r="O697" s="130"/>
      <c r="P697" s="130"/>
      <c r="Q697" s="130"/>
      <c r="R697" s="130"/>
      <c r="S697" s="130"/>
      <c r="T697" s="130"/>
      <c r="U697" s="130"/>
      <c r="V697" s="130"/>
      <c r="W697" s="131"/>
      <c r="X697" s="131"/>
      <c r="Y697" s="131"/>
      <c r="Z697" s="131"/>
      <c r="AA697" s="131"/>
      <c r="AB697" s="131"/>
      <c r="AC697" s="131"/>
      <c r="AD697" s="131"/>
      <c r="AE697" s="131"/>
      <c r="AF697" s="131"/>
      <c r="AG697" s="131"/>
      <c r="AH697" s="131"/>
      <c r="AI697" s="131"/>
      <c r="AJ697" s="131"/>
    </row>
    <row r="698">
      <c r="A698" s="126"/>
      <c r="B698" s="126"/>
      <c r="C698" s="126"/>
      <c r="D698" s="126"/>
      <c r="E698" s="126"/>
      <c r="F698" s="126"/>
      <c r="G698" s="128"/>
      <c r="H698" s="130"/>
      <c r="I698" s="130"/>
      <c r="J698" s="130"/>
      <c r="K698" s="130"/>
      <c r="L698" s="129"/>
      <c r="M698" s="130"/>
      <c r="N698" s="130"/>
      <c r="O698" s="130"/>
      <c r="P698" s="130"/>
      <c r="Q698" s="130"/>
      <c r="R698" s="130"/>
      <c r="S698" s="130"/>
      <c r="T698" s="130"/>
      <c r="U698" s="130"/>
      <c r="V698" s="130"/>
      <c r="W698" s="131"/>
      <c r="X698" s="131"/>
      <c r="Y698" s="131"/>
      <c r="Z698" s="131"/>
      <c r="AA698" s="131"/>
      <c r="AB698" s="131"/>
      <c r="AC698" s="131"/>
      <c r="AD698" s="131"/>
      <c r="AE698" s="131"/>
      <c r="AF698" s="131"/>
      <c r="AG698" s="131"/>
      <c r="AH698" s="131"/>
      <c r="AI698" s="131"/>
      <c r="AJ698" s="131"/>
    </row>
    <row r="699">
      <c r="A699" s="126"/>
      <c r="B699" s="126"/>
      <c r="C699" s="126"/>
      <c r="D699" s="126"/>
      <c r="E699" s="126"/>
      <c r="F699" s="126"/>
      <c r="G699" s="128"/>
      <c r="H699" s="130"/>
      <c r="I699" s="130"/>
      <c r="J699" s="130"/>
      <c r="K699" s="130"/>
      <c r="L699" s="129"/>
      <c r="M699" s="130"/>
      <c r="N699" s="130"/>
      <c r="O699" s="130"/>
      <c r="P699" s="130"/>
      <c r="Q699" s="130"/>
      <c r="R699" s="130"/>
      <c r="S699" s="130"/>
      <c r="T699" s="130"/>
      <c r="U699" s="130"/>
      <c r="V699" s="130"/>
      <c r="W699" s="131"/>
      <c r="X699" s="131"/>
      <c r="Y699" s="131"/>
      <c r="Z699" s="131"/>
      <c r="AA699" s="131"/>
      <c r="AB699" s="131"/>
      <c r="AC699" s="131"/>
      <c r="AD699" s="131"/>
      <c r="AE699" s="131"/>
      <c r="AF699" s="131"/>
      <c r="AG699" s="131"/>
      <c r="AH699" s="131"/>
      <c r="AI699" s="131"/>
      <c r="AJ699" s="131"/>
    </row>
    <row r="700">
      <c r="A700" s="126"/>
      <c r="B700" s="126"/>
      <c r="C700" s="126"/>
      <c r="D700" s="126"/>
      <c r="E700" s="126"/>
      <c r="F700" s="126"/>
      <c r="G700" s="128"/>
      <c r="H700" s="130"/>
      <c r="I700" s="130"/>
      <c r="J700" s="130"/>
      <c r="K700" s="130"/>
      <c r="L700" s="129"/>
      <c r="M700" s="130"/>
      <c r="N700" s="130"/>
      <c r="O700" s="130"/>
      <c r="P700" s="130"/>
      <c r="Q700" s="130"/>
      <c r="R700" s="130"/>
      <c r="S700" s="130"/>
      <c r="T700" s="130"/>
      <c r="U700" s="130"/>
      <c r="V700" s="130"/>
      <c r="W700" s="131"/>
      <c r="X700" s="131"/>
      <c r="Y700" s="131"/>
      <c r="Z700" s="131"/>
      <c r="AA700" s="131"/>
      <c r="AB700" s="131"/>
      <c r="AC700" s="131"/>
      <c r="AD700" s="131"/>
      <c r="AE700" s="131"/>
      <c r="AF700" s="131"/>
      <c r="AG700" s="131"/>
      <c r="AH700" s="131"/>
      <c r="AI700" s="131"/>
      <c r="AJ700" s="131"/>
    </row>
    <row r="701">
      <c r="A701" s="126"/>
      <c r="B701" s="126"/>
      <c r="C701" s="126"/>
      <c r="D701" s="126"/>
      <c r="E701" s="126"/>
      <c r="F701" s="126"/>
      <c r="G701" s="128"/>
      <c r="H701" s="130"/>
      <c r="I701" s="130"/>
      <c r="J701" s="130"/>
      <c r="K701" s="130"/>
      <c r="L701" s="129"/>
      <c r="M701" s="130"/>
      <c r="N701" s="130"/>
      <c r="O701" s="130"/>
      <c r="P701" s="130"/>
      <c r="Q701" s="130"/>
      <c r="R701" s="130"/>
      <c r="S701" s="130"/>
      <c r="T701" s="130"/>
      <c r="U701" s="130"/>
      <c r="V701" s="130"/>
      <c r="W701" s="131"/>
      <c r="X701" s="131"/>
      <c r="Y701" s="131"/>
      <c r="Z701" s="131"/>
      <c r="AA701" s="131"/>
      <c r="AB701" s="131"/>
      <c r="AC701" s="131"/>
      <c r="AD701" s="131"/>
      <c r="AE701" s="131"/>
      <c r="AF701" s="131"/>
      <c r="AG701" s="131"/>
      <c r="AH701" s="131"/>
      <c r="AI701" s="131"/>
      <c r="AJ701" s="131"/>
    </row>
    <row r="702">
      <c r="A702" s="126"/>
      <c r="B702" s="126"/>
      <c r="C702" s="126"/>
      <c r="D702" s="126"/>
      <c r="E702" s="126"/>
      <c r="F702" s="126"/>
      <c r="G702" s="128"/>
      <c r="H702" s="130"/>
      <c r="I702" s="130"/>
      <c r="J702" s="130"/>
      <c r="K702" s="130"/>
      <c r="L702" s="129"/>
      <c r="M702" s="130"/>
      <c r="N702" s="130"/>
      <c r="O702" s="130"/>
      <c r="P702" s="130"/>
      <c r="Q702" s="130"/>
      <c r="R702" s="130"/>
      <c r="S702" s="130"/>
      <c r="T702" s="130"/>
      <c r="U702" s="130"/>
      <c r="V702" s="130"/>
      <c r="W702" s="131"/>
      <c r="X702" s="131"/>
      <c r="Y702" s="131"/>
      <c r="Z702" s="131"/>
      <c r="AA702" s="131"/>
      <c r="AB702" s="131"/>
      <c r="AC702" s="131"/>
      <c r="AD702" s="131"/>
      <c r="AE702" s="131"/>
      <c r="AF702" s="131"/>
      <c r="AG702" s="131"/>
      <c r="AH702" s="131"/>
      <c r="AI702" s="131"/>
      <c r="AJ702" s="131"/>
    </row>
    <row r="703">
      <c r="A703" s="126"/>
      <c r="B703" s="126"/>
      <c r="C703" s="126"/>
      <c r="D703" s="126"/>
      <c r="E703" s="126"/>
      <c r="F703" s="126"/>
      <c r="G703" s="128"/>
      <c r="H703" s="130"/>
      <c r="I703" s="130"/>
      <c r="J703" s="130"/>
      <c r="K703" s="130"/>
      <c r="L703" s="129"/>
      <c r="M703" s="130"/>
      <c r="N703" s="130"/>
      <c r="O703" s="130"/>
      <c r="P703" s="130"/>
      <c r="Q703" s="130"/>
      <c r="R703" s="130"/>
      <c r="S703" s="130"/>
      <c r="T703" s="130"/>
      <c r="U703" s="130"/>
      <c r="V703" s="130"/>
      <c r="W703" s="131"/>
      <c r="X703" s="131"/>
      <c r="Y703" s="131"/>
      <c r="Z703" s="131"/>
      <c r="AA703" s="131"/>
      <c r="AB703" s="131"/>
      <c r="AC703" s="131"/>
      <c r="AD703" s="131"/>
      <c r="AE703" s="131"/>
      <c r="AF703" s="131"/>
      <c r="AG703" s="131"/>
      <c r="AH703" s="131"/>
      <c r="AI703" s="131"/>
      <c r="AJ703" s="131"/>
    </row>
    <row r="704">
      <c r="A704" s="126"/>
      <c r="B704" s="126"/>
      <c r="C704" s="126"/>
      <c r="D704" s="126"/>
      <c r="E704" s="126"/>
      <c r="F704" s="126"/>
      <c r="G704" s="128"/>
      <c r="H704" s="130"/>
      <c r="I704" s="130"/>
      <c r="J704" s="130"/>
      <c r="K704" s="130"/>
      <c r="L704" s="129"/>
      <c r="M704" s="130"/>
      <c r="N704" s="130"/>
      <c r="O704" s="130"/>
      <c r="P704" s="130"/>
      <c r="Q704" s="130"/>
      <c r="R704" s="130"/>
      <c r="S704" s="130"/>
      <c r="T704" s="130"/>
      <c r="U704" s="130"/>
      <c r="V704" s="130"/>
      <c r="W704" s="131"/>
      <c r="X704" s="131"/>
      <c r="Y704" s="131"/>
      <c r="Z704" s="131"/>
      <c r="AA704" s="131"/>
      <c r="AB704" s="131"/>
      <c r="AC704" s="131"/>
      <c r="AD704" s="131"/>
      <c r="AE704" s="131"/>
      <c r="AF704" s="131"/>
      <c r="AG704" s="131"/>
      <c r="AH704" s="131"/>
      <c r="AI704" s="131"/>
      <c r="AJ704" s="131"/>
    </row>
    <row r="705">
      <c r="A705" s="126"/>
      <c r="B705" s="126"/>
      <c r="C705" s="126"/>
      <c r="D705" s="126"/>
      <c r="E705" s="126"/>
      <c r="F705" s="126"/>
      <c r="G705" s="128"/>
      <c r="H705" s="130"/>
      <c r="I705" s="130"/>
      <c r="J705" s="130"/>
      <c r="K705" s="130"/>
      <c r="L705" s="129"/>
      <c r="M705" s="130"/>
      <c r="N705" s="130"/>
      <c r="O705" s="130"/>
      <c r="P705" s="130"/>
      <c r="Q705" s="130"/>
      <c r="R705" s="130"/>
      <c r="S705" s="130"/>
      <c r="T705" s="130"/>
      <c r="U705" s="130"/>
      <c r="V705" s="130"/>
      <c r="W705" s="131"/>
      <c r="X705" s="131"/>
      <c r="Y705" s="131"/>
      <c r="Z705" s="131"/>
      <c r="AA705" s="131"/>
      <c r="AB705" s="131"/>
      <c r="AC705" s="131"/>
      <c r="AD705" s="131"/>
      <c r="AE705" s="131"/>
      <c r="AF705" s="131"/>
      <c r="AG705" s="131"/>
      <c r="AH705" s="131"/>
      <c r="AI705" s="131"/>
      <c r="AJ705" s="131"/>
    </row>
    <row r="706">
      <c r="A706" s="126"/>
      <c r="B706" s="126"/>
      <c r="C706" s="126"/>
      <c r="D706" s="126"/>
      <c r="E706" s="126"/>
      <c r="F706" s="126"/>
      <c r="G706" s="128"/>
      <c r="H706" s="130"/>
      <c r="I706" s="130"/>
      <c r="J706" s="130"/>
      <c r="K706" s="130"/>
      <c r="L706" s="129"/>
      <c r="M706" s="130"/>
      <c r="N706" s="130"/>
      <c r="O706" s="130"/>
      <c r="P706" s="130"/>
      <c r="Q706" s="130"/>
      <c r="R706" s="130"/>
      <c r="S706" s="130"/>
      <c r="T706" s="130"/>
      <c r="U706" s="130"/>
      <c r="V706" s="130"/>
      <c r="W706" s="131"/>
      <c r="X706" s="131"/>
      <c r="Y706" s="131"/>
      <c r="Z706" s="131"/>
      <c r="AA706" s="131"/>
      <c r="AB706" s="131"/>
      <c r="AC706" s="131"/>
      <c r="AD706" s="131"/>
      <c r="AE706" s="131"/>
      <c r="AF706" s="131"/>
      <c r="AG706" s="131"/>
      <c r="AH706" s="131"/>
      <c r="AI706" s="131"/>
      <c r="AJ706" s="131"/>
    </row>
    <row r="707">
      <c r="A707" s="126"/>
      <c r="B707" s="126"/>
      <c r="C707" s="126"/>
      <c r="D707" s="126"/>
      <c r="E707" s="126"/>
      <c r="F707" s="126"/>
      <c r="G707" s="128"/>
      <c r="H707" s="130"/>
      <c r="I707" s="130"/>
      <c r="J707" s="130"/>
      <c r="K707" s="130"/>
      <c r="L707" s="129"/>
      <c r="M707" s="130"/>
      <c r="N707" s="130"/>
      <c r="O707" s="130"/>
      <c r="P707" s="130"/>
      <c r="Q707" s="130"/>
      <c r="R707" s="130"/>
      <c r="S707" s="130"/>
      <c r="T707" s="130"/>
      <c r="U707" s="130"/>
      <c r="V707" s="130"/>
      <c r="W707" s="131"/>
      <c r="X707" s="131"/>
      <c r="Y707" s="131"/>
      <c r="Z707" s="131"/>
      <c r="AA707" s="131"/>
      <c r="AB707" s="131"/>
      <c r="AC707" s="131"/>
      <c r="AD707" s="131"/>
      <c r="AE707" s="131"/>
      <c r="AF707" s="131"/>
      <c r="AG707" s="131"/>
      <c r="AH707" s="131"/>
      <c r="AI707" s="131"/>
      <c r="AJ707" s="131"/>
    </row>
    <row r="708">
      <c r="A708" s="126"/>
      <c r="B708" s="126"/>
      <c r="C708" s="126"/>
      <c r="D708" s="126"/>
      <c r="E708" s="126"/>
      <c r="F708" s="126"/>
      <c r="G708" s="128"/>
      <c r="H708" s="130"/>
      <c r="I708" s="130"/>
      <c r="J708" s="130"/>
      <c r="K708" s="130"/>
      <c r="L708" s="129"/>
      <c r="M708" s="130"/>
      <c r="N708" s="130"/>
      <c r="O708" s="130"/>
      <c r="P708" s="130"/>
      <c r="Q708" s="130"/>
      <c r="R708" s="130"/>
      <c r="S708" s="130"/>
      <c r="T708" s="130"/>
      <c r="U708" s="130"/>
      <c r="V708" s="130"/>
      <c r="W708" s="131"/>
      <c r="X708" s="131"/>
      <c r="Y708" s="131"/>
      <c r="Z708" s="131"/>
      <c r="AA708" s="131"/>
      <c r="AB708" s="131"/>
      <c r="AC708" s="131"/>
      <c r="AD708" s="131"/>
      <c r="AE708" s="131"/>
      <c r="AF708" s="131"/>
      <c r="AG708" s="131"/>
      <c r="AH708" s="131"/>
      <c r="AI708" s="131"/>
      <c r="AJ708" s="131"/>
    </row>
    <row r="709">
      <c r="A709" s="126"/>
      <c r="B709" s="126"/>
      <c r="C709" s="126"/>
      <c r="D709" s="126"/>
      <c r="E709" s="126"/>
      <c r="F709" s="126"/>
      <c r="G709" s="128"/>
      <c r="H709" s="130"/>
      <c r="I709" s="130"/>
      <c r="J709" s="130"/>
      <c r="K709" s="130"/>
      <c r="L709" s="129"/>
      <c r="M709" s="130"/>
      <c r="N709" s="130"/>
      <c r="O709" s="130"/>
      <c r="P709" s="130"/>
      <c r="Q709" s="130"/>
      <c r="R709" s="130"/>
      <c r="S709" s="130"/>
      <c r="T709" s="130"/>
      <c r="U709" s="130"/>
      <c r="V709" s="130"/>
      <c r="W709" s="131"/>
      <c r="X709" s="131"/>
      <c r="Y709" s="131"/>
      <c r="Z709" s="131"/>
      <c r="AA709" s="131"/>
      <c r="AB709" s="131"/>
      <c r="AC709" s="131"/>
      <c r="AD709" s="131"/>
      <c r="AE709" s="131"/>
      <c r="AF709" s="131"/>
      <c r="AG709" s="131"/>
      <c r="AH709" s="131"/>
      <c r="AI709" s="131"/>
      <c r="AJ709" s="131"/>
    </row>
    <row r="710">
      <c r="A710" s="126"/>
      <c r="B710" s="126"/>
      <c r="C710" s="126"/>
      <c r="D710" s="126"/>
      <c r="E710" s="126"/>
      <c r="F710" s="126"/>
      <c r="G710" s="128"/>
      <c r="H710" s="130"/>
      <c r="I710" s="130"/>
      <c r="J710" s="130"/>
      <c r="K710" s="130"/>
      <c r="L710" s="129"/>
      <c r="M710" s="130"/>
      <c r="N710" s="130"/>
      <c r="O710" s="130"/>
      <c r="P710" s="130"/>
      <c r="Q710" s="130"/>
      <c r="R710" s="130"/>
      <c r="S710" s="130"/>
      <c r="T710" s="130"/>
      <c r="U710" s="130"/>
      <c r="V710" s="130"/>
      <c r="W710" s="131"/>
      <c r="X710" s="131"/>
      <c r="Y710" s="131"/>
      <c r="Z710" s="131"/>
      <c r="AA710" s="131"/>
      <c r="AB710" s="131"/>
      <c r="AC710" s="131"/>
      <c r="AD710" s="131"/>
      <c r="AE710" s="131"/>
      <c r="AF710" s="131"/>
      <c r="AG710" s="131"/>
      <c r="AH710" s="131"/>
      <c r="AI710" s="131"/>
      <c r="AJ710" s="131"/>
    </row>
    <row r="711">
      <c r="A711" s="126"/>
      <c r="B711" s="126"/>
      <c r="C711" s="126"/>
      <c r="D711" s="126"/>
      <c r="E711" s="126"/>
      <c r="F711" s="126"/>
      <c r="G711" s="128"/>
      <c r="H711" s="130"/>
      <c r="I711" s="130"/>
      <c r="J711" s="130"/>
      <c r="K711" s="130"/>
      <c r="L711" s="129"/>
      <c r="M711" s="130"/>
      <c r="N711" s="130"/>
      <c r="O711" s="130"/>
      <c r="P711" s="130"/>
      <c r="Q711" s="130"/>
      <c r="R711" s="130"/>
      <c r="S711" s="130"/>
      <c r="T711" s="130"/>
      <c r="U711" s="130"/>
      <c r="V711" s="130"/>
      <c r="W711" s="131"/>
      <c r="X711" s="131"/>
      <c r="Y711" s="131"/>
      <c r="Z711" s="131"/>
      <c r="AA711" s="131"/>
      <c r="AB711" s="131"/>
      <c r="AC711" s="131"/>
      <c r="AD711" s="131"/>
      <c r="AE711" s="131"/>
      <c r="AF711" s="131"/>
      <c r="AG711" s="131"/>
      <c r="AH711" s="131"/>
      <c r="AI711" s="131"/>
      <c r="AJ711" s="131"/>
    </row>
    <row r="712">
      <c r="A712" s="126"/>
      <c r="B712" s="126"/>
      <c r="C712" s="126"/>
      <c r="D712" s="126"/>
      <c r="E712" s="126"/>
      <c r="F712" s="126"/>
      <c r="G712" s="128"/>
      <c r="H712" s="130"/>
      <c r="I712" s="130"/>
      <c r="J712" s="130"/>
      <c r="K712" s="130"/>
      <c r="L712" s="129"/>
      <c r="M712" s="130"/>
      <c r="N712" s="130"/>
      <c r="O712" s="130"/>
      <c r="P712" s="130"/>
      <c r="Q712" s="130"/>
      <c r="R712" s="130"/>
      <c r="S712" s="130"/>
      <c r="T712" s="130"/>
      <c r="U712" s="130"/>
      <c r="V712" s="130"/>
      <c r="W712" s="131"/>
      <c r="X712" s="131"/>
      <c r="Y712" s="131"/>
      <c r="Z712" s="131"/>
      <c r="AA712" s="131"/>
      <c r="AB712" s="131"/>
      <c r="AC712" s="131"/>
      <c r="AD712" s="131"/>
      <c r="AE712" s="131"/>
      <c r="AF712" s="131"/>
      <c r="AG712" s="131"/>
      <c r="AH712" s="131"/>
      <c r="AI712" s="131"/>
      <c r="AJ712" s="131"/>
    </row>
    <row r="713">
      <c r="A713" s="126"/>
      <c r="B713" s="126"/>
      <c r="C713" s="126"/>
      <c r="D713" s="126"/>
      <c r="E713" s="126"/>
      <c r="F713" s="126"/>
      <c r="G713" s="128"/>
      <c r="H713" s="130"/>
      <c r="I713" s="130"/>
      <c r="J713" s="130"/>
      <c r="K713" s="130"/>
      <c r="L713" s="129"/>
      <c r="M713" s="130"/>
      <c r="N713" s="130"/>
      <c r="O713" s="130"/>
      <c r="P713" s="130"/>
      <c r="Q713" s="130"/>
      <c r="R713" s="130"/>
      <c r="S713" s="130"/>
      <c r="T713" s="130"/>
      <c r="U713" s="130"/>
      <c r="V713" s="130"/>
      <c r="W713" s="131"/>
      <c r="X713" s="131"/>
      <c r="Y713" s="131"/>
      <c r="Z713" s="131"/>
      <c r="AA713" s="131"/>
      <c r="AB713" s="131"/>
      <c r="AC713" s="131"/>
      <c r="AD713" s="131"/>
      <c r="AE713" s="131"/>
      <c r="AF713" s="131"/>
      <c r="AG713" s="131"/>
      <c r="AH713" s="131"/>
      <c r="AI713" s="131"/>
      <c r="AJ713" s="131"/>
    </row>
    <row r="714">
      <c r="A714" s="126"/>
      <c r="B714" s="126"/>
      <c r="C714" s="126"/>
      <c r="D714" s="126"/>
      <c r="E714" s="126"/>
      <c r="F714" s="126"/>
      <c r="G714" s="128"/>
      <c r="H714" s="130"/>
      <c r="I714" s="130"/>
      <c r="J714" s="130"/>
      <c r="K714" s="130"/>
      <c r="L714" s="129"/>
      <c r="M714" s="130"/>
      <c r="N714" s="130"/>
      <c r="O714" s="130"/>
      <c r="P714" s="130"/>
      <c r="Q714" s="130"/>
      <c r="R714" s="130"/>
      <c r="S714" s="130"/>
      <c r="T714" s="130"/>
      <c r="U714" s="130"/>
      <c r="V714" s="130"/>
      <c r="W714" s="131"/>
      <c r="X714" s="131"/>
      <c r="Y714" s="131"/>
      <c r="Z714" s="131"/>
      <c r="AA714" s="131"/>
      <c r="AB714" s="131"/>
      <c r="AC714" s="131"/>
      <c r="AD714" s="131"/>
      <c r="AE714" s="131"/>
      <c r="AF714" s="131"/>
      <c r="AG714" s="131"/>
      <c r="AH714" s="131"/>
      <c r="AI714" s="131"/>
      <c r="AJ714" s="131"/>
    </row>
    <row r="715">
      <c r="A715" s="126"/>
      <c r="B715" s="126"/>
      <c r="C715" s="126"/>
      <c r="D715" s="126"/>
      <c r="E715" s="126"/>
      <c r="F715" s="126"/>
      <c r="G715" s="128"/>
      <c r="H715" s="130"/>
      <c r="I715" s="130"/>
      <c r="J715" s="130"/>
      <c r="K715" s="130"/>
      <c r="L715" s="129"/>
      <c r="M715" s="130"/>
      <c r="N715" s="130"/>
      <c r="O715" s="130"/>
      <c r="P715" s="130"/>
      <c r="Q715" s="130"/>
      <c r="R715" s="130"/>
      <c r="S715" s="130"/>
      <c r="T715" s="130"/>
      <c r="U715" s="130"/>
      <c r="V715" s="130"/>
      <c r="W715" s="131"/>
      <c r="X715" s="131"/>
      <c r="Y715" s="131"/>
      <c r="Z715" s="131"/>
      <c r="AA715" s="131"/>
      <c r="AB715" s="131"/>
      <c r="AC715" s="131"/>
      <c r="AD715" s="131"/>
      <c r="AE715" s="131"/>
      <c r="AF715" s="131"/>
      <c r="AG715" s="131"/>
      <c r="AH715" s="131"/>
      <c r="AI715" s="131"/>
      <c r="AJ715" s="131"/>
    </row>
    <row r="716">
      <c r="A716" s="126"/>
      <c r="B716" s="126"/>
      <c r="C716" s="126"/>
      <c r="D716" s="126"/>
      <c r="E716" s="126"/>
      <c r="F716" s="126"/>
      <c r="G716" s="128"/>
      <c r="H716" s="130"/>
      <c r="I716" s="130"/>
      <c r="J716" s="130"/>
      <c r="K716" s="130"/>
      <c r="L716" s="129"/>
      <c r="M716" s="130"/>
      <c r="N716" s="130"/>
      <c r="O716" s="130"/>
      <c r="P716" s="130"/>
      <c r="Q716" s="130"/>
      <c r="R716" s="130"/>
      <c r="S716" s="130"/>
      <c r="T716" s="130"/>
      <c r="U716" s="130"/>
      <c r="V716" s="130"/>
      <c r="W716" s="131"/>
      <c r="X716" s="131"/>
      <c r="Y716" s="131"/>
      <c r="Z716" s="131"/>
      <c r="AA716" s="131"/>
      <c r="AB716" s="131"/>
      <c r="AC716" s="131"/>
      <c r="AD716" s="131"/>
      <c r="AE716" s="131"/>
      <c r="AF716" s="131"/>
      <c r="AG716" s="131"/>
      <c r="AH716" s="131"/>
      <c r="AI716" s="131"/>
      <c r="AJ716" s="131"/>
    </row>
    <row r="717">
      <c r="A717" s="126"/>
      <c r="B717" s="126"/>
      <c r="C717" s="126"/>
      <c r="D717" s="126"/>
      <c r="E717" s="126"/>
      <c r="F717" s="126"/>
      <c r="G717" s="128"/>
      <c r="H717" s="130"/>
      <c r="I717" s="130"/>
      <c r="J717" s="130"/>
      <c r="K717" s="130"/>
      <c r="L717" s="129"/>
      <c r="M717" s="130"/>
      <c r="N717" s="130"/>
      <c r="O717" s="130"/>
      <c r="P717" s="130"/>
      <c r="Q717" s="130"/>
      <c r="R717" s="130"/>
      <c r="S717" s="130"/>
      <c r="T717" s="130"/>
      <c r="U717" s="130"/>
      <c r="V717" s="130"/>
      <c r="W717" s="131"/>
      <c r="X717" s="131"/>
      <c r="Y717" s="131"/>
      <c r="Z717" s="131"/>
      <c r="AA717" s="131"/>
      <c r="AB717" s="131"/>
      <c r="AC717" s="131"/>
      <c r="AD717" s="131"/>
      <c r="AE717" s="131"/>
      <c r="AF717" s="131"/>
      <c r="AG717" s="131"/>
      <c r="AH717" s="131"/>
      <c r="AI717" s="131"/>
      <c r="AJ717" s="131"/>
    </row>
    <row r="718">
      <c r="A718" s="126"/>
      <c r="B718" s="126"/>
      <c r="C718" s="126"/>
      <c r="D718" s="126"/>
      <c r="E718" s="126"/>
      <c r="F718" s="126"/>
      <c r="G718" s="128"/>
      <c r="H718" s="130"/>
      <c r="I718" s="130"/>
      <c r="J718" s="130"/>
      <c r="K718" s="130"/>
      <c r="L718" s="129"/>
      <c r="M718" s="130"/>
      <c r="N718" s="130"/>
      <c r="O718" s="130"/>
      <c r="P718" s="130"/>
      <c r="Q718" s="130"/>
      <c r="R718" s="130"/>
      <c r="S718" s="130"/>
      <c r="T718" s="130"/>
      <c r="U718" s="130"/>
      <c r="V718" s="130"/>
      <c r="W718" s="131"/>
      <c r="X718" s="131"/>
      <c r="Y718" s="131"/>
      <c r="Z718" s="131"/>
      <c r="AA718" s="131"/>
      <c r="AB718" s="131"/>
      <c r="AC718" s="131"/>
      <c r="AD718" s="131"/>
      <c r="AE718" s="131"/>
      <c r="AF718" s="131"/>
      <c r="AG718" s="131"/>
      <c r="AH718" s="131"/>
      <c r="AI718" s="131"/>
      <c r="AJ718" s="131"/>
    </row>
    <row r="719">
      <c r="A719" s="126"/>
      <c r="B719" s="126"/>
      <c r="C719" s="126"/>
      <c r="D719" s="126"/>
      <c r="E719" s="126"/>
      <c r="F719" s="126"/>
      <c r="G719" s="128"/>
      <c r="H719" s="130"/>
      <c r="I719" s="130"/>
      <c r="J719" s="130"/>
      <c r="K719" s="130"/>
      <c r="L719" s="129"/>
      <c r="M719" s="130"/>
      <c r="N719" s="130"/>
      <c r="O719" s="130"/>
      <c r="P719" s="130"/>
      <c r="Q719" s="130"/>
      <c r="R719" s="130"/>
      <c r="S719" s="130"/>
      <c r="T719" s="130"/>
      <c r="U719" s="130"/>
      <c r="V719" s="130"/>
      <c r="W719" s="131"/>
      <c r="X719" s="131"/>
      <c r="Y719" s="131"/>
      <c r="Z719" s="131"/>
      <c r="AA719" s="131"/>
      <c r="AB719" s="131"/>
      <c r="AC719" s="131"/>
      <c r="AD719" s="131"/>
      <c r="AE719" s="131"/>
      <c r="AF719" s="131"/>
      <c r="AG719" s="131"/>
      <c r="AH719" s="131"/>
      <c r="AI719" s="131"/>
      <c r="AJ719" s="131"/>
    </row>
    <row r="720">
      <c r="A720" s="126"/>
      <c r="B720" s="126"/>
      <c r="C720" s="126"/>
      <c r="D720" s="126"/>
      <c r="E720" s="126"/>
      <c r="F720" s="126"/>
      <c r="G720" s="128"/>
      <c r="H720" s="130"/>
      <c r="I720" s="130"/>
      <c r="J720" s="130"/>
      <c r="K720" s="130"/>
      <c r="L720" s="129"/>
      <c r="M720" s="130"/>
      <c r="N720" s="130"/>
      <c r="O720" s="130"/>
      <c r="P720" s="130"/>
      <c r="Q720" s="130"/>
      <c r="R720" s="130"/>
      <c r="S720" s="130"/>
      <c r="T720" s="130"/>
      <c r="U720" s="130"/>
      <c r="V720" s="130"/>
      <c r="W720" s="131"/>
      <c r="X720" s="131"/>
      <c r="Y720" s="131"/>
      <c r="Z720" s="131"/>
      <c r="AA720" s="131"/>
      <c r="AB720" s="131"/>
      <c r="AC720" s="131"/>
      <c r="AD720" s="131"/>
      <c r="AE720" s="131"/>
      <c r="AF720" s="131"/>
      <c r="AG720" s="131"/>
      <c r="AH720" s="131"/>
      <c r="AI720" s="131"/>
      <c r="AJ720" s="131"/>
    </row>
    <row r="721">
      <c r="A721" s="126"/>
      <c r="B721" s="126"/>
      <c r="C721" s="126"/>
      <c r="D721" s="126"/>
      <c r="E721" s="126"/>
      <c r="F721" s="126"/>
      <c r="G721" s="128"/>
      <c r="H721" s="130"/>
      <c r="I721" s="130"/>
      <c r="J721" s="130"/>
      <c r="K721" s="130"/>
      <c r="L721" s="129"/>
      <c r="M721" s="130"/>
      <c r="N721" s="130"/>
      <c r="O721" s="130"/>
      <c r="P721" s="130"/>
      <c r="Q721" s="130"/>
      <c r="R721" s="130"/>
      <c r="S721" s="130"/>
      <c r="T721" s="130"/>
      <c r="U721" s="130"/>
      <c r="V721" s="130"/>
      <c r="W721" s="131"/>
      <c r="X721" s="131"/>
      <c r="Y721" s="131"/>
      <c r="Z721" s="131"/>
      <c r="AA721" s="131"/>
      <c r="AB721" s="131"/>
      <c r="AC721" s="131"/>
      <c r="AD721" s="131"/>
      <c r="AE721" s="131"/>
      <c r="AF721" s="131"/>
      <c r="AG721" s="131"/>
      <c r="AH721" s="131"/>
      <c r="AI721" s="131"/>
      <c r="AJ721" s="131"/>
    </row>
    <row r="722">
      <c r="A722" s="126"/>
      <c r="B722" s="126"/>
      <c r="C722" s="126"/>
      <c r="D722" s="126"/>
      <c r="E722" s="126"/>
      <c r="F722" s="126"/>
      <c r="G722" s="128"/>
      <c r="H722" s="130"/>
      <c r="I722" s="130"/>
      <c r="J722" s="130"/>
      <c r="K722" s="130"/>
      <c r="L722" s="129"/>
      <c r="M722" s="130"/>
      <c r="N722" s="130"/>
      <c r="O722" s="130"/>
      <c r="P722" s="130"/>
      <c r="Q722" s="130"/>
      <c r="R722" s="130"/>
      <c r="S722" s="130"/>
      <c r="T722" s="130"/>
      <c r="U722" s="130"/>
      <c r="V722" s="130"/>
      <c r="W722" s="131"/>
      <c r="X722" s="131"/>
      <c r="Y722" s="131"/>
      <c r="Z722" s="131"/>
      <c r="AA722" s="131"/>
      <c r="AB722" s="131"/>
      <c r="AC722" s="131"/>
      <c r="AD722" s="131"/>
      <c r="AE722" s="131"/>
      <c r="AF722" s="131"/>
      <c r="AG722" s="131"/>
      <c r="AH722" s="131"/>
      <c r="AI722" s="131"/>
      <c r="AJ722" s="131"/>
    </row>
    <row r="723">
      <c r="A723" s="126"/>
      <c r="B723" s="126"/>
      <c r="C723" s="126"/>
      <c r="D723" s="126"/>
      <c r="E723" s="126"/>
      <c r="F723" s="126"/>
      <c r="G723" s="128"/>
      <c r="H723" s="130"/>
      <c r="I723" s="130"/>
      <c r="J723" s="130"/>
      <c r="K723" s="130"/>
      <c r="L723" s="129"/>
      <c r="M723" s="130"/>
      <c r="N723" s="130"/>
      <c r="O723" s="130"/>
      <c r="P723" s="130"/>
      <c r="Q723" s="130"/>
      <c r="R723" s="130"/>
      <c r="S723" s="130"/>
      <c r="T723" s="130"/>
      <c r="U723" s="130"/>
      <c r="V723" s="130"/>
      <c r="W723" s="131"/>
      <c r="X723" s="131"/>
      <c r="Y723" s="131"/>
      <c r="Z723" s="131"/>
      <c r="AA723" s="131"/>
      <c r="AB723" s="131"/>
      <c r="AC723" s="131"/>
      <c r="AD723" s="131"/>
      <c r="AE723" s="131"/>
      <c r="AF723" s="131"/>
      <c r="AG723" s="131"/>
      <c r="AH723" s="131"/>
      <c r="AI723" s="131"/>
      <c r="AJ723" s="131"/>
    </row>
    <row r="724">
      <c r="A724" s="126"/>
      <c r="B724" s="126"/>
      <c r="C724" s="126"/>
      <c r="D724" s="126"/>
      <c r="E724" s="126"/>
      <c r="F724" s="126"/>
      <c r="G724" s="128"/>
      <c r="H724" s="130"/>
      <c r="I724" s="130"/>
      <c r="J724" s="130"/>
      <c r="K724" s="130"/>
      <c r="L724" s="129"/>
      <c r="M724" s="130"/>
      <c r="N724" s="130"/>
      <c r="O724" s="130"/>
      <c r="P724" s="130"/>
      <c r="Q724" s="130"/>
      <c r="R724" s="130"/>
      <c r="S724" s="130"/>
      <c r="T724" s="130"/>
      <c r="U724" s="130"/>
      <c r="V724" s="130"/>
      <c r="W724" s="131"/>
      <c r="X724" s="131"/>
      <c r="Y724" s="131"/>
      <c r="Z724" s="131"/>
      <c r="AA724" s="131"/>
      <c r="AB724" s="131"/>
      <c r="AC724" s="131"/>
      <c r="AD724" s="131"/>
      <c r="AE724" s="131"/>
      <c r="AF724" s="131"/>
      <c r="AG724" s="131"/>
      <c r="AH724" s="131"/>
      <c r="AI724" s="131"/>
      <c r="AJ724" s="131"/>
    </row>
    <row r="725">
      <c r="A725" s="126"/>
      <c r="B725" s="126"/>
      <c r="C725" s="126"/>
      <c r="D725" s="126"/>
      <c r="E725" s="126"/>
      <c r="F725" s="126"/>
      <c r="G725" s="128"/>
      <c r="H725" s="130"/>
      <c r="I725" s="130"/>
      <c r="J725" s="130"/>
      <c r="K725" s="130"/>
      <c r="L725" s="129"/>
      <c r="M725" s="130"/>
      <c r="N725" s="130"/>
      <c r="O725" s="130"/>
      <c r="P725" s="130"/>
      <c r="Q725" s="130"/>
      <c r="R725" s="130"/>
      <c r="S725" s="130"/>
      <c r="T725" s="130"/>
      <c r="U725" s="130"/>
      <c r="V725" s="130"/>
      <c r="W725" s="131"/>
      <c r="X725" s="131"/>
      <c r="Y725" s="131"/>
      <c r="Z725" s="131"/>
      <c r="AA725" s="131"/>
      <c r="AB725" s="131"/>
      <c r="AC725" s="131"/>
      <c r="AD725" s="131"/>
      <c r="AE725" s="131"/>
      <c r="AF725" s="131"/>
      <c r="AG725" s="131"/>
      <c r="AH725" s="131"/>
      <c r="AI725" s="131"/>
      <c r="AJ725" s="131"/>
    </row>
    <row r="726">
      <c r="A726" s="126"/>
      <c r="B726" s="126"/>
      <c r="C726" s="126"/>
      <c r="D726" s="126"/>
      <c r="E726" s="126"/>
      <c r="F726" s="126"/>
      <c r="G726" s="128"/>
      <c r="H726" s="130"/>
      <c r="I726" s="130"/>
      <c r="J726" s="130"/>
      <c r="K726" s="130"/>
      <c r="L726" s="129"/>
      <c r="M726" s="130"/>
      <c r="N726" s="130"/>
      <c r="O726" s="130"/>
      <c r="P726" s="130"/>
      <c r="Q726" s="130"/>
      <c r="R726" s="130"/>
      <c r="S726" s="130"/>
      <c r="T726" s="130"/>
      <c r="U726" s="130"/>
      <c r="V726" s="130"/>
      <c r="W726" s="131"/>
      <c r="X726" s="131"/>
      <c r="Y726" s="131"/>
      <c r="Z726" s="131"/>
      <c r="AA726" s="131"/>
      <c r="AB726" s="131"/>
      <c r="AC726" s="131"/>
      <c r="AD726" s="131"/>
      <c r="AE726" s="131"/>
      <c r="AF726" s="131"/>
      <c r="AG726" s="131"/>
      <c r="AH726" s="131"/>
      <c r="AI726" s="131"/>
      <c r="AJ726" s="131"/>
    </row>
    <row r="727">
      <c r="A727" s="126"/>
      <c r="B727" s="126"/>
      <c r="C727" s="126"/>
      <c r="D727" s="126"/>
      <c r="E727" s="126"/>
      <c r="F727" s="126"/>
      <c r="G727" s="128"/>
      <c r="H727" s="130"/>
      <c r="I727" s="130"/>
      <c r="J727" s="130"/>
      <c r="K727" s="130"/>
      <c r="L727" s="129"/>
      <c r="M727" s="130"/>
      <c r="N727" s="130"/>
      <c r="O727" s="130"/>
      <c r="P727" s="130"/>
      <c r="Q727" s="130"/>
      <c r="R727" s="130"/>
      <c r="S727" s="130"/>
      <c r="T727" s="130"/>
      <c r="U727" s="130"/>
      <c r="V727" s="130"/>
      <c r="W727" s="131"/>
      <c r="X727" s="131"/>
      <c r="Y727" s="131"/>
      <c r="Z727" s="131"/>
      <c r="AA727" s="131"/>
      <c r="AB727" s="131"/>
      <c r="AC727" s="131"/>
      <c r="AD727" s="131"/>
      <c r="AE727" s="131"/>
      <c r="AF727" s="131"/>
      <c r="AG727" s="131"/>
      <c r="AH727" s="131"/>
      <c r="AI727" s="131"/>
      <c r="AJ727" s="131"/>
    </row>
    <row r="728">
      <c r="A728" s="126"/>
      <c r="B728" s="126"/>
      <c r="C728" s="126"/>
      <c r="D728" s="126"/>
      <c r="E728" s="126"/>
      <c r="F728" s="126"/>
      <c r="G728" s="128"/>
      <c r="H728" s="130"/>
      <c r="I728" s="130"/>
      <c r="J728" s="130"/>
      <c r="K728" s="130"/>
      <c r="L728" s="129"/>
      <c r="M728" s="130"/>
      <c r="N728" s="130"/>
      <c r="O728" s="130"/>
      <c r="P728" s="130"/>
      <c r="Q728" s="130"/>
      <c r="R728" s="130"/>
      <c r="S728" s="130"/>
      <c r="T728" s="130"/>
      <c r="U728" s="130"/>
      <c r="V728" s="130"/>
      <c r="W728" s="131"/>
      <c r="X728" s="131"/>
      <c r="Y728" s="131"/>
      <c r="Z728" s="131"/>
      <c r="AA728" s="131"/>
      <c r="AB728" s="131"/>
      <c r="AC728" s="131"/>
      <c r="AD728" s="131"/>
      <c r="AE728" s="131"/>
      <c r="AF728" s="131"/>
      <c r="AG728" s="131"/>
      <c r="AH728" s="131"/>
      <c r="AI728" s="131"/>
      <c r="AJ728" s="131"/>
    </row>
    <row r="729">
      <c r="A729" s="126"/>
      <c r="B729" s="126"/>
      <c r="C729" s="126"/>
      <c r="D729" s="126"/>
      <c r="E729" s="126"/>
      <c r="F729" s="126"/>
      <c r="G729" s="128"/>
      <c r="H729" s="130"/>
      <c r="I729" s="130"/>
      <c r="J729" s="130"/>
      <c r="K729" s="130"/>
      <c r="L729" s="129"/>
      <c r="M729" s="130"/>
      <c r="N729" s="130"/>
      <c r="O729" s="130"/>
      <c r="P729" s="130"/>
      <c r="Q729" s="130"/>
      <c r="R729" s="130"/>
      <c r="S729" s="130"/>
      <c r="T729" s="130"/>
      <c r="U729" s="130"/>
      <c r="V729" s="130"/>
      <c r="W729" s="131"/>
      <c r="X729" s="131"/>
      <c r="Y729" s="131"/>
      <c r="Z729" s="131"/>
      <c r="AA729" s="131"/>
      <c r="AB729" s="131"/>
      <c r="AC729" s="131"/>
      <c r="AD729" s="131"/>
      <c r="AE729" s="131"/>
      <c r="AF729" s="131"/>
      <c r="AG729" s="131"/>
      <c r="AH729" s="131"/>
      <c r="AI729" s="131"/>
      <c r="AJ729" s="131"/>
    </row>
    <row r="730">
      <c r="A730" s="126"/>
      <c r="B730" s="126"/>
      <c r="C730" s="126"/>
      <c r="D730" s="126"/>
      <c r="E730" s="126"/>
      <c r="F730" s="126"/>
      <c r="G730" s="128"/>
      <c r="H730" s="130"/>
      <c r="I730" s="130"/>
      <c r="J730" s="130"/>
      <c r="K730" s="130"/>
      <c r="L730" s="129"/>
      <c r="M730" s="130"/>
      <c r="N730" s="130"/>
      <c r="O730" s="130"/>
      <c r="P730" s="130"/>
      <c r="Q730" s="130"/>
      <c r="R730" s="130"/>
      <c r="S730" s="130"/>
      <c r="T730" s="130"/>
      <c r="U730" s="130"/>
      <c r="V730" s="130"/>
      <c r="W730" s="131"/>
      <c r="X730" s="131"/>
      <c r="Y730" s="131"/>
      <c r="Z730" s="131"/>
      <c r="AA730" s="131"/>
      <c r="AB730" s="131"/>
      <c r="AC730" s="131"/>
      <c r="AD730" s="131"/>
      <c r="AE730" s="131"/>
      <c r="AF730" s="131"/>
      <c r="AG730" s="131"/>
      <c r="AH730" s="131"/>
      <c r="AI730" s="131"/>
      <c r="AJ730" s="131"/>
    </row>
    <row r="731">
      <c r="A731" s="126"/>
      <c r="B731" s="126"/>
      <c r="C731" s="126"/>
      <c r="D731" s="126"/>
      <c r="E731" s="126"/>
      <c r="F731" s="126"/>
      <c r="G731" s="128"/>
      <c r="H731" s="130"/>
      <c r="I731" s="130"/>
      <c r="J731" s="130"/>
      <c r="K731" s="130"/>
      <c r="L731" s="129"/>
      <c r="M731" s="130"/>
      <c r="N731" s="130"/>
      <c r="O731" s="130"/>
      <c r="P731" s="130"/>
      <c r="Q731" s="130"/>
      <c r="R731" s="130"/>
      <c r="S731" s="130"/>
      <c r="T731" s="130"/>
      <c r="U731" s="130"/>
      <c r="V731" s="130"/>
      <c r="W731" s="131"/>
      <c r="X731" s="131"/>
      <c r="Y731" s="131"/>
      <c r="Z731" s="131"/>
      <c r="AA731" s="131"/>
      <c r="AB731" s="131"/>
      <c r="AC731" s="131"/>
      <c r="AD731" s="131"/>
      <c r="AE731" s="131"/>
      <c r="AF731" s="131"/>
      <c r="AG731" s="131"/>
      <c r="AH731" s="131"/>
      <c r="AI731" s="131"/>
      <c r="AJ731" s="131"/>
    </row>
    <row r="732">
      <c r="A732" s="126"/>
      <c r="B732" s="126"/>
      <c r="C732" s="126"/>
      <c r="D732" s="126"/>
      <c r="E732" s="126"/>
      <c r="F732" s="126"/>
      <c r="G732" s="128"/>
      <c r="H732" s="130"/>
      <c r="I732" s="130"/>
      <c r="J732" s="130"/>
      <c r="K732" s="130"/>
      <c r="L732" s="129"/>
      <c r="M732" s="130"/>
      <c r="N732" s="130"/>
      <c r="O732" s="130"/>
      <c r="P732" s="130"/>
      <c r="Q732" s="130"/>
      <c r="R732" s="130"/>
      <c r="S732" s="130"/>
      <c r="T732" s="130"/>
      <c r="U732" s="130"/>
      <c r="V732" s="130"/>
      <c r="W732" s="131"/>
      <c r="X732" s="131"/>
      <c r="Y732" s="131"/>
      <c r="Z732" s="131"/>
      <c r="AA732" s="131"/>
      <c r="AB732" s="131"/>
      <c r="AC732" s="131"/>
      <c r="AD732" s="131"/>
      <c r="AE732" s="131"/>
      <c r="AF732" s="131"/>
      <c r="AG732" s="131"/>
      <c r="AH732" s="131"/>
      <c r="AI732" s="131"/>
      <c r="AJ732" s="131"/>
    </row>
    <row r="733">
      <c r="A733" s="126"/>
      <c r="B733" s="126"/>
      <c r="C733" s="126"/>
      <c r="D733" s="126"/>
      <c r="E733" s="126"/>
      <c r="F733" s="126"/>
      <c r="G733" s="128"/>
      <c r="H733" s="130"/>
      <c r="I733" s="130"/>
      <c r="J733" s="130"/>
      <c r="K733" s="130"/>
      <c r="L733" s="129"/>
      <c r="M733" s="130"/>
      <c r="N733" s="130"/>
      <c r="O733" s="130"/>
      <c r="P733" s="130"/>
      <c r="Q733" s="130"/>
      <c r="R733" s="130"/>
      <c r="S733" s="130"/>
      <c r="T733" s="130"/>
      <c r="U733" s="130"/>
      <c r="V733" s="130"/>
      <c r="W733" s="131"/>
      <c r="X733" s="131"/>
      <c r="Y733" s="131"/>
      <c r="Z733" s="131"/>
      <c r="AA733" s="131"/>
      <c r="AB733" s="131"/>
      <c r="AC733" s="131"/>
      <c r="AD733" s="131"/>
      <c r="AE733" s="131"/>
      <c r="AF733" s="131"/>
      <c r="AG733" s="131"/>
      <c r="AH733" s="131"/>
      <c r="AI733" s="131"/>
      <c r="AJ733" s="131"/>
    </row>
    <row r="734">
      <c r="A734" s="126"/>
      <c r="B734" s="126"/>
      <c r="C734" s="126"/>
      <c r="D734" s="126"/>
      <c r="E734" s="126"/>
      <c r="F734" s="126"/>
      <c r="G734" s="128"/>
      <c r="H734" s="130"/>
      <c r="I734" s="130"/>
      <c r="J734" s="130"/>
      <c r="K734" s="130"/>
      <c r="L734" s="129"/>
      <c r="M734" s="130"/>
      <c r="N734" s="130"/>
      <c r="O734" s="130"/>
      <c r="P734" s="130"/>
      <c r="Q734" s="130"/>
      <c r="R734" s="130"/>
      <c r="S734" s="130"/>
      <c r="T734" s="130"/>
      <c r="U734" s="130"/>
      <c r="V734" s="130"/>
      <c r="W734" s="131"/>
      <c r="X734" s="131"/>
      <c r="Y734" s="131"/>
      <c r="Z734" s="131"/>
      <c r="AA734" s="131"/>
      <c r="AB734" s="131"/>
      <c r="AC734" s="131"/>
      <c r="AD734" s="131"/>
      <c r="AE734" s="131"/>
      <c r="AF734" s="131"/>
      <c r="AG734" s="131"/>
      <c r="AH734" s="131"/>
      <c r="AI734" s="131"/>
      <c r="AJ734" s="131"/>
    </row>
    <row r="735">
      <c r="A735" s="126"/>
      <c r="B735" s="126"/>
      <c r="C735" s="126"/>
      <c r="D735" s="126"/>
      <c r="E735" s="126"/>
      <c r="F735" s="126"/>
      <c r="G735" s="128"/>
      <c r="H735" s="130"/>
      <c r="I735" s="130"/>
      <c r="J735" s="130"/>
      <c r="K735" s="130"/>
      <c r="L735" s="129"/>
      <c r="M735" s="130"/>
      <c r="N735" s="130"/>
      <c r="O735" s="130"/>
      <c r="P735" s="130"/>
      <c r="Q735" s="130"/>
      <c r="R735" s="130"/>
      <c r="S735" s="130"/>
      <c r="T735" s="130"/>
      <c r="U735" s="130"/>
      <c r="V735" s="130"/>
      <c r="W735" s="131"/>
      <c r="X735" s="131"/>
      <c r="Y735" s="131"/>
      <c r="Z735" s="131"/>
      <c r="AA735" s="131"/>
      <c r="AB735" s="131"/>
      <c r="AC735" s="131"/>
      <c r="AD735" s="131"/>
      <c r="AE735" s="131"/>
      <c r="AF735" s="131"/>
      <c r="AG735" s="131"/>
      <c r="AH735" s="131"/>
      <c r="AI735" s="131"/>
      <c r="AJ735" s="131"/>
    </row>
    <row r="736">
      <c r="A736" s="126"/>
      <c r="B736" s="126"/>
      <c r="C736" s="126"/>
      <c r="D736" s="126"/>
      <c r="E736" s="126"/>
      <c r="F736" s="126"/>
      <c r="G736" s="128"/>
      <c r="H736" s="130"/>
      <c r="I736" s="130"/>
      <c r="J736" s="130"/>
      <c r="K736" s="130"/>
      <c r="L736" s="129"/>
      <c r="M736" s="130"/>
      <c r="N736" s="130"/>
      <c r="O736" s="130"/>
      <c r="P736" s="130"/>
      <c r="Q736" s="130"/>
      <c r="R736" s="130"/>
      <c r="S736" s="130"/>
      <c r="T736" s="130"/>
      <c r="U736" s="130"/>
      <c r="V736" s="130"/>
      <c r="W736" s="131"/>
      <c r="X736" s="131"/>
      <c r="Y736" s="131"/>
      <c r="Z736" s="131"/>
      <c r="AA736" s="131"/>
      <c r="AB736" s="131"/>
      <c r="AC736" s="131"/>
      <c r="AD736" s="131"/>
      <c r="AE736" s="131"/>
      <c r="AF736" s="131"/>
      <c r="AG736" s="131"/>
      <c r="AH736" s="131"/>
      <c r="AI736" s="131"/>
      <c r="AJ736" s="131"/>
    </row>
    <row r="737">
      <c r="A737" s="126"/>
      <c r="B737" s="126"/>
      <c r="C737" s="126"/>
      <c r="D737" s="126"/>
      <c r="E737" s="126"/>
      <c r="F737" s="126"/>
      <c r="G737" s="128"/>
      <c r="H737" s="130"/>
      <c r="I737" s="130"/>
      <c r="J737" s="130"/>
      <c r="K737" s="130"/>
      <c r="L737" s="129"/>
      <c r="M737" s="130"/>
      <c r="N737" s="130"/>
      <c r="O737" s="130"/>
      <c r="P737" s="130"/>
      <c r="Q737" s="130"/>
      <c r="R737" s="130"/>
      <c r="S737" s="130"/>
      <c r="T737" s="130"/>
      <c r="U737" s="130"/>
      <c r="V737" s="130"/>
      <c r="W737" s="131"/>
      <c r="X737" s="131"/>
      <c r="Y737" s="131"/>
      <c r="Z737" s="131"/>
      <c r="AA737" s="131"/>
      <c r="AB737" s="131"/>
      <c r="AC737" s="131"/>
      <c r="AD737" s="131"/>
      <c r="AE737" s="131"/>
      <c r="AF737" s="131"/>
      <c r="AG737" s="131"/>
      <c r="AH737" s="131"/>
      <c r="AI737" s="131"/>
      <c r="AJ737" s="131"/>
    </row>
    <row r="738">
      <c r="A738" s="126"/>
      <c r="B738" s="126"/>
      <c r="C738" s="126"/>
      <c r="D738" s="126"/>
      <c r="E738" s="126"/>
      <c r="F738" s="126"/>
      <c r="G738" s="128"/>
      <c r="H738" s="130"/>
      <c r="I738" s="130"/>
      <c r="J738" s="130"/>
      <c r="K738" s="130"/>
      <c r="L738" s="129"/>
      <c r="M738" s="130"/>
      <c r="N738" s="130"/>
      <c r="O738" s="130"/>
      <c r="P738" s="130"/>
      <c r="Q738" s="130"/>
      <c r="R738" s="130"/>
      <c r="S738" s="130"/>
      <c r="T738" s="130"/>
      <c r="U738" s="130"/>
      <c r="V738" s="130"/>
      <c r="W738" s="131"/>
      <c r="X738" s="131"/>
      <c r="Y738" s="131"/>
      <c r="Z738" s="131"/>
      <c r="AA738" s="131"/>
      <c r="AB738" s="131"/>
      <c r="AC738" s="131"/>
      <c r="AD738" s="131"/>
      <c r="AE738" s="131"/>
      <c r="AF738" s="131"/>
      <c r="AG738" s="131"/>
      <c r="AH738" s="131"/>
      <c r="AI738" s="131"/>
      <c r="AJ738" s="131"/>
    </row>
    <row r="739">
      <c r="A739" s="126"/>
      <c r="B739" s="126"/>
      <c r="C739" s="126"/>
      <c r="D739" s="126"/>
      <c r="E739" s="126"/>
      <c r="F739" s="126"/>
      <c r="G739" s="128"/>
      <c r="H739" s="130"/>
      <c r="I739" s="130"/>
      <c r="J739" s="130"/>
      <c r="K739" s="130"/>
      <c r="L739" s="129"/>
      <c r="M739" s="130"/>
      <c r="N739" s="130"/>
      <c r="O739" s="130"/>
      <c r="P739" s="130"/>
      <c r="Q739" s="130"/>
      <c r="R739" s="130"/>
      <c r="S739" s="130"/>
      <c r="T739" s="130"/>
      <c r="U739" s="130"/>
      <c r="V739" s="130"/>
      <c r="W739" s="131"/>
      <c r="X739" s="131"/>
      <c r="Y739" s="131"/>
      <c r="Z739" s="131"/>
      <c r="AA739" s="131"/>
      <c r="AB739" s="131"/>
      <c r="AC739" s="131"/>
      <c r="AD739" s="131"/>
      <c r="AE739" s="131"/>
      <c r="AF739" s="131"/>
      <c r="AG739" s="131"/>
      <c r="AH739" s="131"/>
      <c r="AI739" s="131"/>
      <c r="AJ739" s="131"/>
    </row>
    <row r="740">
      <c r="A740" s="126"/>
      <c r="B740" s="126"/>
      <c r="C740" s="126"/>
      <c r="D740" s="126"/>
      <c r="E740" s="126"/>
      <c r="F740" s="126"/>
      <c r="G740" s="128"/>
      <c r="H740" s="130"/>
      <c r="I740" s="130"/>
      <c r="J740" s="130"/>
      <c r="K740" s="130"/>
      <c r="L740" s="129"/>
      <c r="M740" s="130"/>
      <c r="N740" s="130"/>
      <c r="O740" s="130"/>
      <c r="P740" s="130"/>
      <c r="Q740" s="130"/>
      <c r="R740" s="130"/>
      <c r="S740" s="130"/>
      <c r="T740" s="130"/>
      <c r="U740" s="130"/>
      <c r="V740" s="130"/>
      <c r="W740" s="131"/>
      <c r="X740" s="131"/>
      <c r="Y740" s="131"/>
      <c r="Z740" s="131"/>
      <c r="AA740" s="131"/>
      <c r="AB740" s="131"/>
      <c r="AC740" s="131"/>
      <c r="AD740" s="131"/>
      <c r="AE740" s="131"/>
      <c r="AF740" s="131"/>
      <c r="AG740" s="131"/>
      <c r="AH740" s="131"/>
      <c r="AI740" s="131"/>
      <c r="AJ740" s="131"/>
    </row>
    <row r="741">
      <c r="A741" s="126"/>
      <c r="B741" s="126"/>
      <c r="C741" s="126"/>
      <c r="D741" s="126"/>
      <c r="E741" s="126"/>
      <c r="F741" s="126"/>
      <c r="G741" s="128"/>
      <c r="H741" s="130"/>
      <c r="I741" s="130"/>
      <c r="J741" s="130"/>
      <c r="K741" s="130"/>
      <c r="L741" s="129"/>
      <c r="M741" s="130"/>
      <c r="N741" s="130"/>
      <c r="O741" s="130"/>
      <c r="P741" s="130"/>
      <c r="Q741" s="130"/>
      <c r="R741" s="130"/>
      <c r="S741" s="130"/>
      <c r="T741" s="130"/>
      <c r="U741" s="130"/>
      <c r="V741" s="130"/>
      <c r="W741" s="131"/>
      <c r="X741" s="131"/>
      <c r="Y741" s="131"/>
      <c r="Z741" s="131"/>
      <c r="AA741" s="131"/>
      <c r="AB741" s="131"/>
      <c r="AC741" s="131"/>
      <c r="AD741" s="131"/>
      <c r="AE741" s="131"/>
      <c r="AF741" s="131"/>
      <c r="AG741" s="131"/>
      <c r="AH741" s="131"/>
      <c r="AI741" s="131"/>
      <c r="AJ741" s="131"/>
    </row>
    <row r="742">
      <c r="A742" s="126"/>
      <c r="B742" s="126"/>
      <c r="C742" s="126"/>
      <c r="D742" s="126"/>
      <c r="E742" s="126"/>
      <c r="F742" s="126"/>
      <c r="G742" s="128"/>
      <c r="H742" s="130"/>
      <c r="I742" s="130"/>
      <c r="J742" s="130"/>
      <c r="K742" s="130"/>
      <c r="L742" s="129"/>
      <c r="M742" s="130"/>
      <c r="N742" s="130"/>
      <c r="O742" s="130"/>
      <c r="P742" s="130"/>
      <c r="Q742" s="130"/>
      <c r="R742" s="130"/>
      <c r="S742" s="130"/>
      <c r="T742" s="130"/>
      <c r="U742" s="130"/>
      <c r="V742" s="130"/>
      <c r="W742" s="131"/>
      <c r="X742" s="131"/>
      <c r="Y742" s="131"/>
      <c r="Z742" s="131"/>
      <c r="AA742" s="131"/>
      <c r="AB742" s="131"/>
      <c r="AC742" s="131"/>
      <c r="AD742" s="131"/>
      <c r="AE742" s="131"/>
      <c r="AF742" s="131"/>
      <c r="AG742" s="131"/>
      <c r="AH742" s="131"/>
      <c r="AI742" s="131"/>
      <c r="AJ742" s="131"/>
    </row>
    <row r="743">
      <c r="A743" s="126"/>
      <c r="B743" s="126"/>
      <c r="C743" s="126"/>
      <c r="D743" s="126"/>
      <c r="E743" s="126"/>
      <c r="F743" s="126"/>
      <c r="G743" s="128"/>
      <c r="H743" s="130"/>
      <c r="I743" s="130"/>
      <c r="J743" s="130"/>
      <c r="K743" s="130"/>
      <c r="L743" s="129"/>
      <c r="M743" s="130"/>
      <c r="N743" s="130"/>
      <c r="O743" s="130"/>
      <c r="P743" s="130"/>
      <c r="Q743" s="130"/>
      <c r="R743" s="130"/>
      <c r="S743" s="130"/>
      <c r="T743" s="130"/>
      <c r="U743" s="130"/>
      <c r="V743" s="130"/>
      <c r="W743" s="131"/>
      <c r="X743" s="131"/>
      <c r="Y743" s="131"/>
      <c r="Z743" s="131"/>
      <c r="AA743" s="131"/>
      <c r="AB743" s="131"/>
      <c r="AC743" s="131"/>
      <c r="AD743" s="131"/>
      <c r="AE743" s="131"/>
      <c r="AF743" s="131"/>
      <c r="AG743" s="131"/>
      <c r="AH743" s="131"/>
      <c r="AI743" s="131"/>
      <c r="AJ743" s="131"/>
    </row>
    <row r="744">
      <c r="A744" s="126"/>
      <c r="B744" s="126"/>
      <c r="C744" s="126"/>
      <c r="D744" s="126"/>
      <c r="E744" s="126"/>
      <c r="F744" s="126"/>
      <c r="G744" s="128"/>
      <c r="H744" s="130"/>
      <c r="I744" s="130"/>
      <c r="J744" s="130"/>
      <c r="K744" s="130"/>
      <c r="L744" s="129"/>
      <c r="M744" s="130"/>
      <c r="N744" s="130"/>
      <c r="O744" s="130"/>
      <c r="P744" s="130"/>
      <c r="Q744" s="130"/>
      <c r="R744" s="130"/>
      <c r="S744" s="130"/>
      <c r="T744" s="130"/>
      <c r="U744" s="130"/>
      <c r="V744" s="130"/>
      <c r="W744" s="131"/>
      <c r="X744" s="131"/>
      <c r="Y744" s="131"/>
      <c r="Z744" s="131"/>
      <c r="AA744" s="131"/>
      <c r="AB744" s="131"/>
      <c r="AC744" s="131"/>
      <c r="AD744" s="131"/>
      <c r="AE744" s="131"/>
      <c r="AF744" s="131"/>
      <c r="AG744" s="131"/>
      <c r="AH744" s="131"/>
      <c r="AI744" s="131"/>
      <c r="AJ744" s="131"/>
    </row>
    <row r="745">
      <c r="A745" s="126"/>
      <c r="B745" s="126"/>
      <c r="C745" s="126"/>
      <c r="D745" s="126"/>
      <c r="E745" s="126"/>
      <c r="F745" s="126"/>
      <c r="G745" s="128"/>
      <c r="H745" s="130"/>
      <c r="I745" s="130"/>
      <c r="J745" s="130"/>
      <c r="K745" s="130"/>
      <c r="L745" s="129"/>
      <c r="M745" s="130"/>
      <c r="N745" s="130"/>
      <c r="O745" s="130"/>
      <c r="P745" s="130"/>
      <c r="Q745" s="130"/>
      <c r="R745" s="130"/>
      <c r="S745" s="130"/>
      <c r="T745" s="130"/>
      <c r="U745" s="130"/>
      <c r="V745" s="130"/>
      <c r="W745" s="131"/>
      <c r="X745" s="131"/>
      <c r="Y745" s="131"/>
      <c r="Z745" s="131"/>
      <c r="AA745" s="131"/>
      <c r="AB745" s="131"/>
      <c r="AC745" s="131"/>
      <c r="AD745" s="131"/>
      <c r="AE745" s="131"/>
      <c r="AF745" s="131"/>
      <c r="AG745" s="131"/>
      <c r="AH745" s="131"/>
      <c r="AI745" s="131"/>
      <c r="AJ745" s="131"/>
    </row>
    <row r="746">
      <c r="A746" s="126"/>
      <c r="B746" s="126"/>
      <c r="C746" s="126"/>
      <c r="D746" s="126"/>
      <c r="E746" s="126"/>
      <c r="F746" s="126"/>
      <c r="G746" s="128"/>
      <c r="H746" s="130"/>
      <c r="I746" s="130"/>
      <c r="J746" s="130"/>
      <c r="K746" s="130"/>
      <c r="L746" s="129"/>
      <c r="M746" s="130"/>
      <c r="N746" s="130"/>
      <c r="O746" s="130"/>
      <c r="P746" s="130"/>
      <c r="Q746" s="130"/>
      <c r="R746" s="130"/>
      <c r="S746" s="130"/>
      <c r="T746" s="130"/>
      <c r="U746" s="130"/>
      <c r="V746" s="130"/>
      <c r="W746" s="131"/>
      <c r="X746" s="131"/>
      <c r="Y746" s="131"/>
      <c r="Z746" s="131"/>
      <c r="AA746" s="131"/>
      <c r="AB746" s="131"/>
      <c r="AC746" s="131"/>
      <c r="AD746" s="131"/>
      <c r="AE746" s="131"/>
      <c r="AF746" s="131"/>
      <c r="AG746" s="131"/>
      <c r="AH746" s="131"/>
      <c r="AI746" s="131"/>
      <c r="AJ746" s="131"/>
    </row>
    <row r="747">
      <c r="A747" s="126"/>
      <c r="B747" s="126"/>
      <c r="C747" s="126"/>
      <c r="D747" s="126"/>
      <c r="E747" s="126"/>
      <c r="F747" s="126"/>
      <c r="G747" s="128"/>
      <c r="H747" s="130"/>
      <c r="I747" s="130"/>
      <c r="J747" s="130"/>
      <c r="K747" s="130"/>
      <c r="L747" s="129"/>
      <c r="M747" s="130"/>
      <c r="N747" s="130"/>
      <c r="O747" s="130"/>
      <c r="P747" s="130"/>
      <c r="Q747" s="130"/>
      <c r="R747" s="130"/>
      <c r="S747" s="130"/>
      <c r="T747" s="130"/>
      <c r="U747" s="130"/>
      <c r="V747" s="130"/>
      <c r="W747" s="131"/>
      <c r="X747" s="131"/>
      <c r="Y747" s="131"/>
      <c r="Z747" s="131"/>
      <c r="AA747" s="131"/>
      <c r="AB747" s="131"/>
      <c r="AC747" s="131"/>
      <c r="AD747" s="131"/>
      <c r="AE747" s="131"/>
      <c r="AF747" s="131"/>
      <c r="AG747" s="131"/>
      <c r="AH747" s="131"/>
      <c r="AI747" s="131"/>
      <c r="AJ747" s="131"/>
    </row>
    <row r="748">
      <c r="A748" s="126"/>
      <c r="B748" s="126"/>
      <c r="C748" s="126"/>
      <c r="D748" s="126"/>
      <c r="E748" s="126"/>
      <c r="F748" s="126"/>
      <c r="G748" s="128"/>
      <c r="H748" s="130"/>
      <c r="I748" s="130"/>
      <c r="J748" s="130"/>
      <c r="K748" s="130"/>
      <c r="L748" s="129"/>
      <c r="M748" s="130"/>
      <c r="N748" s="130"/>
      <c r="O748" s="130"/>
      <c r="P748" s="130"/>
      <c r="Q748" s="130"/>
      <c r="R748" s="130"/>
      <c r="S748" s="130"/>
      <c r="T748" s="130"/>
      <c r="U748" s="130"/>
      <c r="V748" s="130"/>
      <c r="W748" s="131"/>
      <c r="X748" s="131"/>
      <c r="Y748" s="131"/>
      <c r="Z748" s="131"/>
      <c r="AA748" s="131"/>
      <c r="AB748" s="131"/>
      <c r="AC748" s="131"/>
      <c r="AD748" s="131"/>
      <c r="AE748" s="131"/>
      <c r="AF748" s="131"/>
      <c r="AG748" s="131"/>
      <c r="AH748" s="131"/>
      <c r="AI748" s="131"/>
      <c r="AJ748" s="131"/>
    </row>
    <row r="749">
      <c r="A749" s="126"/>
      <c r="B749" s="126"/>
      <c r="C749" s="126"/>
      <c r="D749" s="126"/>
      <c r="E749" s="126"/>
      <c r="F749" s="126"/>
      <c r="G749" s="128"/>
      <c r="H749" s="130"/>
      <c r="I749" s="130"/>
      <c r="J749" s="130"/>
      <c r="K749" s="130"/>
      <c r="L749" s="129"/>
      <c r="M749" s="130"/>
      <c r="N749" s="130"/>
      <c r="O749" s="130"/>
      <c r="P749" s="130"/>
      <c r="Q749" s="130"/>
      <c r="R749" s="130"/>
      <c r="S749" s="130"/>
      <c r="T749" s="130"/>
      <c r="U749" s="130"/>
      <c r="V749" s="130"/>
      <c r="W749" s="131"/>
      <c r="X749" s="131"/>
      <c r="Y749" s="131"/>
      <c r="Z749" s="131"/>
      <c r="AA749" s="131"/>
      <c r="AB749" s="131"/>
      <c r="AC749" s="131"/>
      <c r="AD749" s="131"/>
      <c r="AE749" s="131"/>
      <c r="AF749" s="131"/>
      <c r="AG749" s="131"/>
      <c r="AH749" s="131"/>
      <c r="AI749" s="131"/>
      <c r="AJ749" s="131"/>
    </row>
    <row r="750">
      <c r="A750" s="126"/>
      <c r="B750" s="126"/>
      <c r="C750" s="126"/>
      <c r="D750" s="126"/>
      <c r="E750" s="126"/>
      <c r="F750" s="126"/>
      <c r="G750" s="128"/>
      <c r="H750" s="130"/>
      <c r="I750" s="130"/>
      <c r="J750" s="130"/>
      <c r="K750" s="130"/>
      <c r="L750" s="129"/>
      <c r="M750" s="130"/>
      <c r="N750" s="130"/>
      <c r="O750" s="130"/>
      <c r="P750" s="130"/>
      <c r="Q750" s="130"/>
      <c r="R750" s="130"/>
      <c r="S750" s="130"/>
      <c r="T750" s="130"/>
      <c r="U750" s="130"/>
      <c r="V750" s="130"/>
      <c r="W750" s="131"/>
      <c r="X750" s="131"/>
      <c r="Y750" s="131"/>
      <c r="Z750" s="131"/>
      <c r="AA750" s="131"/>
      <c r="AB750" s="131"/>
      <c r="AC750" s="131"/>
      <c r="AD750" s="131"/>
      <c r="AE750" s="131"/>
      <c r="AF750" s="131"/>
      <c r="AG750" s="131"/>
      <c r="AH750" s="131"/>
      <c r="AI750" s="131"/>
      <c r="AJ750" s="131"/>
    </row>
    <row r="751">
      <c r="A751" s="126"/>
      <c r="B751" s="126"/>
      <c r="C751" s="126"/>
      <c r="D751" s="126"/>
      <c r="E751" s="126"/>
      <c r="F751" s="126"/>
      <c r="G751" s="128"/>
      <c r="H751" s="130"/>
      <c r="I751" s="130"/>
      <c r="J751" s="130"/>
      <c r="K751" s="130"/>
      <c r="L751" s="129"/>
      <c r="M751" s="130"/>
      <c r="N751" s="130"/>
      <c r="O751" s="130"/>
      <c r="P751" s="130"/>
      <c r="Q751" s="130"/>
      <c r="R751" s="130"/>
      <c r="S751" s="130"/>
      <c r="T751" s="130"/>
      <c r="U751" s="130"/>
      <c r="V751" s="130"/>
      <c r="W751" s="131"/>
      <c r="X751" s="131"/>
      <c r="Y751" s="131"/>
      <c r="Z751" s="131"/>
      <c r="AA751" s="131"/>
      <c r="AB751" s="131"/>
      <c r="AC751" s="131"/>
      <c r="AD751" s="131"/>
      <c r="AE751" s="131"/>
      <c r="AF751" s="131"/>
      <c r="AG751" s="131"/>
      <c r="AH751" s="131"/>
      <c r="AI751" s="131"/>
      <c r="AJ751" s="131"/>
    </row>
    <row r="752">
      <c r="A752" s="126"/>
      <c r="B752" s="126"/>
      <c r="C752" s="126"/>
      <c r="D752" s="126"/>
      <c r="E752" s="126"/>
      <c r="F752" s="126"/>
      <c r="G752" s="128"/>
      <c r="H752" s="130"/>
      <c r="I752" s="130"/>
      <c r="J752" s="130"/>
      <c r="K752" s="130"/>
      <c r="L752" s="129"/>
      <c r="M752" s="130"/>
      <c r="N752" s="130"/>
      <c r="O752" s="130"/>
      <c r="P752" s="130"/>
      <c r="Q752" s="130"/>
      <c r="R752" s="130"/>
      <c r="S752" s="130"/>
      <c r="T752" s="130"/>
      <c r="U752" s="130"/>
      <c r="V752" s="130"/>
      <c r="W752" s="131"/>
      <c r="X752" s="131"/>
      <c r="Y752" s="131"/>
      <c r="Z752" s="131"/>
      <c r="AA752" s="131"/>
      <c r="AB752" s="131"/>
      <c r="AC752" s="131"/>
      <c r="AD752" s="131"/>
      <c r="AE752" s="131"/>
      <c r="AF752" s="131"/>
      <c r="AG752" s="131"/>
      <c r="AH752" s="131"/>
      <c r="AI752" s="131"/>
      <c r="AJ752" s="131"/>
    </row>
    <row r="753">
      <c r="A753" s="126"/>
      <c r="B753" s="126"/>
      <c r="C753" s="126"/>
      <c r="D753" s="126"/>
      <c r="E753" s="126"/>
      <c r="F753" s="126"/>
      <c r="G753" s="128"/>
      <c r="H753" s="130"/>
      <c r="I753" s="130"/>
      <c r="J753" s="130"/>
      <c r="K753" s="130"/>
      <c r="L753" s="129"/>
      <c r="M753" s="130"/>
      <c r="N753" s="130"/>
      <c r="O753" s="130"/>
      <c r="P753" s="130"/>
      <c r="Q753" s="130"/>
      <c r="R753" s="130"/>
      <c r="S753" s="130"/>
      <c r="T753" s="130"/>
      <c r="U753" s="130"/>
      <c r="V753" s="130"/>
      <c r="W753" s="131"/>
      <c r="X753" s="131"/>
      <c r="Y753" s="131"/>
      <c r="Z753" s="131"/>
      <c r="AA753" s="131"/>
      <c r="AB753" s="131"/>
      <c r="AC753" s="131"/>
      <c r="AD753" s="131"/>
      <c r="AE753" s="131"/>
      <c r="AF753" s="131"/>
      <c r="AG753" s="131"/>
      <c r="AH753" s="131"/>
      <c r="AI753" s="131"/>
      <c r="AJ753" s="131"/>
    </row>
    <row r="754">
      <c r="A754" s="126"/>
      <c r="B754" s="126"/>
      <c r="C754" s="126"/>
      <c r="D754" s="126"/>
      <c r="E754" s="126"/>
      <c r="F754" s="126"/>
      <c r="G754" s="128"/>
      <c r="H754" s="130"/>
      <c r="I754" s="130"/>
      <c r="J754" s="130"/>
      <c r="K754" s="130"/>
      <c r="L754" s="129"/>
      <c r="M754" s="130"/>
      <c r="N754" s="130"/>
      <c r="O754" s="130"/>
      <c r="P754" s="130"/>
      <c r="Q754" s="130"/>
      <c r="R754" s="130"/>
      <c r="S754" s="130"/>
      <c r="T754" s="130"/>
      <c r="U754" s="130"/>
      <c r="V754" s="130"/>
      <c r="W754" s="131"/>
      <c r="X754" s="131"/>
      <c r="Y754" s="131"/>
      <c r="Z754" s="131"/>
      <c r="AA754" s="131"/>
      <c r="AB754" s="131"/>
      <c r="AC754" s="131"/>
      <c r="AD754" s="131"/>
      <c r="AE754" s="131"/>
      <c r="AF754" s="131"/>
      <c r="AG754" s="131"/>
      <c r="AH754" s="131"/>
      <c r="AI754" s="131"/>
      <c r="AJ754" s="131"/>
    </row>
    <row r="755">
      <c r="A755" s="126"/>
      <c r="B755" s="126"/>
      <c r="C755" s="126"/>
      <c r="D755" s="126"/>
      <c r="E755" s="126"/>
      <c r="F755" s="126"/>
      <c r="G755" s="128"/>
      <c r="H755" s="130"/>
      <c r="I755" s="130"/>
      <c r="J755" s="130"/>
      <c r="K755" s="130"/>
      <c r="L755" s="129"/>
      <c r="M755" s="130"/>
      <c r="N755" s="130"/>
      <c r="O755" s="130"/>
      <c r="P755" s="130"/>
      <c r="Q755" s="130"/>
      <c r="R755" s="130"/>
      <c r="S755" s="130"/>
      <c r="T755" s="130"/>
      <c r="U755" s="130"/>
      <c r="V755" s="130"/>
      <c r="W755" s="131"/>
      <c r="X755" s="131"/>
      <c r="Y755" s="131"/>
      <c r="Z755" s="131"/>
      <c r="AA755" s="131"/>
      <c r="AB755" s="131"/>
      <c r="AC755" s="131"/>
      <c r="AD755" s="131"/>
      <c r="AE755" s="131"/>
      <c r="AF755" s="131"/>
      <c r="AG755" s="131"/>
      <c r="AH755" s="131"/>
      <c r="AI755" s="131"/>
      <c r="AJ755" s="131"/>
    </row>
    <row r="756">
      <c r="A756" s="126"/>
      <c r="B756" s="126"/>
      <c r="C756" s="126"/>
      <c r="D756" s="126"/>
      <c r="E756" s="126"/>
      <c r="F756" s="126"/>
      <c r="G756" s="128"/>
      <c r="H756" s="130"/>
      <c r="I756" s="130"/>
      <c r="J756" s="130"/>
      <c r="K756" s="130"/>
      <c r="L756" s="129"/>
      <c r="M756" s="130"/>
      <c r="N756" s="130"/>
      <c r="O756" s="130"/>
      <c r="P756" s="130"/>
      <c r="Q756" s="130"/>
      <c r="R756" s="130"/>
      <c r="S756" s="130"/>
      <c r="T756" s="130"/>
      <c r="U756" s="130"/>
      <c r="V756" s="130"/>
      <c r="W756" s="131"/>
      <c r="X756" s="131"/>
      <c r="Y756" s="131"/>
      <c r="Z756" s="131"/>
      <c r="AA756" s="131"/>
      <c r="AB756" s="131"/>
      <c r="AC756" s="131"/>
      <c r="AD756" s="131"/>
      <c r="AE756" s="131"/>
      <c r="AF756" s="131"/>
      <c r="AG756" s="131"/>
      <c r="AH756" s="131"/>
      <c r="AI756" s="131"/>
      <c r="AJ756" s="131"/>
    </row>
    <row r="757">
      <c r="A757" s="126"/>
      <c r="B757" s="126"/>
      <c r="C757" s="126"/>
      <c r="D757" s="126"/>
      <c r="E757" s="126"/>
      <c r="F757" s="126"/>
      <c r="G757" s="128"/>
      <c r="H757" s="130"/>
      <c r="I757" s="130"/>
      <c r="J757" s="130"/>
      <c r="K757" s="130"/>
      <c r="L757" s="129"/>
      <c r="M757" s="130"/>
      <c r="N757" s="130"/>
      <c r="O757" s="130"/>
      <c r="P757" s="130"/>
      <c r="Q757" s="130"/>
      <c r="R757" s="130"/>
      <c r="S757" s="130"/>
      <c r="T757" s="130"/>
      <c r="U757" s="130"/>
      <c r="V757" s="130"/>
      <c r="W757" s="131"/>
      <c r="X757" s="131"/>
      <c r="Y757" s="131"/>
      <c r="Z757" s="131"/>
      <c r="AA757" s="131"/>
      <c r="AB757" s="131"/>
      <c r="AC757" s="131"/>
      <c r="AD757" s="131"/>
      <c r="AE757" s="131"/>
      <c r="AF757" s="131"/>
      <c r="AG757" s="131"/>
      <c r="AH757" s="131"/>
      <c r="AI757" s="131"/>
      <c r="AJ757" s="131"/>
    </row>
    <row r="758">
      <c r="A758" s="126"/>
      <c r="B758" s="126"/>
      <c r="C758" s="126"/>
      <c r="D758" s="126"/>
      <c r="E758" s="126"/>
      <c r="F758" s="126"/>
      <c r="G758" s="128"/>
      <c r="H758" s="130"/>
      <c r="I758" s="130"/>
      <c r="J758" s="130"/>
      <c r="K758" s="130"/>
      <c r="L758" s="129"/>
      <c r="M758" s="130"/>
      <c r="N758" s="130"/>
      <c r="O758" s="130"/>
      <c r="P758" s="130"/>
      <c r="Q758" s="130"/>
      <c r="R758" s="130"/>
      <c r="S758" s="130"/>
      <c r="T758" s="130"/>
      <c r="U758" s="130"/>
      <c r="V758" s="130"/>
      <c r="W758" s="131"/>
      <c r="X758" s="131"/>
      <c r="Y758" s="131"/>
      <c r="Z758" s="131"/>
      <c r="AA758" s="131"/>
      <c r="AB758" s="131"/>
      <c r="AC758" s="131"/>
      <c r="AD758" s="131"/>
      <c r="AE758" s="131"/>
      <c r="AF758" s="131"/>
      <c r="AG758" s="131"/>
      <c r="AH758" s="131"/>
      <c r="AI758" s="131"/>
      <c r="AJ758" s="131"/>
    </row>
    <row r="759">
      <c r="A759" s="126"/>
      <c r="B759" s="126"/>
      <c r="C759" s="126"/>
      <c r="D759" s="126"/>
      <c r="E759" s="126"/>
      <c r="F759" s="126"/>
      <c r="G759" s="128"/>
      <c r="H759" s="130"/>
      <c r="I759" s="130"/>
      <c r="J759" s="130"/>
      <c r="K759" s="130"/>
      <c r="L759" s="129"/>
      <c r="M759" s="130"/>
      <c r="N759" s="130"/>
      <c r="O759" s="130"/>
      <c r="P759" s="130"/>
      <c r="Q759" s="130"/>
      <c r="R759" s="130"/>
      <c r="S759" s="130"/>
      <c r="T759" s="130"/>
      <c r="U759" s="130"/>
      <c r="V759" s="130"/>
      <c r="W759" s="131"/>
      <c r="X759" s="131"/>
      <c r="Y759" s="131"/>
      <c r="Z759" s="131"/>
      <c r="AA759" s="131"/>
      <c r="AB759" s="131"/>
      <c r="AC759" s="131"/>
      <c r="AD759" s="131"/>
      <c r="AE759" s="131"/>
      <c r="AF759" s="131"/>
      <c r="AG759" s="131"/>
      <c r="AH759" s="131"/>
      <c r="AI759" s="131"/>
      <c r="AJ759" s="131"/>
    </row>
    <row r="760">
      <c r="A760" s="126"/>
      <c r="B760" s="126"/>
      <c r="C760" s="126"/>
      <c r="D760" s="126"/>
      <c r="E760" s="126"/>
      <c r="F760" s="126"/>
      <c r="G760" s="128"/>
      <c r="H760" s="130"/>
      <c r="I760" s="130"/>
      <c r="J760" s="130"/>
      <c r="K760" s="130"/>
      <c r="L760" s="129"/>
      <c r="M760" s="130"/>
      <c r="N760" s="130"/>
      <c r="O760" s="130"/>
      <c r="P760" s="130"/>
      <c r="Q760" s="130"/>
      <c r="R760" s="130"/>
      <c r="S760" s="130"/>
      <c r="T760" s="130"/>
      <c r="U760" s="130"/>
      <c r="V760" s="130"/>
      <c r="W760" s="131"/>
      <c r="X760" s="131"/>
      <c r="Y760" s="131"/>
      <c r="Z760" s="131"/>
      <c r="AA760" s="131"/>
      <c r="AB760" s="131"/>
      <c r="AC760" s="131"/>
      <c r="AD760" s="131"/>
      <c r="AE760" s="131"/>
      <c r="AF760" s="131"/>
      <c r="AG760" s="131"/>
      <c r="AH760" s="131"/>
      <c r="AI760" s="131"/>
      <c r="AJ760" s="131"/>
    </row>
    <row r="761">
      <c r="A761" s="126"/>
      <c r="B761" s="126"/>
      <c r="C761" s="126"/>
      <c r="D761" s="126"/>
      <c r="E761" s="126"/>
      <c r="F761" s="126"/>
      <c r="G761" s="128"/>
      <c r="H761" s="130"/>
      <c r="I761" s="130"/>
      <c r="J761" s="130"/>
      <c r="K761" s="130"/>
      <c r="L761" s="129"/>
      <c r="M761" s="130"/>
      <c r="N761" s="130"/>
      <c r="O761" s="130"/>
      <c r="P761" s="130"/>
      <c r="Q761" s="130"/>
      <c r="R761" s="130"/>
      <c r="S761" s="130"/>
      <c r="T761" s="130"/>
      <c r="U761" s="130"/>
      <c r="V761" s="130"/>
      <c r="W761" s="131"/>
      <c r="X761" s="131"/>
      <c r="Y761" s="131"/>
      <c r="Z761" s="131"/>
      <c r="AA761" s="131"/>
      <c r="AB761" s="131"/>
      <c r="AC761" s="131"/>
      <c r="AD761" s="131"/>
      <c r="AE761" s="131"/>
      <c r="AF761" s="131"/>
      <c r="AG761" s="131"/>
      <c r="AH761" s="131"/>
      <c r="AI761" s="131"/>
      <c r="AJ761" s="131"/>
    </row>
    <row r="762">
      <c r="A762" s="126"/>
      <c r="B762" s="126"/>
      <c r="C762" s="126"/>
      <c r="D762" s="126"/>
      <c r="E762" s="126"/>
      <c r="F762" s="126"/>
      <c r="G762" s="128"/>
      <c r="H762" s="130"/>
      <c r="I762" s="130"/>
      <c r="J762" s="130"/>
      <c r="K762" s="130"/>
      <c r="L762" s="129"/>
      <c r="M762" s="130"/>
      <c r="N762" s="130"/>
      <c r="O762" s="130"/>
      <c r="P762" s="130"/>
      <c r="Q762" s="130"/>
      <c r="R762" s="130"/>
      <c r="S762" s="130"/>
      <c r="T762" s="130"/>
      <c r="U762" s="130"/>
      <c r="V762" s="130"/>
      <c r="W762" s="131"/>
      <c r="X762" s="131"/>
      <c r="Y762" s="131"/>
      <c r="Z762" s="131"/>
      <c r="AA762" s="131"/>
      <c r="AB762" s="131"/>
      <c r="AC762" s="131"/>
      <c r="AD762" s="131"/>
      <c r="AE762" s="131"/>
      <c r="AF762" s="131"/>
      <c r="AG762" s="131"/>
      <c r="AH762" s="131"/>
      <c r="AI762" s="131"/>
      <c r="AJ762" s="131"/>
    </row>
    <row r="763">
      <c r="A763" s="126"/>
      <c r="B763" s="126"/>
      <c r="C763" s="126"/>
      <c r="D763" s="126"/>
      <c r="E763" s="126"/>
      <c r="F763" s="126"/>
      <c r="G763" s="128"/>
      <c r="H763" s="130"/>
      <c r="I763" s="130"/>
      <c r="J763" s="130"/>
      <c r="K763" s="130"/>
      <c r="L763" s="129"/>
      <c r="M763" s="130"/>
      <c r="N763" s="130"/>
      <c r="O763" s="130"/>
      <c r="P763" s="130"/>
      <c r="Q763" s="130"/>
      <c r="R763" s="130"/>
      <c r="S763" s="130"/>
      <c r="T763" s="130"/>
      <c r="U763" s="130"/>
      <c r="V763" s="130"/>
      <c r="W763" s="131"/>
      <c r="X763" s="131"/>
      <c r="Y763" s="131"/>
      <c r="Z763" s="131"/>
      <c r="AA763" s="131"/>
      <c r="AB763" s="131"/>
      <c r="AC763" s="131"/>
      <c r="AD763" s="131"/>
      <c r="AE763" s="131"/>
      <c r="AF763" s="131"/>
      <c r="AG763" s="131"/>
      <c r="AH763" s="131"/>
      <c r="AI763" s="131"/>
      <c r="AJ763" s="131"/>
    </row>
    <row r="764">
      <c r="A764" s="126"/>
      <c r="B764" s="126"/>
      <c r="C764" s="126"/>
      <c r="D764" s="126"/>
      <c r="E764" s="126"/>
      <c r="F764" s="126"/>
      <c r="G764" s="128"/>
      <c r="H764" s="130"/>
      <c r="I764" s="130"/>
      <c r="J764" s="130"/>
      <c r="K764" s="130"/>
      <c r="L764" s="129"/>
      <c r="M764" s="130"/>
      <c r="N764" s="130"/>
      <c r="O764" s="130"/>
      <c r="P764" s="130"/>
      <c r="Q764" s="130"/>
      <c r="R764" s="130"/>
      <c r="S764" s="130"/>
      <c r="T764" s="130"/>
      <c r="U764" s="130"/>
      <c r="V764" s="130"/>
      <c r="W764" s="131"/>
      <c r="X764" s="131"/>
      <c r="Y764" s="131"/>
      <c r="Z764" s="131"/>
      <c r="AA764" s="131"/>
      <c r="AB764" s="131"/>
      <c r="AC764" s="131"/>
      <c r="AD764" s="131"/>
      <c r="AE764" s="131"/>
      <c r="AF764" s="131"/>
      <c r="AG764" s="131"/>
      <c r="AH764" s="131"/>
      <c r="AI764" s="131"/>
      <c r="AJ764" s="131"/>
    </row>
    <row r="765">
      <c r="A765" s="126"/>
      <c r="B765" s="126"/>
      <c r="C765" s="126"/>
      <c r="D765" s="126"/>
      <c r="E765" s="126"/>
      <c r="F765" s="126"/>
      <c r="G765" s="128"/>
      <c r="H765" s="130"/>
      <c r="I765" s="130"/>
      <c r="J765" s="130"/>
      <c r="K765" s="130"/>
      <c r="L765" s="129"/>
      <c r="M765" s="130"/>
      <c r="N765" s="130"/>
      <c r="O765" s="130"/>
      <c r="P765" s="130"/>
      <c r="Q765" s="130"/>
      <c r="R765" s="130"/>
      <c r="S765" s="130"/>
      <c r="T765" s="130"/>
      <c r="U765" s="130"/>
      <c r="V765" s="130"/>
      <c r="W765" s="131"/>
      <c r="X765" s="131"/>
      <c r="Y765" s="131"/>
      <c r="Z765" s="131"/>
      <c r="AA765" s="131"/>
      <c r="AB765" s="131"/>
      <c r="AC765" s="131"/>
      <c r="AD765" s="131"/>
      <c r="AE765" s="131"/>
      <c r="AF765" s="131"/>
      <c r="AG765" s="131"/>
      <c r="AH765" s="131"/>
      <c r="AI765" s="131"/>
      <c r="AJ765" s="131"/>
    </row>
    <row r="766">
      <c r="A766" s="126"/>
      <c r="B766" s="126"/>
      <c r="C766" s="126"/>
      <c r="D766" s="126"/>
      <c r="E766" s="126"/>
      <c r="F766" s="126"/>
      <c r="G766" s="128"/>
      <c r="H766" s="130"/>
      <c r="I766" s="130"/>
      <c r="J766" s="130"/>
      <c r="K766" s="130"/>
      <c r="L766" s="129"/>
      <c r="M766" s="130"/>
      <c r="N766" s="130"/>
      <c r="O766" s="130"/>
      <c r="P766" s="130"/>
      <c r="Q766" s="130"/>
      <c r="R766" s="130"/>
      <c r="S766" s="130"/>
      <c r="T766" s="130"/>
      <c r="U766" s="130"/>
      <c r="V766" s="130"/>
      <c r="W766" s="131"/>
      <c r="X766" s="131"/>
      <c r="Y766" s="131"/>
      <c r="Z766" s="131"/>
      <c r="AA766" s="131"/>
      <c r="AB766" s="131"/>
      <c r="AC766" s="131"/>
      <c r="AD766" s="131"/>
      <c r="AE766" s="131"/>
      <c r="AF766" s="131"/>
      <c r="AG766" s="131"/>
      <c r="AH766" s="131"/>
      <c r="AI766" s="131"/>
      <c r="AJ766" s="131"/>
    </row>
    <row r="767">
      <c r="A767" s="126"/>
      <c r="B767" s="126"/>
      <c r="C767" s="126"/>
      <c r="D767" s="126"/>
      <c r="E767" s="126"/>
      <c r="F767" s="126"/>
      <c r="G767" s="128"/>
      <c r="H767" s="130"/>
      <c r="I767" s="130"/>
      <c r="J767" s="130"/>
      <c r="K767" s="130"/>
      <c r="L767" s="129"/>
      <c r="M767" s="130"/>
      <c r="N767" s="130"/>
      <c r="O767" s="130"/>
      <c r="P767" s="130"/>
      <c r="Q767" s="130"/>
      <c r="R767" s="130"/>
      <c r="S767" s="130"/>
      <c r="T767" s="130"/>
      <c r="U767" s="130"/>
      <c r="V767" s="130"/>
      <c r="W767" s="131"/>
      <c r="X767" s="131"/>
      <c r="Y767" s="131"/>
      <c r="Z767" s="131"/>
      <c r="AA767" s="131"/>
      <c r="AB767" s="131"/>
      <c r="AC767" s="131"/>
      <c r="AD767" s="131"/>
      <c r="AE767" s="131"/>
      <c r="AF767" s="131"/>
      <c r="AG767" s="131"/>
      <c r="AH767" s="131"/>
      <c r="AI767" s="131"/>
      <c r="AJ767" s="131"/>
    </row>
    <row r="768">
      <c r="A768" s="126"/>
      <c r="B768" s="126"/>
      <c r="C768" s="126"/>
      <c r="D768" s="126"/>
      <c r="E768" s="126"/>
      <c r="F768" s="126"/>
      <c r="G768" s="128"/>
      <c r="H768" s="130"/>
      <c r="I768" s="130"/>
      <c r="J768" s="130"/>
      <c r="K768" s="130"/>
      <c r="L768" s="129"/>
      <c r="M768" s="130"/>
      <c r="N768" s="130"/>
      <c r="O768" s="130"/>
      <c r="P768" s="130"/>
      <c r="Q768" s="130"/>
      <c r="R768" s="130"/>
      <c r="S768" s="130"/>
      <c r="T768" s="130"/>
      <c r="U768" s="130"/>
      <c r="V768" s="130"/>
      <c r="W768" s="131"/>
      <c r="X768" s="131"/>
      <c r="Y768" s="131"/>
      <c r="Z768" s="131"/>
      <c r="AA768" s="131"/>
      <c r="AB768" s="131"/>
      <c r="AC768" s="131"/>
      <c r="AD768" s="131"/>
      <c r="AE768" s="131"/>
      <c r="AF768" s="131"/>
      <c r="AG768" s="131"/>
      <c r="AH768" s="131"/>
      <c r="AI768" s="131"/>
      <c r="AJ768" s="131"/>
    </row>
    <row r="769">
      <c r="A769" s="126"/>
      <c r="B769" s="126"/>
      <c r="C769" s="126"/>
      <c r="D769" s="126"/>
      <c r="E769" s="126"/>
      <c r="F769" s="126"/>
      <c r="G769" s="128"/>
      <c r="H769" s="130"/>
      <c r="I769" s="130"/>
      <c r="J769" s="130"/>
      <c r="K769" s="130"/>
      <c r="L769" s="129"/>
      <c r="M769" s="130"/>
      <c r="N769" s="130"/>
      <c r="O769" s="130"/>
      <c r="P769" s="130"/>
      <c r="Q769" s="130"/>
      <c r="R769" s="130"/>
      <c r="S769" s="130"/>
      <c r="T769" s="130"/>
      <c r="U769" s="130"/>
      <c r="V769" s="130"/>
      <c r="W769" s="131"/>
      <c r="X769" s="131"/>
      <c r="Y769" s="131"/>
      <c r="Z769" s="131"/>
      <c r="AA769" s="131"/>
      <c r="AB769" s="131"/>
      <c r="AC769" s="131"/>
      <c r="AD769" s="131"/>
      <c r="AE769" s="131"/>
      <c r="AF769" s="131"/>
      <c r="AG769" s="131"/>
      <c r="AH769" s="131"/>
      <c r="AI769" s="131"/>
      <c r="AJ769" s="131"/>
    </row>
    <row r="770">
      <c r="A770" s="126"/>
      <c r="B770" s="126"/>
      <c r="C770" s="126"/>
      <c r="D770" s="126"/>
      <c r="E770" s="126"/>
      <c r="F770" s="126"/>
      <c r="G770" s="128"/>
      <c r="H770" s="130"/>
      <c r="I770" s="130"/>
      <c r="J770" s="130"/>
      <c r="K770" s="130"/>
      <c r="L770" s="129"/>
      <c r="M770" s="130"/>
      <c r="N770" s="130"/>
      <c r="O770" s="130"/>
      <c r="P770" s="130"/>
      <c r="Q770" s="130"/>
      <c r="R770" s="130"/>
      <c r="S770" s="130"/>
      <c r="T770" s="130"/>
      <c r="U770" s="130"/>
      <c r="V770" s="130"/>
      <c r="W770" s="131"/>
      <c r="X770" s="131"/>
      <c r="Y770" s="131"/>
      <c r="Z770" s="131"/>
      <c r="AA770" s="131"/>
      <c r="AB770" s="131"/>
      <c r="AC770" s="131"/>
      <c r="AD770" s="131"/>
      <c r="AE770" s="131"/>
      <c r="AF770" s="131"/>
      <c r="AG770" s="131"/>
      <c r="AH770" s="131"/>
      <c r="AI770" s="131"/>
      <c r="AJ770" s="131"/>
    </row>
    <row r="771">
      <c r="A771" s="126"/>
      <c r="B771" s="126"/>
      <c r="C771" s="126"/>
      <c r="D771" s="126"/>
      <c r="E771" s="126"/>
      <c r="F771" s="126"/>
      <c r="G771" s="128"/>
      <c r="H771" s="130"/>
      <c r="I771" s="130"/>
      <c r="J771" s="130"/>
      <c r="K771" s="130"/>
      <c r="L771" s="129"/>
      <c r="M771" s="130"/>
      <c r="N771" s="130"/>
      <c r="O771" s="130"/>
      <c r="P771" s="130"/>
      <c r="Q771" s="130"/>
      <c r="R771" s="130"/>
      <c r="S771" s="130"/>
      <c r="T771" s="130"/>
      <c r="U771" s="130"/>
      <c r="V771" s="130"/>
      <c r="W771" s="131"/>
      <c r="X771" s="131"/>
      <c r="Y771" s="131"/>
      <c r="Z771" s="131"/>
      <c r="AA771" s="131"/>
      <c r="AB771" s="131"/>
      <c r="AC771" s="131"/>
      <c r="AD771" s="131"/>
      <c r="AE771" s="131"/>
      <c r="AF771" s="131"/>
      <c r="AG771" s="131"/>
      <c r="AH771" s="131"/>
      <c r="AI771" s="131"/>
      <c r="AJ771" s="131"/>
    </row>
    <row r="772">
      <c r="A772" s="126"/>
      <c r="B772" s="126"/>
      <c r="C772" s="126"/>
      <c r="D772" s="126"/>
      <c r="E772" s="126"/>
      <c r="F772" s="126"/>
      <c r="G772" s="128"/>
      <c r="H772" s="130"/>
      <c r="I772" s="130"/>
      <c r="J772" s="130"/>
      <c r="K772" s="130"/>
      <c r="L772" s="129"/>
      <c r="M772" s="130"/>
      <c r="N772" s="130"/>
      <c r="O772" s="130"/>
      <c r="P772" s="130"/>
      <c r="Q772" s="130"/>
      <c r="R772" s="130"/>
      <c r="S772" s="130"/>
      <c r="T772" s="130"/>
      <c r="U772" s="130"/>
      <c r="V772" s="130"/>
      <c r="W772" s="131"/>
      <c r="X772" s="131"/>
      <c r="Y772" s="131"/>
      <c r="Z772" s="131"/>
      <c r="AA772" s="131"/>
      <c r="AB772" s="131"/>
      <c r="AC772" s="131"/>
      <c r="AD772" s="131"/>
      <c r="AE772" s="131"/>
      <c r="AF772" s="131"/>
      <c r="AG772" s="131"/>
      <c r="AH772" s="131"/>
      <c r="AI772" s="131"/>
      <c r="AJ772" s="131"/>
    </row>
    <row r="773">
      <c r="A773" s="126"/>
      <c r="B773" s="126"/>
      <c r="C773" s="126"/>
      <c r="D773" s="126"/>
      <c r="E773" s="126"/>
      <c r="F773" s="126"/>
      <c r="G773" s="128"/>
      <c r="H773" s="130"/>
      <c r="I773" s="130"/>
      <c r="J773" s="130"/>
      <c r="K773" s="130"/>
      <c r="L773" s="129"/>
      <c r="M773" s="130"/>
      <c r="N773" s="130"/>
      <c r="O773" s="130"/>
      <c r="P773" s="130"/>
      <c r="Q773" s="130"/>
      <c r="R773" s="130"/>
      <c r="S773" s="130"/>
      <c r="T773" s="130"/>
      <c r="U773" s="130"/>
      <c r="V773" s="130"/>
      <c r="W773" s="131"/>
      <c r="X773" s="131"/>
      <c r="Y773" s="131"/>
      <c r="Z773" s="131"/>
      <c r="AA773" s="131"/>
      <c r="AB773" s="131"/>
      <c r="AC773" s="131"/>
      <c r="AD773" s="131"/>
      <c r="AE773" s="131"/>
      <c r="AF773" s="131"/>
      <c r="AG773" s="131"/>
      <c r="AH773" s="131"/>
      <c r="AI773" s="131"/>
      <c r="AJ773" s="131"/>
    </row>
    <row r="774">
      <c r="A774" s="126"/>
      <c r="B774" s="126"/>
      <c r="C774" s="126"/>
      <c r="D774" s="126"/>
      <c r="E774" s="126"/>
      <c r="F774" s="126"/>
      <c r="G774" s="128"/>
      <c r="H774" s="130"/>
      <c r="I774" s="130"/>
      <c r="J774" s="130"/>
      <c r="K774" s="130"/>
      <c r="L774" s="129"/>
      <c r="M774" s="130"/>
      <c r="N774" s="130"/>
      <c r="O774" s="130"/>
      <c r="P774" s="130"/>
      <c r="Q774" s="130"/>
      <c r="R774" s="130"/>
      <c r="S774" s="130"/>
      <c r="T774" s="130"/>
      <c r="U774" s="130"/>
      <c r="V774" s="130"/>
      <c r="W774" s="131"/>
      <c r="X774" s="131"/>
      <c r="Y774" s="131"/>
      <c r="Z774" s="131"/>
      <c r="AA774" s="131"/>
      <c r="AB774" s="131"/>
      <c r="AC774" s="131"/>
      <c r="AD774" s="131"/>
      <c r="AE774" s="131"/>
      <c r="AF774" s="131"/>
      <c r="AG774" s="131"/>
      <c r="AH774" s="131"/>
      <c r="AI774" s="131"/>
      <c r="AJ774" s="131"/>
    </row>
    <row r="775">
      <c r="A775" s="126"/>
      <c r="B775" s="126"/>
      <c r="C775" s="126"/>
      <c r="D775" s="126"/>
      <c r="E775" s="126"/>
      <c r="F775" s="126"/>
      <c r="G775" s="128"/>
      <c r="H775" s="130"/>
      <c r="I775" s="130"/>
      <c r="J775" s="130"/>
      <c r="K775" s="130"/>
      <c r="L775" s="129"/>
      <c r="M775" s="130"/>
      <c r="N775" s="130"/>
      <c r="O775" s="130"/>
      <c r="P775" s="130"/>
      <c r="Q775" s="130"/>
      <c r="R775" s="130"/>
      <c r="S775" s="130"/>
      <c r="T775" s="130"/>
      <c r="U775" s="130"/>
      <c r="V775" s="130"/>
      <c r="W775" s="131"/>
      <c r="X775" s="131"/>
      <c r="Y775" s="131"/>
      <c r="Z775" s="131"/>
      <c r="AA775" s="131"/>
      <c r="AB775" s="131"/>
      <c r="AC775" s="131"/>
      <c r="AD775" s="131"/>
      <c r="AE775" s="131"/>
      <c r="AF775" s="131"/>
      <c r="AG775" s="131"/>
      <c r="AH775" s="131"/>
      <c r="AI775" s="131"/>
      <c r="AJ775" s="131"/>
    </row>
    <row r="776">
      <c r="A776" s="126"/>
      <c r="B776" s="126"/>
      <c r="C776" s="126"/>
      <c r="D776" s="126"/>
      <c r="E776" s="126"/>
      <c r="F776" s="126"/>
      <c r="G776" s="128"/>
      <c r="H776" s="130"/>
      <c r="I776" s="130"/>
      <c r="J776" s="130"/>
      <c r="K776" s="130"/>
      <c r="L776" s="129"/>
      <c r="M776" s="130"/>
      <c r="N776" s="130"/>
      <c r="O776" s="130"/>
      <c r="P776" s="130"/>
      <c r="Q776" s="130"/>
      <c r="R776" s="130"/>
      <c r="S776" s="130"/>
      <c r="T776" s="130"/>
      <c r="U776" s="130"/>
      <c r="V776" s="130"/>
      <c r="W776" s="131"/>
      <c r="X776" s="131"/>
      <c r="Y776" s="131"/>
      <c r="Z776" s="131"/>
      <c r="AA776" s="131"/>
      <c r="AB776" s="131"/>
      <c r="AC776" s="131"/>
      <c r="AD776" s="131"/>
      <c r="AE776" s="131"/>
      <c r="AF776" s="131"/>
      <c r="AG776" s="131"/>
      <c r="AH776" s="131"/>
      <c r="AI776" s="131"/>
      <c r="AJ776" s="131"/>
    </row>
    <row r="777">
      <c r="A777" s="126"/>
      <c r="B777" s="126"/>
      <c r="C777" s="126"/>
      <c r="D777" s="126"/>
      <c r="E777" s="126"/>
      <c r="F777" s="126"/>
      <c r="G777" s="128"/>
      <c r="H777" s="130"/>
      <c r="I777" s="130"/>
      <c r="J777" s="130"/>
      <c r="K777" s="130"/>
      <c r="L777" s="129"/>
      <c r="M777" s="130"/>
      <c r="N777" s="130"/>
      <c r="O777" s="130"/>
      <c r="P777" s="130"/>
      <c r="Q777" s="130"/>
      <c r="R777" s="130"/>
      <c r="S777" s="130"/>
      <c r="T777" s="130"/>
      <c r="U777" s="130"/>
      <c r="V777" s="130"/>
      <c r="W777" s="131"/>
      <c r="X777" s="131"/>
      <c r="Y777" s="131"/>
      <c r="Z777" s="131"/>
      <c r="AA777" s="131"/>
      <c r="AB777" s="131"/>
      <c r="AC777" s="131"/>
      <c r="AD777" s="131"/>
      <c r="AE777" s="131"/>
      <c r="AF777" s="131"/>
      <c r="AG777" s="131"/>
      <c r="AH777" s="131"/>
      <c r="AI777" s="131"/>
      <c r="AJ777" s="131"/>
    </row>
    <row r="778">
      <c r="A778" s="126"/>
      <c r="B778" s="126"/>
      <c r="C778" s="126"/>
      <c r="D778" s="126"/>
      <c r="E778" s="126"/>
      <c r="F778" s="126"/>
      <c r="G778" s="128"/>
      <c r="H778" s="130"/>
      <c r="I778" s="130"/>
      <c r="J778" s="130"/>
      <c r="K778" s="130"/>
      <c r="L778" s="129"/>
      <c r="M778" s="130"/>
      <c r="N778" s="130"/>
      <c r="O778" s="130"/>
      <c r="P778" s="130"/>
      <c r="Q778" s="130"/>
      <c r="R778" s="130"/>
      <c r="S778" s="130"/>
      <c r="T778" s="130"/>
      <c r="U778" s="130"/>
      <c r="V778" s="130"/>
      <c r="W778" s="131"/>
      <c r="X778" s="131"/>
      <c r="Y778" s="131"/>
      <c r="Z778" s="131"/>
      <c r="AA778" s="131"/>
      <c r="AB778" s="131"/>
      <c r="AC778" s="131"/>
      <c r="AD778" s="131"/>
      <c r="AE778" s="131"/>
      <c r="AF778" s="131"/>
      <c r="AG778" s="131"/>
      <c r="AH778" s="131"/>
      <c r="AI778" s="131"/>
      <c r="AJ778" s="131"/>
    </row>
    <row r="779">
      <c r="A779" s="126"/>
      <c r="B779" s="126"/>
      <c r="C779" s="126"/>
      <c r="D779" s="126"/>
      <c r="E779" s="126"/>
      <c r="F779" s="126"/>
      <c r="G779" s="128"/>
      <c r="H779" s="130"/>
      <c r="I779" s="130"/>
      <c r="J779" s="130"/>
      <c r="K779" s="130"/>
      <c r="L779" s="129"/>
      <c r="M779" s="130"/>
      <c r="N779" s="130"/>
      <c r="O779" s="130"/>
      <c r="P779" s="130"/>
      <c r="Q779" s="130"/>
      <c r="R779" s="130"/>
      <c r="S779" s="130"/>
      <c r="T779" s="130"/>
      <c r="U779" s="130"/>
      <c r="V779" s="130"/>
      <c r="W779" s="131"/>
      <c r="X779" s="131"/>
      <c r="Y779" s="131"/>
      <c r="Z779" s="131"/>
      <c r="AA779" s="131"/>
      <c r="AB779" s="131"/>
      <c r="AC779" s="131"/>
      <c r="AD779" s="131"/>
      <c r="AE779" s="131"/>
      <c r="AF779" s="131"/>
      <c r="AG779" s="131"/>
      <c r="AH779" s="131"/>
      <c r="AI779" s="131"/>
      <c r="AJ779" s="131"/>
    </row>
    <row r="780">
      <c r="A780" s="126"/>
      <c r="B780" s="126"/>
      <c r="C780" s="126"/>
      <c r="D780" s="126"/>
      <c r="E780" s="126"/>
      <c r="F780" s="126"/>
      <c r="G780" s="128"/>
      <c r="H780" s="130"/>
      <c r="I780" s="130"/>
      <c r="J780" s="130"/>
      <c r="K780" s="130"/>
      <c r="L780" s="129"/>
      <c r="M780" s="130"/>
      <c r="N780" s="130"/>
      <c r="O780" s="130"/>
      <c r="P780" s="130"/>
      <c r="Q780" s="130"/>
      <c r="R780" s="130"/>
      <c r="S780" s="130"/>
      <c r="T780" s="130"/>
      <c r="U780" s="130"/>
      <c r="V780" s="130"/>
      <c r="W780" s="131"/>
      <c r="X780" s="131"/>
      <c r="Y780" s="131"/>
      <c r="Z780" s="131"/>
      <c r="AA780" s="131"/>
      <c r="AB780" s="131"/>
      <c r="AC780" s="131"/>
      <c r="AD780" s="131"/>
      <c r="AE780" s="131"/>
      <c r="AF780" s="131"/>
      <c r="AG780" s="131"/>
      <c r="AH780" s="131"/>
      <c r="AI780" s="131"/>
      <c r="AJ780" s="131"/>
    </row>
    <row r="781">
      <c r="A781" s="126"/>
      <c r="B781" s="126"/>
      <c r="C781" s="126"/>
      <c r="D781" s="126"/>
      <c r="E781" s="126"/>
      <c r="F781" s="126"/>
      <c r="G781" s="128"/>
      <c r="H781" s="130"/>
      <c r="I781" s="130"/>
      <c r="J781" s="130"/>
      <c r="K781" s="130"/>
      <c r="L781" s="129"/>
      <c r="M781" s="130"/>
      <c r="N781" s="130"/>
      <c r="O781" s="130"/>
      <c r="P781" s="130"/>
      <c r="Q781" s="130"/>
      <c r="R781" s="130"/>
      <c r="S781" s="130"/>
      <c r="T781" s="130"/>
      <c r="U781" s="130"/>
      <c r="V781" s="130"/>
      <c r="W781" s="131"/>
      <c r="X781" s="131"/>
      <c r="Y781" s="131"/>
      <c r="Z781" s="131"/>
      <c r="AA781" s="131"/>
      <c r="AB781" s="131"/>
      <c r="AC781" s="131"/>
      <c r="AD781" s="131"/>
      <c r="AE781" s="131"/>
      <c r="AF781" s="131"/>
      <c r="AG781" s="131"/>
      <c r="AH781" s="131"/>
      <c r="AI781" s="131"/>
      <c r="AJ781" s="131"/>
    </row>
    <row r="782">
      <c r="A782" s="126"/>
      <c r="B782" s="126"/>
      <c r="C782" s="126"/>
      <c r="D782" s="126"/>
      <c r="E782" s="126"/>
      <c r="F782" s="126"/>
      <c r="G782" s="128"/>
      <c r="H782" s="130"/>
      <c r="I782" s="130"/>
      <c r="J782" s="130"/>
      <c r="K782" s="130"/>
      <c r="L782" s="129"/>
      <c r="M782" s="130"/>
      <c r="N782" s="130"/>
      <c r="O782" s="130"/>
      <c r="P782" s="130"/>
      <c r="Q782" s="130"/>
      <c r="R782" s="130"/>
      <c r="S782" s="130"/>
      <c r="T782" s="130"/>
      <c r="U782" s="130"/>
      <c r="V782" s="130"/>
      <c r="W782" s="131"/>
      <c r="X782" s="131"/>
      <c r="Y782" s="131"/>
      <c r="Z782" s="131"/>
      <c r="AA782" s="131"/>
      <c r="AB782" s="131"/>
      <c r="AC782" s="131"/>
      <c r="AD782" s="131"/>
      <c r="AE782" s="131"/>
      <c r="AF782" s="131"/>
      <c r="AG782" s="131"/>
      <c r="AH782" s="131"/>
      <c r="AI782" s="131"/>
      <c r="AJ782" s="131"/>
    </row>
    <row r="783">
      <c r="A783" s="126"/>
      <c r="B783" s="126"/>
      <c r="C783" s="126"/>
      <c r="D783" s="126"/>
      <c r="E783" s="126"/>
      <c r="F783" s="126"/>
      <c r="G783" s="128"/>
      <c r="H783" s="130"/>
      <c r="I783" s="130"/>
      <c r="J783" s="130"/>
      <c r="K783" s="130"/>
      <c r="L783" s="129"/>
      <c r="M783" s="130"/>
      <c r="N783" s="130"/>
      <c r="O783" s="130"/>
      <c r="P783" s="130"/>
      <c r="Q783" s="130"/>
      <c r="R783" s="130"/>
      <c r="S783" s="130"/>
      <c r="T783" s="130"/>
      <c r="U783" s="130"/>
      <c r="V783" s="130"/>
      <c r="W783" s="131"/>
      <c r="X783" s="131"/>
      <c r="Y783" s="131"/>
      <c r="Z783" s="131"/>
      <c r="AA783" s="131"/>
      <c r="AB783" s="131"/>
      <c r="AC783" s="131"/>
      <c r="AD783" s="131"/>
      <c r="AE783" s="131"/>
      <c r="AF783" s="131"/>
      <c r="AG783" s="131"/>
      <c r="AH783" s="131"/>
      <c r="AI783" s="131"/>
      <c r="AJ783" s="131"/>
    </row>
  </sheetData>
  <conditionalFormatting sqref="A1:AJ1">
    <cfRule type="expression" dxfId="0" priority="1">
      <formula>$W1="Yes"</formula>
    </cfRule>
  </conditionalFormatting>
  <conditionalFormatting sqref="A1:AJ1">
    <cfRule type="expression" dxfId="1" priority="2">
      <formula>$X1="No"</formula>
    </cfRule>
  </conditionalFormatting>
  <conditionalFormatting sqref="A1:AJ1">
    <cfRule type="expression" dxfId="2" priority="3">
      <formula>$X1="Yes"</formula>
    </cfRule>
  </conditionalFormatting>
  <conditionalFormatting sqref="A1:AJ1">
    <cfRule type="expression" dxfId="1" priority="4">
      <formula>$W1="No"</formula>
    </cfRule>
  </conditionalFormatting>
  <conditionalFormatting sqref="A1:H1">
    <cfRule type="notContainsBlanks" dxfId="7" priority="5">
      <formula>LEN(TRIM(A1))&gt;0</formula>
    </cfRule>
  </conditionalFormatting>
  <conditionalFormatting sqref="A1:AJ1">
    <cfRule type="expression" dxfId="2" priority="6">
      <formula>$W1="Yes"</formula>
    </cfRule>
  </conditionalFormatting>
  <hyperlinks>
    <hyperlink r:id="rId2" ref="C2"/>
    <hyperlink r:id="rId3" ref="C3"/>
    <hyperlink r:id="rId4" ref="C4"/>
    <hyperlink r:id="rId5" ref="C5"/>
    <hyperlink r:id="rId6" ref="C6"/>
    <hyperlink r:id="rId7" ref="C7"/>
    <hyperlink r:id="rId8" ref="C8"/>
    <hyperlink r:id="rId9" ref="C9"/>
    <hyperlink r:id="rId10" ref="C10"/>
    <hyperlink r:id="rId11" ref="C11"/>
    <hyperlink r:id="rId12" ref="C12"/>
    <hyperlink r:id="rId13" ref="E12"/>
    <hyperlink r:id="rId14" ref="F12"/>
    <hyperlink r:id="rId15" ref="C13"/>
    <hyperlink r:id="rId16" ref="C14"/>
    <hyperlink r:id="rId17" ref="C15"/>
    <hyperlink r:id="rId18" ref="C16"/>
    <hyperlink r:id="rId19" ref="C17"/>
    <hyperlink r:id="rId20" ref="C18"/>
    <hyperlink r:id="rId21" ref="C19"/>
    <hyperlink r:id="rId22" ref="C20"/>
    <hyperlink r:id="rId23" ref="C21"/>
    <hyperlink r:id="rId24" ref="C22"/>
    <hyperlink r:id="rId25" ref="C23"/>
    <hyperlink r:id="rId26" ref="C24"/>
    <hyperlink r:id="rId27" ref="C25"/>
    <hyperlink r:id="rId28" ref="C26"/>
    <hyperlink r:id="rId29" ref="C27"/>
    <hyperlink r:id="rId30" ref="C28"/>
    <hyperlink r:id="rId31" ref="C29"/>
    <hyperlink r:id="rId32" ref="C30"/>
    <hyperlink r:id="rId33" ref="C31"/>
    <hyperlink r:id="rId34" ref="C32"/>
    <hyperlink r:id="rId35" ref="C33"/>
    <hyperlink r:id="rId36" ref="C34"/>
    <hyperlink r:id="rId37" ref="C35"/>
    <hyperlink r:id="rId38" ref="C36"/>
    <hyperlink r:id="rId39" ref="C37"/>
    <hyperlink r:id="rId40" ref="C38"/>
    <hyperlink r:id="rId41" ref="C39"/>
    <hyperlink r:id="rId42" ref="C40"/>
    <hyperlink r:id="rId43" ref="C41"/>
    <hyperlink r:id="rId44" ref="C42"/>
    <hyperlink r:id="rId45" ref="C43"/>
    <hyperlink r:id="rId46" ref="C44"/>
    <hyperlink r:id="rId47" ref="C45"/>
    <hyperlink r:id="rId48" ref="C46"/>
    <hyperlink r:id="rId49" ref="C47"/>
    <hyperlink r:id="rId50" ref="C48"/>
    <hyperlink r:id="rId51" ref="C49"/>
    <hyperlink r:id="rId52" ref="C50"/>
    <hyperlink r:id="rId53" ref="C51"/>
    <hyperlink r:id="rId54" ref="C52"/>
    <hyperlink r:id="rId55" ref="C53"/>
    <hyperlink r:id="rId56" ref="C54"/>
    <hyperlink r:id="rId57" ref="C55"/>
    <hyperlink r:id="rId58" ref="C56"/>
    <hyperlink r:id="rId59" ref="C57"/>
    <hyperlink r:id="rId60" ref="E57"/>
    <hyperlink r:id="rId61" ref="F57"/>
    <hyperlink r:id="rId62" ref="C58"/>
    <hyperlink r:id="rId63" ref="C59"/>
    <hyperlink r:id="rId64" ref="C60"/>
    <hyperlink r:id="rId65" ref="C61"/>
    <hyperlink r:id="rId66" ref="C62"/>
    <hyperlink r:id="rId67" ref="C63"/>
    <hyperlink r:id="rId68" ref="C64"/>
    <hyperlink r:id="rId69" ref="C65"/>
    <hyperlink r:id="rId70" ref="C66"/>
    <hyperlink r:id="rId71" ref="C67"/>
    <hyperlink r:id="rId72" ref="C68"/>
    <hyperlink r:id="rId73" ref="C69"/>
    <hyperlink r:id="rId74" ref="C70"/>
    <hyperlink r:id="rId75" ref="C71"/>
    <hyperlink r:id="rId76" ref="C72"/>
    <hyperlink r:id="rId77" ref="C73"/>
    <hyperlink r:id="rId78" ref="C74"/>
    <hyperlink r:id="rId79" ref="C75"/>
    <hyperlink r:id="rId80" ref="C76"/>
    <hyperlink r:id="rId81" ref="C77"/>
    <hyperlink r:id="rId82" ref="C78"/>
    <hyperlink r:id="rId83" ref="C79"/>
    <hyperlink r:id="rId84" ref="C80"/>
    <hyperlink r:id="rId85" ref="C81"/>
    <hyperlink r:id="rId86" ref="C82"/>
    <hyperlink r:id="rId87" ref="C83"/>
    <hyperlink r:id="rId88" ref="C84"/>
    <hyperlink r:id="rId89" ref="C85"/>
    <hyperlink r:id="rId90" ref="C86"/>
    <hyperlink r:id="rId91" ref="C87"/>
    <hyperlink r:id="rId92" ref="E87"/>
    <hyperlink r:id="rId93" ref="F87"/>
    <hyperlink r:id="rId94" ref="C88"/>
    <hyperlink r:id="rId95" ref="C89"/>
    <hyperlink r:id="rId96" ref="C90"/>
    <hyperlink r:id="rId97" ref="C91"/>
    <hyperlink r:id="rId98" ref="C92"/>
    <hyperlink r:id="rId99" ref="C93"/>
    <hyperlink r:id="rId100" ref="C94"/>
    <hyperlink r:id="rId101" ref="C95"/>
    <hyperlink r:id="rId102" ref="C96"/>
    <hyperlink r:id="rId103" ref="C97"/>
    <hyperlink r:id="rId104" ref="C98"/>
    <hyperlink r:id="rId105" ref="C99"/>
    <hyperlink r:id="rId106" ref="C100"/>
    <hyperlink r:id="rId107" ref="C101"/>
    <hyperlink r:id="rId108" ref="C102"/>
    <hyperlink r:id="rId109" ref="C103"/>
    <hyperlink r:id="rId110" ref="C104"/>
    <hyperlink r:id="rId111" ref="C105"/>
    <hyperlink r:id="rId112" ref="C106"/>
    <hyperlink r:id="rId113" ref="C107"/>
    <hyperlink r:id="rId114" ref="C108"/>
    <hyperlink r:id="rId115" ref="C109"/>
    <hyperlink r:id="rId116" ref="C110"/>
    <hyperlink r:id="rId117" ref="C111"/>
    <hyperlink r:id="rId118" ref="C112"/>
    <hyperlink r:id="rId119" ref="C113"/>
    <hyperlink r:id="rId120" ref="C114"/>
    <hyperlink r:id="rId121" ref="C115"/>
    <hyperlink r:id="rId122" ref="C116"/>
    <hyperlink r:id="rId123" ref="E116"/>
    <hyperlink r:id="rId124" ref="F116"/>
    <hyperlink r:id="rId125" ref="C117"/>
    <hyperlink r:id="rId126" ref="C118"/>
    <hyperlink r:id="rId127" ref="C119"/>
    <hyperlink r:id="rId128" ref="C120"/>
    <hyperlink r:id="rId129" ref="E120"/>
    <hyperlink r:id="rId130" ref="F120"/>
    <hyperlink r:id="rId131" ref="C121"/>
    <hyperlink r:id="rId132" ref="C122"/>
    <hyperlink r:id="rId133" ref="C123"/>
    <hyperlink r:id="rId134" ref="F123"/>
    <hyperlink r:id="rId135" ref="C124"/>
    <hyperlink r:id="rId136" ref="E124"/>
    <hyperlink r:id="rId137" ref="F124"/>
    <hyperlink r:id="rId138" ref="C125"/>
    <hyperlink r:id="rId139" ref="C126"/>
    <hyperlink r:id="rId140" ref="C127"/>
    <hyperlink r:id="rId141" ref="C128"/>
    <hyperlink r:id="rId142" ref="C129"/>
    <hyperlink r:id="rId143" ref="C130"/>
    <hyperlink r:id="rId144" ref="C131"/>
    <hyperlink r:id="rId145" ref="C132"/>
    <hyperlink r:id="rId146" ref="C133"/>
    <hyperlink r:id="rId147" ref="C134"/>
    <hyperlink r:id="rId148" ref="C135"/>
    <hyperlink r:id="rId149" ref="C136"/>
    <hyperlink r:id="rId150" ref="C137"/>
    <hyperlink r:id="rId151" ref="C138"/>
    <hyperlink r:id="rId152" ref="C139"/>
    <hyperlink r:id="rId153" ref="C140"/>
    <hyperlink r:id="rId154" ref="C141"/>
    <hyperlink r:id="rId155" ref="C142"/>
    <hyperlink r:id="rId156" ref="C143"/>
    <hyperlink r:id="rId157" ref="C144"/>
    <hyperlink r:id="rId158" ref="C145"/>
    <hyperlink r:id="rId159" ref="C146"/>
    <hyperlink r:id="rId160" ref="C147"/>
    <hyperlink r:id="rId161" ref="C148"/>
    <hyperlink r:id="rId162" ref="C149"/>
    <hyperlink r:id="rId163" ref="C150"/>
    <hyperlink r:id="rId164" ref="C151"/>
    <hyperlink r:id="rId165" ref="C152"/>
    <hyperlink r:id="rId166" ref="C153"/>
    <hyperlink r:id="rId167" ref="C154"/>
    <hyperlink r:id="rId168" ref="C155"/>
    <hyperlink r:id="rId169" ref="C156"/>
    <hyperlink r:id="rId170" ref="C157"/>
    <hyperlink r:id="rId171" ref="C158"/>
    <hyperlink r:id="rId172" ref="C159"/>
    <hyperlink r:id="rId173" ref="C160"/>
    <hyperlink r:id="rId174" ref="E160"/>
    <hyperlink r:id="rId175" ref="F160"/>
    <hyperlink r:id="rId176" ref="C161"/>
    <hyperlink r:id="rId177" ref="C162"/>
    <hyperlink r:id="rId178" ref="C163"/>
    <hyperlink r:id="rId179" ref="C164"/>
    <hyperlink r:id="rId180" ref="E164"/>
    <hyperlink r:id="rId181" ref="F164"/>
    <hyperlink r:id="rId182" ref="C165"/>
    <hyperlink r:id="rId183" ref="C166"/>
    <hyperlink r:id="rId184" ref="C167"/>
    <hyperlink r:id="rId185" ref="C168"/>
    <hyperlink r:id="rId186" ref="C169"/>
    <hyperlink r:id="rId187" ref="C170"/>
    <hyperlink r:id="rId188" ref="C171"/>
    <hyperlink r:id="rId189" ref="C172"/>
    <hyperlink r:id="rId190" ref="C173"/>
    <hyperlink r:id="rId191" ref="C174"/>
    <hyperlink r:id="rId192" ref="C175"/>
    <hyperlink r:id="rId193" ref="C176"/>
    <hyperlink r:id="rId194" ref="C177"/>
    <hyperlink r:id="rId195" ref="C178"/>
    <hyperlink r:id="rId196" ref="C179"/>
    <hyperlink r:id="rId197" ref="C180"/>
    <hyperlink r:id="rId198" ref="C181"/>
    <hyperlink r:id="rId199" ref="C182"/>
    <hyperlink r:id="rId200" ref="C183"/>
    <hyperlink r:id="rId201" ref="C184"/>
    <hyperlink r:id="rId202" ref="C185"/>
    <hyperlink r:id="rId203" ref="C186"/>
    <hyperlink r:id="rId204" ref="C187"/>
    <hyperlink r:id="rId205" ref="C188"/>
    <hyperlink r:id="rId206" ref="C189"/>
    <hyperlink r:id="rId207" ref="C190"/>
    <hyperlink r:id="rId208" ref="C191"/>
    <hyperlink r:id="rId209" ref="C192"/>
    <hyperlink r:id="rId210" ref="E192"/>
    <hyperlink r:id="rId211" ref="F192"/>
    <hyperlink r:id="rId212" ref="C193"/>
    <hyperlink r:id="rId213" ref="E193"/>
    <hyperlink r:id="rId214" ref="F193"/>
    <hyperlink r:id="rId215" ref="C194"/>
    <hyperlink r:id="rId216" ref="E194"/>
    <hyperlink r:id="rId217" ref="F194"/>
    <hyperlink r:id="rId218" ref="C195"/>
    <hyperlink r:id="rId219" ref="C196"/>
    <hyperlink r:id="rId220" ref="C197"/>
    <hyperlink r:id="rId221" ref="C198"/>
    <hyperlink r:id="rId222" ref="C199"/>
    <hyperlink r:id="rId223" ref="C200"/>
    <hyperlink r:id="rId224" ref="C201"/>
    <hyperlink r:id="rId225" ref="C202"/>
    <hyperlink r:id="rId226" ref="C203"/>
    <hyperlink r:id="rId227" ref="C204"/>
    <hyperlink r:id="rId228" ref="C205"/>
    <hyperlink r:id="rId229" ref="C206"/>
    <hyperlink r:id="rId230" ref="C207"/>
    <hyperlink r:id="rId231" ref="E207"/>
    <hyperlink r:id="rId232" ref="F207"/>
    <hyperlink r:id="rId233" ref="C208"/>
    <hyperlink r:id="rId234" ref="C209"/>
    <hyperlink r:id="rId235" ref="C210"/>
    <hyperlink r:id="rId236" ref="C211"/>
    <hyperlink r:id="rId237" ref="C212"/>
    <hyperlink r:id="rId238" ref="C213"/>
    <hyperlink r:id="rId239" ref="C214"/>
    <hyperlink r:id="rId240" ref="C215"/>
    <hyperlink r:id="rId241" ref="C216"/>
    <hyperlink r:id="rId242" ref="C217"/>
    <hyperlink r:id="rId243" ref="C218"/>
    <hyperlink r:id="rId244" ref="C219"/>
    <hyperlink r:id="rId245" ref="C220"/>
    <hyperlink r:id="rId246" ref="E220"/>
    <hyperlink r:id="rId247" ref="F220"/>
    <hyperlink r:id="rId248" ref="C221"/>
    <hyperlink r:id="rId249" ref="C222"/>
    <hyperlink r:id="rId250" ref="C223"/>
    <hyperlink r:id="rId251" ref="C224"/>
    <hyperlink r:id="rId252" ref="C225"/>
    <hyperlink r:id="rId253" ref="C226"/>
    <hyperlink r:id="rId254" ref="C227"/>
    <hyperlink r:id="rId255" ref="C228"/>
    <hyperlink r:id="rId256" ref="C229"/>
    <hyperlink r:id="rId257" ref="C230"/>
    <hyperlink r:id="rId258" ref="C231"/>
    <hyperlink r:id="rId259" ref="C232"/>
    <hyperlink r:id="rId260" ref="C233"/>
    <hyperlink r:id="rId261" ref="C234"/>
    <hyperlink r:id="rId262" ref="C235"/>
    <hyperlink r:id="rId263" ref="C236"/>
    <hyperlink r:id="rId264" ref="C237"/>
    <hyperlink r:id="rId265" ref="C238"/>
    <hyperlink r:id="rId266" ref="C239"/>
    <hyperlink r:id="rId267" ref="C240"/>
    <hyperlink r:id="rId268" ref="C241"/>
    <hyperlink r:id="rId269" ref="C242"/>
    <hyperlink r:id="rId270" ref="C243"/>
    <hyperlink r:id="rId271" ref="C244"/>
    <hyperlink r:id="rId272" ref="C245"/>
    <hyperlink r:id="rId273" ref="C246"/>
    <hyperlink r:id="rId274" ref="C247"/>
    <hyperlink r:id="rId275" ref="C248"/>
    <hyperlink r:id="rId276" ref="C249"/>
    <hyperlink r:id="rId277" ref="C250"/>
    <hyperlink r:id="rId278" ref="C251"/>
    <hyperlink r:id="rId279" ref="C252"/>
    <hyperlink r:id="rId280" ref="C253"/>
    <hyperlink r:id="rId281" ref="C254"/>
    <hyperlink r:id="rId282" ref="C255"/>
    <hyperlink r:id="rId283" ref="C256"/>
    <hyperlink r:id="rId284" ref="C257"/>
    <hyperlink r:id="rId285" ref="C258"/>
    <hyperlink r:id="rId286" ref="C259"/>
    <hyperlink r:id="rId287" ref="C260"/>
    <hyperlink r:id="rId288" ref="C261"/>
    <hyperlink r:id="rId289" ref="C262"/>
    <hyperlink r:id="rId290" ref="C263"/>
    <hyperlink r:id="rId291" ref="C264"/>
    <hyperlink r:id="rId292" ref="C265"/>
    <hyperlink r:id="rId293" ref="C266"/>
    <hyperlink r:id="rId294" ref="C267"/>
    <hyperlink r:id="rId295" ref="C268"/>
    <hyperlink r:id="rId296" ref="C269"/>
    <hyperlink r:id="rId297" ref="C270"/>
    <hyperlink r:id="rId298" ref="C271"/>
    <hyperlink r:id="rId299" ref="E271"/>
    <hyperlink r:id="rId300" ref="F271"/>
    <hyperlink r:id="rId301" ref="C272"/>
    <hyperlink r:id="rId302" ref="C273"/>
    <hyperlink r:id="rId303" ref="C274"/>
    <hyperlink r:id="rId304" ref="C275"/>
    <hyperlink r:id="rId305" ref="C276"/>
    <hyperlink r:id="rId306" ref="C277"/>
    <hyperlink r:id="rId307" ref="C278"/>
    <hyperlink r:id="rId308" ref="C279"/>
    <hyperlink r:id="rId309" ref="C280"/>
    <hyperlink r:id="rId310" ref="C281"/>
    <hyperlink r:id="rId311" ref="C282"/>
    <hyperlink r:id="rId312" ref="C283"/>
    <hyperlink r:id="rId313" ref="C284"/>
    <hyperlink r:id="rId314" ref="C285"/>
    <hyperlink r:id="rId315" ref="C286"/>
    <hyperlink r:id="rId316" ref="C287"/>
    <hyperlink r:id="rId317" ref="C288"/>
    <hyperlink r:id="rId318" ref="E288"/>
    <hyperlink r:id="rId319" ref="F288"/>
    <hyperlink r:id="rId320" ref="C289"/>
    <hyperlink r:id="rId321" ref="C290"/>
    <hyperlink r:id="rId322" ref="C291"/>
    <hyperlink r:id="rId323" ref="C292"/>
    <hyperlink r:id="rId324" ref="C293"/>
    <hyperlink r:id="rId325" ref="C294"/>
    <hyperlink r:id="rId326" ref="C295"/>
    <hyperlink r:id="rId327" ref="C296"/>
    <hyperlink r:id="rId328" ref="C297"/>
    <hyperlink r:id="rId329" ref="C298"/>
    <hyperlink r:id="rId330" ref="C299"/>
    <hyperlink r:id="rId331" ref="C300"/>
    <hyperlink r:id="rId332" ref="C301"/>
    <hyperlink r:id="rId333" ref="C302"/>
    <hyperlink r:id="rId334" ref="C303"/>
    <hyperlink r:id="rId335" ref="C304"/>
    <hyperlink r:id="rId336" ref="C305"/>
    <hyperlink r:id="rId337" ref="C306"/>
    <hyperlink r:id="rId338" ref="C307"/>
    <hyperlink r:id="rId339" ref="C308"/>
    <hyperlink r:id="rId340" ref="C309"/>
    <hyperlink r:id="rId341" ref="C310"/>
    <hyperlink r:id="rId342" ref="C311"/>
    <hyperlink r:id="rId343" ref="E311"/>
    <hyperlink r:id="rId344" ref="F311"/>
    <hyperlink r:id="rId345" ref="C312"/>
    <hyperlink r:id="rId346" ref="C313"/>
    <hyperlink r:id="rId347" ref="C314"/>
    <hyperlink r:id="rId348" ref="C315"/>
    <hyperlink r:id="rId349" ref="C316"/>
    <hyperlink r:id="rId350" ref="C317"/>
    <hyperlink r:id="rId351" ref="C318"/>
    <hyperlink r:id="rId352" ref="C319"/>
    <hyperlink r:id="rId353" ref="C320"/>
    <hyperlink r:id="rId354" ref="C321"/>
    <hyperlink r:id="rId355" ref="C322"/>
    <hyperlink r:id="rId356" ref="C323"/>
    <hyperlink r:id="rId357" ref="E323"/>
    <hyperlink r:id="rId358" ref="F323"/>
    <hyperlink r:id="rId359" ref="C324"/>
    <hyperlink r:id="rId360" ref="C325"/>
    <hyperlink r:id="rId361" ref="C326"/>
    <hyperlink r:id="rId362" ref="E326"/>
    <hyperlink r:id="rId363" ref="F326"/>
    <hyperlink r:id="rId364" ref="C327"/>
  </hyperlinks>
  <drawing r:id="rId365"/>
  <legacyDrawing r:id="rId366"/>
  <tableParts count="1">
    <tablePart r:id="rId36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8.0"/>
    <col customWidth="1" min="2" max="2" width="96.43"/>
    <col customWidth="1" min="3" max="3" width="37.43"/>
    <col customWidth="1" min="4" max="4" width="44.71"/>
    <col customWidth="1" min="5" max="5" width="43.0"/>
    <col customWidth="1" min="6" max="6" width="11.43"/>
    <col customWidth="1" min="7" max="7" width="10.29"/>
    <col customWidth="1" min="8" max="8" width="11.57"/>
    <col customWidth="1" min="9" max="22" width="7.29"/>
    <col customWidth="1" min="23" max="23" width="12.71"/>
    <col customWidth="1" min="24" max="24" width="17.86"/>
    <col customWidth="1" min="25" max="25" width="14.71"/>
    <col customWidth="1" min="26" max="36" width="36.43"/>
  </cols>
  <sheetData>
    <row r="1">
      <c r="A1" s="1" t="s">
        <v>0</v>
      </c>
      <c r="B1" s="1" t="s">
        <v>1</v>
      </c>
      <c r="C1" s="2" t="s">
        <v>2</v>
      </c>
      <c r="D1" s="1" t="s">
        <v>3</v>
      </c>
      <c r="E1" s="1" t="s">
        <v>4</v>
      </c>
      <c r="F1" s="3" t="s">
        <v>5</v>
      </c>
      <c r="G1" s="1" t="s">
        <v>6</v>
      </c>
      <c r="H1" s="1" t="s">
        <v>7</v>
      </c>
      <c r="I1" s="4" t="s">
        <v>8</v>
      </c>
      <c r="J1" s="4" t="s">
        <v>9</v>
      </c>
      <c r="K1" s="4" t="s">
        <v>10</v>
      </c>
      <c r="L1" s="4" t="s">
        <v>11</v>
      </c>
      <c r="M1" s="4" t="s">
        <v>12</v>
      </c>
      <c r="N1" s="5" t="s">
        <v>13</v>
      </c>
      <c r="O1" s="5" t="s">
        <v>14</v>
      </c>
      <c r="P1" s="5" t="s">
        <v>15</v>
      </c>
      <c r="Q1" s="5" t="s">
        <v>16</v>
      </c>
      <c r="R1" s="5" t="s">
        <v>17</v>
      </c>
      <c r="S1" s="5" t="s">
        <v>18</v>
      </c>
      <c r="T1" s="5" t="s">
        <v>19</v>
      </c>
      <c r="U1" s="5" t="s">
        <v>20</v>
      </c>
      <c r="V1" s="5" t="s">
        <v>21</v>
      </c>
      <c r="W1" s="6" t="s">
        <v>22</v>
      </c>
      <c r="X1" s="6" t="s">
        <v>4409</v>
      </c>
      <c r="Y1" s="7" t="s">
        <v>24</v>
      </c>
      <c r="Z1" s="134" t="s">
        <v>25</v>
      </c>
      <c r="AA1" s="134"/>
      <c r="AB1" s="134"/>
      <c r="AC1" s="134"/>
      <c r="AD1" s="134"/>
      <c r="AE1" s="134"/>
      <c r="AF1" s="134"/>
      <c r="AG1" s="134"/>
      <c r="AH1" s="134"/>
      <c r="AI1" s="134"/>
      <c r="AJ1" s="134"/>
    </row>
    <row r="2">
      <c r="A2" s="126">
        <f>IFERROR(__xludf.DUMMYFUNCTION("filter(Selection!A:Z,Selection!W:W=""Yes"")"),6.0)</f>
        <v>6</v>
      </c>
      <c r="B2" s="126" t="str">
        <f>IFERROR(__xludf.DUMMYFUNCTION("""COMPUTED_VALUE"""),"Green Data Center Analysis and Design for Energy Efficiency Using Clustered and Virtualization Method")</f>
        <v>Green Data Center Analysis and Design for Energy Efficiency Using Clustered and Virtualization Method</v>
      </c>
      <c r="C2" s="127" t="str">
        <f>IFERROR(__xludf.DUMMYFUNCTION("""COMPUTED_VALUE"""),"https://ieeexplore.ieee.org/abstract/document/8874886/")</f>
        <v>https://ieeexplore.ieee.org/abstract/document/8874886/</v>
      </c>
      <c r="D2" s="126" t="str">
        <f>IFERROR(__xludf.DUMMYFUNCTION("""COMPUTED_VALUE"""),"JH Moedjahedy, M Taroreh")</f>
        <v>JH Moedjahedy, M Taroreh</v>
      </c>
      <c r="E2" s="126" t="str">
        <f>IFERROR(__xludf.DUMMYFUNCTION("""COMPUTED_VALUE"""),"Institute of Electrical and Electronics Engineers")</f>
        <v>Institute of Electrical and Electronics Engineers</v>
      </c>
      <c r="F2" s="126" t="str">
        <f>IFERROR(__xludf.DUMMYFUNCTION("""COMPUTED_VALUE"""),"IEEE Xplore")</f>
        <v>IEEE Xplore</v>
      </c>
      <c r="G2" s="128" t="str">
        <f>IFERROR(__xludf.DUMMYFUNCTION("""COMPUTED_VALUE"""),"C")</f>
        <v>C</v>
      </c>
      <c r="H2" s="129">
        <f>IFERROR(__xludf.DUMMYFUNCTION("""COMPUTED_VALUE"""),2019.0)</f>
        <v>2019</v>
      </c>
      <c r="I2" s="129">
        <f>IFERROR(__xludf.DUMMYFUNCTION("""COMPUTED_VALUE"""),1.0)</f>
        <v>1</v>
      </c>
      <c r="J2" s="129">
        <f>IFERROR(__xludf.DUMMYFUNCTION("""COMPUTED_VALUE"""),1.0)</f>
        <v>1</v>
      </c>
      <c r="K2" s="129">
        <f>IFERROR(__xludf.DUMMYFUNCTION("""COMPUTED_VALUE"""),1.0)</f>
        <v>1</v>
      </c>
      <c r="L2" s="129">
        <f>IFERROR(__xludf.DUMMYFUNCTION("""COMPUTED_VALUE"""),1.0)</f>
        <v>1</v>
      </c>
      <c r="M2" s="130">
        <f>IFERROR(__xludf.DUMMYFUNCTION("""COMPUTED_VALUE"""),1.0)</f>
        <v>1</v>
      </c>
      <c r="N2" s="130">
        <f>IFERROR(__xludf.DUMMYFUNCTION("""COMPUTED_VALUE"""),0.0)</f>
        <v>0</v>
      </c>
      <c r="O2" s="130">
        <f>IFERROR(__xludf.DUMMYFUNCTION("""COMPUTED_VALUE"""),0.0)</f>
        <v>0</v>
      </c>
      <c r="P2" s="129">
        <f>IFERROR(__xludf.DUMMYFUNCTION("""COMPUTED_VALUE"""),0.0)</f>
        <v>0</v>
      </c>
      <c r="Q2" s="130">
        <f>IFERROR(__xludf.DUMMYFUNCTION("""COMPUTED_VALUE"""),0.0)</f>
        <v>0</v>
      </c>
      <c r="R2" s="130">
        <f>IFERROR(__xludf.DUMMYFUNCTION("""COMPUTED_VALUE"""),0.0)</f>
        <v>0</v>
      </c>
      <c r="S2" s="130">
        <f>IFERROR(__xludf.DUMMYFUNCTION("""COMPUTED_VALUE"""),0.0)</f>
        <v>0</v>
      </c>
      <c r="T2" s="130">
        <f>IFERROR(__xludf.DUMMYFUNCTION("""COMPUTED_VALUE"""),0.0)</f>
        <v>0</v>
      </c>
      <c r="U2" s="130">
        <f>IFERROR(__xludf.DUMMYFUNCTION("""COMPUTED_VALUE"""),0.0)</f>
        <v>0</v>
      </c>
      <c r="V2" s="131">
        <f>IFERROR(__xludf.DUMMYFUNCTION("""COMPUTED_VALUE"""),0.0)</f>
        <v>0</v>
      </c>
      <c r="W2" s="131" t="str">
        <f>IFERROR(__xludf.DUMMYFUNCTION("""COMPUTED_VALUE"""),"Yes")</f>
        <v>Yes</v>
      </c>
      <c r="X2" s="131" t="str">
        <f>IFERROR(__xludf.DUMMYFUNCTION("""COMPUTED_VALUE"""),"Yes")</f>
        <v>Yes</v>
      </c>
      <c r="Y2" s="131" t="str">
        <f>IFERROR(__xludf.DUMMYFUNCTION("""COMPUTED_VALUE"""),"S")</f>
        <v>S</v>
      </c>
      <c r="Z2" s="131"/>
      <c r="AA2" s="131"/>
      <c r="AB2" s="131"/>
      <c r="AC2" s="131"/>
      <c r="AD2" s="131"/>
      <c r="AE2" s="131"/>
      <c r="AF2" s="131"/>
      <c r="AG2" s="131"/>
      <c r="AH2" s="131"/>
      <c r="AI2" s="131"/>
      <c r="AJ2" s="131"/>
    </row>
    <row r="3">
      <c r="A3" s="126">
        <f>IFERROR(__xludf.DUMMYFUNCTION("""COMPUTED_VALUE"""),7.0)</f>
        <v>7</v>
      </c>
      <c r="B3" s="126" t="str">
        <f>IFERROR(__xludf.DUMMYFUNCTION("""COMPUTED_VALUE"""),"Energy efficient scheduling for cloud data centers using heuristic based migration")</f>
        <v>Energy efficient scheduling for cloud data centers using heuristic based migration</v>
      </c>
      <c r="C3" s="127" t="str">
        <f>IFERROR(__xludf.DUMMYFUNCTION("""COMPUTED_VALUE"""),"https://link.springer.com/article/10.1007/s10586-018-2235-7")</f>
        <v>https://link.springer.com/article/10.1007/s10586-018-2235-7</v>
      </c>
      <c r="D3" s="126" t="str">
        <f>IFERROR(__xludf.DUMMYFUNCTION("""COMPUTED_VALUE"""),"GG Kumar, P Vivekanandan")</f>
        <v>GG Kumar, P Vivekanandan</v>
      </c>
      <c r="E3" s="126" t="str">
        <f>IFERROR(__xludf.DUMMYFUNCTION("""COMPUTED_VALUE"""),"Springer")</f>
        <v>Springer</v>
      </c>
      <c r="F3" s="126" t="str">
        <f>IFERROR(__xludf.DUMMYFUNCTION("""COMPUTED_VALUE"""),"Springer")</f>
        <v>Springer</v>
      </c>
      <c r="G3" s="128" t="str">
        <f>IFERROR(__xludf.DUMMYFUNCTION("""COMPUTED_VALUE"""),"J")</f>
        <v>J</v>
      </c>
      <c r="H3" s="129">
        <f>IFERROR(__xludf.DUMMYFUNCTION("""COMPUTED_VALUE"""),2019.0)</f>
        <v>2019</v>
      </c>
      <c r="I3" s="129">
        <f>IFERROR(__xludf.DUMMYFUNCTION("""COMPUTED_VALUE"""),1.0)</f>
        <v>1</v>
      </c>
      <c r="J3" s="129">
        <f>IFERROR(__xludf.DUMMYFUNCTION("""COMPUTED_VALUE"""),1.0)</f>
        <v>1</v>
      </c>
      <c r="K3" s="129">
        <f>IFERROR(__xludf.DUMMYFUNCTION("""COMPUTED_VALUE"""),1.0)</f>
        <v>1</v>
      </c>
      <c r="L3" s="129">
        <f>IFERROR(__xludf.DUMMYFUNCTION("""COMPUTED_VALUE"""),1.0)</f>
        <v>1</v>
      </c>
      <c r="M3" s="130">
        <f>IFERROR(__xludf.DUMMYFUNCTION("""COMPUTED_VALUE"""),1.0)</f>
        <v>1</v>
      </c>
      <c r="N3" s="130">
        <f>IFERROR(__xludf.DUMMYFUNCTION("""COMPUTED_VALUE"""),0.0)</f>
        <v>0</v>
      </c>
      <c r="O3" s="130">
        <f>IFERROR(__xludf.DUMMYFUNCTION("""COMPUTED_VALUE"""),0.0)</f>
        <v>0</v>
      </c>
      <c r="P3" s="129">
        <f>IFERROR(__xludf.DUMMYFUNCTION("""COMPUTED_VALUE"""),0.0)</f>
        <v>0</v>
      </c>
      <c r="Q3" s="130">
        <f>IFERROR(__xludf.DUMMYFUNCTION("""COMPUTED_VALUE"""),0.0)</f>
        <v>0</v>
      </c>
      <c r="R3" s="130">
        <f>IFERROR(__xludf.DUMMYFUNCTION("""COMPUTED_VALUE"""),0.0)</f>
        <v>0</v>
      </c>
      <c r="S3" s="130">
        <f>IFERROR(__xludf.DUMMYFUNCTION("""COMPUTED_VALUE"""),0.0)</f>
        <v>0</v>
      </c>
      <c r="T3" s="130">
        <f>IFERROR(__xludf.DUMMYFUNCTION("""COMPUTED_VALUE"""),0.0)</f>
        <v>0</v>
      </c>
      <c r="U3" s="130">
        <f>IFERROR(__xludf.DUMMYFUNCTION("""COMPUTED_VALUE"""),0.0)</f>
        <v>0</v>
      </c>
      <c r="V3" s="131">
        <f>IFERROR(__xludf.DUMMYFUNCTION("""COMPUTED_VALUE"""),0.0)</f>
        <v>0</v>
      </c>
      <c r="W3" s="131" t="str">
        <f>IFERROR(__xludf.DUMMYFUNCTION("""COMPUTED_VALUE"""),"Yes")</f>
        <v>Yes</v>
      </c>
      <c r="X3" s="131" t="str">
        <f>IFERROR(__xludf.DUMMYFUNCTION("""COMPUTED_VALUE"""),"Yes")</f>
        <v>Yes</v>
      </c>
      <c r="Y3" s="131" t="str">
        <f>IFERROR(__xludf.DUMMYFUNCTION("""COMPUTED_VALUE"""),"S")</f>
        <v>S</v>
      </c>
      <c r="Z3" s="131"/>
      <c r="AA3" s="131"/>
      <c r="AB3" s="131"/>
      <c r="AC3" s="131"/>
      <c r="AD3" s="131"/>
      <c r="AE3" s="131"/>
      <c r="AF3" s="131"/>
      <c r="AG3" s="131"/>
      <c r="AH3" s="131"/>
      <c r="AI3" s="131"/>
      <c r="AJ3" s="131"/>
    </row>
    <row r="4">
      <c r="A4" s="126">
        <f>IFERROR(__xludf.DUMMYFUNCTION("""COMPUTED_VALUE"""),10.0)</f>
        <v>10</v>
      </c>
      <c r="B4" s="126" t="str">
        <f>IFERROR(__xludf.DUMMYFUNCTION("""COMPUTED_VALUE"""),"Load Management with Predictions of Solar Energy Production for Cloud Data Centers")</f>
        <v>Load Management with Predictions of Solar Energy Production for Cloud Data Centers</v>
      </c>
      <c r="C4" s="127" t="str">
        <f>IFERROR(__xludf.DUMMYFUNCTION("""COMPUTED_VALUE"""),"https://ieeexplore.ieee.org/abstract/document/9053186/")</f>
        <v>https://ieeexplore.ieee.org/abstract/document/9053186/</v>
      </c>
      <c r="D4" s="131" t="str">
        <f>IFERROR(__xludf.DUMMYFUNCTION("""COMPUTED_VALUE"""),"M Floridia, D Laganà, C Mastroianni, M Meo, D Renga")</f>
        <v>M Floridia, D Laganà, C Mastroianni, M Meo, D Renga</v>
      </c>
      <c r="E4" s="131" t="str">
        <f>IFERROR(__xludf.DUMMYFUNCTION("""COMPUTED_VALUE"""),"Institute of Electrical and Electronics Engineers")</f>
        <v>Institute of Electrical and Electronics Engineers</v>
      </c>
      <c r="F4" s="126" t="str">
        <f>IFERROR(__xludf.DUMMYFUNCTION("""COMPUTED_VALUE"""),"IEEE Xplore")</f>
        <v>IEEE Xplore</v>
      </c>
      <c r="G4" s="132" t="str">
        <f>IFERROR(__xludf.DUMMYFUNCTION("""COMPUTED_VALUE"""),"C")</f>
        <v>C</v>
      </c>
      <c r="H4" s="130">
        <f>IFERROR(__xludf.DUMMYFUNCTION("""COMPUTED_VALUE"""),2020.0)</f>
        <v>2020</v>
      </c>
      <c r="I4" s="130">
        <f>IFERROR(__xludf.DUMMYFUNCTION("""COMPUTED_VALUE"""),1.0)</f>
        <v>1</v>
      </c>
      <c r="J4" s="130">
        <f>IFERROR(__xludf.DUMMYFUNCTION("""COMPUTED_VALUE"""),1.0)</f>
        <v>1</v>
      </c>
      <c r="K4" s="129">
        <f>IFERROR(__xludf.DUMMYFUNCTION("""COMPUTED_VALUE"""),1.0)</f>
        <v>1</v>
      </c>
      <c r="L4" s="129">
        <f>IFERROR(__xludf.DUMMYFUNCTION("""COMPUTED_VALUE"""),1.0)</f>
        <v>1</v>
      </c>
      <c r="M4" s="130">
        <f>IFERROR(__xludf.DUMMYFUNCTION("""COMPUTED_VALUE"""),1.0)</f>
        <v>1</v>
      </c>
      <c r="N4" s="130">
        <f>IFERROR(__xludf.DUMMYFUNCTION("""COMPUTED_VALUE"""),0.0)</f>
        <v>0</v>
      </c>
      <c r="O4" s="130">
        <f>IFERROR(__xludf.DUMMYFUNCTION("""COMPUTED_VALUE"""),0.0)</f>
        <v>0</v>
      </c>
      <c r="P4" s="130">
        <f>IFERROR(__xludf.DUMMYFUNCTION("""COMPUTED_VALUE"""),0.0)</f>
        <v>0</v>
      </c>
      <c r="Q4" s="130">
        <f>IFERROR(__xludf.DUMMYFUNCTION("""COMPUTED_VALUE"""),0.0)</f>
        <v>0</v>
      </c>
      <c r="R4" s="130">
        <f>IFERROR(__xludf.DUMMYFUNCTION("""COMPUTED_VALUE"""),0.0)</f>
        <v>0</v>
      </c>
      <c r="S4" s="130">
        <f>IFERROR(__xludf.DUMMYFUNCTION("""COMPUTED_VALUE"""),0.0)</f>
        <v>0</v>
      </c>
      <c r="T4" s="130">
        <f>IFERROR(__xludf.DUMMYFUNCTION("""COMPUTED_VALUE"""),0.0)</f>
        <v>0</v>
      </c>
      <c r="U4" s="130">
        <f>IFERROR(__xludf.DUMMYFUNCTION("""COMPUTED_VALUE"""),0.0)</f>
        <v>0</v>
      </c>
      <c r="V4" s="131">
        <f>IFERROR(__xludf.DUMMYFUNCTION("""COMPUTED_VALUE"""),0.0)</f>
        <v>0</v>
      </c>
      <c r="W4" s="131" t="str">
        <f>IFERROR(__xludf.DUMMYFUNCTION("""COMPUTED_VALUE"""),"Yes")</f>
        <v>Yes</v>
      </c>
      <c r="X4" s="131" t="str">
        <f>IFERROR(__xludf.DUMMYFUNCTION("""COMPUTED_VALUE"""),"Yes")</f>
        <v>Yes</v>
      </c>
      <c r="Y4" s="131" t="str">
        <f>IFERROR(__xludf.DUMMYFUNCTION("""COMPUTED_VALUE"""),"S")</f>
        <v>S</v>
      </c>
      <c r="Z4" s="131"/>
      <c r="AA4" s="131"/>
      <c r="AB4" s="131"/>
      <c r="AC4" s="131"/>
      <c r="AD4" s="131"/>
      <c r="AE4" s="131"/>
      <c r="AF4" s="131"/>
      <c r="AG4" s="131"/>
      <c r="AH4" s="131"/>
      <c r="AI4" s="131"/>
      <c r="AJ4" s="131"/>
    </row>
    <row r="5">
      <c r="A5" s="126">
        <f>IFERROR(__xludf.DUMMYFUNCTION("""COMPUTED_VALUE"""),11.0)</f>
        <v>11</v>
      </c>
      <c r="B5" s="126" t="str">
        <f>IFERROR(__xludf.DUMMYFUNCTION("""COMPUTED_VALUE"""),"Flexibility-Based Energy and Demand Management in Data Centers: A Case Study for Cloud Computing")</f>
        <v>Flexibility-Based Energy and Demand Management in Data Centers: A Case Study for Cloud Computing</v>
      </c>
      <c r="C5" s="127" t="str">
        <f>IFERROR(__xludf.DUMMYFUNCTION("""COMPUTED_VALUE"""),"https://www.mdpi.com/1996-1073/12/17/3301")</f>
        <v>https://www.mdpi.com/1996-1073/12/17/3301</v>
      </c>
      <c r="D5" s="131" t="str">
        <f>IFERROR(__xludf.DUMMYFUNCTION("""COMPUTED_VALUE"""),"R Basmadjian")</f>
        <v>R Basmadjian</v>
      </c>
      <c r="E5" s="131" t="str">
        <f>IFERROR(__xludf.DUMMYFUNCTION("""COMPUTED_VALUE"""),"Multidisciplinary Digital Publishing Institute")</f>
        <v>Multidisciplinary Digital Publishing Institute</v>
      </c>
      <c r="F5" s="126" t="str">
        <f>IFERROR(__xludf.DUMMYFUNCTION("""COMPUTED_VALUE"""),"MDPI")</f>
        <v>MDPI</v>
      </c>
      <c r="G5" s="128" t="str">
        <f>IFERROR(__xludf.DUMMYFUNCTION("""COMPUTED_VALUE"""),"J")</f>
        <v>J</v>
      </c>
      <c r="H5" s="130">
        <f>IFERROR(__xludf.DUMMYFUNCTION("""COMPUTED_VALUE"""),2019.0)</f>
        <v>2019</v>
      </c>
      <c r="I5" s="130">
        <f>IFERROR(__xludf.DUMMYFUNCTION("""COMPUTED_VALUE"""),1.0)</f>
        <v>1</v>
      </c>
      <c r="J5" s="130">
        <f>IFERROR(__xludf.DUMMYFUNCTION("""COMPUTED_VALUE"""),1.0)</f>
        <v>1</v>
      </c>
      <c r="K5" s="130">
        <f>IFERROR(__xludf.DUMMYFUNCTION("""COMPUTED_VALUE"""),1.0)</f>
        <v>1</v>
      </c>
      <c r="L5" s="129">
        <f>IFERROR(__xludf.DUMMYFUNCTION("""COMPUTED_VALUE"""),1.0)</f>
        <v>1</v>
      </c>
      <c r="M5" s="130">
        <f>IFERROR(__xludf.DUMMYFUNCTION("""COMPUTED_VALUE"""),1.0)</f>
        <v>1</v>
      </c>
      <c r="N5" s="130">
        <f>IFERROR(__xludf.DUMMYFUNCTION("""COMPUTED_VALUE"""),0.0)</f>
        <v>0</v>
      </c>
      <c r="O5" s="130">
        <f>IFERROR(__xludf.DUMMYFUNCTION("""COMPUTED_VALUE"""),0.0)</f>
        <v>0</v>
      </c>
      <c r="P5" s="130">
        <f>IFERROR(__xludf.DUMMYFUNCTION("""COMPUTED_VALUE"""),0.0)</f>
        <v>0</v>
      </c>
      <c r="Q5" s="130">
        <f>IFERROR(__xludf.DUMMYFUNCTION("""COMPUTED_VALUE"""),0.0)</f>
        <v>0</v>
      </c>
      <c r="R5" s="130">
        <f>IFERROR(__xludf.DUMMYFUNCTION("""COMPUTED_VALUE"""),0.0)</f>
        <v>0</v>
      </c>
      <c r="S5" s="130">
        <f>IFERROR(__xludf.DUMMYFUNCTION("""COMPUTED_VALUE"""),0.0)</f>
        <v>0</v>
      </c>
      <c r="T5" s="130">
        <f>IFERROR(__xludf.DUMMYFUNCTION("""COMPUTED_VALUE"""),0.0)</f>
        <v>0</v>
      </c>
      <c r="U5" s="130">
        <f>IFERROR(__xludf.DUMMYFUNCTION("""COMPUTED_VALUE"""),0.0)</f>
        <v>0</v>
      </c>
      <c r="V5" s="131">
        <f>IFERROR(__xludf.DUMMYFUNCTION("""COMPUTED_VALUE"""),0.0)</f>
        <v>0</v>
      </c>
      <c r="W5" s="131" t="str">
        <f>IFERROR(__xludf.DUMMYFUNCTION("""COMPUTED_VALUE"""),"Yes")</f>
        <v>Yes</v>
      </c>
      <c r="X5" s="131" t="str">
        <f>IFERROR(__xludf.DUMMYFUNCTION("""COMPUTED_VALUE"""),"Yes")</f>
        <v>Yes</v>
      </c>
      <c r="Y5" s="131" t="str">
        <f>IFERROR(__xludf.DUMMYFUNCTION("""COMPUTED_VALUE"""),"S")</f>
        <v>S</v>
      </c>
      <c r="Z5" s="131"/>
      <c r="AA5" s="131"/>
      <c r="AB5" s="131"/>
      <c r="AC5" s="131"/>
      <c r="AD5" s="131"/>
      <c r="AE5" s="131"/>
      <c r="AF5" s="131"/>
      <c r="AG5" s="131"/>
      <c r="AH5" s="131"/>
      <c r="AI5" s="131"/>
      <c r="AJ5" s="131"/>
    </row>
    <row r="6">
      <c r="A6" s="126">
        <f>IFERROR(__xludf.DUMMYFUNCTION("""COMPUTED_VALUE"""),13.0)</f>
        <v>13</v>
      </c>
      <c r="B6" s="126" t="str">
        <f>IFERROR(__xludf.DUMMYFUNCTION("""COMPUTED_VALUE"""),"Predictions and Modeling Energy Consumption for IT Data Center")</f>
        <v>Predictions and Modeling Energy Consumption for IT Data Center</v>
      </c>
      <c r="C6" s="127" t="str">
        <f>IFERROR(__xludf.DUMMYFUNCTION("""COMPUTED_VALUE"""),"https://link.springer.com/chapter/10.1007/978-3-030-12065-8_1")</f>
        <v>https://link.springer.com/chapter/10.1007/978-3-030-12065-8_1</v>
      </c>
      <c r="D6" s="126" t="str">
        <f>IFERROR(__xludf.DUMMYFUNCTION("""COMPUTED_VALUE"""),"M Soltane, P Roose, D Makhlouf, K Okba")</f>
        <v>M Soltane, P Roose, D Makhlouf, K Okba</v>
      </c>
      <c r="E6" s="126" t="str">
        <f>IFERROR(__xludf.DUMMYFUNCTION("""COMPUTED_VALUE"""),"Springer")</f>
        <v>Springer</v>
      </c>
      <c r="F6" s="126" t="str">
        <f>IFERROR(__xludf.DUMMYFUNCTION("""COMPUTED_VALUE"""),"Springer")</f>
        <v>Springer</v>
      </c>
      <c r="G6" s="128" t="str">
        <f>IFERROR(__xludf.DUMMYFUNCTION("""COMPUTED_VALUE"""),"C")</f>
        <v>C</v>
      </c>
      <c r="H6" s="130">
        <f>IFERROR(__xludf.DUMMYFUNCTION("""COMPUTED_VALUE"""),2018.0)</f>
        <v>2018</v>
      </c>
      <c r="I6" s="130">
        <f>IFERROR(__xludf.DUMMYFUNCTION("""COMPUTED_VALUE"""),1.0)</f>
        <v>1</v>
      </c>
      <c r="J6" s="130">
        <f>IFERROR(__xludf.DUMMYFUNCTION("""COMPUTED_VALUE"""),1.0)</f>
        <v>1</v>
      </c>
      <c r="K6" s="130">
        <f>IFERROR(__xludf.DUMMYFUNCTION("""COMPUTED_VALUE"""),1.0)</f>
        <v>1</v>
      </c>
      <c r="L6" s="129">
        <f>IFERROR(__xludf.DUMMYFUNCTION("""COMPUTED_VALUE"""),1.0)</f>
        <v>1</v>
      </c>
      <c r="M6" s="130">
        <f>IFERROR(__xludf.DUMMYFUNCTION("""COMPUTED_VALUE"""),1.0)</f>
        <v>1</v>
      </c>
      <c r="N6" s="130">
        <f>IFERROR(__xludf.DUMMYFUNCTION("""COMPUTED_VALUE"""),0.0)</f>
        <v>0</v>
      </c>
      <c r="O6" s="130">
        <f>IFERROR(__xludf.DUMMYFUNCTION("""COMPUTED_VALUE"""),0.0)</f>
        <v>0</v>
      </c>
      <c r="P6" s="130">
        <f>IFERROR(__xludf.DUMMYFUNCTION("""COMPUTED_VALUE"""),0.0)</f>
        <v>0</v>
      </c>
      <c r="Q6" s="130">
        <f>IFERROR(__xludf.DUMMYFUNCTION("""COMPUTED_VALUE"""),0.0)</f>
        <v>0</v>
      </c>
      <c r="R6" s="130">
        <f>IFERROR(__xludf.DUMMYFUNCTION("""COMPUTED_VALUE"""),0.0)</f>
        <v>0</v>
      </c>
      <c r="S6" s="130">
        <f>IFERROR(__xludf.DUMMYFUNCTION("""COMPUTED_VALUE"""),0.0)</f>
        <v>0</v>
      </c>
      <c r="T6" s="130">
        <f>IFERROR(__xludf.DUMMYFUNCTION("""COMPUTED_VALUE"""),0.0)</f>
        <v>0</v>
      </c>
      <c r="U6" s="130">
        <f>IFERROR(__xludf.DUMMYFUNCTION("""COMPUTED_VALUE"""),0.0)</f>
        <v>0</v>
      </c>
      <c r="V6" s="131">
        <f>IFERROR(__xludf.DUMMYFUNCTION("""COMPUTED_VALUE"""),0.0)</f>
        <v>0</v>
      </c>
      <c r="W6" s="131" t="str">
        <f>IFERROR(__xludf.DUMMYFUNCTION("""COMPUTED_VALUE"""),"Yes")</f>
        <v>Yes</v>
      </c>
      <c r="X6" s="131" t="str">
        <f>IFERROR(__xludf.DUMMYFUNCTION("""COMPUTED_VALUE"""),"Yes")</f>
        <v>Yes</v>
      </c>
      <c r="Y6" s="131" t="str">
        <f>IFERROR(__xludf.DUMMYFUNCTION("""COMPUTED_VALUE"""),"S")</f>
        <v>S</v>
      </c>
      <c r="Z6" s="131"/>
      <c r="AA6" s="131"/>
      <c r="AB6" s="131"/>
      <c r="AC6" s="131"/>
      <c r="AD6" s="131"/>
      <c r="AE6" s="131"/>
      <c r="AF6" s="131"/>
      <c r="AG6" s="131"/>
      <c r="AH6" s="131"/>
      <c r="AI6" s="131"/>
      <c r="AJ6" s="131"/>
    </row>
    <row r="7">
      <c r="A7" s="126">
        <f>IFERROR(__xludf.DUMMYFUNCTION("""COMPUTED_VALUE"""),16.0)</f>
        <v>16</v>
      </c>
      <c r="B7" s="126" t="str">
        <f>IFERROR(__xludf.DUMMYFUNCTION("""COMPUTED_VALUE"""),"An energy-efficient power management for heterogeneous servers in data centers")</f>
        <v>An energy-efficient power management for heterogeneous servers in data centers</v>
      </c>
      <c r="C7" s="127" t="str">
        <f>IFERROR(__xludf.DUMMYFUNCTION("""COMPUTED_VALUE"""),"https://link.springer.com/content/pdf/10.1007/s00607-020-00805-w.pdf")</f>
        <v>https://link.springer.com/content/pdf/10.1007/s00607-020-00805-w.pdf</v>
      </c>
      <c r="D7" s="126" t="str">
        <f>IFERROR(__xludf.DUMMYFUNCTION("""COMPUTED_VALUE"""),"Q Wang, H Cai, Q Cao, F Wang")</f>
        <v>Q Wang, H Cai, Q Cao, F Wang</v>
      </c>
      <c r="E7" s="126" t="str">
        <f>IFERROR(__xludf.DUMMYFUNCTION("""COMPUTED_VALUE"""),"Springer")</f>
        <v>Springer</v>
      </c>
      <c r="F7" s="126" t="str">
        <f>IFERROR(__xludf.DUMMYFUNCTION("""COMPUTED_VALUE"""),"Springer")</f>
        <v>Springer</v>
      </c>
      <c r="G7" s="128" t="str">
        <f>IFERROR(__xludf.DUMMYFUNCTION("""COMPUTED_VALUE"""),"J")</f>
        <v>J</v>
      </c>
      <c r="H7" s="129">
        <f>IFERROR(__xludf.DUMMYFUNCTION("""COMPUTED_VALUE"""),2020.0)</f>
        <v>2020</v>
      </c>
      <c r="I7" s="129">
        <f>IFERROR(__xludf.DUMMYFUNCTION("""COMPUTED_VALUE"""),1.0)</f>
        <v>1</v>
      </c>
      <c r="J7" s="129">
        <f>IFERROR(__xludf.DUMMYFUNCTION("""COMPUTED_VALUE"""),1.0)</f>
        <v>1</v>
      </c>
      <c r="K7" s="130">
        <f>IFERROR(__xludf.DUMMYFUNCTION("""COMPUTED_VALUE"""),1.0)</f>
        <v>1</v>
      </c>
      <c r="L7" s="130">
        <f>IFERROR(__xludf.DUMMYFUNCTION("""COMPUTED_VALUE"""),1.0)</f>
        <v>1</v>
      </c>
      <c r="M7" s="130">
        <f>IFERROR(__xludf.DUMMYFUNCTION("""COMPUTED_VALUE"""),1.0)</f>
        <v>1</v>
      </c>
      <c r="N7" s="130">
        <f>IFERROR(__xludf.DUMMYFUNCTION("""COMPUTED_VALUE"""),0.0)</f>
        <v>0</v>
      </c>
      <c r="O7" s="130">
        <f>IFERROR(__xludf.DUMMYFUNCTION("""COMPUTED_VALUE"""),0.0)</f>
        <v>0</v>
      </c>
      <c r="P7" s="130">
        <f>IFERROR(__xludf.DUMMYFUNCTION("""COMPUTED_VALUE"""),0.0)</f>
        <v>0</v>
      </c>
      <c r="Q7" s="130">
        <f>IFERROR(__xludf.DUMMYFUNCTION("""COMPUTED_VALUE"""),0.0)</f>
        <v>0</v>
      </c>
      <c r="R7" s="130">
        <f>IFERROR(__xludf.DUMMYFUNCTION("""COMPUTED_VALUE"""),0.0)</f>
        <v>0</v>
      </c>
      <c r="S7" s="130">
        <f>IFERROR(__xludf.DUMMYFUNCTION("""COMPUTED_VALUE"""),0.0)</f>
        <v>0</v>
      </c>
      <c r="T7" s="130">
        <f>IFERROR(__xludf.DUMMYFUNCTION("""COMPUTED_VALUE"""),0.0)</f>
        <v>0</v>
      </c>
      <c r="U7" s="130">
        <f>IFERROR(__xludf.DUMMYFUNCTION("""COMPUTED_VALUE"""),0.0)</f>
        <v>0</v>
      </c>
      <c r="V7" s="131">
        <f>IFERROR(__xludf.DUMMYFUNCTION("""COMPUTED_VALUE"""),0.0)</f>
        <v>0</v>
      </c>
      <c r="W7" s="131" t="str">
        <f>IFERROR(__xludf.DUMMYFUNCTION("""COMPUTED_VALUE"""),"Yes")</f>
        <v>Yes</v>
      </c>
      <c r="X7" s="131" t="str">
        <f>IFERROR(__xludf.DUMMYFUNCTION("""COMPUTED_VALUE"""),"Yes")</f>
        <v>Yes</v>
      </c>
      <c r="Y7" s="131" t="str">
        <f>IFERROR(__xludf.DUMMYFUNCTION("""COMPUTED_VALUE"""),"S")</f>
        <v>S</v>
      </c>
      <c r="Z7" s="131"/>
      <c r="AA7" s="131"/>
      <c r="AB7" s="131"/>
      <c r="AC7" s="131"/>
      <c r="AD7" s="131"/>
      <c r="AE7" s="131"/>
      <c r="AF7" s="131"/>
      <c r="AG7" s="131"/>
      <c r="AH7" s="131"/>
      <c r="AI7" s="131"/>
      <c r="AJ7" s="131"/>
    </row>
    <row r="8">
      <c r="A8" s="126">
        <f>IFERROR(__xludf.DUMMYFUNCTION("""COMPUTED_VALUE"""),17.0)</f>
        <v>17</v>
      </c>
      <c r="B8" s="126" t="str">
        <f>IFERROR(__xludf.DUMMYFUNCTION("""COMPUTED_VALUE"""),"MFF: Performance Interference-Aware VM Placement Algorithm for Reducing Energy Consumption in Data Centers")</f>
        <v>MFF: Performance Interference-Aware VM Placement Algorithm for Reducing Energy Consumption in Data Centers</v>
      </c>
      <c r="C8" s="127" t="str">
        <f>IFERROR(__xludf.DUMMYFUNCTION("""COMPUTED_VALUE"""),"https://centerprode.com/ojit/ojit0301/coas.ojit.0301.01001m.html")</f>
        <v>https://centerprode.com/ojit/ojit0301/coas.ojit.0301.01001m.html</v>
      </c>
      <c r="D8" s="126" t="str">
        <f>IFERROR(__xludf.DUMMYFUNCTION("""COMPUTED_VALUE"""),"D Mosoti, VO Omwenga, P Ogao")</f>
        <v>D Mosoti, VO Omwenga, P Ogao</v>
      </c>
      <c r="E8" s="126" t="str">
        <f>IFERROR(__xludf.DUMMYFUNCTION("""COMPUTED_VALUE"""),"Open Journal for Information Technology")</f>
        <v>Open Journal for Information Technology</v>
      </c>
      <c r="F8" s="126" t="str">
        <f>IFERROR(__xludf.DUMMYFUNCTION("""COMPUTED_VALUE"""),"OJIT")</f>
        <v>OJIT</v>
      </c>
      <c r="G8" s="128" t="str">
        <f>IFERROR(__xludf.DUMMYFUNCTION("""COMPUTED_VALUE"""),"J")</f>
        <v>J</v>
      </c>
      <c r="H8" s="130">
        <f>IFERROR(__xludf.DUMMYFUNCTION("""COMPUTED_VALUE"""),2020.0)</f>
        <v>2020</v>
      </c>
      <c r="I8" s="130">
        <f>IFERROR(__xludf.DUMMYFUNCTION("""COMPUTED_VALUE"""),1.0)</f>
        <v>1</v>
      </c>
      <c r="J8" s="130">
        <f>IFERROR(__xludf.DUMMYFUNCTION("""COMPUTED_VALUE"""),1.0)</f>
        <v>1</v>
      </c>
      <c r="K8" s="130">
        <f>IFERROR(__xludf.DUMMYFUNCTION("""COMPUTED_VALUE"""),1.0)</f>
        <v>1</v>
      </c>
      <c r="L8" s="129">
        <f>IFERROR(__xludf.DUMMYFUNCTION("""COMPUTED_VALUE"""),1.0)</f>
        <v>1</v>
      </c>
      <c r="M8" s="130">
        <f>IFERROR(__xludf.DUMMYFUNCTION("""COMPUTED_VALUE"""),1.0)</f>
        <v>1</v>
      </c>
      <c r="N8" s="130">
        <f>IFERROR(__xludf.DUMMYFUNCTION("""COMPUTED_VALUE"""),0.0)</f>
        <v>0</v>
      </c>
      <c r="O8" s="130">
        <f>IFERROR(__xludf.DUMMYFUNCTION("""COMPUTED_VALUE"""),0.0)</f>
        <v>0</v>
      </c>
      <c r="P8" s="130">
        <f>IFERROR(__xludf.DUMMYFUNCTION("""COMPUTED_VALUE"""),0.0)</f>
        <v>0</v>
      </c>
      <c r="Q8" s="130">
        <f>IFERROR(__xludf.DUMMYFUNCTION("""COMPUTED_VALUE"""),0.0)</f>
        <v>0</v>
      </c>
      <c r="R8" s="130">
        <f>IFERROR(__xludf.DUMMYFUNCTION("""COMPUTED_VALUE"""),0.0)</f>
        <v>0</v>
      </c>
      <c r="S8" s="130">
        <f>IFERROR(__xludf.DUMMYFUNCTION("""COMPUTED_VALUE"""),0.0)</f>
        <v>0</v>
      </c>
      <c r="T8" s="130">
        <f>IFERROR(__xludf.DUMMYFUNCTION("""COMPUTED_VALUE"""),0.0)</f>
        <v>0</v>
      </c>
      <c r="U8" s="130">
        <f>IFERROR(__xludf.DUMMYFUNCTION("""COMPUTED_VALUE"""),0.0)</f>
        <v>0</v>
      </c>
      <c r="V8" s="131">
        <f>IFERROR(__xludf.DUMMYFUNCTION("""COMPUTED_VALUE"""),0.0)</f>
        <v>0</v>
      </c>
      <c r="W8" s="131" t="str">
        <f>IFERROR(__xludf.DUMMYFUNCTION("""COMPUTED_VALUE"""),"Yes")</f>
        <v>Yes</v>
      </c>
      <c r="X8" s="131" t="str">
        <f>IFERROR(__xludf.DUMMYFUNCTION("""COMPUTED_VALUE"""),"Yes")</f>
        <v>Yes</v>
      </c>
      <c r="Y8" s="131" t="str">
        <f>IFERROR(__xludf.DUMMYFUNCTION("""COMPUTED_VALUE"""),"S")</f>
        <v>S</v>
      </c>
      <c r="Z8" s="131"/>
      <c r="AA8" s="131"/>
      <c r="AB8" s="131"/>
      <c r="AC8" s="131"/>
      <c r="AD8" s="131"/>
      <c r="AE8" s="131"/>
      <c r="AF8" s="131"/>
      <c r="AG8" s="131"/>
      <c r="AH8" s="131"/>
      <c r="AI8" s="131"/>
      <c r="AJ8" s="131"/>
    </row>
    <row r="9">
      <c r="A9" s="126">
        <f>IFERROR(__xludf.DUMMYFUNCTION("""COMPUTED_VALUE"""),21.0)</f>
        <v>21</v>
      </c>
      <c r="B9" s="126" t="str">
        <f>IFERROR(__xludf.DUMMYFUNCTION("""COMPUTED_VALUE"""),"Network-aware energy saving multi-objective optimization in virtualized data centers")</f>
        <v>Network-aware energy saving multi-objective optimization in virtualized data centers</v>
      </c>
      <c r="C9" s="127" t="str">
        <f>IFERROR(__xludf.DUMMYFUNCTION("""COMPUTED_VALUE"""),"https://link.springer.com/article/10.1007/s10586-018-2869-5")</f>
        <v>https://link.springer.com/article/10.1007/s10586-018-2869-5</v>
      </c>
      <c r="D9" s="126" t="str">
        <f>IFERROR(__xludf.DUMMYFUNCTION("""COMPUTED_VALUE"""),"M Al-Tarazi, JM Chang")</f>
        <v>M Al-Tarazi, JM Chang</v>
      </c>
      <c r="E9" s="126" t="str">
        <f>IFERROR(__xludf.DUMMYFUNCTION("""COMPUTED_VALUE"""),"Springer")</f>
        <v>Springer</v>
      </c>
      <c r="F9" s="126" t="str">
        <f>IFERROR(__xludf.DUMMYFUNCTION("""COMPUTED_VALUE"""),"Springer")</f>
        <v>Springer</v>
      </c>
      <c r="G9" s="128" t="str">
        <f>IFERROR(__xludf.DUMMYFUNCTION("""COMPUTED_VALUE"""),"J")</f>
        <v>J</v>
      </c>
      <c r="H9" s="130">
        <f>IFERROR(__xludf.DUMMYFUNCTION("""COMPUTED_VALUE"""),2019.0)</f>
        <v>2019</v>
      </c>
      <c r="I9" s="130">
        <f>IFERROR(__xludf.DUMMYFUNCTION("""COMPUTED_VALUE"""),1.0)</f>
        <v>1</v>
      </c>
      <c r="J9" s="130">
        <f>IFERROR(__xludf.DUMMYFUNCTION("""COMPUTED_VALUE"""),1.0)</f>
        <v>1</v>
      </c>
      <c r="K9" s="130">
        <f>IFERROR(__xludf.DUMMYFUNCTION("""COMPUTED_VALUE"""),1.0)</f>
        <v>1</v>
      </c>
      <c r="L9" s="129">
        <f>IFERROR(__xludf.DUMMYFUNCTION("""COMPUTED_VALUE"""),1.0)</f>
        <v>1</v>
      </c>
      <c r="M9" s="130">
        <f>IFERROR(__xludf.DUMMYFUNCTION("""COMPUTED_VALUE"""),1.0)</f>
        <v>1</v>
      </c>
      <c r="N9" s="130">
        <f>IFERROR(__xludf.DUMMYFUNCTION("""COMPUTED_VALUE"""),0.0)</f>
        <v>0</v>
      </c>
      <c r="O9" s="130">
        <f>IFERROR(__xludf.DUMMYFUNCTION("""COMPUTED_VALUE"""),0.0)</f>
        <v>0</v>
      </c>
      <c r="P9" s="130">
        <f>IFERROR(__xludf.DUMMYFUNCTION("""COMPUTED_VALUE"""),0.0)</f>
        <v>0</v>
      </c>
      <c r="Q9" s="130">
        <f>IFERROR(__xludf.DUMMYFUNCTION("""COMPUTED_VALUE"""),0.0)</f>
        <v>0</v>
      </c>
      <c r="R9" s="130">
        <f>IFERROR(__xludf.DUMMYFUNCTION("""COMPUTED_VALUE"""),0.0)</f>
        <v>0</v>
      </c>
      <c r="S9" s="130">
        <f>IFERROR(__xludf.DUMMYFUNCTION("""COMPUTED_VALUE"""),0.0)</f>
        <v>0</v>
      </c>
      <c r="T9" s="130">
        <f>IFERROR(__xludf.DUMMYFUNCTION("""COMPUTED_VALUE"""),0.0)</f>
        <v>0</v>
      </c>
      <c r="U9" s="130">
        <f>IFERROR(__xludf.DUMMYFUNCTION("""COMPUTED_VALUE"""),0.0)</f>
        <v>0</v>
      </c>
      <c r="V9" s="131">
        <f>IFERROR(__xludf.DUMMYFUNCTION("""COMPUTED_VALUE"""),0.0)</f>
        <v>0</v>
      </c>
      <c r="W9" s="131" t="str">
        <f>IFERROR(__xludf.DUMMYFUNCTION("""COMPUTED_VALUE"""),"Yes")</f>
        <v>Yes</v>
      </c>
      <c r="X9" s="131" t="str">
        <f>IFERROR(__xludf.DUMMYFUNCTION("""COMPUTED_VALUE"""),"Yes")</f>
        <v>Yes</v>
      </c>
      <c r="Y9" s="131" t="str">
        <f>IFERROR(__xludf.DUMMYFUNCTION("""COMPUTED_VALUE"""),"S")</f>
        <v>S</v>
      </c>
      <c r="Z9" s="131"/>
      <c r="AA9" s="131"/>
      <c r="AB9" s="131"/>
      <c r="AC9" s="131"/>
      <c r="AD9" s="131"/>
      <c r="AE9" s="131"/>
      <c r="AF9" s="131"/>
      <c r="AG9" s="131"/>
      <c r="AH9" s="131"/>
      <c r="AI9" s="131"/>
      <c r="AJ9" s="131"/>
    </row>
    <row r="10">
      <c r="A10" s="126">
        <f>IFERROR(__xludf.DUMMYFUNCTION("""COMPUTED_VALUE"""),32.0)</f>
        <v>32</v>
      </c>
      <c r="B10" s="126" t="str">
        <f>IFERROR(__xludf.DUMMYFUNCTION("""COMPUTED_VALUE"""),"Energy efficient resource selection and allocation strategy for virtual machine consolidation in cloud datacenters")</f>
        <v>Energy efficient resource selection and allocation strategy for virtual machine consolidation in cloud datacenters</v>
      </c>
      <c r="C10" s="127" t="str">
        <f>IFERROR(__xludf.DUMMYFUNCTION("""COMPUTED_VALUE"""),"https://search.ieice.org/bin/summary.php?id=e101-d_7_1816")</f>
        <v>https://search.ieice.org/bin/summary.php?id=e101-d_7_1816</v>
      </c>
      <c r="D10" s="126" t="str">
        <f>IFERROR(__xludf.DUMMYFUNCTION("""COMPUTED_VALUE"""),"Y Chang, C Gu, F Luo, G Fan, W Fu")</f>
        <v>Y Chang, C Gu, F Luo, G Fan, W Fu</v>
      </c>
      <c r="E10" s="126" t="str">
        <f>IFERROR(__xludf.DUMMYFUNCTION("""COMPUTED_VALUE"""),"The Institute of Electronics, Information and Communication Engineers")</f>
        <v>The Institute of Electronics, Information and Communication Engineers</v>
      </c>
      <c r="F10" s="126" t="str">
        <f>IFERROR(__xludf.DUMMYFUNCTION("""COMPUTED_VALUE"""),"IEICE")</f>
        <v>IEICE</v>
      </c>
      <c r="G10" s="126" t="str">
        <f>IFERROR(__xludf.DUMMYFUNCTION("""COMPUTED_VALUE"""),"J")</f>
        <v>J</v>
      </c>
      <c r="H10" s="129">
        <f>IFERROR(__xludf.DUMMYFUNCTION("""COMPUTED_VALUE"""),2018.0)</f>
        <v>2018</v>
      </c>
      <c r="I10" s="129">
        <f>IFERROR(__xludf.DUMMYFUNCTION("""COMPUTED_VALUE"""),1.0)</f>
        <v>1</v>
      </c>
      <c r="J10" s="129">
        <f>IFERROR(__xludf.DUMMYFUNCTION("""COMPUTED_VALUE"""),1.0)</f>
        <v>1</v>
      </c>
      <c r="K10" s="129">
        <f>IFERROR(__xludf.DUMMYFUNCTION("""COMPUTED_VALUE"""),1.0)</f>
        <v>1</v>
      </c>
      <c r="L10" s="129">
        <f>IFERROR(__xludf.DUMMYFUNCTION("""COMPUTED_VALUE"""),1.0)</f>
        <v>1</v>
      </c>
      <c r="M10" s="129">
        <f>IFERROR(__xludf.DUMMYFUNCTION("""COMPUTED_VALUE"""),1.0)</f>
        <v>1</v>
      </c>
      <c r="N10" s="129">
        <f>IFERROR(__xludf.DUMMYFUNCTION("""COMPUTED_VALUE"""),0.0)</f>
        <v>0</v>
      </c>
      <c r="O10" s="129">
        <f>IFERROR(__xludf.DUMMYFUNCTION("""COMPUTED_VALUE"""),0.0)</f>
        <v>0</v>
      </c>
      <c r="P10" s="129">
        <f>IFERROR(__xludf.DUMMYFUNCTION("""COMPUTED_VALUE"""),0.0)</f>
        <v>0</v>
      </c>
      <c r="Q10" s="129">
        <f>IFERROR(__xludf.DUMMYFUNCTION("""COMPUTED_VALUE"""),0.0)</f>
        <v>0</v>
      </c>
      <c r="R10" s="129">
        <f>IFERROR(__xludf.DUMMYFUNCTION("""COMPUTED_VALUE"""),0.0)</f>
        <v>0</v>
      </c>
      <c r="S10" s="129">
        <f>IFERROR(__xludf.DUMMYFUNCTION("""COMPUTED_VALUE"""),0.0)</f>
        <v>0</v>
      </c>
      <c r="T10" s="129">
        <f>IFERROR(__xludf.DUMMYFUNCTION("""COMPUTED_VALUE"""),0.0)</f>
        <v>0</v>
      </c>
      <c r="U10" s="129">
        <f>IFERROR(__xludf.DUMMYFUNCTION("""COMPUTED_VALUE"""),0.0)</f>
        <v>0</v>
      </c>
      <c r="V10" s="126">
        <f>IFERROR(__xludf.DUMMYFUNCTION("""COMPUTED_VALUE"""),0.0)</f>
        <v>0</v>
      </c>
      <c r="W10" s="126" t="str">
        <f>IFERROR(__xludf.DUMMYFUNCTION("""COMPUTED_VALUE"""),"Yes")</f>
        <v>Yes</v>
      </c>
      <c r="X10" s="126" t="str">
        <f>IFERROR(__xludf.DUMMYFUNCTION("""COMPUTED_VALUE"""),"Yes")</f>
        <v>Yes</v>
      </c>
      <c r="Y10" s="126" t="str">
        <f>IFERROR(__xludf.DUMMYFUNCTION("""COMPUTED_VALUE"""),"S")</f>
        <v>S</v>
      </c>
      <c r="Z10" s="126"/>
      <c r="AA10" s="126"/>
      <c r="AB10" s="126"/>
      <c r="AC10" s="126"/>
      <c r="AD10" s="126"/>
      <c r="AE10" s="126"/>
      <c r="AF10" s="126"/>
      <c r="AG10" s="126"/>
      <c r="AH10" s="126"/>
      <c r="AI10" s="126"/>
      <c r="AJ10" s="126"/>
    </row>
    <row r="11">
      <c r="A11" s="126">
        <f>IFERROR(__xludf.DUMMYFUNCTION("""COMPUTED_VALUE"""),33.0)</f>
        <v>33</v>
      </c>
      <c r="B11" s="126" t="str">
        <f>IFERROR(__xludf.DUMMYFUNCTION("""COMPUTED_VALUE"""),"Energy-efficient task scheduling for data centers with unstable renewable energy: A robust optimization approach")</f>
        <v>Energy-efficient task scheduling for data centers with unstable renewable energy: A robust optimization approach</v>
      </c>
      <c r="C11" s="127" t="str">
        <f>IFERROR(__xludf.DUMMYFUNCTION("""COMPUTED_VALUE"""),"https://ieeexplore.ieee.org/abstract/document/8726577/")</f>
        <v>https://ieeexplore.ieee.org/abstract/document/8726577/</v>
      </c>
      <c r="D11" s="126" t="str">
        <f>IFERROR(__xludf.DUMMYFUNCTION("""COMPUTED_VALUE"""),"Y Lu, R Wang, P Wang, Y Cao, J Hao, K Zhu")</f>
        <v>Y Lu, R Wang, P Wang, Y Cao, J Hao, K Zhu</v>
      </c>
      <c r="E11" s="126" t="str">
        <f>IFERROR(__xludf.DUMMYFUNCTION("""COMPUTED_VALUE"""),"Institute of Electrical and Electronics Engineers")</f>
        <v>Institute of Electrical and Electronics Engineers</v>
      </c>
      <c r="F11" s="126" t="str">
        <f>IFERROR(__xludf.DUMMYFUNCTION("""COMPUTED_VALUE"""),"IEEE Xplore")</f>
        <v>IEEE Xplore</v>
      </c>
      <c r="G11" s="128" t="str">
        <f>IFERROR(__xludf.DUMMYFUNCTION("""COMPUTED_VALUE"""),"C")</f>
        <v>C</v>
      </c>
      <c r="H11" s="129">
        <f>IFERROR(__xludf.DUMMYFUNCTION("""COMPUTED_VALUE"""),2018.0)</f>
        <v>2018</v>
      </c>
      <c r="I11" s="130">
        <f>IFERROR(__xludf.DUMMYFUNCTION("""COMPUTED_VALUE"""),1.0)</f>
        <v>1</v>
      </c>
      <c r="J11" s="129">
        <f>IFERROR(__xludf.DUMMYFUNCTION("""COMPUTED_VALUE"""),1.0)</f>
        <v>1</v>
      </c>
      <c r="K11" s="130">
        <f>IFERROR(__xludf.DUMMYFUNCTION("""COMPUTED_VALUE"""),1.0)</f>
        <v>1</v>
      </c>
      <c r="L11" s="129">
        <f>IFERROR(__xludf.DUMMYFUNCTION("""COMPUTED_VALUE"""),1.0)</f>
        <v>1</v>
      </c>
      <c r="M11" s="130">
        <f>IFERROR(__xludf.DUMMYFUNCTION("""COMPUTED_VALUE"""),1.0)</f>
        <v>1</v>
      </c>
      <c r="N11" s="130">
        <f>IFERROR(__xludf.DUMMYFUNCTION("""COMPUTED_VALUE"""),0.0)</f>
        <v>0</v>
      </c>
      <c r="O11" s="130">
        <f>IFERROR(__xludf.DUMMYFUNCTION("""COMPUTED_VALUE"""),0.0)</f>
        <v>0</v>
      </c>
      <c r="P11" s="130">
        <f>IFERROR(__xludf.DUMMYFUNCTION("""COMPUTED_VALUE"""),0.0)</f>
        <v>0</v>
      </c>
      <c r="Q11" s="130">
        <f>IFERROR(__xludf.DUMMYFUNCTION("""COMPUTED_VALUE"""),0.0)</f>
        <v>0</v>
      </c>
      <c r="R11" s="130">
        <f>IFERROR(__xludf.DUMMYFUNCTION("""COMPUTED_VALUE"""),0.0)</f>
        <v>0</v>
      </c>
      <c r="S11" s="130">
        <f>IFERROR(__xludf.DUMMYFUNCTION("""COMPUTED_VALUE"""),0.0)</f>
        <v>0</v>
      </c>
      <c r="T11" s="130">
        <f>IFERROR(__xludf.DUMMYFUNCTION("""COMPUTED_VALUE"""),0.0)</f>
        <v>0</v>
      </c>
      <c r="U11" s="130">
        <f>IFERROR(__xludf.DUMMYFUNCTION("""COMPUTED_VALUE"""),0.0)</f>
        <v>0</v>
      </c>
      <c r="V11" s="131">
        <f>IFERROR(__xludf.DUMMYFUNCTION("""COMPUTED_VALUE"""),0.0)</f>
        <v>0</v>
      </c>
      <c r="W11" s="131" t="str">
        <f>IFERROR(__xludf.DUMMYFUNCTION("""COMPUTED_VALUE"""),"Yes")</f>
        <v>Yes</v>
      </c>
      <c r="X11" s="131" t="str">
        <f>IFERROR(__xludf.DUMMYFUNCTION("""COMPUTED_VALUE"""),"Yes")</f>
        <v>Yes</v>
      </c>
      <c r="Y11" s="131" t="str">
        <f>IFERROR(__xludf.DUMMYFUNCTION("""COMPUTED_VALUE"""),"S")</f>
        <v>S</v>
      </c>
      <c r="Z11" s="131"/>
      <c r="AA11" s="131"/>
      <c r="AB11" s="131"/>
      <c r="AC11" s="131"/>
      <c r="AD11" s="131"/>
      <c r="AE11" s="131"/>
      <c r="AF11" s="131"/>
      <c r="AG11" s="131"/>
      <c r="AH11" s="131"/>
      <c r="AI11" s="131"/>
      <c r="AJ11" s="131"/>
    </row>
    <row r="12">
      <c r="A12" s="126">
        <f>IFERROR(__xludf.DUMMYFUNCTION("""COMPUTED_VALUE"""),34.0)</f>
        <v>34</v>
      </c>
      <c r="B12" s="126" t="str">
        <f>IFERROR(__xludf.DUMMYFUNCTION("""COMPUTED_VALUE"""),"Variable neighborhood search-based symbiotic organisms search algorithm for energy-efficient scheduling of virtual machine in cloud data center")</f>
        <v>Variable neighborhood search-based symbiotic organisms search algorithm for energy-efficient scheduling of virtual machine in cloud data center</v>
      </c>
      <c r="C12" s="127" t="str">
        <f>IFERROR(__xludf.DUMMYFUNCTION("""COMPUTED_VALUE"""),"https://link.springer.com/chapter/10.1007/978-3-319-69889-2_5")</f>
        <v>https://link.springer.com/chapter/10.1007/978-3-319-69889-2_5</v>
      </c>
      <c r="D12" s="126" t="str">
        <f>IFERROR(__xludf.DUMMYFUNCTION("""COMPUTED_VALUE"""),"M Abdullahi, SI Dishing, MJ Usman")</f>
        <v>M Abdullahi, SI Dishing, MJ Usman</v>
      </c>
      <c r="E12" s="126" t="str">
        <f>IFERROR(__xludf.DUMMYFUNCTION("""COMPUTED_VALUE"""),"Springer")</f>
        <v>Springer</v>
      </c>
      <c r="F12" s="126" t="str">
        <f>IFERROR(__xludf.DUMMYFUNCTION("""COMPUTED_VALUE"""),"Springer")</f>
        <v>Springer</v>
      </c>
      <c r="G12" s="126" t="str">
        <f>IFERROR(__xludf.DUMMYFUNCTION("""COMPUTED_VALUE"""),"J")</f>
        <v>J</v>
      </c>
      <c r="H12" s="129">
        <f>IFERROR(__xludf.DUMMYFUNCTION("""COMPUTED_VALUE"""),2019.0)</f>
        <v>2019</v>
      </c>
      <c r="I12" s="129">
        <f>IFERROR(__xludf.DUMMYFUNCTION("""COMPUTED_VALUE"""),1.0)</f>
        <v>1</v>
      </c>
      <c r="J12" s="129">
        <f>IFERROR(__xludf.DUMMYFUNCTION("""COMPUTED_VALUE"""),1.0)</f>
        <v>1</v>
      </c>
      <c r="K12" s="129">
        <f>IFERROR(__xludf.DUMMYFUNCTION("""COMPUTED_VALUE"""),1.0)</f>
        <v>1</v>
      </c>
      <c r="L12" s="129">
        <f>IFERROR(__xludf.DUMMYFUNCTION("""COMPUTED_VALUE"""),1.0)</f>
        <v>1</v>
      </c>
      <c r="M12" s="129">
        <f>IFERROR(__xludf.DUMMYFUNCTION("""COMPUTED_VALUE"""),1.0)</f>
        <v>1</v>
      </c>
      <c r="N12" s="129">
        <f>IFERROR(__xludf.DUMMYFUNCTION("""COMPUTED_VALUE"""),0.0)</f>
        <v>0</v>
      </c>
      <c r="O12" s="129">
        <f>IFERROR(__xludf.DUMMYFUNCTION("""COMPUTED_VALUE"""),0.0)</f>
        <v>0</v>
      </c>
      <c r="P12" s="129">
        <f>IFERROR(__xludf.DUMMYFUNCTION("""COMPUTED_VALUE"""),0.0)</f>
        <v>0</v>
      </c>
      <c r="Q12" s="129">
        <f>IFERROR(__xludf.DUMMYFUNCTION("""COMPUTED_VALUE"""),0.0)</f>
        <v>0</v>
      </c>
      <c r="R12" s="129">
        <f>IFERROR(__xludf.DUMMYFUNCTION("""COMPUTED_VALUE"""),0.0)</f>
        <v>0</v>
      </c>
      <c r="S12" s="129">
        <f>IFERROR(__xludf.DUMMYFUNCTION("""COMPUTED_VALUE"""),0.0)</f>
        <v>0</v>
      </c>
      <c r="T12" s="129">
        <f>IFERROR(__xludf.DUMMYFUNCTION("""COMPUTED_VALUE"""),0.0)</f>
        <v>0</v>
      </c>
      <c r="U12" s="129">
        <f>IFERROR(__xludf.DUMMYFUNCTION("""COMPUTED_VALUE"""),0.0)</f>
        <v>0</v>
      </c>
      <c r="V12" s="126">
        <f>IFERROR(__xludf.DUMMYFUNCTION("""COMPUTED_VALUE"""),0.0)</f>
        <v>0</v>
      </c>
      <c r="W12" s="126" t="str">
        <f>IFERROR(__xludf.DUMMYFUNCTION("""COMPUTED_VALUE"""),"Yes")</f>
        <v>Yes</v>
      </c>
      <c r="X12" s="126" t="str">
        <f>IFERROR(__xludf.DUMMYFUNCTION("""COMPUTED_VALUE"""),"Yes")</f>
        <v>Yes</v>
      </c>
      <c r="Y12" s="126" t="str">
        <f>IFERROR(__xludf.DUMMYFUNCTION("""COMPUTED_VALUE"""),"S")</f>
        <v>S</v>
      </c>
      <c r="Z12" s="126"/>
      <c r="AA12" s="126"/>
      <c r="AB12" s="126"/>
      <c r="AC12" s="126"/>
      <c r="AD12" s="126"/>
      <c r="AE12" s="126"/>
      <c r="AF12" s="126"/>
      <c r="AG12" s="126"/>
      <c r="AH12" s="126"/>
      <c r="AI12" s="126"/>
      <c r="AJ12" s="126"/>
    </row>
    <row r="13">
      <c r="A13" s="126">
        <f>IFERROR(__xludf.DUMMYFUNCTION("""COMPUTED_VALUE"""),38.0)</f>
        <v>38</v>
      </c>
      <c r="B13" s="126" t="str">
        <f>IFERROR(__xludf.DUMMYFUNCTION("""COMPUTED_VALUE"""),"Optimized Renewable Energy Use in Green Cloud Data Centers")</f>
        <v>Optimized Renewable Energy Use in Green Cloud Data Centers</v>
      </c>
      <c r="C13" s="127" t="str">
        <f>IFERROR(__xludf.DUMMYFUNCTION("""COMPUTED_VALUE"""),"https://link.springer.com/chapter/10.1007/978-3-030-33702-5_24")</f>
        <v>https://link.springer.com/chapter/10.1007/978-3-030-33702-5_24</v>
      </c>
      <c r="D13" s="126" t="str">
        <f>IFERROR(__xludf.DUMMYFUNCTION("""COMPUTED_VALUE"""),"M Xu, AN Toosi, B Bahrani, R Razzaghi, M Singh")</f>
        <v>M Xu, AN Toosi, B Bahrani, R Razzaghi, M Singh</v>
      </c>
      <c r="E13" s="126" t="str">
        <f>IFERROR(__xludf.DUMMYFUNCTION("""COMPUTED_VALUE"""),"Springer")</f>
        <v>Springer</v>
      </c>
      <c r="F13" s="126" t="str">
        <f>IFERROR(__xludf.DUMMYFUNCTION("""COMPUTED_VALUE"""),"Springer")</f>
        <v>Springer</v>
      </c>
      <c r="G13" s="132" t="str">
        <f>IFERROR(__xludf.DUMMYFUNCTION("""COMPUTED_VALUE"""),"C")</f>
        <v>C</v>
      </c>
      <c r="H13" s="129">
        <f>IFERROR(__xludf.DUMMYFUNCTION("""COMPUTED_VALUE"""),2019.0)</f>
        <v>2019</v>
      </c>
      <c r="I13" s="129">
        <f>IFERROR(__xludf.DUMMYFUNCTION("""COMPUTED_VALUE"""),1.0)</f>
        <v>1</v>
      </c>
      <c r="J13" s="129">
        <f>IFERROR(__xludf.DUMMYFUNCTION("""COMPUTED_VALUE"""),1.0)</f>
        <v>1</v>
      </c>
      <c r="K13" s="130">
        <f>IFERROR(__xludf.DUMMYFUNCTION("""COMPUTED_VALUE"""),1.0)</f>
        <v>1</v>
      </c>
      <c r="L13" s="130">
        <f>IFERROR(__xludf.DUMMYFUNCTION("""COMPUTED_VALUE"""),1.0)</f>
        <v>1</v>
      </c>
      <c r="M13" s="130">
        <f>IFERROR(__xludf.DUMMYFUNCTION("""COMPUTED_VALUE"""),1.0)</f>
        <v>1</v>
      </c>
      <c r="N13" s="130">
        <f>IFERROR(__xludf.DUMMYFUNCTION("""COMPUTED_VALUE"""),0.0)</f>
        <v>0</v>
      </c>
      <c r="O13" s="130">
        <f>IFERROR(__xludf.DUMMYFUNCTION("""COMPUTED_VALUE"""),0.0)</f>
        <v>0</v>
      </c>
      <c r="P13" s="129">
        <f>IFERROR(__xludf.DUMMYFUNCTION("""COMPUTED_VALUE"""),0.0)</f>
        <v>0</v>
      </c>
      <c r="Q13" s="129">
        <f>IFERROR(__xludf.DUMMYFUNCTION("""COMPUTED_VALUE"""),0.0)</f>
        <v>0</v>
      </c>
      <c r="R13" s="129">
        <f>IFERROR(__xludf.DUMMYFUNCTION("""COMPUTED_VALUE"""),0.0)</f>
        <v>0</v>
      </c>
      <c r="S13" s="129">
        <f>IFERROR(__xludf.DUMMYFUNCTION("""COMPUTED_VALUE"""),0.0)</f>
        <v>0</v>
      </c>
      <c r="T13" s="129">
        <f>IFERROR(__xludf.DUMMYFUNCTION("""COMPUTED_VALUE"""),0.0)</f>
        <v>0</v>
      </c>
      <c r="U13" s="129">
        <f>IFERROR(__xludf.DUMMYFUNCTION("""COMPUTED_VALUE"""),0.0)</f>
        <v>0</v>
      </c>
      <c r="V13" s="126">
        <f>IFERROR(__xludf.DUMMYFUNCTION("""COMPUTED_VALUE"""),0.0)</f>
        <v>0</v>
      </c>
      <c r="W13" s="126" t="str">
        <f>IFERROR(__xludf.DUMMYFUNCTION("""COMPUTED_VALUE"""),"Yes")</f>
        <v>Yes</v>
      </c>
      <c r="X13" s="126" t="str">
        <f>IFERROR(__xludf.DUMMYFUNCTION("""COMPUTED_VALUE"""),"Yes")</f>
        <v>Yes</v>
      </c>
      <c r="Y13" s="126" t="str">
        <f>IFERROR(__xludf.DUMMYFUNCTION("""COMPUTED_VALUE"""),"S")</f>
        <v>S</v>
      </c>
      <c r="Z13" s="126"/>
      <c r="AA13" s="126"/>
      <c r="AB13" s="126"/>
      <c r="AC13" s="126"/>
      <c r="AD13" s="126"/>
      <c r="AE13" s="126"/>
      <c r="AF13" s="126"/>
      <c r="AG13" s="126"/>
      <c r="AH13" s="126"/>
      <c r="AI13" s="126"/>
      <c r="AJ13" s="126"/>
    </row>
    <row r="14">
      <c r="A14" s="126">
        <f>IFERROR(__xludf.DUMMYFUNCTION("""COMPUTED_VALUE"""),40.0)</f>
        <v>40</v>
      </c>
      <c r="B14" s="126" t="str">
        <f>IFERROR(__xludf.DUMMYFUNCTION("""COMPUTED_VALUE"""),"An Energy-aware Routing Mechanism based on MBOA for Data Center Network")</f>
        <v>An Energy-aware Routing Mechanism based on MBOA for Data Center Network</v>
      </c>
      <c r="C14" s="127" t="str">
        <f>IFERROR(__xludf.DUMMYFUNCTION("""COMPUTED_VALUE"""),"https://ieeexplore.ieee.org/abstract/document/8836768/")</f>
        <v>https://ieeexplore.ieee.org/abstract/document/8836768/</v>
      </c>
      <c r="D14" s="126" t="str">
        <f>IFERROR(__xludf.DUMMYFUNCTION("""COMPUTED_VALUE"""),"Z Jianzhe, S Qingyu, L Guangwei")</f>
        <v>Z Jianzhe, S Qingyu, L Guangwei</v>
      </c>
      <c r="E14" s="126" t="str">
        <f>IFERROR(__xludf.DUMMYFUNCTION("""COMPUTED_VALUE"""),"Institute of Electrical and Electronics Engineers")</f>
        <v>Institute of Electrical and Electronics Engineers</v>
      </c>
      <c r="F14" s="126" t="str">
        <f>IFERROR(__xludf.DUMMYFUNCTION("""COMPUTED_VALUE"""),"IEEE Xplore")</f>
        <v>IEEE Xplore</v>
      </c>
      <c r="G14" s="128" t="str">
        <f>IFERROR(__xludf.DUMMYFUNCTION("""COMPUTED_VALUE"""),"C")</f>
        <v>C</v>
      </c>
      <c r="H14" s="129">
        <f>IFERROR(__xludf.DUMMYFUNCTION("""COMPUTED_VALUE"""),2019.0)</f>
        <v>2019</v>
      </c>
      <c r="I14" s="129">
        <f>IFERROR(__xludf.DUMMYFUNCTION("""COMPUTED_VALUE"""),1.0)</f>
        <v>1</v>
      </c>
      <c r="J14" s="129">
        <f>IFERROR(__xludf.DUMMYFUNCTION("""COMPUTED_VALUE"""),1.0)</f>
        <v>1</v>
      </c>
      <c r="K14" s="130">
        <f>IFERROR(__xludf.DUMMYFUNCTION("""COMPUTED_VALUE"""),1.0)</f>
        <v>1</v>
      </c>
      <c r="L14" s="130">
        <f>IFERROR(__xludf.DUMMYFUNCTION("""COMPUTED_VALUE"""),1.0)</f>
        <v>1</v>
      </c>
      <c r="M14" s="130">
        <f>IFERROR(__xludf.DUMMYFUNCTION("""COMPUTED_VALUE"""),1.0)</f>
        <v>1</v>
      </c>
      <c r="N14" s="130">
        <f>IFERROR(__xludf.DUMMYFUNCTION("""COMPUTED_VALUE"""),0.0)</f>
        <v>0</v>
      </c>
      <c r="O14" s="130">
        <f>IFERROR(__xludf.DUMMYFUNCTION("""COMPUTED_VALUE"""),0.0)</f>
        <v>0</v>
      </c>
      <c r="P14" s="129">
        <f>IFERROR(__xludf.DUMMYFUNCTION("""COMPUTED_VALUE"""),0.0)</f>
        <v>0</v>
      </c>
      <c r="Q14" s="129">
        <f>IFERROR(__xludf.DUMMYFUNCTION("""COMPUTED_VALUE"""),0.0)</f>
        <v>0</v>
      </c>
      <c r="R14" s="129">
        <f>IFERROR(__xludf.DUMMYFUNCTION("""COMPUTED_VALUE"""),0.0)</f>
        <v>0</v>
      </c>
      <c r="S14" s="129">
        <f>IFERROR(__xludf.DUMMYFUNCTION("""COMPUTED_VALUE"""),0.0)</f>
        <v>0</v>
      </c>
      <c r="T14" s="129">
        <f>IFERROR(__xludf.DUMMYFUNCTION("""COMPUTED_VALUE"""),0.0)</f>
        <v>0</v>
      </c>
      <c r="U14" s="129">
        <f>IFERROR(__xludf.DUMMYFUNCTION("""COMPUTED_VALUE"""),0.0)</f>
        <v>0</v>
      </c>
      <c r="V14" s="126">
        <f>IFERROR(__xludf.DUMMYFUNCTION("""COMPUTED_VALUE"""),0.0)</f>
        <v>0</v>
      </c>
      <c r="W14" s="126" t="str">
        <f>IFERROR(__xludf.DUMMYFUNCTION("""COMPUTED_VALUE"""),"Yes")</f>
        <v>Yes</v>
      </c>
      <c r="X14" s="126" t="str">
        <f>IFERROR(__xludf.DUMMYFUNCTION("""COMPUTED_VALUE"""),"Yes")</f>
        <v>Yes</v>
      </c>
      <c r="Y14" s="126" t="str">
        <f>IFERROR(__xludf.DUMMYFUNCTION("""COMPUTED_VALUE"""),"S")</f>
        <v>S</v>
      </c>
      <c r="Z14" s="126"/>
      <c r="AA14" s="126"/>
      <c r="AB14" s="126"/>
      <c r="AC14" s="126"/>
      <c r="AD14" s="126"/>
      <c r="AE14" s="126"/>
      <c r="AF14" s="126"/>
      <c r="AG14" s="126"/>
      <c r="AH14" s="126"/>
      <c r="AI14" s="126"/>
      <c r="AJ14" s="126"/>
    </row>
    <row r="15">
      <c r="A15" s="126">
        <f>IFERROR(__xludf.DUMMYFUNCTION("""COMPUTED_VALUE"""),44.0)</f>
        <v>44</v>
      </c>
      <c r="B15" s="126" t="str">
        <f>IFERROR(__xludf.DUMMYFUNCTION("""COMPUTED_VALUE"""),"An Energy-Efficient VM migrations optimization in Cloud Data Centers")</f>
        <v>An Energy-Efficient VM migrations optimization in Cloud Data Centers</v>
      </c>
      <c r="C15" s="127" t="str">
        <f>IFERROR(__xludf.DUMMYFUNCTION("""COMPUTED_VALUE"""),"https://ieeexplore.ieee.org/abstract/document/9133776/")</f>
        <v>https://ieeexplore.ieee.org/abstract/document/9133776/</v>
      </c>
      <c r="D15" s="126" t="str">
        <f>IFERROR(__xludf.DUMMYFUNCTION("""COMPUTED_VALUE"""),"C Thiam, F Thiam")</f>
        <v>C Thiam, F Thiam</v>
      </c>
      <c r="E15" s="126" t="str">
        <f>IFERROR(__xludf.DUMMYFUNCTION("""COMPUTED_VALUE"""),"Institute of Electrical and Electronics Engineers")</f>
        <v>Institute of Electrical and Electronics Engineers</v>
      </c>
      <c r="F15" s="126" t="str">
        <f>IFERROR(__xludf.DUMMYFUNCTION("""COMPUTED_VALUE"""),"IEEE Xplore")</f>
        <v>IEEE Xplore</v>
      </c>
      <c r="G15" s="126" t="str">
        <f>IFERROR(__xludf.DUMMYFUNCTION("""COMPUTED_VALUE"""),"C")</f>
        <v>C</v>
      </c>
      <c r="H15" s="129">
        <f>IFERROR(__xludf.DUMMYFUNCTION("""COMPUTED_VALUE"""),2019.0)</f>
        <v>2019</v>
      </c>
      <c r="I15" s="129">
        <f>IFERROR(__xludf.DUMMYFUNCTION("""COMPUTED_VALUE"""),1.0)</f>
        <v>1</v>
      </c>
      <c r="J15" s="129">
        <f>IFERROR(__xludf.DUMMYFUNCTION("""COMPUTED_VALUE"""),1.0)</f>
        <v>1</v>
      </c>
      <c r="K15" s="129">
        <f>IFERROR(__xludf.DUMMYFUNCTION("""COMPUTED_VALUE"""),1.0)</f>
        <v>1</v>
      </c>
      <c r="L15" s="129">
        <f>IFERROR(__xludf.DUMMYFUNCTION("""COMPUTED_VALUE"""),1.0)</f>
        <v>1</v>
      </c>
      <c r="M15" s="129">
        <f>IFERROR(__xludf.DUMMYFUNCTION("""COMPUTED_VALUE"""),1.0)</f>
        <v>1</v>
      </c>
      <c r="N15" s="129">
        <f>IFERROR(__xludf.DUMMYFUNCTION("""COMPUTED_VALUE"""),0.0)</f>
        <v>0</v>
      </c>
      <c r="O15" s="129">
        <f>IFERROR(__xludf.DUMMYFUNCTION("""COMPUTED_VALUE"""),0.0)</f>
        <v>0</v>
      </c>
      <c r="P15" s="129">
        <f>IFERROR(__xludf.DUMMYFUNCTION("""COMPUTED_VALUE"""),0.0)</f>
        <v>0</v>
      </c>
      <c r="Q15" s="129">
        <f>IFERROR(__xludf.DUMMYFUNCTION("""COMPUTED_VALUE"""),0.0)</f>
        <v>0</v>
      </c>
      <c r="R15" s="129">
        <f>IFERROR(__xludf.DUMMYFUNCTION("""COMPUTED_VALUE"""),0.0)</f>
        <v>0</v>
      </c>
      <c r="S15" s="129">
        <f>IFERROR(__xludf.DUMMYFUNCTION("""COMPUTED_VALUE"""),0.0)</f>
        <v>0</v>
      </c>
      <c r="T15" s="129">
        <f>IFERROR(__xludf.DUMMYFUNCTION("""COMPUTED_VALUE"""),0.0)</f>
        <v>0</v>
      </c>
      <c r="U15" s="129">
        <f>IFERROR(__xludf.DUMMYFUNCTION("""COMPUTED_VALUE"""),0.0)</f>
        <v>0</v>
      </c>
      <c r="V15" s="126">
        <f>IFERROR(__xludf.DUMMYFUNCTION("""COMPUTED_VALUE"""),0.0)</f>
        <v>0</v>
      </c>
      <c r="W15" s="126" t="str">
        <f>IFERROR(__xludf.DUMMYFUNCTION("""COMPUTED_VALUE"""),"Yes")</f>
        <v>Yes</v>
      </c>
      <c r="X15" s="126" t="str">
        <f>IFERROR(__xludf.DUMMYFUNCTION("""COMPUTED_VALUE"""),"Yes")</f>
        <v>Yes</v>
      </c>
      <c r="Y15" s="126" t="str">
        <f>IFERROR(__xludf.DUMMYFUNCTION("""COMPUTED_VALUE"""),"S")</f>
        <v>S</v>
      </c>
      <c r="Z15" s="126"/>
      <c r="AA15" s="126"/>
      <c r="AB15" s="126"/>
      <c r="AC15" s="126"/>
      <c r="AD15" s="126"/>
      <c r="AE15" s="126"/>
      <c r="AF15" s="126"/>
      <c r="AG15" s="126"/>
      <c r="AH15" s="126"/>
      <c r="AI15" s="126"/>
      <c r="AJ15" s="126"/>
    </row>
    <row r="16">
      <c r="A16" s="126">
        <f>IFERROR(__xludf.DUMMYFUNCTION("""COMPUTED_VALUE"""),49.0)</f>
        <v>49</v>
      </c>
      <c r="B16" s="126" t="str">
        <f>IFERROR(__xludf.DUMMYFUNCTION("""COMPUTED_VALUE"""),"Jointly optimizing the IT and cooling systems for data center energy efficiency based on multi-agent deep reinforcement learning")</f>
        <v>Jointly optimizing the IT and cooling systems for data center energy efficiency based on multi-agent deep reinforcement learning</v>
      </c>
      <c r="C16" s="127" t="str">
        <f>IFERROR(__xludf.DUMMYFUNCTION("""COMPUTED_VALUE"""),"https://dl.acm.org/doi/abs/10.1145/3396851.3402658")</f>
        <v>https://dl.acm.org/doi/abs/10.1145/3396851.3402658</v>
      </c>
      <c r="D16" s="126" t="str">
        <f>IFERROR(__xludf.DUMMYFUNCTION("""COMPUTED_VALUE"""),"C Chi, K Ji, A Marahatta, P Song, F Zhang…")</f>
        <v>C Chi, K Ji, A Marahatta, P Song, F Zhang…</v>
      </c>
      <c r="E16" s="126" t="str">
        <f>IFERROR(__xludf.DUMMYFUNCTION("""COMPUTED_VALUE"""),"Association for Computing Machinery")</f>
        <v>Association for Computing Machinery</v>
      </c>
      <c r="F16" s="126" t="str">
        <f>IFERROR(__xludf.DUMMYFUNCTION("""COMPUTED_VALUE"""),"ACM")</f>
        <v>ACM</v>
      </c>
      <c r="G16" s="128" t="str">
        <f>IFERROR(__xludf.DUMMYFUNCTION("""COMPUTED_VALUE"""),"C")</f>
        <v>C</v>
      </c>
      <c r="H16" s="130">
        <f>IFERROR(__xludf.DUMMYFUNCTION("""COMPUTED_VALUE"""),2020.0)</f>
        <v>2020</v>
      </c>
      <c r="I16" s="130">
        <f>IFERROR(__xludf.DUMMYFUNCTION("""COMPUTED_VALUE"""),1.0)</f>
        <v>1</v>
      </c>
      <c r="J16" s="130">
        <f>IFERROR(__xludf.DUMMYFUNCTION("""COMPUTED_VALUE"""),1.0)</f>
        <v>1</v>
      </c>
      <c r="K16" s="130">
        <f>IFERROR(__xludf.DUMMYFUNCTION("""COMPUTED_VALUE"""),1.0)</f>
        <v>1</v>
      </c>
      <c r="L16" s="129">
        <f>IFERROR(__xludf.DUMMYFUNCTION("""COMPUTED_VALUE"""),1.0)</f>
        <v>1</v>
      </c>
      <c r="M16" s="130">
        <f>IFERROR(__xludf.DUMMYFUNCTION("""COMPUTED_VALUE"""),1.0)</f>
        <v>1</v>
      </c>
      <c r="N16" s="130">
        <f>IFERROR(__xludf.DUMMYFUNCTION("""COMPUTED_VALUE"""),0.0)</f>
        <v>0</v>
      </c>
      <c r="O16" s="130">
        <f>IFERROR(__xludf.DUMMYFUNCTION("""COMPUTED_VALUE"""),0.0)</f>
        <v>0</v>
      </c>
      <c r="P16" s="130">
        <f>IFERROR(__xludf.DUMMYFUNCTION("""COMPUTED_VALUE"""),0.0)</f>
        <v>0</v>
      </c>
      <c r="Q16" s="130">
        <f>IFERROR(__xludf.DUMMYFUNCTION("""COMPUTED_VALUE"""),0.0)</f>
        <v>0</v>
      </c>
      <c r="R16" s="130">
        <f>IFERROR(__xludf.DUMMYFUNCTION("""COMPUTED_VALUE"""),0.0)</f>
        <v>0</v>
      </c>
      <c r="S16" s="130">
        <f>IFERROR(__xludf.DUMMYFUNCTION("""COMPUTED_VALUE"""),0.0)</f>
        <v>0</v>
      </c>
      <c r="T16" s="130">
        <f>IFERROR(__xludf.DUMMYFUNCTION("""COMPUTED_VALUE"""),0.0)</f>
        <v>0</v>
      </c>
      <c r="U16" s="130">
        <f>IFERROR(__xludf.DUMMYFUNCTION("""COMPUTED_VALUE"""),0.0)</f>
        <v>0</v>
      </c>
      <c r="V16" s="131">
        <f>IFERROR(__xludf.DUMMYFUNCTION("""COMPUTED_VALUE"""),0.0)</f>
        <v>0</v>
      </c>
      <c r="W16" s="131" t="str">
        <f>IFERROR(__xludf.DUMMYFUNCTION("""COMPUTED_VALUE"""),"Yes")</f>
        <v>Yes</v>
      </c>
      <c r="X16" s="131" t="str">
        <f>IFERROR(__xludf.DUMMYFUNCTION("""COMPUTED_VALUE"""),"Yes")</f>
        <v>Yes</v>
      </c>
      <c r="Y16" s="131" t="str">
        <f>IFERROR(__xludf.DUMMYFUNCTION("""COMPUTED_VALUE"""),"S")</f>
        <v>S</v>
      </c>
      <c r="Z16" s="131"/>
      <c r="AA16" s="131"/>
      <c r="AB16" s="131"/>
      <c r="AC16" s="131"/>
      <c r="AD16" s="131"/>
      <c r="AE16" s="131"/>
      <c r="AF16" s="131"/>
      <c r="AG16" s="131"/>
      <c r="AH16" s="131"/>
      <c r="AI16" s="131"/>
      <c r="AJ16" s="131"/>
    </row>
    <row r="17">
      <c r="A17" s="126">
        <f>IFERROR(__xludf.DUMMYFUNCTION("""COMPUTED_VALUE"""),51.0)</f>
        <v>51</v>
      </c>
      <c r="B17" s="126" t="str">
        <f>IFERROR(__xludf.DUMMYFUNCTION("""COMPUTED_VALUE"""),"A robust modeling framework for energy analysis of data centers")</f>
        <v>A robust modeling framework for energy analysis of data centers</v>
      </c>
      <c r="C17" s="127" t="str">
        <f>IFERROR(__xludf.DUMMYFUNCTION("""COMPUTED_VALUE"""),"https://dl.acm.org/doi/abs/10.1145/3401335.3401648")</f>
        <v>https://dl.acm.org/doi/abs/10.1145/3401335.3401648</v>
      </c>
      <c r="D17" s="131" t="str">
        <f>IFERROR(__xludf.DUMMYFUNCTION("""COMPUTED_VALUE"""),"N Lei")</f>
        <v>N Lei</v>
      </c>
      <c r="E17" s="131" t="str">
        <f>IFERROR(__xludf.DUMMYFUNCTION("""COMPUTED_VALUE"""),"Association for Computing Machinery")</f>
        <v>Association for Computing Machinery</v>
      </c>
      <c r="F17" s="126" t="str">
        <f>IFERROR(__xludf.DUMMYFUNCTION("""COMPUTED_VALUE"""),"ACM")</f>
        <v>ACM</v>
      </c>
      <c r="G17" s="128" t="str">
        <f>IFERROR(__xludf.DUMMYFUNCTION("""COMPUTED_VALUE"""),"C")</f>
        <v>C</v>
      </c>
      <c r="H17" s="129">
        <f>IFERROR(__xludf.DUMMYFUNCTION("""COMPUTED_VALUE"""),2020.0)</f>
        <v>2020</v>
      </c>
      <c r="I17" s="129">
        <f>IFERROR(__xludf.DUMMYFUNCTION("""COMPUTED_VALUE"""),1.0)</f>
        <v>1</v>
      </c>
      <c r="J17" s="129">
        <f>IFERROR(__xludf.DUMMYFUNCTION("""COMPUTED_VALUE"""),1.0)</f>
        <v>1</v>
      </c>
      <c r="K17" s="130">
        <f>IFERROR(__xludf.DUMMYFUNCTION("""COMPUTED_VALUE"""),1.0)</f>
        <v>1</v>
      </c>
      <c r="L17" s="130">
        <f>IFERROR(__xludf.DUMMYFUNCTION("""COMPUTED_VALUE"""),1.0)</f>
        <v>1</v>
      </c>
      <c r="M17" s="130">
        <f>IFERROR(__xludf.DUMMYFUNCTION("""COMPUTED_VALUE"""),1.0)</f>
        <v>1</v>
      </c>
      <c r="N17" s="130">
        <f>IFERROR(__xludf.DUMMYFUNCTION("""COMPUTED_VALUE"""),0.0)</f>
        <v>0</v>
      </c>
      <c r="O17" s="130">
        <f>IFERROR(__xludf.DUMMYFUNCTION("""COMPUTED_VALUE"""),0.0)</f>
        <v>0</v>
      </c>
      <c r="P17" s="129">
        <f>IFERROR(__xludf.DUMMYFUNCTION("""COMPUTED_VALUE"""),0.0)</f>
        <v>0</v>
      </c>
      <c r="Q17" s="129">
        <f>IFERROR(__xludf.DUMMYFUNCTION("""COMPUTED_VALUE"""),0.0)</f>
        <v>0</v>
      </c>
      <c r="R17" s="129">
        <f>IFERROR(__xludf.DUMMYFUNCTION("""COMPUTED_VALUE"""),0.0)</f>
        <v>0</v>
      </c>
      <c r="S17" s="129">
        <f>IFERROR(__xludf.DUMMYFUNCTION("""COMPUTED_VALUE"""),0.0)</f>
        <v>0</v>
      </c>
      <c r="T17" s="129">
        <f>IFERROR(__xludf.DUMMYFUNCTION("""COMPUTED_VALUE"""),0.0)</f>
        <v>0</v>
      </c>
      <c r="U17" s="129">
        <f>IFERROR(__xludf.DUMMYFUNCTION("""COMPUTED_VALUE"""),0.0)</f>
        <v>0</v>
      </c>
      <c r="V17" s="126">
        <f>IFERROR(__xludf.DUMMYFUNCTION("""COMPUTED_VALUE"""),0.0)</f>
        <v>0</v>
      </c>
      <c r="W17" s="126" t="str">
        <f>IFERROR(__xludf.DUMMYFUNCTION("""COMPUTED_VALUE"""),"Yes")</f>
        <v>Yes</v>
      </c>
      <c r="X17" s="126" t="str">
        <f>IFERROR(__xludf.DUMMYFUNCTION("""COMPUTED_VALUE"""),"Yes")</f>
        <v>Yes</v>
      </c>
      <c r="Y17" s="126" t="str">
        <f>IFERROR(__xludf.DUMMYFUNCTION("""COMPUTED_VALUE"""),"S")</f>
        <v>S</v>
      </c>
      <c r="Z17" s="126"/>
      <c r="AA17" s="126"/>
      <c r="AB17" s="126"/>
      <c r="AC17" s="126"/>
      <c r="AD17" s="126"/>
      <c r="AE17" s="126"/>
      <c r="AF17" s="126"/>
      <c r="AG17" s="126"/>
      <c r="AH17" s="126"/>
      <c r="AI17" s="126"/>
      <c r="AJ17" s="126"/>
    </row>
    <row r="18">
      <c r="A18" s="126">
        <f>IFERROR(__xludf.DUMMYFUNCTION("""COMPUTED_VALUE"""),53.0)</f>
        <v>53</v>
      </c>
      <c r="B18" s="126" t="str">
        <f>IFERROR(__xludf.DUMMYFUNCTION("""COMPUTED_VALUE"""),"Exploiting Traffic Correlation Towards Energy Saving in Data Centers")</f>
        <v>Exploiting Traffic Correlation Towards Energy Saving in Data Centers</v>
      </c>
      <c r="C18" s="127" t="str">
        <f>IFERROR(__xludf.DUMMYFUNCTION("""COMPUTED_VALUE"""),"https://ieeexplore.ieee.org/abstract/document/8580952/")</f>
        <v>https://ieeexplore.ieee.org/abstract/document/8580952/</v>
      </c>
      <c r="D18" s="126" t="str">
        <f>IFERROR(__xludf.DUMMYFUNCTION("""COMPUTED_VALUE"""),"Z Chkirbene, A Gouissem, R Hadjidj, R Hamila, S Foufou")</f>
        <v>Z Chkirbene, A Gouissem, R Hadjidj, R Hamila, S Foufou</v>
      </c>
      <c r="E18" s="126" t="str">
        <f>IFERROR(__xludf.DUMMYFUNCTION("""COMPUTED_VALUE"""),"Institute of Electrical and Electronics Engineers")</f>
        <v>Institute of Electrical and Electronics Engineers</v>
      </c>
      <c r="F18" s="126" t="str">
        <f>IFERROR(__xludf.DUMMYFUNCTION("""COMPUTED_VALUE"""),"IEEE Xplore")</f>
        <v>IEEE Xplore</v>
      </c>
      <c r="G18" s="132" t="str">
        <f>IFERROR(__xludf.DUMMYFUNCTION("""COMPUTED_VALUE"""),"J")</f>
        <v>J</v>
      </c>
      <c r="H18" s="129">
        <f>IFERROR(__xludf.DUMMYFUNCTION("""COMPUTED_VALUE"""),2018.0)</f>
        <v>2018</v>
      </c>
      <c r="I18" s="129">
        <f>IFERROR(__xludf.DUMMYFUNCTION("""COMPUTED_VALUE"""),1.0)</f>
        <v>1</v>
      </c>
      <c r="J18" s="129">
        <f>IFERROR(__xludf.DUMMYFUNCTION("""COMPUTED_VALUE"""),1.0)</f>
        <v>1</v>
      </c>
      <c r="K18" s="129">
        <f>IFERROR(__xludf.DUMMYFUNCTION("""COMPUTED_VALUE"""),1.0)</f>
        <v>1</v>
      </c>
      <c r="L18" s="130">
        <f>IFERROR(__xludf.DUMMYFUNCTION("""COMPUTED_VALUE"""),1.0)</f>
        <v>1</v>
      </c>
      <c r="M18" s="130">
        <f>IFERROR(__xludf.DUMMYFUNCTION("""COMPUTED_VALUE"""),1.0)</f>
        <v>1</v>
      </c>
      <c r="N18" s="130">
        <f>IFERROR(__xludf.DUMMYFUNCTION("""COMPUTED_VALUE"""),0.0)</f>
        <v>0</v>
      </c>
      <c r="O18" s="130">
        <f>IFERROR(__xludf.DUMMYFUNCTION("""COMPUTED_VALUE"""),0.0)</f>
        <v>0</v>
      </c>
      <c r="P18" s="129">
        <f>IFERROR(__xludf.DUMMYFUNCTION("""COMPUTED_VALUE"""),0.0)</f>
        <v>0</v>
      </c>
      <c r="Q18" s="129">
        <f>IFERROR(__xludf.DUMMYFUNCTION("""COMPUTED_VALUE"""),0.0)</f>
        <v>0</v>
      </c>
      <c r="R18" s="129">
        <f>IFERROR(__xludf.DUMMYFUNCTION("""COMPUTED_VALUE"""),0.0)</f>
        <v>0</v>
      </c>
      <c r="S18" s="129">
        <f>IFERROR(__xludf.DUMMYFUNCTION("""COMPUTED_VALUE"""),0.0)</f>
        <v>0</v>
      </c>
      <c r="T18" s="129">
        <f>IFERROR(__xludf.DUMMYFUNCTION("""COMPUTED_VALUE"""),0.0)</f>
        <v>0</v>
      </c>
      <c r="U18" s="129">
        <f>IFERROR(__xludf.DUMMYFUNCTION("""COMPUTED_VALUE"""),0.0)</f>
        <v>0</v>
      </c>
      <c r="V18" s="126">
        <f>IFERROR(__xludf.DUMMYFUNCTION("""COMPUTED_VALUE"""),0.0)</f>
        <v>0</v>
      </c>
      <c r="W18" s="126" t="str">
        <f>IFERROR(__xludf.DUMMYFUNCTION("""COMPUTED_VALUE"""),"Yes")</f>
        <v>Yes</v>
      </c>
      <c r="X18" s="126" t="str">
        <f>IFERROR(__xludf.DUMMYFUNCTION("""COMPUTED_VALUE"""),"Yes")</f>
        <v>Yes</v>
      </c>
      <c r="Y18" s="126" t="str">
        <f>IFERROR(__xludf.DUMMYFUNCTION("""COMPUTED_VALUE"""),"S")</f>
        <v>S</v>
      </c>
      <c r="Z18" s="126"/>
      <c r="AA18" s="126"/>
      <c r="AB18" s="126"/>
      <c r="AC18" s="126"/>
      <c r="AD18" s="126"/>
      <c r="AE18" s="126"/>
      <c r="AF18" s="126"/>
      <c r="AG18" s="126"/>
      <c r="AH18" s="126"/>
      <c r="AI18" s="126"/>
      <c r="AJ18" s="126"/>
    </row>
    <row r="19">
      <c r="A19" s="126">
        <f>IFERROR(__xludf.DUMMYFUNCTION("""COMPUTED_VALUE"""),54.0)</f>
        <v>54</v>
      </c>
      <c r="B19" s="126" t="str">
        <f>IFERROR(__xludf.DUMMYFUNCTION("""COMPUTED_VALUE"""),"Energy and quality of service-aware virtual machine consolidation in a cloud data center")</f>
        <v>Energy and quality of service-aware virtual machine consolidation in a cloud data center</v>
      </c>
      <c r="C19" s="127" t="str">
        <f>IFERROR(__xludf.DUMMYFUNCTION("""COMPUTED_VALUE"""),"https://link.springer.com/content/pdf/10.1007/s11227-020-03203-3.pdf")</f>
        <v>https://link.springer.com/content/pdf/10.1007/s11227-020-03203-3.pdf</v>
      </c>
      <c r="D19" s="126" t="str">
        <f>IFERROR(__xludf.DUMMYFUNCTION("""COMPUTED_VALUE"""),"A Tarafdar, M Debnath, S Khatua, RK Das")</f>
        <v>A Tarafdar, M Debnath, S Khatua, RK Das</v>
      </c>
      <c r="E19" s="126" t="str">
        <f>IFERROR(__xludf.DUMMYFUNCTION("""COMPUTED_VALUE"""),"Springer")</f>
        <v>Springer</v>
      </c>
      <c r="F19" s="126" t="str">
        <f>IFERROR(__xludf.DUMMYFUNCTION("""COMPUTED_VALUE"""),"Springer")</f>
        <v>Springer</v>
      </c>
      <c r="G19" s="128" t="str">
        <f>IFERROR(__xludf.DUMMYFUNCTION("""COMPUTED_VALUE"""),"J")</f>
        <v>J</v>
      </c>
      <c r="H19" s="130">
        <f>IFERROR(__xludf.DUMMYFUNCTION("""COMPUTED_VALUE"""),2020.0)</f>
        <v>2020</v>
      </c>
      <c r="I19" s="130">
        <f>IFERROR(__xludf.DUMMYFUNCTION("""COMPUTED_VALUE"""),1.0)</f>
        <v>1</v>
      </c>
      <c r="J19" s="130">
        <f>IFERROR(__xludf.DUMMYFUNCTION("""COMPUTED_VALUE"""),1.0)</f>
        <v>1</v>
      </c>
      <c r="K19" s="129">
        <f>IFERROR(__xludf.DUMMYFUNCTION("""COMPUTED_VALUE"""),1.0)</f>
        <v>1</v>
      </c>
      <c r="L19" s="129">
        <f>IFERROR(__xludf.DUMMYFUNCTION("""COMPUTED_VALUE"""),1.0)</f>
        <v>1</v>
      </c>
      <c r="M19" s="130">
        <f>IFERROR(__xludf.DUMMYFUNCTION("""COMPUTED_VALUE"""),1.0)</f>
        <v>1</v>
      </c>
      <c r="N19" s="130">
        <f>IFERROR(__xludf.DUMMYFUNCTION("""COMPUTED_VALUE"""),0.0)</f>
        <v>0</v>
      </c>
      <c r="O19" s="130">
        <f>IFERROR(__xludf.DUMMYFUNCTION("""COMPUTED_VALUE"""),0.0)</f>
        <v>0</v>
      </c>
      <c r="P19" s="130">
        <f>IFERROR(__xludf.DUMMYFUNCTION("""COMPUTED_VALUE"""),0.0)</f>
        <v>0</v>
      </c>
      <c r="Q19" s="130">
        <f>IFERROR(__xludf.DUMMYFUNCTION("""COMPUTED_VALUE"""),0.0)</f>
        <v>0</v>
      </c>
      <c r="R19" s="130">
        <f>IFERROR(__xludf.DUMMYFUNCTION("""COMPUTED_VALUE"""),0.0)</f>
        <v>0</v>
      </c>
      <c r="S19" s="130">
        <f>IFERROR(__xludf.DUMMYFUNCTION("""COMPUTED_VALUE"""),0.0)</f>
        <v>0</v>
      </c>
      <c r="T19" s="130">
        <f>IFERROR(__xludf.DUMMYFUNCTION("""COMPUTED_VALUE"""),0.0)</f>
        <v>0</v>
      </c>
      <c r="U19" s="130">
        <f>IFERROR(__xludf.DUMMYFUNCTION("""COMPUTED_VALUE"""),0.0)</f>
        <v>0</v>
      </c>
      <c r="V19" s="131">
        <f>IFERROR(__xludf.DUMMYFUNCTION("""COMPUTED_VALUE"""),0.0)</f>
        <v>0</v>
      </c>
      <c r="W19" s="131" t="str">
        <f>IFERROR(__xludf.DUMMYFUNCTION("""COMPUTED_VALUE"""),"Yes")</f>
        <v>Yes</v>
      </c>
      <c r="X19" s="131" t="str">
        <f>IFERROR(__xludf.DUMMYFUNCTION("""COMPUTED_VALUE"""),"Yes")</f>
        <v>Yes</v>
      </c>
      <c r="Y19" s="131" t="str">
        <f>IFERROR(__xludf.DUMMYFUNCTION("""COMPUTED_VALUE"""),"S")</f>
        <v>S</v>
      </c>
      <c r="Z19" s="131"/>
      <c r="AA19" s="131"/>
      <c r="AB19" s="131"/>
      <c r="AC19" s="131"/>
      <c r="AD19" s="131"/>
      <c r="AE19" s="131"/>
      <c r="AF19" s="131"/>
      <c r="AG19" s="131"/>
      <c r="AH19" s="131"/>
      <c r="AI19" s="131"/>
      <c r="AJ19" s="131"/>
    </row>
    <row r="20">
      <c r="A20" s="126">
        <f>IFERROR(__xludf.DUMMYFUNCTION("""COMPUTED_VALUE"""),56.0)</f>
        <v>56</v>
      </c>
      <c r="B20" s="126" t="str">
        <f>IFERROR(__xludf.DUMMYFUNCTION("""COMPUTED_VALUE"""),"A proactive autoscaling and energy-efficient VM allocation framework using online multi-resource neural network for cloud data center")</f>
        <v>A proactive autoscaling and energy-efficient VM allocation framework using online multi-resource neural network for cloud data center</v>
      </c>
      <c r="C20" s="127" t="str">
        <f>IFERROR(__xludf.DUMMYFUNCTION("""COMPUTED_VALUE"""),"https://www.sciencedirect.com/science/article/pii/S0925231220315873")</f>
        <v>https://www.sciencedirect.com/science/article/pii/S0925231220315873</v>
      </c>
      <c r="D20" s="126" t="str">
        <f>IFERROR(__xludf.DUMMYFUNCTION("""COMPUTED_VALUE"""),"D Saxena, AK Singh")</f>
        <v>D Saxena, AK Singh</v>
      </c>
      <c r="E20" s="126" t="str">
        <f>IFERROR(__xludf.DUMMYFUNCTION("""COMPUTED_VALUE"""),"Elsevier")</f>
        <v>Elsevier</v>
      </c>
      <c r="F20" s="126" t="str">
        <f>IFERROR(__xludf.DUMMYFUNCTION("""COMPUTED_VALUE"""),"Elsevier")</f>
        <v>Elsevier</v>
      </c>
      <c r="G20" s="128" t="str">
        <f>IFERROR(__xludf.DUMMYFUNCTION("""COMPUTED_VALUE"""),"J")</f>
        <v>J</v>
      </c>
      <c r="H20" s="130">
        <f>IFERROR(__xludf.DUMMYFUNCTION("""COMPUTED_VALUE"""),2020.0)</f>
        <v>2020</v>
      </c>
      <c r="I20" s="129">
        <f>IFERROR(__xludf.DUMMYFUNCTION("""COMPUTED_VALUE"""),1.0)</f>
        <v>1</v>
      </c>
      <c r="J20" s="129">
        <f>IFERROR(__xludf.DUMMYFUNCTION("""COMPUTED_VALUE"""),1.0)</f>
        <v>1</v>
      </c>
      <c r="K20" s="130">
        <f>IFERROR(__xludf.DUMMYFUNCTION("""COMPUTED_VALUE"""),1.0)</f>
        <v>1</v>
      </c>
      <c r="L20" s="130">
        <f>IFERROR(__xludf.DUMMYFUNCTION("""COMPUTED_VALUE"""),1.0)</f>
        <v>1</v>
      </c>
      <c r="M20" s="130">
        <f>IFERROR(__xludf.DUMMYFUNCTION("""COMPUTED_VALUE"""),1.0)</f>
        <v>1</v>
      </c>
      <c r="N20" s="130">
        <f>IFERROR(__xludf.DUMMYFUNCTION("""COMPUTED_VALUE"""),0.0)</f>
        <v>0</v>
      </c>
      <c r="O20" s="130">
        <f>IFERROR(__xludf.DUMMYFUNCTION("""COMPUTED_VALUE"""),0.0)</f>
        <v>0</v>
      </c>
      <c r="P20" s="130">
        <f>IFERROR(__xludf.DUMMYFUNCTION("""COMPUTED_VALUE"""),0.0)</f>
        <v>0</v>
      </c>
      <c r="Q20" s="129">
        <f>IFERROR(__xludf.DUMMYFUNCTION("""COMPUTED_VALUE"""),0.0)</f>
        <v>0</v>
      </c>
      <c r="R20" s="129">
        <f>IFERROR(__xludf.DUMMYFUNCTION("""COMPUTED_VALUE"""),0.0)</f>
        <v>0</v>
      </c>
      <c r="S20" s="129">
        <f>IFERROR(__xludf.DUMMYFUNCTION("""COMPUTED_VALUE"""),0.0)</f>
        <v>0</v>
      </c>
      <c r="T20" s="129">
        <f>IFERROR(__xludf.DUMMYFUNCTION("""COMPUTED_VALUE"""),0.0)</f>
        <v>0</v>
      </c>
      <c r="U20" s="129">
        <f>IFERROR(__xludf.DUMMYFUNCTION("""COMPUTED_VALUE"""),0.0)</f>
        <v>0</v>
      </c>
      <c r="V20" s="126">
        <f>IFERROR(__xludf.DUMMYFUNCTION("""COMPUTED_VALUE"""),0.0)</f>
        <v>0</v>
      </c>
      <c r="W20" s="126" t="str">
        <f>IFERROR(__xludf.DUMMYFUNCTION("""COMPUTED_VALUE"""),"Yes")</f>
        <v>Yes</v>
      </c>
      <c r="X20" s="126" t="str">
        <f>IFERROR(__xludf.DUMMYFUNCTION("""COMPUTED_VALUE"""),"Yes")</f>
        <v>Yes</v>
      </c>
      <c r="Y20" s="126" t="str">
        <f>IFERROR(__xludf.DUMMYFUNCTION("""COMPUTED_VALUE"""),"S")</f>
        <v>S</v>
      </c>
      <c r="Z20" s="126"/>
      <c r="AA20" s="126"/>
      <c r="AB20" s="126"/>
      <c r="AC20" s="126"/>
      <c r="AD20" s="126"/>
      <c r="AE20" s="126"/>
      <c r="AF20" s="126"/>
      <c r="AG20" s="126"/>
      <c r="AH20" s="126"/>
      <c r="AI20" s="126"/>
      <c r="AJ20" s="126"/>
    </row>
    <row r="21">
      <c r="A21" s="126">
        <f>IFERROR(__xludf.DUMMYFUNCTION("""COMPUTED_VALUE"""),57.0)</f>
        <v>57</v>
      </c>
      <c r="B21" s="126" t="str">
        <f>IFERROR(__xludf.DUMMYFUNCTION("""COMPUTED_VALUE"""),"A deep neural network based approach to energy efficiency analysis for cloud data center")</f>
        <v>A deep neural network based approach to energy efficiency analysis for cloud data center</v>
      </c>
      <c r="C21" s="127" t="str">
        <f>IFERROR(__xludf.DUMMYFUNCTION("""COMPUTED_VALUE"""),"https://ieeexplore.ieee.org/abstract/document/8972019/")</f>
        <v>https://ieeexplore.ieee.org/abstract/document/8972019/</v>
      </c>
      <c r="D21" s="126" t="str">
        <f>IFERROR(__xludf.DUMMYFUNCTION("""COMPUTED_VALUE"""),"HA Ounifi, A Gherbi, N Kara, W Li")</f>
        <v>HA Ounifi, A Gherbi, N Kara, W Li</v>
      </c>
      <c r="E21" s="126" t="str">
        <f>IFERROR(__xludf.DUMMYFUNCTION("""COMPUTED_VALUE"""),"Institute of Electrical and Electronics Engineers")</f>
        <v>Institute of Electrical and Electronics Engineers</v>
      </c>
      <c r="F21" s="126" t="str">
        <f>IFERROR(__xludf.DUMMYFUNCTION("""COMPUTED_VALUE"""),"IEEE Xplore")</f>
        <v>IEEE Xplore</v>
      </c>
      <c r="G21" s="132" t="str">
        <f>IFERROR(__xludf.DUMMYFUNCTION("""COMPUTED_VALUE"""),"C")</f>
        <v>C</v>
      </c>
      <c r="H21" s="129">
        <f>IFERROR(__xludf.DUMMYFUNCTION("""COMPUTED_VALUE"""),2019.0)</f>
        <v>2019</v>
      </c>
      <c r="I21" s="129">
        <f>IFERROR(__xludf.DUMMYFUNCTION("""COMPUTED_VALUE"""),1.0)</f>
        <v>1</v>
      </c>
      <c r="J21" s="129">
        <f>IFERROR(__xludf.DUMMYFUNCTION("""COMPUTED_VALUE"""),1.0)</f>
        <v>1</v>
      </c>
      <c r="K21" s="130">
        <f>IFERROR(__xludf.DUMMYFUNCTION("""COMPUTED_VALUE"""),1.0)</f>
        <v>1</v>
      </c>
      <c r="L21" s="130">
        <f>IFERROR(__xludf.DUMMYFUNCTION("""COMPUTED_VALUE"""),1.0)</f>
        <v>1</v>
      </c>
      <c r="M21" s="130">
        <f>IFERROR(__xludf.DUMMYFUNCTION("""COMPUTED_VALUE"""),1.0)</f>
        <v>1</v>
      </c>
      <c r="N21" s="130">
        <f>IFERROR(__xludf.DUMMYFUNCTION("""COMPUTED_VALUE"""),0.0)</f>
        <v>0</v>
      </c>
      <c r="O21" s="130">
        <f>IFERROR(__xludf.DUMMYFUNCTION("""COMPUTED_VALUE"""),0.0)</f>
        <v>0</v>
      </c>
      <c r="P21" s="129">
        <f>IFERROR(__xludf.DUMMYFUNCTION("""COMPUTED_VALUE"""),0.0)</f>
        <v>0</v>
      </c>
      <c r="Q21" s="129">
        <f>IFERROR(__xludf.DUMMYFUNCTION("""COMPUTED_VALUE"""),0.0)</f>
        <v>0</v>
      </c>
      <c r="R21" s="129">
        <f>IFERROR(__xludf.DUMMYFUNCTION("""COMPUTED_VALUE"""),0.0)</f>
        <v>0</v>
      </c>
      <c r="S21" s="129">
        <f>IFERROR(__xludf.DUMMYFUNCTION("""COMPUTED_VALUE"""),0.0)</f>
        <v>0</v>
      </c>
      <c r="T21" s="129">
        <f>IFERROR(__xludf.DUMMYFUNCTION("""COMPUTED_VALUE"""),0.0)</f>
        <v>0</v>
      </c>
      <c r="U21" s="129">
        <f>IFERROR(__xludf.DUMMYFUNCTION("""COMPUTED_VALUE"""),0.0)</f>
        <v>0</v>
      </c>
      <c r="V21" s="126">
        <f>IFERROR(__xludf.DUMMYFUNCTION("""COMPUTED_VALUE"""),0.0)</f>
        <v>0</v>
      </c>
      <c r="W21" s="126" t="str">
        <f>IFERROR(__xludf.DUMMYFUNCTION("""COMPUTED_VALUE"""),"Yes")</f>
        <v>Yes</v>
      </c>
      <c r="X21" s="126" t="str">
        <f>IFERROR(__xludf.DUMMYFUNCTION("""COMPUTED_VALUE"""),"Yes")</f>
        <v>Yes</v>
      </c>
      <c r="Y21" s="126" t="str">
        <f>IFERROR(__xludf.DUMMYFUNCTION("""COMPUTED_VALUE"""),"S")</f>
        <v>S</v>
      </c>
      <c r="Z21" s="126"/>
      <c r="AA21" s="126"/>
      <c r="AB21" s="126"/>
      <c r="AC21" s="126"/>
      <c r="AD21" s="126"/>
      <c r="AE21" s="126"/>
      <c r="AF21" s="126"/>
      <c r="AG21" s="126"/>
      <c r="AH21" s="126"/>
      <c r="AI21" s="126"/>
      <c r="AJ21" s="126"/>
    </row>
    <row r="22">
      <c r="A22" s="126">
        <f>IFERROR(__xludf.DUMMYFUNCTION("""COMPUTED_VALUE"""),58.0)</f>
        <v>58</v>
      </c>
      <c r="B22" s="126" t="str">
        <f>IFERROR(__xludf.DUMMYFUNCTION("""COMPUTED_VALUE"""),"Availability-Aware Multi-Objective Virtual Cluster Allocation Optimization in Energy-Efficient Datacenters")</f>
        <v>Availability-Aware Multi-Objective Virtual Cluster Allocation Optimization in Energy-Efficient Datacenters</v>
      </c>
      <c r="C22" s="127" t="str">
        <f>IFERROR(__xludf.DUMMYFUNCTION("""COMPUTED_VALUE"""),"https://ieeexplore.ieee.org/abstract/document/8855456/")</f>
        <v>https://ieeexplore.ieee.org/abstract/document/8855456/</v>
      </c>
      <c r="D22" s="131" t="str">
        <f>IFERROR(__xludf.DUMMYFUNCTION("""COMPUTED_VALUE"""),"X Liu, B Cheng, Y Li, J Chen")</f>
        <v>X Liu, B Cheng, Y Li, J Chen</v>
      </c>
      <c r="E22" s="131" t="str">
        <f>IFERROR(__xludf.DUMMYFUNCTION("""COMPUTED_VALUE"""),"Institute of Electrical and Electronics Engineers")</f>
        <v>Institute of Electrical and Electronics Engineers</v>
      </c>
      <c r="F22" s="126" t="str">
        <f>IFERROR(__xludf.DUMMYFUNCTION("""COMPUTED_VALUE"""),"IEEE Xplore")</f>
        <v>IEEE Xplore</v>
      </c>
      <c r="G22" s="128" t="str">
        <f>IFERROR(__xludf.DUMMYFUNCTION("""COMPUTED_VALUE"""),"C")</f>
        <v>C</v>
      </c>
      <c r="H22" s="130">
        <f>IFERROR(__xludf.DUMMYFUNCTION("""COMPUTED_VALUE"""),2019.0)</f>
        <v>2019</v>
      </c>
      <c r="I22" s="130">
        <f>IFERROR(__xludf.DUMMYFUNCTION("""COMPUTED_VALUE"""),1.0)</f>
        <v>1</v>
      </c>
      <c r="J22" s="130">
        <f>IFERROR(__xludf.DUMMYFUNCTION("""COMPUTED_VALUE"""),1.0)</f>
        <v>1</v>
      </c>
      <c r="K22" s="130">
        <f>IFERROR(__xludf.DUMMYFUNCTION("""COMPUTED_VALUE"""),1.0)</f>
        <v>1</v>
      </c>
      <c r="L22" s="129">
        <f>IFERROR(__xludf.DUMMYFUNCTION("""COMPUTED_VALUE"""),1.0)</f>
        <v>1</v>
      </c>
      <c r="M22" s="130">
        <f>IFERROR(__xludf.DUMMYFUNCTION("""COMPUTED_VALUE"""),1.0)</f>
        <v>1</v>
      </c>
      <c r="N22" s="130">
        <f>IFERROR(__xludf.DUMMYFUNCTION("""COMPUTED_VALUE"""),0.0)</f>
        <v>0</v>
      </c>
      <c r="O22" s="130">
        <f>IFERROR(__xludf.DUMMYFUNCTION("""COMPUTED_VALUE"""),0.0)</f>
        <v>0</v>
      </c>
      <c r="P22" s="130">
        <f>IFERROR(__xludf.DUMMYFUNCTION("""COMPUTED_VALUE"""),0.0)</f>
        <v>0</v>
      </c>
      <c r="Q22" s="130">
        <f>IFERROR(__xludf.DUMMYFUNCTION("""COMPUTED_VALUE"""),0.0)</f>
        <v>0</v>
      </c>
      <c r="R22" s="130">
        <f>IFERROR(__xludf.DUMMYFUNCTION("""COMPUTED_VALUE"""),0.0)</f>
        <v>0</v>
      </c>
      <c r="S22" s="130">
        <f>IFERROR(__xludf.DUMMYFUNCTION("""COMPUTED_VALUE"""),0.0)</f>
        <v>0</v>
      </c>
      <c r="T22" s="130">
        <f>IFERROR(__xludf.DUMMYFUNCTION("""COMPUTED_VALUE"""),0.0)</f>
        <v>0</v>
      </c>
      <c r="U22" s="130">
        <f>IFERROR(__xludf.DUMMYFUNCTION("""COMPUTED_VALUE"""),0.0)</f>
        <v>0</v>
      </c>
      <c r="V22" s="131">
        <f>IFERROR(__xludf.DUMMYFUNCTION("""COMPUTED_VALUE"""),0.0)</f>
        <v>0</v>
      </c>
      <c r="W22" s="131" t="str">
        <f>IFERROR(__xludf.DUMMYFUNCTION("""COMPUTED_VALUE"""),"Yes")</f>
        <v>Yes</v>
      </c>
      <c r="X22" s="131" t="str">
        <f>IFERROR(__xludf.DUMMYFUNCTION("""COMPUTED_VALUE"""),"Yes")</f>
        <v>Yes</v>
      </c>
      <c r="Y22" s="131" t="str">
        <f>IFERROR(__xludf.DUMMYFUNCTION("""COMPUTED_VALUE"""),"S")</f>
        <v>S</v>
      </c>
      <c r="Z22" s="131"/>
      <c r="AA22" s="131"/>
      <c r="AB22" s="131"/>
      <c r="AC22" s="131"/>
      <c r="AD22" s="131"/>
      <c r="AE22" s="131"/>
      <c r="AF22" s="131"/>
      <c r="AG22" s="131"/>
      <c r="AH22" s="131"/>
      <c r="AI22" s="131"/>
      <c r="AJ22" s="131"/>
    </row>
    <row r="23">
      <c r="A23" s="126">
        <f>IFERROR(__xludf.DUMMYFUNCTION("""COMPUTED_VALUE"""),59.0)</f>
        <v>59</v>
      </c>
      <c r="B23" s="126" t="str">
        <f>IFERROR(__xludf.DUMMYFUNCTION("""COMPUTED_VALUE"""),"Energy-Efficient Flow Routing and Scheduling in Hybrid Data Center Networks")</f>
        <v>Energy-Efficient Flow Routing and Scheduling in Hybrid Data Center Networks</v>
      </c>
      <c r="C23" s="127" t="str">
        <f>IFERROR(__xludf.DUMMYFUNCTION("""COMPUTED_VALUE"""),"https://ieeexplore.ieee.org/abstract/document/9014023/")</f>
        <v>https://ieeexplore.ieee.org/abstract/document/9014023/</v>
      </c>
      <c r="D23" s="126" t="str">
        <f>IFERROR(__xludf.DUMMYFUNCTION("""COMPUTED_VALUE"""),"M Luo, J Li, J Ma, H Li, M Sheng")</f>
        <v>M Luo, J Li, J Ma, H Li, M Sheng</v>
      </c>
      <c r="E23" s="126" t="str">
        <f>IFERROR(__xludf.DUMMYFUNCTION("""COMPUTED_VALUE"""),"Institute of Electrical and Electronics Engineers")</f>
        <v>Institute of Electrical and Electronics Engineers</v>
      </c>
      <c r="F23" s="126" t="str">
        <f>IFERROR(__xludf.DUMMYFUNCTION("""COMPUTED_VALUE"""),"IEEE Xplore")</f>
        <v>IEEE Xplore</v>
      </c>
      <c r="G23" s="128" t="str">
        <f>IFERROR(__xludf.DUMMYFUNCTION("""COMPUTED_VALUE"""),"C")</f>
        <v>C</v>
      </c>
      <c r="H23" s="130">
        <f>IFERROR(__xludf.DUMMYFUNCTION("""COMPUTED_VALUE"""),2019.0)</f>
        <v>2019</v>
      </c>
      <c r="I23" s="129">
        <f>IFERROR(__xludf.DUMMYFUNCTION("""COMPUTED_VALUE"""),1.0)</f>
        <v>1</v>
      </c>
      <c r="J23" s="130">
        <f>IFERROR(__xludf.DUMMYFUNCTION("""COMPUTED_VALUE"""),1.0)</f>
        <v>1</v>
      </c>
      <c r="K23" s="130">
        <f>IFERROR(__xludf.DUMMYFUNCTION("""COMPUTED_VALUE"""),1.0)</f>
        <v>1</v>
      </c>
      <c r="L23" s="130">
        <f>IFERROR(__xludf.DUMMYFUNCTION("""COMPUTED_VALUE"""),1.0)</f>
        <v>1</v>
      </c>
      <c r="M23" s="130">
        <f>IFERROR(__xludf.DUMMYFUNCTION("""COMPUTED_VALUE"""),1.0)</f>
        <v>1</v>
      </c>
      <c r="N23" s="130">
        <f>IFERROR(__xludf.DUMMYFUNCTION("""COMPUTED_VALUE"""),0.0)</f>
        <v>0</v>
      </c>
      <c r="O23" s="130">
        <f>IFERROR(__xludf.DUMMYFUNCTION("""COMPUTED_VALUE"""),0.0)</f>
        <v>0</v>
      </c>
      <c r="P23" s="130">
        <f>IFERROR(__xludf.DUMMYFUNCTION("""COMPUTED_VALUE"""),0.0)</f>
        <v>0</v>
      </c>
      <c r="Q23" s="129">
        <f>IFERROR(__xludf.DUMMYFUNCTION("""COMPUTED_VALUE"""),0.0)</f>
        <v>0</v>
      </c>
      <c r="R23" s="129">
        <f>IFERROR(__xludf.DUMMYFUNCTION("""COMPUTED_VALUE"""),0.0)</f>
        <v>0</v>
      </c>
      <c r="S23" s="129">
        <f>IFERROR(__xludf.DUMMYFUNCTION("""COMPUTED_VALUE"""),0.0)</f>
        <v>0</v>
      </c>
      <c r="T23" s="129">
        <f>IFERROR(__xludf.DUMMYFUNCTION("""COMPUTED_VALUE"""),0.0)</f>
        <v>0</v>
      </c>
      <c r="U23" s="129">
        <f>IFERROR(__xludf.DUMMYFUNCTION("""COMPUTED_VALUE"""),0.0)</f>
        <v>0</v>
      </c>
      <c r="V23" s="126">
        <f>IFERROR(__xludf.DUMMYFUNCTION("""COMPUTED_VALUE"""),0.0)</f>
        <v>0</v>
      </c>
      <c r="W23" s="126" t="str">
        <f>IFERROR(__xludf.DUMMYFUNCTION("""COMPUTED_VALUE"""),"Yes")</f>
        <v>Yes</v>
      </c>
      <c r="X23" s="126" t="str">
        <f>IFERROR(__xludf.DUMMYFUNCTION("""COMPUTED_VALUE"""),"Yes")</f>
        <v>Yes</v>
      </c>
      <c r="Y23" s="126" t="str">
        <f>IFERROR(__xludf.DUMMYFUNCTION("""COMPUTED_VALUE"""),"S")</f>
        <v>S</v>
      </c>
      <c r="Z23" s="126"/>
      <c r="AA23" s="126"/>
      <c r="AB23" s="126"/>
      <c r="AC23" s="126"/>
      <c r="AD23" s="126"/>
      <c r="AE23" s="126"/>
      <c r="AF23" s="126"/>
      <c r="AG23" s="126"/>
      <c r="AH23" s="126"/>
      <c r="AI23" s="126"/>
      <c r="AJ23" s="126"/>
    </row>
    <row r="24">
      <c r="A24" s="126">
        <f>IFERROR(__xludf.DUMMYFUNCTION("""COMPUTED_VALUE"""),68.0)</f>
        <v>68</v>
      </c>
      <c r="B24" s="126" t="str">
        <f>IFERROR(__xludf.DUMMYFUNCTION("""COMPUTED_VALUE"""),"Multi-criteria-Based Energy-Efficient Framework for VM Placement in Cloud Data Centers")</f>
        <v>Multi-criteria-Based Energy-Efficient Framework for VM Placement in Cloud Data Centers</v>
      </c>
      <c r="C24" s="127" t="str">
        <f>IFERROR(__xludf.DUMMYFUNCTION("""COMPUTED_VALUE"""),"https://link.springer.com/article/10.1007/s13369-019-04048-6")</f>
        <v>https://link.springer.com/article/10.1007/s13369-019-04048-6</v>
      </c>
      <c r="D24" s="126" t="str">
        <f>IFERROR(__xludf.DUMMYFUNCTION("""COMPUTED_VALUE"""),"N Khattar, J Singh, J Sidhu")</f>
        <v>N Khattar, J Singh, J Sidhu</v>
      </c>
      <c r="E24" s="126" t="str">
        <f>IFERROR(__xludf.DUMMYFUNCTION("""COMPUTED_VALUE"""),"Springer")</f>
        <v>Springer</v>
      </c>
      <c r="F24" s="126" t="str">
        <f>IFERROR(__xludf.DUMMYFUNCTION("""COMPUTED_VALUE"""),"Springer")</f>
        <v>Springer</v>
      </c>
      <c r="G24" s="128" t="str">
        <f>IFERROR(__xludf.DUMMYFUNCTION("""COMPUTED_VALUE"""),"J")</f>
        <v>J</v>
      </c>
      <c r="H24" s="130">
        <f>IFERROR(__xludf.DUMMYFUNCTION("""COMPUTED_VALUE"""),2019.0)</f>
        <v>2019</v>
      </c>
      <c r="I24" s="130">
        <f>IFERROR(__xludf.DUMMYFUNCTION("""COMPUTED_VALUE"""),1.0)</f>
        <v>1</v>
      </c>
      <c r="J24" s="130">
        <f>IFERROR(__xludf.DUMMYFUNCTION("""COMPUTED_VALUE"""),1.0)</f>
        <v>1</v>
      </c>
      <c r="K24" s="129">
        <f>IFERROR(__xludf.DUMMYFUNCTION("""COMPUTED_VALUE"""),1.0)</f>
        <v>1</v>
      </c>
      <c r="L24" s="129">
        <f>IFERROR(__xludf.DUMMYFUNCTION("""COMPUTED_VALUE"""),1.0)</f>
        <v>1</v>
      </c>
      <c r="M24" s="130">
        <f>IFERROR(__xludf.DUMMYFUNCTION("""COMPUTED_VALUE"""),1.0)</f>
        <v>1</v>
      </c>
      <c r="N24" s="130">
        <f>IFERROR(__xludf.DUMMYFUNCTION("""COMPUTED_VALUE"""),0.0)</f>
        <v>0</v>
      </c>
      <c r="O24" s="130">
        <f>IFERROR(__xludf.DUMMYFUNCTION("""COMPUTED_VALUE"""),0.0)</f>
        <v>0</v>
      </c>
      <c r="P24" s="130">
        <f>IFERROR(__xludf.DUMMYFUNCTION("""COMPUTED_VALUE"""),0.0)</f>
        <v>0</v>
      </c>
      <c r="Q24" s="129">
        <f>IFERROR(__xludf.DUMMYFUNCTION("""COMPUTED_VALUE"""),0.0)</f>
        <v>0</v>
      </c>
      <c r="R24" s="129">
        <f>IFERROR(__xludf.DUMMYFUNCTION("""COMPUTED_VALUE"""),0.0)</f>
        <v>0</v>
      </c>
      <c r="S24" s="129">
        <f>IFERROR(__xludf.DUMMYFUNCTION("""COMPUTED_VALUE"""),0.0)</f>
        <v>0</v>
      </c>
      <c r="T24" s="129">
        <f>IFERROR(__xludf.DUMMYFUNCTION("""COMPUTED_VALUE"""),0.0)</f>
        <v>0</v>
      </c>
      <c r="U24" s="129">
        <f>IFERROR(__xludf.DUMMYFUNCTION("""COMPUTED_VALUE"""),0.0)</f>
        <v>0</v>
      </c>
      <c r="V24" s="126">
        <f>IFERROR(__xludf.DUMMYFUNCTION("""COMPUTED_VALUE"""),0.0)</f>
        <v>0</v>
      </c>
      <c r="W24" s="126" t="str">
        <f>IFERROR(__xludf.DUMMYFUNCTION("""COMPUTED_VALUE"""),"Yes")</f>
        <v>Yes</v>
      </c>
      <c r="X24" s="126" t="str">
        <f>IFERROR(__xludf.DUMMYFUNCTION("""COMPUTED_VALUE"""),"Yes")</f>
        <v>Yes</v>
      </c>
      <c r="Y24" s="126" t="str">
        <f>IFERROR(__xludf.DUMMYFUNCTION("""COMPUTED_VALUE"""),"S")</f>
        <v>S</v>
      </c>
      <c r="Z24" s="126"/>
      <c r="AA24" s="126"/>
      <c r="AB24" s="126"/>
      <c r="AC24" s="126"/>
      <c r="AD24" s="126"/>
      <c r="AE24" s="126"/>
      <c r="AF24" s="126"/>
      <c r="AG24" s="126"/>
      <c r="AH24" s="126"/>
      <c r="AI24" s="126"/>
      <c r="AJ24" s="126"/>
    </row>
    <row r="25">
      <c r="A25" s="126">
        <f>IFERROR(__xludf.DUMMYFUNCTION("""COMPUTED_VALUE"""),73.0)</f>
        <v>73</v>
      </c>
      <c r="B25" s="126" t="str">
        <f>IFERROR(__xludf.DUMMYFUNCTION("""COMPUTED_VALUE"""),"Temperature-aware workload management for sustainable datacenters powered by renewable energy")</f>
        <v>Temperature-aware workload management for sustainable datacenters powered by renewable energy</v>
      </c>
      <c r="C25" s="127" t="str">
        <f>IFERROR(__xludf.DUMMYFUNCTION("""COMPUTED_VALUE"""),"https://dl.acm.org/doi/abs/10.1145/3318265.3318287")</f>
        <v>https://dl.acm.org/doi/abs/10.1145/3318265.3318287</v>
      </c>
      <c r="D25" s="126" t="str">
        <f>IFERROR(__xludf.DUMMYFUNCTION("""COMPUTED_VALUE"""),"Y Li, X Wang, P Luo, X Yang")</f>
        <v>Y Li, X Wang, P Luo, X Yang</v>
      </c>
      <c r="E25" s="126" t="str">
        <f>IFERROR(__xludf.DUMMYFUNCTION("""COMPUTED_VALUE"""),"Association for Computing Machinery")</f>
        <v>Association for Computing Machinery</v>
      </c>
      <c r="F25" s="126" t="str">
        <f>IFERROR(__xludf.DUMMYFUNCTION("""COMPUTED_VALUE"""),"ACM")</f>
        <v>ACM</v>
      </c>
      <c r="G25" s="128" t="str">
        <f>IFERROR(__xludf.DUMMYFUNCTION("""COMPUTED_VALUE"""),"C")</f>
        <v>C</v>
      </c>
      <c r="H25" s="129">
        <f>IFERROR(__xludf.DUMMYFUNCTION("""COMPUTED_VALUE"""),2019.0)</f>
        <v>2019</v>
      </c>
      <c r="I25" s="130">
        <f>IFERROR(__xludf.DUMMYFUNCTION("""COMPUTED_VALUE"""),1.0)</f>
        <v>1</v>
      </c>
      <c r="J25" s="129">
        <f>IFERROR(__xludf.DUMMYFUNCTION("""COMPUTED_VALUE"""),1.0)</f>
        <v>1</v>
      </c>
      <c r="K25" s="130">
        <f>IFERROR(__xludf.DUMMYFUNCTION("""COMPUTED_VALUE"""),1.0)</f>
        <v>1</v>
      </c>
      <c r="L25" s="130">
        <f>IFERROR(__xludf.DUMMYFUNCTION("""COMPUTED_VALUE"""),1.0)</f>
        <v>1</v>
      </c>
      <c r="M25" s="130">
        <f>IFERROR(__xludf.DUMMYFUNCTION("""COMPUTED_VALUE"""),1.0)</f>
        <v>1</v>
      </c>
      <c r="N25" s="130">
        <f>IFERROR(__xludf.DUMMYFUNCTION("""COMPUTED_VALUE"""),0.0)</f>
        <v>0</v>
      </c>
      <c r="O25" s="130">
        <f>IFERROR(__xludf.DUMMYFUNCTION("""COMPUTED_VALUE"""),0.0)</f>
        <v>0</v>
      </c>
      <c r="P25" s="130">
        <f>IFERROR(__xludf.DUMMYFUNCTION("""COMPUTED_VALUE"""),0.0)</f>
        <v>0</v>
      </c>
      <c r="Q25" s="130">
        <f>IFERROR(__xludf.DUMMYFUNCTION("""COMPUTED_VALUE"""),0.0)</f>
        <v>0</v>
      </c>
      <c r="R25" s="130">
        <f>IFERROR(__xludf.DUMMYFUNCTION("""COMPUTED_VALUE"""),0.0)</f>
        <v>0</v>
      </c>
      <c r="S25" s="130">
        <f>IFERROR(__xludf.DUMMYFUNCTION("""COMPUTED_VALUE"""),0.0)</f>
        <v>0</v>
      </c>
      <c r="T25" s="130">
        <f>IFERROR(__xludf.DUMMYFUNCTION("""COMPUTED_VALUE"""),0.0)</f>
        <v>0</v>
      </c>
      <c r="U25" s="130">
        <f>IFERROR(__xludf.DUMMYFUNCTION("""COMPUTED_VALUE"""),0.0)</f>
        <v>0</v>
      </c>
      <c r="V25" s="131">
        <f>IFERROR(__xludf.DUMMYFUNCTION("""COMPUTED_VALUE"""),0.0)</f>
        <v>0</v>
      </c>
      <c r="W25" s="131" t="str">
        <f>IFERROR(__xludf.DUMMYFUNCTION("""COMPUTED_VALUE"""),"Yes")</f>
        <v>Yes</v>
      </c>
      <c r="X25" s="131" t="str">
        <f>IFERROR(__xludf.DUMMYFUNCTION("""COMPUTED_VALUE"""),"Yes")</f>
        <v>Yes</v>
      </c>
      <c r="Y25" s="131" t="str">
        <f>IFERROR(__xludf.DUMMYFUNCTION("""COMPUTED_VALUE"""),"S")</f>
        <v>S</v>
      </c>
      <c r="Z25" s="131"/>
      <c r="AA25" s="131"/>
      <c r="AB25" s="131"/>
      <c r="AC25" s="131"/>
      <c r="AD25" s="131"/>
      <c r="AE25" s="131"/>
      <c r="AF25" s="131"/>
      <c r="AG25" s="131"/>
      <c r="AH25" s="131"/>
      <c r="AI25" s="131"/>
      <c r="AJ25" s="131"/>
    </row>
    <row r="26">
      <c r="A26" s="126">
        <f>IFERROR(__xludf.DUMMYFUNCTION("""COMPUTED_VALUE"""),74.0)</f>
        <v>74</v>
      </c>
      <c r="B26" s="126" t="str">
        <f>IFERROR(__xludf.DUMMYFUNCTION("""COMPUTED_VALUE"""),"Real-time energy-conserving VM-provisioning framework for cloud-data centers")</f>
        <v>Real-time energy-conserving VM-provisioning framework for cloud-data centers</v>
      </c>
      <c r="C26" s="127" t="str">
        <f>IFERROR(__xludf.DUMMYFUNCTION("""COMPUTED_VALUE"""),"https://ieeexplore.ieee.org/abstract/document/8666614/")</f>
        <v>https://ieeexplore.ieee.org/abstract/document/8666614/</v>
      </c>
      <c r="D26" s="126" t="str">
        <f>IFERROR(__xludf.DUMMYFUNCTION("""COMPUTED_VALUE"""),"S Ismaeel, A Miri")</f>
        <v>S Ismaeel, A Miri</v>
      </c>
      <c r="E26" s="126" t="str">
        <f>IFERROR(__xludf.DUMMYFUNCTION("""COMPUTED_VALUE"""),"Institute of Electrical and Electronics Engineers")</f>
        <v>Institute of Electrical and Electronics Engineers</v>
      </c>
      <c r="F26" s="126" t="str">
        <f>IFERROR(__xludf.DUMMYFUNCTION("""COMPUTED_VALUE"""),"IEEE Xplore")</f>
        <v>IEEE Xplore</v>
      </c>
      <c r="G26" s="128" t="str">
        <f>IFERROR(__xludf.DUMMYFUNCTION("""COMPUTED_VALUE"""),"C")</f>
        <v>C</v>
      </c>
      <c r="H26" s="129">
        <f>IFERROR(__xludf.DUMMYFUNCTION("""COMPUTED_VALUE"""),2019.0)</f>
        <v>2019</v>
      </c>
      <c r="I26" s="129">
        <f>IFERROR(__xludf.DUMMYFUNCTION("""COMPUTED_VALUE"""),1.0)</f>
        <v>1</v>
      </c>
      <c r="J26" s="129">
        <f>IFERROR(__xludf.DUMMYFUNCTION("""COMPUTED_VALUE"""),1.0)</f>
        <v>1</v>
      </c>
      <c r="K26" s="130">
        <f>IFERROR(__xludf.DUMMYFUNCTION("""COMPUTED_VALUE"""),1.0)</f>
        <v>1</v>
      </c>
      <c r="L26" s="130">
        <f>IFERROR(__xludf.DUMMYFUNCTION("""COMPUTED_VALUE"""),1.0)</f>
        <v>1</v>
      </c>
      <c r="M26" s="130">
        <f>IFERROR(__xludf.DUMMYFUNCTION("""COMPUTED_VALUE"""),1.0)</f>
        <v>1</v>
      </c>
      <c r="N26" s="130">
        <f>IFERROR(__xludf.DUMMYFUNCTION("""COMPUTED_VALUE"""),0.0)</f>
        <v>0</v>
      </c>
      <c r="O26" s="130">
        <f>IFERROR(__xludf.DUMMYFUNCTION("""COMPUTED_VALUE"""),0.0)</f>
        <v>0</v>
      </c>
      <c r="P26" s="129">
        <f>IFERROR(__xludf.DUMMYFUNCTION("""COMPUTED_VALUE"""),0.0)</f>
        <v>0</v>
      </c>
      <c r="Q26" s="129">
        <f>IFERROR(__xludf.DUMMYFUNCTION("""COMPUTED_VALUE"""),0.0)</f>
        <v>0</v>
      </c>
      <c r="R26" s="129">
        <f>IFERROR(__xludf.DUMMYFUNCTION("""COMPUTED_VALUE"""),0.0)</f>
        <v>0</v>
      </c>
      <c r="S26" s="129">
        <f>IFERROR(__xludf.DUMMYFUNCTION("""COMPUTED_VALUE"""),0.0)</f>
        <v>0</v>
      </c>
      <c r="T26" s="129">
        <f>IFERROR(__xludf.DUMMYFUNCTION("""COMPUTED_VALUE"""),0.0)</f>
        <v>0</v>
      </c>
      <c r="U26" s="129">
        <f>IFERROR(__xludf.DUMMYFUNCTION("""COMPUTED_VALUE"""),0.0)</f>
        <v>0</v>
      </c>
      <c r="V26" s="126">
        <f>IFERROR(__xludf.DUMMYFUNCTION("""COMPUTED_VALUE"""),0.0)</f>
        <v>0</v>
      </c>
      <c r="W26" s="126" t="str">
        <f>IFERROR(__xludf.DUMMYFUNCTION("""COMPUTED_VALUE"""),"Yes")</f>
        <v>Yes</v>
      </c>
      <c r="X26" s="126" t="str">
        <f>IFERROR(__xludf.DUMMYFUNCTION("""COMPUTED_VALUE"""),"Yes")</f>
        <v>Yes</v>
      </c>
      <c r="Y26" s="126" t="str">
        <f>IFERROR(__xludf.DUMMYFUNCTION("""COMPUTED_VALUE"""),"S")</f>
        <v>S</v>
      </c>
      <c r="Z26" s="126"/>
      <c r="AA26" s="126"/>
      <c r="AB26" s="126"/>
      <c r="AC26" s="126"/>
      <c r="AD26" s="126"/>
      <c r="AE26" s="126"/>
      <c r="AF26" s="126"/>
      <c r="AG26" s="126"/>
      <c r="AH26" s="126"/>
      <c r="AI26" s="126"/>
      <c r="AJ26" s="126"/>
    </row>
    <row r="27">
      <c r="A27" s="126">
        <f>IFERROR(__xludf.DUMMYFUNCTION("""COMPUTED_VALUE"""),77.0)</f>
        <v>77</v>
      </c>
      <c r="B27" s="126" t="str">
        <f>IFERROR(__xludf.DUMMYFUNCTION("""COMPUTED_VALUE"""),"Energy consumption optimization scheme of cloud data center based on SDN")</f>
        <v>Energy consumption optimization scheme of cloud data center based on SDN</v>
      </c>
      <c r="C27" s="127" t="str">
        <f>IFERROR(__xludf.DUMMYFUNCTION("""COMPUTED_VALUE"""),"https://www.sciencedirect.com/science/article/pii/S1877050918307075")</f>
        <v>https://www.sciencedirect.com/science/article/pii/S1877050918307075</v>
      </c>
      <c r="D27" s="126" t="str">
        <f>IFERROR(__xludf.DUMMYFUNCTION("""COMPUTED_VALUE"""),"Q Liao, Z Wang")</f>
        <v>Q Liao, Z Wang</v>
      </c>
      <c r="E27" s="126" t="str">
        <f>IFERROR(__xludf.DUMMYFUNCTION("""COMPUTED_VALUE"""),"Elsevier")</f>
        <v>Elsevier</v>
      </c>
      <c r="F27" s="126" t="str">
        <f>IFERROR(__xludf.DUMMYFUNCTION("""COMPUTED_VALUE"""),"Elsevier")</f>
        <v>Elsevier</v>
      </c>
      <c r="G27" s="128" t="str">
        <f>IFERROR(__xludf.DUMMYFUNCTION("""COMPUTED_VALUE"""),"J")</f>
        <v>J</v>
      </c>
      <c r="H27" s="129">
        <f>IFERROR(__xludf.DUMMYFUNCTION("""COMPUTED_VALUE"""),2018.0)</f>
        <v>2018</v>
      </c>
      <c r="I27" s="129">
        <f>IFERROR(__xludf.DUMMYFUNCTION("""COMPUTED_VALUE"""),1.0)</f>
        <v>1</v>
      </c>
      <c r="J27" s="129">
        <f>IFERROR(__xludf.DUMMYFUNCTION("""COMPUTED_VALUE"""),1.0)</f>
        <v>1</v>
      </c>
      <c r="K27" s="130">
        <f>IFERROR(__xludf.DUMMYFUNCTION("""COMPUTED_VALUE"""),1.0)</f>
        <v>1</v>
      </c>
      <c r="L27" s="130">
        <f>IFERROR(__xludf.DUMMYFUNCTION("""COMPUTED_VALUE"""),1.0)</f>
        <v>1</v>
      </c>
      <c r="M27" s="130">
        <f>IFERROR(__xludf.DUMMYFUNCTION("""COMPUTED_VALUE"""),1.0)</f>
        <v>1</v>
      </c>
      <c r="N27" s="130">
        <f>IFERROR(__xludf.DUMMYFUNCTION("""COMPUTED_VALUE"""),0.0)</f>
        <v>0</v>
      </c>
      <c r="O27" s="130">
        <f>IFERROR(__xludf.DUMMYFUNCTION("""COMPUTED_VALUE"""),0.0)</f>
        <v>0</v>
      </c>
      <c r="P27" s="129">
        <f>IFERROR(__xludf.DUMMYFUNCTION("""COMPUTED_VALUE"""),0.0)</f>
        <v>0</v>
      </c>
      <c r="Q27" s="129">
        <f>IFERROR(__xludf.DUMMYFUNCTION("""COMPUTED_VALUE"""),0.0)</f>
        <v>0</v>
      </c>
      <c r="R27" s="129">
        <f>IFERROR(__xludf.DUMMYFUNCTION("""COMPUTED_VALUE"""),0.0)</f>
        <v>0</v>
      </c>
      <c r="S27" s="129">
        <f>IFERROR(__xludf.DUMMYFUNCTION("""COMPUTED_VALUE"""),0.0)</f>
        <v>0</v>
      </c>
      <c r="T27" s="129">
        <f>IFERROR(__xludf.DUMMYFUNCTION("""COMPUTED_VALUE"""),0.0)</f>
        <v>0</v>
      </c>
      <c r="U27" s="129">
        <f>IFERROR(__xludf.DUMMYFUNCTION("""COMPUTED_VALUE"""),0.0)</f>
        <v>0</v>
      </c>
      <c r="V27" s="126">
        <f>IFERROR(__xludf.DUMMYFUNCTION("""COMPUTED_VALUE"""),0.0)</f>
        <v>0</v>
      </c>
      <c r="W27" s="126" t="str">
        <f>IFERROR(__xludf.DUMMYFUNCTION("""COMPUTED_VALUE"""),"Yes")</f>
        <v>Yes</v>
      </c>
      <c r="X27" s="126" t="str">
        <f>IFERROR(__xludf.DUMMYFUNCTION("""COMPUTED_VALUE"""),"Yes")</f>
        <v>Yes</v>
      </c>
      <c r="Y27" s="126" t="str">
        <f>IFERROR(__xludf.DUMMYFUNCTION("""COMPUTED_VALUE"""),"S")</f>
        <v>S</v>
      </c>
      <c r="Z27" s="126"/>
      <c r="AA27" s="126"/>
      <c r="AB27" s="126"/>
      <c r="AC27" s="126"/>
      <c r="AD27" s="126"/>
      <c r="AE27" s="126"/>
      <c r="AF27" s="126"/>
      <c r="AG27" s="126"/>
      <c r="AH27" s="126"/>
      <c r="AI27" s="126"/>
      <c r="AJ27" s="126"/>
    </row>
    <row r="28">
      <c r="A28" s="126">
        <f>IFERROR(__xludf.DUMMYFUNCTION("""COMPUTED_VALUE"""),78.0)</f>
        <v>78</v>
      </c>
      <c r="B28" s="126" t="str">
        <f>IFERROR(__xludf.DUMMYFUNCTION("""COMPUTED_VALUE"""),"Energy-Aware Virtual Data Center Migration")</f>
        <v>Energy-Aware Virtual Data Center Migration</v>
      </c>
      <c r="C28" s="127" t="str">
        <f>IFERROR(__xludf.DUMMYFUNCTION("""COMPUTED_VALUE"""),"https://www.jstage.jst.go.jp/article/jaciii/23/2/23_209/_article/-char/ja/")</f>
        <v>https://www.jstage.jst.go.jp/article/jaciii/23/2/23_209/_article/-char/ja/</v>
      </c>
      <c r="D28" s="126" t="str">
        <f>IFERROR(__xludf.DUMMYFUNCTION("""COMPUTED_VALUE"""),"X Ma, Z Zhang, S Su")</f>
        <v>X Ma, Z Zhang, S Su</v>
      </c>
      <c r="E28" s="126" t="str">
        <f>IFERROR(__xludf.DUMMYFUNCTION("""COMPUTED_VALUE"""),"Journal of Advanced Computational Intelligence and Intelligent Informatics")</f>
        <v>Journal of Advanced Computational Intelligence and Intelligent Informatics</v>
      </c>
      <c r="F28" s="126" t="str">
        <f>IFERROR(__xludf.DUMMYFUNCTION("""COMPUTED_VALUE"""),"JACIII")</f>
        <v>JACIII</v>
      </c>
      <c r="G28" s="128" t="str">
        <f>IFERROR(__xludf.DUMMYFUNCTION("""COMPUTED_VALUE"""),"J")</f>
        <v>J</v>
      </c>
      <c r="H28" s="129">
        <f>IFERROR(__xludf.DUMMYFUNCTION("""COMPUTED_VALUE"""),2019.0)</f>
        <v>2019</v>
      </c>
      <c r="I28" s="129">
        <f>IFERROR(__xludf.DUMMYFUNCTION("""COMPUTED_VALUE"""),1.0)</f>
        <v>1</v>
      </c>
      <c r="J28" s="129">
        <f>IFERROR(__xludf.DUMMYFUNCTION("""COMPUTED_VALUE"""),1.0)</f>
        <v>1</v>
      </c>
      <c r="K28" s="130">
        <f>IFERROR(__xludf.DUMMYFUNCTION("""COMPUTED_VALUE"""),1.0)</f>
        <v>1</v>
      </c>
      <c r="L28" s="130">
        <f>IFERROR(__xludf.DUMMYFUNCTION("""COMPUTED_VALUE"""),1.0)</f>
        <v>1</v>
      </c>
      <c r="M28" s="130">
        <f>IFERROR(__xludf.DUMMYFUNCTION("""COMPUTED_VALUE"""),1.0)</f>
        <v>1</v>
      </c>
      <c r="N28" s="130">
        <f>IFERROR(__xludf.DUMMYFUNCTION("""COMPUTED_VALUE"""),0.0)</f>
        <v>0</v>
      </c>
      <c r="O28" s="130">
        <f>IFERROR(__xludf.DUMMYFUNCTION("""COMPUTED_VALUE"""),0.0)</f>
        <v>0</v>
      </c>
      <c r="P28" s="129">
        <f>IFERROR(__xludf.DUMMYFUNCTION("""COMPUTED_VALUE"""),0.0)</f>
        <v>0</v>
      </c>
      <c r="Q28" s="129">
        <f>IFERROR(__xludf.DUMMYFUNCTION("""COMPUTED_VALUE"""),0.0)</f>
        <v>0</v>
      </c>
      <c r="R28" s="129">
        <f>IFERROR(__xludf.DUMMYFUNCTION("""COMPUTED_VALUE"""),0.0)</f>
        <v>0</v>
      </c>
      <c r="S28" s="129">
        <f>IFERROR(__xludf.DUMMYFUNCTION("""COMPUTED_VALUE"""),0.0)</f>
        <v>0</v>
      </c>
      <c r="T28" s="129">
        <f>IFERROR(__xludf.DUMMYFUNCTION("""COMPUTED_VALUE"""),0.0)</f>
        <v>0</v>
      </c>
      <c r="U28" s="129">
        <f>IFERROR(__xludf.DUMMYFUNCTION("""COMPUTED_VALUE"""),0.0)</f>
        <v>0</v>
      </c>
      <c r="V28" s="126">
        <f>IFERROR(__xludf.DUMMYFUNCTION("""COMPUTED_VALUE"""),0.0)</f>
        <v>0</v>
      </c>
      <c r="W28" s="126" t="str">
        <f>IFERROR(__xludf.DUMMYFUNCTION("""COMPUTED_VALUE"""),"Yes")</f>
        <v>Yes</v>
      </c>
      <c r="X28" s="126" t="str">
        <f>IFERROR(__xludf.DUMMYFUNCTION("""COMPUTED_VALUE"""),"Yes")</f>
        <v>Yes</v>
      </c>
      <c r="Y28" s="126" t="str">
        <f>IFERROR(__xludf.DUMMYFUNCTION("""COMPUTED_VALUE"""),"S")</f>
        <v>S</v>
      </c>
      <c r="Z28" s="126"/>
      <c r="AA28" s="126"/>
      <c r="AB28" s="126"/>
      <c r="AC28" s="126"/>
      <c r="AD28" s="126"/>
      <c r="AE28" s="126"/>
      <c r="AF28" s="126"/>
      <c r="AG28" s="126"/>
      <c r="AH28" s="126"/>
      <c r="AI28" s="126"/>
      <c r="AJ28" s="126"/>
    </row>
    <row r="29">
      <c r="A29" s="126">
        <f>IFERROR(__xludf.DUMMYFUNCTION("""COMPUTED_VALUE"""),79.0)</f>
        <v>79</v>
      </c>
      <c r="B29" s="126" t="str">
        <f>IFERROR(__xludf.DUMMYFUNCTION("""COMPUTED_VALUE"""),"Profile-guided three-phase virtual resource management for energy efficiency of data centers")</f>
        <v>Profile-guided three-phase virtual resource management for energy efficiency of data centers</v>
      </c>
      <c r="C29" s="127" t="str">
        <f>IFERROR(__xludf.DUMMYFUNCTION("""COMPUTED_VALUE"""),"https://ieeexplore.ieee.org/abstract/document/8663624/")</f>
        <v>https://ieeexplore.ieee.org/abstract/document/8663624/</v>
      </c>
      <c r="D29" s="126" t="str">
        <f>IFERROR(__xludf.DUMMYFUNCTION("""COMPUTED_VALUE"""),"Z Ding, YC Tian, M Tang, Y Li, Y Wang, C Zhou")</f>
        <v>Z Ding, YC Tian, M Tang, Y Li, Y Wang, C Zhou</v>
      </c>
      <c r="E29" s="126" t="str">
        <f>IFERROR(__xludf.DUMMYFUNCTION("""COMPUTED_VALUE"""),"Institute of Electrical and Electronics Engineers")</f>
        <v>Institute of Electrical and Electronics Engineers</v>
      </c>
      <c r="F29" s="126" t="str">
        <f>IFERROR(__xludf.DUMMYFUNCTION("""COMPUTED_VALUE"""),"IEEE Xplore")</f>
        <v>IEEE Xplore</v>
      </c>
      <c r="G29" s="128" t="str">
        <f>IFERROR(__xludf.DUMMYFUNCTION("""COMPUTED_VALUE"""),"J")</f>
        <v>J</v>
      </c>
      <c r="H29" s="130">
        <f>IFERROR(__xludf.DUMMYFUNCTION("""COMPUTED_VALUE"""),2019.0)</f>
        <v>2019</v>
      </c>
      <c r="I29" s="130">
        <f>IFERROR(__xludf.DUMMYFUNCTION("""COMPUTED_VALUE"""),1.0)</f>
        <v>1</v>
      </c>
      <c r="J29" s="130">
        <f>IFERROR(__xludf.DUMMYFUNCTION("""COMPUTED_VALUE"""),1.0)</f>
        <v>1</v>
      </c>
      <c r="K29" s="129">
        <f>IFERROR(__xludf.DUMMYFUNCTION("""COMPUTED_VALUE"""),1.0)</f>
        <v>1</v>
      </c>
      <c r="L29" s="129">
        <f>IFERROR(__xludf.DUMMYFUNCTION("""COMPUTED_VALUE"""),1.0)</f>
        <v>1</v>
      </c>
      <c r="M29" s="130">
        <f>IFERROR(__xludf.DUMMYFUNCTION("""COMPUTED_VALUE"""),1.0)</f>
        <v>1</v>
      </c>
      <c r="N29" s="130">
        <f>IFERROR(__xludf.DUMMYFUNCTION("""COMPUTED_VALUE"""),0.0)</f>
        <v>0</v>
      </c>
      <c r="O29" s="130">
        <f>IFERROR(__xludf.DUMMYFUNCTION("""COMPUTED_VALUE"""),0.0)</f>
        <v>0</v>
      </c>
      <c r="P29" s="130">
        <f>IFERROR(__xludf.DUMMYFUNCTION("""COMPUTED_VALUE"""),0.0)</f>
        <v>0</v>
      </c>
      <c r="Q29" s="130">
        <f>IFERROR(__xludf.DUMMYFUNCTION("""COMPUTED_VALUE"""),0.0)</f>
        <v>0</v>
      </c>
      <c r="R29" s="130">
        <f>IFERROR(__xludf.DUMMYFUNCTION("""COMPUTED_VALUE"""),0.0)</f>
        <v>0</v>
      </c>
      <c r="S29" s="130">
        <f>IFERROR(__xludf.DUMMYFUNCTION("""COMPUTED_VALUE"""),0.0)</f>
        <v>0</v>
      </c>
      <c r="T29" s="130">
        <f>IFERROR(__xludf.DUMMYFUNCTION("""COMPUTED_VALUE"""),0.0)</f>
        <v>0</v>
      </c>
      <c r="U29" s="130">
        <f>IFERROR(__xludf.DUMMYFUNCTION("""COMPUTED_VALUE"""),0.0)</f>
        <v>0</v>
      </c>
      <c r="V29" s="131">
        <f>IFERROR(__xludf.DUMMYFUNCTION("""COMPUTED_VALUE"""),0.0)</f>
        <v>0</v>
      </c>
      <c r="W29" s="131" t="str">
        <f>IFERROR(__xludf.DUMMYFUNCTION("""COMPUTED_VALUE"""),"Yes")</f>
        <v>Yes</v>
      </c>
      <c r="X29" s="131" t="str">
        <f>IFERROR(__xludf.DUMMYFUNCTION("""COMPUTED_VALUE"""),"Yes")</f>
        <v>Yes</v>
      </c>
      <c r="Y29" s="131" t="str">
        <f>IFERROR(__xludf.DUMMYFUNCTION("""COMPUTED_VALUE"""),"S")</f>
        <v>S</v>
      </c>
      <c r="Z29" s="131"/>
      <c r="AA29" s="131"/>
      <c r="AB29" s="131"/>
      <c r="AC29" s="131"/>
      <c r="AD29" s="131"/>
      <c r="AE29" s="131"/>
      <c r="AF29" s="131"/>
      <c r="AG29" s="131"/>
      <c r="AH29" s="131"/>
      <c r="AI29" s="131"/>
      <c r="AJ29" s="131"/>
    </row>
    <row r="30">
      <c r="A30" s="126">
        <f>IFERROR(__xludf.DUMMYFUNCTION("""COMPUTED_VALUE"""),81.0)</f>
        <v>81</v>
      </c>
      <c r="B30" s="126" t="str">
        <f>IFERROR(__xludf.DUMMYFUNCTION("""COMPUTED_VALUE"""),"Batch Arrival Multiserver Queue with State-Dependent Setup for Energy-Saving Data Center")</f>
        <v>Batch Arrival Multiserver Queue with State-Dependent Setup for Energy-Saving Data Center</v>
      </c>
      <c r="C30" s="127" t="str">
        <f>IFERROR(__xludf.DUMMYFUNCTION("""COMPUTED_VALUE"""),"https://link.springer.com/chapter/10.1007/978-981-15-5951-8_25")</f>
        <v>https://link.springer.com/chapter/10.1007/978-981-15-5951-8_25</v>
      </c>
      <c r="D30" s="126" t="str">
        <f>IFERROR(__xludf.DUMMYFUNCTION("""COMPUTED_VALUE"""),"T Phung-Duc")</f>
        <v>T Phung-Duc</v>
      </c>
      <c r="E30" s="126" t="str">
        <f>IFERROR(__xludf.DUMMYFUNCTION("""COMPUTED_VALUE"""),"Springer")</f>
        <v>Springer</v>
      </c>
      <c r="F30" s="126" t="str">
        <f>IFERROR(__xludf.DUMMYFUNCTION("""COMPUTED_VALUE"""),"Springer")</f>
        <v>Springer</v>
      </c>
      <c r="G30" s="128"/>
      <c r="H30" s="129">
        <f>IFERROR(__xludf.DUMMYFUNCTION("""COMPUTED_VALUE"""),2020.0)</f>
        <v>2020</v>
      </c>
      <c r="I30" s="129">
        <f>IFERROR(__xludf.DUMMYFUNCTION("""COMPUTED_VALUE"""),1.0)</f>
        <v>1</v>
      </c>
      <c r="J30" s="129">
        <f>IFERROR(__xludf.DUMMYFUNCTION("""COMPUTED_VALUE"""),1.0)</f>
        <v>1</v>
      </c>
      <c r="K30" s="130">
        <f>IFERROR(__xludf.DUMMYFUNCTION("""COMPUTED_VALUE"""),1.0)</f>
        <v>1</v>
      </c>
      <c r="L30" s="130">
        <f>IFERROR(__xludf.DUMMYFUNCTION("""COMPUTED_VALUE"""),1.0)</f>
        <v>1</v>
      </c>
      <c r="M30" s="130">
        <f>IFERROR(__xludf.DUMMYFUNCTION("""COMPUTED_VALUE"""),1.0)</f>
        <v>1</v>
      </c>
      <c r="N30" s="130">
        <f>IFERROR(__xludf.DUMMYFUNCTION("""COMPUTED_VALUE"""),0.0)</f>
        <v>0</v>
      </c>
      <c r="O30" s="130">
        <f>IFERROR(__xludf.DUMMYFUNCTION("""COMPUTED_VALUE"""),0.0)</f>
        <v>0</v>
      </c>
      <c r="P30" s="129">
        <f>IFERROR(__xludf.DUMMYFUNCTION("""COMPUTED_VALUE"""),0.0)</f>
        <v>0</v>
      </c>
      <c r="Q30" s="129">
        <f>IFERROR(__xludf.DUMMYFUNCTION("""COMPUTED_VALUE"""),0.0)</f>
        <v>0</v>
      </c>
      <c r="R30" s="129">
        <f>IFERROR(__xludf.DUMMYFUNCTION("""COMPUTED_VALUE"""),0.0)</f>
        <v>0</v>
      </c>
      <c r="S30" s="129">
        <f>IFERROR(__xludf.DUMMYFUNCTION("""COMPUTED_VALUE"""),0.0)</f>
        <v>0</v>
      </c>
      <c r="T30" s="129">
        <f>IFERROR(__xludf.DUMMYFUNCTION("""COMPUTED_VALUE"""),0.0)</f>
        <v>0</v>
      </c>
      <c r="U30" s="129">
        <f>IFERROR(__xludf.DUMMYFUNCTION("""COMPUTED_VALUE"""),0.0)</f>
        <v>0</v>
      </c>
      <c r="V30" s="126">
        <f>IFERROR(__xludf.DUMMYFUNCTION("""COMPUTED_VALUE"""),0.0)</f>
        <v>0</v>
      </c>
      <c r="W30" s="126" t="str">
        <f>IFERROR(__xludf.DUMMYFUNCTION("""COMPUTED_VALUE"""),"Yes")</f>
        <v>Yes</v>
      </c>
      <c r="X30" s="126" t="str">
        <f>IFERROR(__xludf.DUMMYFUNCTION("""COMPUTED_VALUE"""),"Yes")</f>
        <v>Yes</v>
      </c>
      <c r="Y30" s="126" t="str">
        <f>IFERROR(__xludf.DUMMYFUNCTION("""COMPUTED_VALUE"""),"S")</f>
        <v>S</v>
      </c>
      <c r="Z30" s="126"/>
      <c r="AA30" s="126"/>
      <c r="AB30" s="126"/>
      <c r="AC30" s="126"/>
      <c r="AD30" s="126"/>
      <c r="AE30" s="126"/>
      <c r="AF30" s="126"/>
      <c r="AG30" s="126"/>
      <c r="AH30" s="126"/>
      <c r="AI30" s="126"/>
      <c r="AJ30" s="126"/>
    </row>
    <row r="31">
      <c r="A31" s="126">
        <f>IFERROR(__xludf.DUMMYFUNCTION("""COMPUTED_VALUE"""),82.0)</f>
        <v>82</v>
      </c>
      <c r="B31" s="126" t="str">
        <f>IFERROR(__xludf.DUMMYFUNCTION("""COMPUTED_VALUE"""),"Energy efficient virtual machine placement with an improved ant colony optimization over data center networks")</f>
        <v>Energy efficient virtual machine placement with an improved ant colony optimization over data center networks</v>
      </c>
      <c r="C31" s="127" t="str">
        <f>IFERROR(__xludf.DUMMYFUNCTION("""COMPUTED_VALUE"""),"https://ieeexplore.ieee.org/abstract/document/8693725/")</f>
        <v>https://ieeexplore.ieee.org/abstract/document/8693725/</v>
      </c>
      <c r="D31" s="126" t="str">
        <f>IFERROR(__xludf.DUMMYFUNCTION("""COMPUTED_VALUE"""),"W Wei, H Gu, W Lu, T Zhou, X Liu")</f>
        <v>W Wei, H Gu, W Lu, T Zhou, X Liu</v>
      </c>
      <c r="E31" s="126" t="str">
        <f>IFERROR(__xludf.DUMMYFUNCTION("""COMPUTED_VALUE"""),"Institute of Electrical and Electronics Engineers")</f>
        <v>Institute of Electrical and Electronics Engineers</v>
      </c>
      <c r="F31" s="126" t="str">
        <f>IFERROR(__xludf.DUMMYFUNCTION("""COMPUTED_VALUE"""),"IEEE Xplore")</f>
        <v>IEEE Xplore</v>
      </c>
      <c r="G31" s="132" t="str">
        <f>IFERROR(__xludf.DUMMYFUNCTION("""COMPUTED_VALUE"""),"J")</f>
        <v>J</v>
      </c>
      <c r="H31" s="129">
        <f>IFERROR(__xludf.DUMMYFUNCTION("""COMPUTED_VALUE"""),2019.0)</f>
        <v>2019</v>
      </c>
      <c r="I31" s="129">
        <f>IFERROR(__xludf.DUMMYFUNCTION("""COMPUTED_VALUE"""),1.0)</f>
        <v>1</v>
      </c>
      <c r="J31" s="129">
        <f>IFERROR(__xludf.DUMMYFUNCTION("""COMPUTED_VALUE"""),1.0)</f>
        <v>1</v>
      </c>
      <c r="K31" s="130">
        <f>IFERROR(__xludf.DUMMYFUNCTION("""COMPUTED_VALUE"""),1.0)</f>
        <v>1</v>
      </c>
      <c r="L31" s="130">
        <f>IFERROR(__xludf.DUMMYFUNCTION("""COMPUTED_VALUE"""),1.0)</f>
        <v>1</v>
      </c>
      <c r="M31" s="130">
        <f>IFERROR(__xludf.DUMMYFUNCTION("""COMPUTED_VALUE"""),1.0)</f>
        <v>1</v>
      </c>
      <c r="N31" s="130">
        <f>IFERROR(__xludf.DUMMYFUNCTION("""COMPUTED_VALUE"""),0.0)</f>
        <v>0</v>
      </c>
      <c r="O31" s="130">
        <f>IFERROR(__xludf.DUMMYFUNCTION("""COMPUTED_VALUE"""),0.0)</f>
        <v>0</v>
      </c>
      <c r="P31" s="129">
        <f>IFERROR(__xludf.DUMMYFUNCTION("""COMPUTED_VALUE"""),0.0)</f>
        <v>0</v>
      </c>
      <c r="Q31" s="129">
        <f>IFERROR(__xludf.DUMMYFUNCTION("""COMPUTED_VALUE"""),0.0)</f>
        <v>0</v>
      </c>
      <c r="R31" s="129">
        <f>IFERROR(__xludf.DUMMYFUNCTION("""COMPUTED_VALUE"""),0.0)</f>
        <v>0</v>
      </c>
      <c r="S31" s="129">
        <f>IFERROR(__xludf.DUMMYFUNCTION("""COMPUTED_VALUE"""),0.0)</f>
        <v>0</v>
      </c>
      <c r="T31" s="129">
        <f>IFERROR(__xludf.DUMMYFUNCTION("""COMPUTED_VALUE"""),0.0)</f>
        <v>0</v>
      </c>
      <c r="U31" s="129">
        <f>IFERROR(__xludf.DUMMYFUNCTION("""COMPUTED_VALUE"""),0.0)</f>
        <v>0</v>
      </c>
      <c r="V31" s="126">
        <f>IFERROR(__xludf.DUMMYFUNCTION("""COMPUTED_VALUE"""),0.0)</f>
        <v>0</v>
      </c>
      <c r="W31" s="126" t="str">
        <f>IFERROR(__xludf.DUMMYFUNCTION("""COMPUTED_VALUE"""),"Yes")</f>
        <v>Yes</v>
      </c>
      <c r="X31" s="126" t="str">
        <f>IFERROR(__xludf.DUMMYFUNCTION("""COMPUTED_VALUE"""),"Yes")</f>
        <v>Yes</v>
      </c>
      <c r="Y31" s="126" t="str">
        <f>IFERROR(__xludf.DUMMYFUNCTION("""COMPUTED_VALUE"""),"S")</f>
        <v>S</v>
      </c>
      <c r="Z31" s="126"/>
      <c r="AA31" s="126"/>
      <c r="AB31" s="126"/>
      <c r="AC31" s="126"/>
      <c r="AD31" s="126"/>
      <c r="AE31" s="126"/>
      <c r="AF31" s="126"/>
      <c r="AG31" s="126"/>
      <c r="AH31" s="126"/>
      <c r="AI31" s="126"/>
      <c r="AJ31" s="126"/>
    </row>
    <row r="32">
      <c r="A32" s="126">
        <f>IFERROR(__xludf.DUMMYFUNCTION("""COMPUTED_VALUE"""),84.0)</f>
        <v>84</v>
      </c>
      <c r="B32" s="126" t="str">
        <f>IFERROR(__xludf.DUMMYFUNCTION("""COMPUTED_VALUE"""),"Reducing the operational cost of cloud data centers through renewable energy")</f>
        <v>Reducing the operational cost of cloud data centers through renewable energy</v>
      </c>
      <c r="C32" s="127" t="str">
        <f>IFERROR(__xludf.DUMMYFUNCTION("""COMPUTED_VALUE"""),"https://www.mdpi.com/1999-4893/11/10/145")</f>
        <v>https://www.mdpi.com/1999-4893/11/10/145</v>
      </c>
      <c r="D32" s="131" t="str">
        <f>IFERROR(__xludf.DUMMYFUNCTION("""COMPUTED_VALUE"""),"D Laganà, C Mastroianni, M Meo, D Renga")</f>
        <v>D Laganà, C Mastroianni, M Meo, D Renga</v>
      </c>
      <c r="E32" s="131" t="str">
        <f>IFERROR(__xludf.DUMMYFUNCTION("""COMPUTED_VALUE"""),"Multidisciplinary Digital Publishing Institute")</f>
        <v>Multidisciplinary Digital Publishing Institute</v>
      </c>
      <c r="F32" s="126" t="str">
        <f>IFERROR(__xludf.DUMMYFUNCTION("""COMPUTED_VALUE"""),"MDPI")</f>
        <v>MDPI</v>
      </c>
      <c r="G32" s="128" t="str">
        <f>IFERROR(__xludf.DUMMYFUNCTION("""COMPUTED_VALUE"""),"J")</f>
        <v>J</v>
      </c>
      <c r="H32" s="130">
        <f>IFERROR(__xludf.DUMMYFUNCTION("""COMPUTED_VALUE"""),2018.0)</f>
        <v>2018</v>
      </c>
      <c r="I32" s="129">
        <f>IFERROR(__xludf.DUMMYFUNCTION("""COMPUTED_VALUE"""),1.0)</f>
        <v>1</v>
      </c>
      <c r="J32" s="130">
        <f>IFERROR(__xludf.DUMMYFUNCTION("""COMPUTED_VALUE"""),1.0)</f>
        <v>1</v>
      </c>
      <c r="K32" s="130">
        <f>IFERROR(__xludf.DUMMYFUNCTION("""COMPUTED_VALUE"""),1.0)</f>
        <v>1</v>
      </c>
      <c r="L32" s="130">
        <f>IFERROR(__xludf.DUMMYFUNCTION("""COMPUTED_VALUE"""),1.0)</f>
        <v>1</v>
      </c>
      <c r="M32" s="130">
        <f>IFERROR(__xludf.DUMMYFUNCTION("""COMPUTED_VALUE"""),1.0)</f>
        <v>1</v>
      </c>
      <c r="N32" s="130">
        <f>IFERROR(__xludf.DUMMYFUNCTION("""COMPUTED_VALUE"""),0.0)</f>
        <v>0</v>
      </c>
      <c r="O32" s="130">
        <f>IFERROR(__xludf.DUMMYFUNCTION("""COMPUTED_VALUE"""),0.0)</f>
        <v>0</v>
      </c>
      <c r="P32" s="130">
        <f>IFERROR(__xludf.DUMMYFUNCTION("""COMPUTED_VALUE"""),0.0)</f>
        <v>0</v>
      </c>
      <c r="Q32" s="129">
        <f>IFERROR(__xludf.DUMMYFUNCTION("""COMPUTED_VALUE"""),0.0)</f>
        <v>0</v>
      </c>
      <c r="R32" s="129">
        <f>IFERROR(__xludf.DUMMYFUNCTION("""COMPUTED_VALUE"""),0.0)</f>
        <v>0</v>
      </c>
      <c r="S32" s="129">
        <f>IFERROR(__xludf.DUMMYFUNCTION("""COMPUTED_VALUE"""),0.0)</f>
        <v>0</v>
      </c>
      <c r="T32" s="129">
        <f>IFERROR(__xludf.DUMMYFUNCTION("""COMPUTED_VALUE"""),0.0)</f>
        <v>0</v>
      </c>
      <c r="U32" s="129">
        <f>IFERROR(__xludf.DUMMYFUNCTION("""COMPUTED_VALUE"""),0.0)</f>
        <v>0</v>
      </c>
      <c r="V32" s="126">
        <f>IFERROR(__xludf.DUMMYFUNCTION("""COMPUTED_VALUE"""),0.0)</f>
        <v>0</v>
      </c>
      <c r="W32" s="126" t="str">
        <f>IFERROR(__xludf.DUMMYFUNCTION("""COMPUTED_VALUE"""),"Yes")</f>
        <v>Yes</v>
      </c>
      <c r="X32" s="126" t="str">
        <f>IFERROR(__xludf.DUMMYFUNCTION("""COMPUTED_VALUE"""),"Yes")</f>
        <v>Yes</v>
      </c>
      <c r="Y32" s="126" t="str">
        <f>IFERROR(__xludf.DUMMYFUNCTION("""COMPUTED_VALUE"""),"S")</f>
        <v>S</v>
      </c>
      <c r="Z32" s="126"/>
      <c r="AA32" s="126"/>
      <c r="AB32" s="126"/>
      <c r="AC32" s="126"/>
      <c r="AD32" s="126"/>
      <c r="AE32" s="126"/>
      <c r="AF32" s="126"/>
      <c r="AG32" s="126"/>
      <c r="AH32" s="126"/>
      <c r="AI32" s="126"/>
      <c r="AJ32" s="126"/>
    </row>
    <row r="33">
      <c r="A33" s="126">
        <f>IFERROR(__xludf.DUMMYFUNCTION("""COMPUTED_VALUE"""),85.0)</f>
        <v>85</v>
      </c>
      <c r="B33" s="126" t="str">
        <f>IFERROR(__xludf.DUMMYFUNCTION("""COMPUTED_VALUE"""),"New approach for reducing energy consumption and load balancing in data centers of cloud computing")</f>
        <v>New approach for reducing energy consumption and load balancing in data centers of cloud computing</v>
      </c>
      <c r="C33" s="127" t="str">
        <f>IFERROR(__xludf.DUMMYFUNCTION("""COMPUTED_VALUE"""),"https://content.iospress.com/articles/journal-of-intelligent-and-fuzzy-systems/ifs181016")</f>
        <v>https://content.iospress.com/articles/journal-of-intelligent-and-fuzzy-systems/ifs181016</v>
      </c>
      <c r="D33" s="126" t="str">
        <f>IFERROR(__xludf.DUMMYFUNCTION("""COMPUTED_VALUE"""),"M Tarahomi, M Izadi")</f>
        <v>M Tarahomi, M Izadi</v>
      </c>
      <c r="E33" s="126" t="str">
        <f>IFERROR(__xludf.DUMMYFUNCTION("""COMPUTED_VALUE"""),"Journal of Intelligent &amp; Fuzzy Systems")</f>
        <v>Journal of Intelligent &amp; Fuzzy Systems</v>
      </c>
      <c r="F33" s="126" t="str">
        <f>IFERROR(__xludf.DUMMYFUNCTION("""COMPUTED_VALUE"""),"JIFS")</f>
        <v>JIFS</v>
      </c>
      <c r="G33" s="128" t="str">
        <f>IFERROR(__xludf.DUMMYFUNCTION("""COMPUTED_VALUE"""),"J")</f>
        <v>J</v>
      </c>
      <c r="H33" s="130">
        <f>IFERROR(__xludf.DUMMYFUNCTION("""COMPUTED_VALUE"""),2019.0)</f>
        <v>2019</v>
      </c>
      <c r="I33" s="130">
        <f>IFERROR(__xludf.DUMMYFUNCTION("""COMPUTED_VALUE"""),1.0)</f>
        <v>1</v>
      </c>
      <c r="J33" s="130">
        <f>IFERROR(__xludf.DUMMYFUNCTION("""COMPUTED_VALUE"""),1.0)</f>
        <v>1</v>
      </c>
      <c r="K33" s="130">
        <f>IFERROR(__xludf.DUMMYFUNCTION("""COMPUTED_VALUE"""),1.0)</f>
        <v>1</v>
      </c>
      <c r="L33" s="130">
        <f>IFERROR(__xludf.DUMMYFUNCTION("""COMPUTED_VALUE"""),1.0)</f>
        <v>1</v>
      </c>
      <c r="M33" s="130">
        <f>IFERROR(__xludf.DUMMYFUNCTION("""COMPUTED_VALUE"""),1.0)</f>
        <v>1</v>
      </c>
      <c r="N33" s="130">
        <f>IFERROR(__xludf.DUMMYFUNCTION("""COMPUTED_VALUE"""),0.0)</f>
        <v>0</v>
      </c>
      <c r="O33" s="130">
        <f>IFERROR(__xludf.DUMMYFUNCTION("""COMPUTED_VALUE"""),0.0)</f>
        <v>0</v>
      </c>
      <c r="P33" s="130">
        <f>IFERROR(__xludf.DUMMYFUNCTION("""COMPUTED_VALUE"""),0.0)</f>
        <v>0</v>
      </c>
      <c r="Q33" s="129">
        <f>IFERROR(__xludf.DUMMYFUNCTION("""COMPUTED_VALUE"""),0.0)</f>
        <v>0</v>
      </c>
      <c r="R33" s="129">
        <f>IFERROR(__xludf.DUMMYFUNCTION("""COMPUTED_VALUE"""),0.0)</f>
        <v>0</v>
      </c>
      <c r="S33" s="129">
        <f>IFERROR(__xludf.DUMMYFUNCTION("""COMPUTED_VALUE"""),0.0)</f>
        <v>0</v>
      </c>
      <c r="T33" s="129">
        <f>IFERROR(__xludf.DUMMYFUNCTION("""COMPUTED_VALUE"""),0.0)</f>
        <v>0</v>
      </c>
      <c r="U33" s="129">
        <f>IFERROR(__xludf.DUMMYFUNCTION("""COMPUTED_VALUE"""),0.0)</f>
        <v>0</v>
      </c>
      <c r="V33" s="126">
        <f>IFERROR(__xludf.DUMMYFUNCTION("""COMPUTED_VALUE"""),0.0)</f>
        <v>0</v>
      </c>
      <c r="W33" s="126" t="str">
        <f>IFERROR(__xludf.DUMMYFUNCTION("""COMPUTED_VALUE"""),"Yes")</f>
        <v>Yes</v>
      </c>
      <c r="X33" s="126" t="str">
        <f>IFERROR(__xludf.DUMMYFUNCTION("""COMPUTED_VALUE"""),"Yes")</f>
        <v>Yes</v>
      </c>
      <c r="Y33" s="126" t="str">
        <f>IFERROR(__xludf.DUMMYFUNCTION("""COMPUTED_VALUE"""),"S")</f>
        <v>S</v>
      </c>
      <c r="Z33" s="126"/>
      <c r="AA33" s="126"/>
      <c r="AB33" s="126"/>
      <c r="AC33" s="126"/>
      <c r="AD33" s="126"/>
      <c r="AE33" s="126"/>
      <c r="AF33" s="126"/>
      <c r="AG33" s="126"/>
      <c r="AH33" s="126"/>
      <c r="AI33" s="126"/>
      <c r="AJ33" s="126"/>
    </row>
    <row r="34">
      <c r="A34" s="126">
        <f>IFERROR(__xludf.DUMMYFUNCTION("""COMPUTED_VALUE"""),87.0)</f>
        <v>87</v>
      </c>
      <c r="B34" s="126" t="str">
        <f>IFERROR(__xludf.DUMMYFUNCTION("""COMPUTED_VALUE"""),"Towards Energy Efficient Servers' Utilization in Datacenters")</f>
        <v>Towards Energy Efficient Servers' Utilization in Datacenters</v>
      </c>
      <c r="C34" s="127" t="str">
        <f>IFERROR(__xludf.DUMMYFUNCTION("""COMPUTED_VALUE"""),"https://link.springer.com/chapter/10.1007/978-3-030-22871-2_19")</f>
        <v>https://link.springer.com/chapter/10.1007/978-3-030-22871-2_19</v>
      </c>
      <c r="D34" s="131" t="str">
        <f>IFERROR(__xludf.DUMMYFUNCTION("""COMPUTED_VALUE"""),"A Osman, A Sagahyroon, R Aburukba, F Aloul")</f>
        <v>A Osman, A Sagahyroon, R Aburukba, F Aloul</v>
      </c>
      <c r="E34" s="131" t="str">
        <f>IFERROR(__xludf.DUMMYFUNCTION("""COMPUTED_VALUE"""),"Springer")</f>
        <v>Springer</v>
      </c>
      <c r="F34" s="126" t="str">
        <f>IFERROR(__xludf.DUMMYFUNCTION("""COMPUTED_VALUE"""),"Springer")</f>
        <v>Springer</v>
      </c>
      <c r="G34" s="128" t="str">
        <f>IFERROR(__xludf.DUMMYFUNCTION("""COMPUTED_VALUE"""),"C")</f>
        <v>C</v>
      </c>
      <c r="H34" s="130">
        <f>IFERROR(__xludf.DUMMYFUNCTION("""COMPUTED_VALUE"""),2019.0)</f>
        <v>2019</v>
      </c>
      <c r="I34" s="130">
        <f>IFERROR(__xludf.DUMMYFUNCTION("""COMPUTED_VALUE"""),1.0)</f>
        <v>1</v>
      </c>
      <c r="J34" s="130">
        <f>IFERROR(__xludf.DUMMYFUNCTION("""COMPUTED_VALUE"""),1.0)</f>
        <v>1</v>
      </c>
      <c r="K34" s="130">
        <f>IFERROR(__xludf.DUMMYFUNCTION("""COMPUTED_VALUE"""),1.0)</f>
        <v>1</v>
      </c>
      <c r="L34" s="129">
        <f>IFERROR(__xludf.DUMMYFUNCTION("""COMPUTED_VALUE"""),1.0)</f>
        <v>1</v>
      </c>
      <c r="M34" s="130">
        <f>IFERROR(__xludf.DUMMYFUNCTION("""COMPUTED_VALUE"""),1.0)</f>
        <v>1</v>
      </c>
      <c r="N34" s="130">
        <f>IFERROR(__xludf.DUMMYFUNCTION("""COMPUTED_VALUE"""),0.0)</f>
        <v>0</v>
      </c>
      <c r="O34" s="130">
        <f>IFERROR(__xludf.DUMMYFUNCTION("""COMPUTED_VALUE"""),0.0)</f>
        <v>0</v>
      </c>
      <c r="P34" s="130">
        <f>IFERROR(__xludf.DUMMYFUNCTION("""COMPUTED_VALUE"""),0.0)</f>
        <v>0</v>
      </c>
      <c r="Q34" s="130">
        <f>IFERROR(__xludf.DUMMYFUNCTION("""COMPUTED_VALUE"""),0.0)</f>
        <v>0</v>
      </c>
      <c r="R34" s="130">
        <f>IFERROR(__xludf.DUMMYFUNCTION("""COMPUTED_VALUE"""),0.0)</f>
        <v>0</v>
      </c>
      <c r="S34" s="130">
        <f>IFERROR(__xludf.DUMMYFUNCTION("""COMPUTED_VALUE"""),0.0)</f>
        <v>0</v>
      </c>
      <c r="T34" s="130">
        <f>IFERROR(__xludf.DUMMYFUNCTION("""COMPUTED_VALUE"""),0.0)</f>
        <v>0</v>
      </c>
      <c r="U34" s="130">
        <f>IFERROR(__xludf.DUMMYFUNCTION("""COMPUTED_VALUE"""),0.0)</f>
        <v>0</v>
      </c>
      <c r="V34" s="131">
        <f>IFERROR(__xludf.DUMMYFUNCTION("""COMPUTED_VALUE"""),0.0)</f>
        <v>0</v>
      </c>
      <c r="W34" s="131" t="str">
        <f>IFERROR(__xludf.DUMMYFUNCTION("""COMPUTED_VALUE"""),"Yes")</f>
        <v>Yes</v>
      </c>
      <c r="X34" s="131" t="str">
        <f>IFERROR(__xludf.DUMMYFUNCTION("""COMPUTED_VALUE"""),"Yes")</f>
        <v>Yes</v>
      </c>
      <c r="Y34" s="131" t="str">
        <f>IFERROR(__xludf.DUMMYFUNCTION("""COMPUTED_VALUE"""),"S")</f>
        <v>S</v>
      </c>
      <c r="Z34" s="131"/>
      <c r="AA34" s="131"/>
      <c r="AB34" s="131"/>
      <c r="AC34" s="131"/>
      <c r="AD34" s="131"/>
      <c r="AE34" s="131"/>
      <c r="AF34" s="131"/>
      <c r="AG34" s="131"/>
      <c r="AH34" s="131"/>
      <c r="AI34" s="131"/>
      <c r="AJ34" s="131"/>
    </row>
    <row r="35">
      <c r="A35" s="126">
        <f>IFERROR(__xludf.DUMMYFUNCTION("""COMPUTED_VALUE"""),90.0)</f>
        <v>90</v>
      </c>
      <c r="B35" s="126" t="str">
        <f>IFERROR(__xludf.DUMMYFUNCTION("""COMPUTED_VALUE"""),"A Dynamic Energy-saving Deployment Algorithm for Virtual Data Centers")</f>
        <v>A Dynamic Energy-saving Deployment Algorithm for Virtual Data Centers</v>
      </c>
      <c r="C35" s="127" t="str">
        <f>IFERROR(__xludf.DUMMYFUNCTION("""COMPUTED_VALUE"""),"https://ieeexplore.ieee.org/abstract/document/9091377/")</f>
        <v>https://ieeexplore.ieee.org/abstract/document/9091377/</v>
      </c>
      <c r="D35" s="131" t="str">
        <f>IFERROR(__xludf.DUMMYFUNCTION("""COMPUTED_VALUE"""),"S Han, J Li, Y Ma, Q Dong, D Wu")</f>
        <v>S Han, J Li, Y Ma, Q Dong, D Wu</v>
      </c>
      <c r="E35" s="131" t="str">
        <f>IFERROR(__xludf.DUMMYFUNCTION("""COMPUTED_VALUE"""),"Institute of Electrical and Electronics Engineers")</f>
        <v>Institute of Electrical and Electronics Engineers</v>
      </c>
      <c r="F35" s="126" t="str">
        <f>IFERROR(__xludf.DUMMYFUNCTION("""COMPUTED_VALUE"""),"IEEE Xplore")</f>
        <v>IEEE Xplore</v>
      </c>
      <c r="G35" s="128" t="str">
        <f>IFERROR(__xludf.DUMMYFUNCTION("""COMPUTED_VALUE"""),"C")</f>
        <v>C</v>
      </c>
      <c r="H35" s="130">
        <f>IFERROR(__xludf.DUMMYFUNCTION("""COMPUTED_VALUE"""),2019.0)</f>
        <v>2019</v>
      </c>
      <c r="I35" s="130">
        <f>IFERROR(__xludf.DUMMYFUNCTION("""COMPUTED_VALUE"""),1.0)</f>
        <v>1</v>
      </c>
      <c r="J35" s="130">
        <f>IFERROR(__xludf.DUMMYFUNCTION("""COMPUTED_VALUE"""),1.0)</f>
        <v>1</v>
      </c>
      <c r="K35" s="130">
        <f>IFERROR(__xludf.DUMMYFUNCTION("""COMPUTED_VALUE"""),1.0)</f>
        <v>1</v>
      </c>
      <c r="L35" s="129">
        <f>IFERROR(__xludf.DUMMYFUNCTION("""COMPUTED_VALUE"""),1.0)</f>
        <v>1</v>
      </c>
      <c r="M35" s="130">
        <f>IFERROR(__xludf.DUMMYFUNCTION("""COMPUTED_VALUE"""),1.0)</f>
        <v>1</v>
      </c>
      <c r="N35" s="129">
        <f>IFERROR(__xludf.DUMMYFUNCTION("""COMPUTED_VALUE"""),0.0)</f>
        <v>0</v>
      </c>
      <c r="O35" s="130">
        <f>IFERROR(__xludf.DUMMYFUNCTION("""COMPUTED_VALUE"""),0.0)</f>
        <v>0</v>
      </c>
      <c r="P35" s="130">
        <f>IFERROR(__xludf.DUMMYFUNCTION("""COMPUTED_VALUE"""),0.0)</f>
        <v>0</v>
      </c>
      <c r="Q35" s="129">
        <f>IFERROR(__xludf.DUMMYFUNCTION("""COMPUTED_VALUE"""),0.0)</f>
        <v>0</v>
      </c>
      <c r="R35" s="129">
        <f>IFERROR(__xludf.DUMMYFUNCTION("""COMPUTED_VALUE"""),0.0)</f>
        <v>0</v>
      </c>
      <c r="S35" s="129">
        <f>IFERROR(__xludf.DUMMYFUNCTION("""COMPUTED_VALUE"""),0.0)</f>
        <v>0</v>
      </c>
      <c r="T35" s="129">
        <f>IFERROR(__xludf.DUMMYFUNCTION("""COMPUTED_VALUE"""),0.0)</f>
        <v>0</v>
      </c>
      <c r="U35" s="129">
        <f>IFERROR(__xludf.DUMMYFUNCTION("""COMPUTED_VALUE"""),0.0)</f>
        <v>0</v>
      </c>
      <c r="V35" s="126">
        <f>IFERROR(__xludf.DUMMYFUNCTION("""COMPUTED_VALUE"""),0.0)</f>
        <v>0</v>
      </c>
      <c r="W35" s="126" t="str">
        <f>IFERROR(__xludf.DUMMYFUNCTION("""COMPUTED_VALUE"""),"Yes")</f>
        <v>Yes</v>
      </c>
      <c r="X35" s="126" t="str">
        <f>IFERROR(__xludf.DUMMYFUNCTION("""COMPUTED_VALUE"""),"Yes")</f>
        <v>Yes</v>
      </c>
      <c r="Y35" s="126" t="str">
        <f>IFERROR(__xludf.DUMMYFUNCTION("""COMPUTED_VALUE"""),"S")</f>
        <v>S</v>
      </c>
      <c r="Z35" s="126"/>
      <c r="AA35" s="126"/>
      <c r="AB35" s="126"/>
      <c r="AC35" s="126"/>
      <c r="AD35" s="126"/>
      <c r="AE35" s="126"/>
      <c r="AF35" s="126"/>
      <c r="AG35" s="126"/>
      <c r="AH35" s="126"/>
      <c r="AI35" s="126"/>
      <c r="AJ35" s="126"/>
    </row>
    <row r="36">
      <c r="A36" s="126">
        <f>IFERROR(__xludf.DUMMYFUNCTION("""COMPUTED_VALUE"""),91.0)</f>
        <v>91</v>
      </c>
      <c r="B36" s="126" t="str">
        <f>IFERROR(__xludf.DUMMYFUNCTION("""COMPUTED_VALUE"""),"Energy consumption and emission mitigation prediction based on data center traffic and PUE for global data centers")</f>
        <v>Energy consumption and emission mitigation prediction based on data center traffic and PUE for global data centers</v>
      </c>
      <c r="C36" s="127" t="str">
        <f>IFERROR(__xludf.DUMMYFUNCTION("""COMPUTED_VALUE"""),"https://www.sciencedirect.com/science/article/pii/S2096511720300761")</f>
        <v>https://www.sciencedirect.com/science/article/pii/S2096511720300761</v>
      </c>
      <c r="D36" s="126" t="str">
        <f>IFERROR(__xludf.DUMMYFUNCTION("""COMPUTED_VALUE"""),"Y Liu, X Wei, J Xiao, Z Liu, Y Xu, Y Tian")</f>
        <v>Y Liu, X Wei, J Xiao, Z Liu, Y Xu, Y Tian</v>
      </c>
      <c r="E36" s="126" t="str">
        <f>IFERROR(__xludf.DUMMYFUNCTION("""COMPUTED_VALUE"""),"Elsevier")</f>
        <v>Elsevier</v>
      </c>
      <c r="F36" s="126" t="str">
        <f>IFERROR(__xludf.DUMMYFUNCTION("""COMPUTED_VALUE"""),"Elsevier")</f>
        <v>Elsevier</v>
      </c>
      <c r="G36" s="128" t="str">
        <f>IFERROR(__xludf.DUMMYFUNCTION("""COMPUTED_VALUE"""),"J")</f>
        <v>J</v>
      </c>
      <c r="H36" s="129">
        <f>IFERROR(__xludf.DUMMYFUNCTION("""COMPUTED_VALUE"""),2020.0)</f>
        <v>2020</v>
      </c>
      <c r="I36" s="129">
        <f>IFERROR(__xludf.DUMMYFUNCTION("""COMPUTED_VALUE"""),1.0)</f>
        <v>1</v>
      </c>
      <c r="J36" s="129">
        <f>IFERROR(__xludf.DUMMYFUNCTION("""COMPUTED_VALUE"""),1.0)</f>
        <v>1</v>
      </c>
      <c r="K36" s="130">
        <f>IFERROR(__xludf.DUMMYFUNCTION("""COMPUTED_VALUE"""),1.0)</f>
        <v>1</v>
      </c>
      <c r="L36" s="130">
        <f>IFERROR(__xludf.DUMMYFUNCTION("""COMPUTED_VALUE"""),1.0)</f>
        <v>1</v>
      </c>
      <c r="M36" s="130">
        <f>IFERROR(__xludf.DUMMYFUNCTION("""COMPUTED_VALUE"""),1.0)</f>
        <v>1</v>
      </c>
      <c r="N36" s="130">
        <f>IFERROR(__xludf.DUMMYFUNCTION("""COMPUTED_VALUE"""),0.0)</f>
        <v>0</v>
      </c>
      <c r="O36" s="130">
        <f>IFERROR(__xludf.DUMMYFUNCTION("""COMPUTED_VALUE"""),0.0)</f>
        <v>0</v>
      </c>
      <c r="P36" s="130">
        <f>IFERROR(__xludf.DUMMYFUNCTION("""COMPUTED_VALUE"""),0.0)</f>
        <v>0</v>
      </c>
      <c r="Q36" s="130">
        <f>IFERROR(__xludf.DUMMYFUNCTION("""COMPUTED_VALUE"""),0.0)</f>
        <v>0</v>
      </c>
      <c r="R36" s="130">
        <f>IFERROR(__xludf.DUMMYFUNCTION("""COMPUTED_VALUE"""),0.0)</f>
        <v>0</v>
      </c>
      <c r="S36" s="130">
        <f>IFERROR(__xludf.DUMMYFUNCTION("""COMPUTED_VALUE"""),0.0)</f>
        <v>0</v>
      </c>
      <c r="T36" s="130">
        <f>IFERROR(__xludf.DUMMYFUNCTION("""COMPUTED_VALUE"""),0.0)</f>
        <v>0</v>
      </c>
      <c r="U36" s="130">
        <f>IFERROR(__xludf.DUMMYFUNCTION("""COMPUTED_VALUE"""),0.0)</f>
        <v>0</v>
      </c>
      <c r="V36" s="131">
        <f>IFERROR(__xludf.DUMMYFUNCTION("""COMPUTED_VALUE"""),0.0)</f>
        <v>0</v>
      </c>
      <c r="W36" s="131" t="str">
        <f>IFERROR(__xludf.DUMMYFUNCTION("""COMPUTED_VALUE"""),"Yes")</f>
        <v>Yes</v>
      </c>
      <c r="X36" s="131" t="str">
        <f>IFERROR(__xludf.DUMMYFUNCTION("""COMPUTED_VALUE"""),"Yes")</f>
        <v>Yes</v>
      </c>
      <c r="Y36" s="131" t="str">
        <f>IFERROR(__xludf.DUMMYFUNCTION("""COMPUTED_VALUE"""),"S")</f>
        <v>S</v>
      </c>
      <c r="Z36" s="131"/>
      <c r="AA36" s="131"/>
      <c r="AB36" s="131"/>
      <c r="AC36" s="131"/>
      <c r="AD36" s="131"/>
      <c r="AE36" s="131"/>
      <c r="AF36" s="131"/>
      <c r="AG36" s="131"/>
      <c r="AH36" s="131"/>
      <c r="AI36" s="131"/>
      <c r="AJ36" s="131"/>
    </row>
    <row r="37">
      <c r="A37" s="126">
        <f>IFERROR(__xludf.DUMMYFUNCTION("""COMPUTED_VALUE"""),94.0)</f>
        <v>94</v>
      </c>
      <c r="B37" s="126" t="str">
        <f>IFERROR(__xludf.DUMMYFUNCTION("""COMPUTED_VALUE"""),"Energy efficient VM scheduling and routing in multi-tenant cloud data center")</f>
        <v>Energy efficient VM scheduling and routing in multi-tenant cloud data center</v>
      </c>
      <c r="C37" s="127" t="str">
        <f>IFERROR(__xludf.DUMMYFUNCTION("""COMPUTED_VALUE"""),"https://www.sciencedirect.com/science/article/pii/S2210537918303160")</f>
        <v>https://www.sciencedirect.com/science/article/pii/S2210537918303160</v>
      </c>
      <c r="D37" s="131" t="str">
        <f>IFERROR(__xludf.DUMMYFUNCTION("""COMPUTED_VALUE"""),"S Ch, T Ramesh")</f>
        <v>S Ch, T Ramesh</v>
      </c>
      <c r="E37" s="131" t="str">
        <f>IFERROR(__xludf.DUMMYFUNCTION("""COMPUTED_VALUE"""),"Elsevier")</f>
        <v>Elsevier</v>
      </c>
      <c r="F37" s="126" t="str">
        <f>IFERROR(__xludf.DUMMYFUNCTION("""COMPUTED_VALUE"""),"Elsevier")</f>
        <v>Elsevier</v>
      </c>
      <c r="G37" s="132" t="str">
        <f>IFERROR(__xludf.DUMMYFUNCTION("""COMPUTED_VALUE"""),"J")</f>
        <v>J</v>
      </c>
      <c r="H37" s="130">
        <f>IFERROR(__xludf.DUMMYFUNCTION("""COMPUTED_VALUE"""),2019.0)</f>
        <v>2019</v>
      </c>
      <c r="I37" s="130">
        <f>IFERROR(__xludf.DUMMYFUNCTION("""COMPUTED_VALUE"""),1.0)</f>
        <v>1</v>
      </c>
      <c r="J37" s="130">
        <f>IFERROR(__xludf.DUMMYFUNCTION("""COMPUTED_VALUE"""),1.0)</f>
        <v>1</v>
      </c>
      <c r="K37" s="130">
        <f>IFERROR(__xludf.DUMMYFUNCTION("""COMPUTED_VALUE"""),1.0)</f>
        <v>1</v>
      </c>
      <c r="L37" s="129">
        <f>IFERROR(__xludf.DUMMYFUNCTION("""COMPUTED_VALUE"""),1.0)</f>
        <v>1</v>
      </c>
      <c r="M37" s="130">
        <f>IFERROR(__xludf.DUMMYFUNCTION("""COMPUTED_VALUE"""),1.0)</f>
        <v>1</v>
      </c>
      <c r="N37" s="130">
        <f>IFERROR(__xludf.DUMMYFUNCTION("""COMPUTED_VALUE"""),0.0)</f>
        <v>0</v>
      </c>
      <c r="O37" s="130">
        <f>IFERROR(__xludf.DUMMYFUNCTION("""COMPUTED_VALUE"""),0.0)</f>
        <v>0</v>
      </c>
      <c r="P37" s="130">
        <f>IFERROR(__xludf.DUMMYFUNCTION("""COMPUTED_VALUE"""),0.0)</f>
        <v>0</v>
      </c>
      <c r="Q37" s="130">
        <f>IFERROR(__xludf.DUMMYFUNCTION("""COMPUTED_VALUE"""),0.0)</f>
        <v>0</v>
      </c>
      <c r="R37" s="130">
        <f>IFERROR(__xludf.DUMMYFUNCTION("""COMPUTED_VALUE"""),0.0)</f>
        <v>0</v>
      </c>
      <c r="S37" s="130">
        <f>IFERROR(__xludf.DUMMYFUNCTION("""COMPUTED_VALUE"""),0.0)</f>
        <v>0</v>
      </c>
      <c r="T37" s="130">
        <f>IFERROR(__xludf.DUMMYFUNCTION("""COMPUTED_VALUE"""),0.0)</f>
        <v>0</v>
      </c>
      <c r="U37" s="130">
        <f>IFERROR(__xludf.DUMMYFUNCTION("""COMPUTED_VALUE"""),0.0)</f>
        <v>0</v>
      </c>
      <c r="V37" s="131">
        <f>IFERROR(__xludf.DUMMYFUNCTION("""COMPUTED_VALUE"""),0.0)</f>
        <v>0</v>
      </c>
      <c r="W37" s="131" t="str">
        <f>IFERROR(__xludf.DUMMYFUNCTION("""COMPUTED_VALUE"""),"Yes")</f>
        <v>Yes</v>
      </c>
      <c r="X37" s="131" t="str">
        <f>IFERROR(__xludf.DUMMYFUNCTION("""COMPUTED_VALUE"""),"Yes")</f>
        <v>Yes</v>
      </c>
      <c r="Y37" s="131" t="str">
        <f>IFERROR(__xludf.DUMMYFUNCTION("""COMPUTED_VALUE"""),"S")</f>
        <v>S</v>
      </c>
      <c r="Z37" s="131"/>
      <c r="AA37" s="131"/>
      <c r="AB37" s="131"/>
      <c r="AC37" s="131"/>
      <c r="AD37" s="131"/>
      <c r="AE37" s="131"/>
      <c r="AF37" s="131"/>
      <c r="AG37" s="131"/>
      <c r="AH37" s="131"/>
      <c r="AI37" s="131"/>
      <c r="AJ37" s="131"/>
    </row>
    <row r="38">
      <c r="A38" s="126">
        <f>IFERROR(__xludf.DUMMYFUNCTION("""COMPUTED_VALUE"""),97.0)</f>
        <v>97</v>
      </c>
      <c r="B38" s="126" t="str">
        <f>IFERROR(__xludf.DUMMYFUNCTION("""COMPUTED_VALUE"""),"Smartly handling renewable energy instability in supporting a cloud datacenter")</f>
        <v>Smartly handling renewable energy instability in supporting a cloud datacenter</v>
      </c>
      <c r="C38" s="127" t="str">
        <f>IFERROR(__xludf.DUMMYFUNCTION("""COMPUTED_VALUE"""),"https://ieeexplore.ieee.org/abstract/document/9139872/")</f>
        <v>https://ieeexplore.ieee.org/abstract/document/9139872/</v>
      </c>
      <c r="D38" s="126" t="str">
        <f>IFERROR(__xludf.DUMMYFUNCTION("""COMPUTED_VALUE"""),"J Gao, H Wang, H Shen")</f>
        <v>J Gao, H Wang, H Shen</v>
      </c>
      <c r="E38" s="126" t="str">
        <f>IFERROR(__xludf.DUMMYFUNCTION("""COMPUTED_VALUE"""),"Institute of Electrical and Electronics Engineers")</f>
        <v>Institute of Electrical and Electronics Engineers</v>
      </c>
      <c r="F38" s="126" t="str">
        <f>IFERROR(__xludf.DUMMYFUNCTION("""COMPUTED_VALUE"""),"IEEE Xplore")</f>
        <v>IEEE Xplore</v>
      </c>
      <c r="G38" s="128" t="str">
        <f>IFERROR(__xludf.DUMMYFUNCTION("""COMPUTED_VALUE"""),"C")</f>
        <v>C</v>
      </c>
      <c r="H38" s="129">
        <f>IFERROR(__xludf.DUMMYFUNCTION("""COMPUTED_VALUE"""),2020.0)</f>
        <v>2020</v>
      </c>
      <c r="I38" s="129">
        <f>IFERROR(__xludf.DUMMYFUNCTION("""COMPUTED_VALUE"""),1.0)</f>
        <v>1</v>
      </c>
      <c r="J38" s="129">
        <f>IFERROR(__xludf.DUMMYFUNCTION("""COMPUTED_VALUE"""),1.0)</f>
        <v>1</v>
      </c>
      <c r="K38" s="130">
        <f>IFERROR(__xludf.DUMMYFUNCTION("""COMPUTED_VALUE"""),1.0)</f>
        <v>1</v>
      </c>
      <c r="L38" s="129">
        <f>IFERROR(__xludf.DUMMYFUNCTION("""COMPUTED_VALUE"""),1.0)</f>
        <v>1</v>
      </c>
      <c r="M38" s="130">
        <f>IFERROR(__xludf.DUMMYFUNCTION("""COMPUTED_VALUE"""),1.0)</f>
        <v>1</v>
      </c>
      <c r="N38" s="130">
        <f>IFERROR(__xludf.DUMMYFUNCTION("""COMPUTED_VALUE"""),0.0)</f>
        <v>0</v>
      </c>
      <c r="O38" s="130">
        <f>IFERROR(__xludf.DUMMYFUNCTION("""COMPUTED_VALUE"""),0.0)</f>
        <v>0</v>
      </c>
      <c r="P38" s="130">
        <f>IFERROR(__xludf.DUMMYFUNCTION("""COMPUTED_VALUE"""),0.0)</f>
        <v>0</v>
      </c>
      <c r="Q38" s="129">
        <f>IFERROR(__xludf.DUMMYFUNCTION("""COMPUTED_VALUE"""),0.0)</f>
        <v>0</v>
      </c>
      <c r="R38" s="129">
        <f>IFERROR(__xludf.DUMMYFUNCTION("""COMPUTED_VALUE"""),0.0)</f>
        <v>0</v>
      </c>
      <c r="S38" s="129">
        <f>IFERROR(__xludf.DUMMYFUNCTION("""COMPUTED_VALUE"""),0.0)</f>
        <v>0</v>
      </c>
      <c r="T38" s="129">
        <f>IFERROR(__xludf.DUMMYFUNCTION("""COMPUTED_VALUE"""),0.0)</f>
        <v>0</v>
      </c>
      <c r="U38" s="129">
        <f>IFERROR(__xludf.DUMMYFUNCTION("""COMPUTED_VALUE"""),0.0)</f>
        <v>0</v>
      </c>
      <c r="V38" s="126">
        <f>IFERROR(__xludf.DUMMYFUNCTION("""COMPUTED_VALUE"""),0.0)</f>
        <v>0</v>
      </c>
      <c r="W38" s="126" t="str">
        <f>IFERROR(__xludf.DUMMYFUNCTION("""COMPUTED_VALUE"""),"Yes")</f>
        <v>Yes</v>
      </c>
      <c r="X38" s="126" t="str">
        <f>IFERROR(__xludf.DUMMYFUNCTION("""COMPUTED_VALUE"""),"Yes")</f>
        <v>Yes</v>
      </c>
      <c r="Y38" s="126" t="str">
        <f>IFERROR(__xludf.DUMMYFUNCTION("""COMPUTED_VALUE"""),"S")</f>
        <v>S</v>
      </c>
      <c r="Z38" s="126"/>
      <c r="AA38" s="126"/>
      <c r="AB38" s="126"/>
      <c r="AC38" s="126"/>
      <c r="AD38" s="126"/>
      <c r="AE38" s="126"/>
      <c r="AF38" s="126"/>
      <c r="AG38" s="126"/>
      <c r="AH38" s="126"/>
      <c r="AI38" s="126"/>
      <c r="AJ38" s="126"/>
    </row>
    <row r="39">
      <c r="A39" s="126">
        <f>IFERROR(__xludf.DUMMYFUNCTION("""COMPUTED_VALUE"""),99.0)</f>
        <v>99</v>
      </c>
      <c r="B39" s="126" t="str">
        <f>IFERROR(__xludf.DUMMYFUNCTION("""COMPUTED_VALUE"""),"An experience-based scheme for energy-SLA balance in cloud data centers")</f>
        <v>An experience-based scheme for energy-SLA balance in cloud data centers</v>
      </c>
      <c r="C39" s="127" t="str">
        <f>IFERROR(__xludf.DUMMYFUNCTION("""COMPUTED_VALUE"""),"https://ieeexplore.ieee.org/abstract/document/8641327/")</f>
        <v>https://ieeexplore.ieee.org/abstract/document/8641327/</v>
      </c>
      <c r="D39" s="126" t="str">
        <f>IFERROR(__xludf.DUMMYFUNCTION("""COMPUTED_VALUE"""),"X Zhou, K Li, C Liu, K Li")</f>
        <v>X Zhou, K Li, C Liu, K Li</v>
      </c>
      <c r="E39" s="126" t="str">
        <f>IFERROR(__xludf.DUMMYFUNCTION("""COMPUTED_VALUE"""),"Institute of Electrical and Electronics Engineers")</f>
        <v>Institute of Electrical and Electronics Engineers</v>
      </c>
      <c r="F39" s="126" t="str">
        <f>IFERROR(__xludf.DUMMYFUNCTION("""COMPUTED_VALUE"""),"IEEE Xplore")</f>
        <v>IEEE Xplore</v>
      </c>
      <c r="G39" s="128" t="str">
        <f>IFERROR(__xludf.DUMMYFUNCTION("""COMPUTED_VALUE"""),"J")</f>
        <v>J</v>
      </c>
      <c r="H39" s="129">
        <f>IFERROR(__xludf.DUMMYFUNCTION("""COMPUTED_VALUE"""),2019.0)</f>
        <v>2019</v>
      </c>
      <c r="I39" s="129">
        <f>IFERROR(__xludf.DUMMYFUNCTION("""COMPUTED_VALUE"""),1.0)</f>
        <v>1</v>
      </c>
      <c r="J39" s="129">
        <f>IFERROR(__xludf.DUMMYFUNCTION("""COMPUTED_VALUE"""),1.0)</f>
        <v>1</v>
      </c>
      <c r="K39" s="130">
        <f>IFERROR(__xludf.DUMMYFUNCTION("""COMPUTED_VALUE"""),1.0)</f>
        <v>1</v>
      </c>
      <c r="L39" s="130">
        <f>IFERROR(__xludf.DUMMYFUNCTION("""COMPUTED_VALUE"""),1.0)</f>
        <v>1</v>
      </c>
      <c r="M39" s="130">
        <f>IFERROR(__xludf.DUMMYFUNCTION("""COMPUTED_VALUE"""),1.0)</f>
        <v>1</v>
      </c>
      <c r="N39" s="130">
        <f>IFERROR(__xludf.DUMMYFUNCTION("""COMPUTED_VALUE"""),0.0)</f>
        <v>0</v>
      </c>
      <c r="O39" s="130">
        <f>IFERROR(__xludf.DUMMYFUNCTION("""COMPUTED_VALUE"""),0.0)</f>
        <v>0</v>
      </c>
      <c r="P39" s="129">
        <f>IFERROR(__xludf.DUMMYFUNCTION("""COMPUTED_VALUE"""),0.0)</f>
        <v>0</v>
      </c>
      <c r="Q39" s="129">
        <f>IFERROR(__xludf.DUMMYFUNCTION("""COMPUTED_VALUE"""),0.0)</f>
        <v>0</v>
      </c>
      <c r="R39" s="129">
        <f>IFERROR(__xludf.DUMMYFUNCTION("""COMPUTED_VALUE"""),0.0)</f>
        <v>0</v>
      </c>
      <c r="S39" s="129">
        <f>IFERROR(__xludf.DUMMYFUNCTION("""COMPUTED_VALUE"""),0.0)</f>
        <v>0</v>
      </c>
      <c r="T39" s="129">
        <f>IFERROR(__xludf.DUMMYFUNCTION("""COMPUTED_VALUE"""),0.0)</f>
        <v>0</v>
      </c>
      <c r="U39" s="129">
        <f>IFERROR(__xludf.DUMMYFUNCTION("""COMPUTED_VALUE"""),0.0)</f>
        <v>0</v>
      </c>
      <c r="V39" s="126">
        <f>IFERROR(__xludf.DUMMYFUNCTION("""COMPUTED_VALUE"""),0.0)</f>
        <v>0</v>
      </c>
      <c r="W39" s="126" t="str">
        <f>IFERROR(__xludf.DUMMYFUNCTION("""COMPUTED_VALUE"""),"Yes")</f>
        <v>Yes</v>
      </c>
      <c r="X39" s="126" t="str">
        <f>IFERROR(__xludf.DUMMYFUNCTION("""COMPUTED_VALUE"""),"Yes")</f>
        <v>Yes</v>
      </c>
      <c r="Y39" s="126" t="str">
        <f>IFERROR(__xludf.DUMMYFUNCTION("""COMPUTED_VALUE"""),"S")</f>
        <v>S</v>
      </c>
      <c r="Z39" s="126"/>
      <c r="AA39" s="126"/>
      <c r="AB39" s="126"/>
      <c r="AC39" s="126"/>
      <c r="AD39" s="126"/>
      <c r="AE39" s="126"/>
      <c r="AF39" s="126"/>
      <c r="AG39" s="126"/>
      <c r="AH39" s="126"/>
      <c r="AI39" s="126"/>
      <c r="AJ39" s="126"/>
    </row>
    <row r="40">
      <c r="A40" s="126">
        <f>IFERROR(__xludf.DUMMYFUNCTION("""COMPUTED_VALUE"""),100.0)</f>
        <v>100</v>
      </c>
      <c r="B40" s="126" t="str">
        <f>IFERROR(__xludf.DUMMYFUNCTION("""COMPUTED_VALUE"""),"Optimizing energy consumption for a performance-aware cloud data center in the public sector")</f>
        <v>Optimizing energy consumption for a performance-aware cloud data center in the public sector</v>
      </c>
      <c r="C40" s="127" t="str">
        <f>IFERROR(__xludf.DUMMYFUNCTION("""COMPUTED_VALUE"""),"https://www.sciencedirect.com/science/article/pii/S2210537917304043")</f>
        <v>https://www.sciencedirect.com/science/article/pii/S2210537917304043</v>
      </c>
      <c r="D40" s="126" t="str">
        <f>IFERROR(__xludf.DUMMYFUNCTION("""COMPUTED_VALUE"""),"K Chang, S Park, H Kong, W Kim")</f>
        <v>K Chang, S Park, H Kong, W Kim</v>
      </c>
      <c r="E40" s="126" t="str">
        <f>IFERROR(__xludf.DUMMYFUNCTION("""COMPUTED_VALUE"""),"Elsevier")</f>
        <v>Elsevier</v>
      </c>
      <c r="F40" s="126" t="str">
        <f>IFERROR(__xludf.DUMMYFUNCTION("""COMPUTED_VALUE"""),"Elsevier")</f>
        <v>Elsevier</v>
      </c>
      <c r="G40" s="128" t="str">
        <f>IFERROR(__xludf.DUMMYFUNCTION("""COMPUTED_VALUE"""),"J")</f>
        <v>J</v>
      </c>
      <c r="H40" s="130">
        <f>IFERROR(__xludf.DUMMYFUNCTION("""COMPUTED_VALUE"""),2018.0)</f>
        <v>2018</v>
      </c>
      <c r="I40" s="130">
        <f>IFERROR(__xludf.DUMMYFUNCTION("""COMPUTED_VALUE"""),1.0)</f>
        <v>1</v>
      </c>
      <c r="J40" s="130">
        <f>IFERROR(__xludf.DUMMYFUNCTION("""COMPUTED_VALUE"""),1.0)</f>
        <v>1</v>
      </c>
      <c r="K40" s="129">
        <f>IFERROR(__xludf.DUMMYFUNCTION("""COMPUTED_VALUE"""),1.0)</f>
        <v>1</v>
      </c>
      <c r="L40" s="129">
        <f>IFERROR(__xludf.DUMMYFUNCTION("""COMPUTED_VALUE"""),1.0)</f>
        <v>1</v>
      </c>
      <c r="M40" s="130">
        <f>IFERROR(__xludf.DUMMYFUNCTION("""COMPUTED_VALUE"""),1.0)</f>
        <v>1</v>
      </c>
      <c r="N40" s="130">
        <f>IFERROR(__xludf.DUMMYFUNCTION("""COMPUTED_VALUE"""),0.0)</f>
        <v>0</v>
      </c>
      <c r="O40" s="130">
        <f>IFERROR(__xludf.DUMMYFUNCTION("""COMPUTED_VALUE"""),0.0)</f>
        <v>0</v>
      </c>
      <c r="P40" s="130">
        <f>IFERROR(__xludf.DUMMYFUNCTION("""COMPUTED_VALUE"""),0.0)</f>
        <v>0</v>
      </c>
      <c r="Q40" s="130">
        <f>IFERROR(__xludf.DUMMYFUNCTION("""COMPUTED_VALUE"""),0.0)</f>
        <v>0</v>
      </c>
      <c r="R40" s="130">
        <f>IFERROR(__xludf.DUMMYFUNCTION("""COMPUTED_VALUE"""),0.0)</f>
        <v>0</v>
      </c>
      <c r="S40" s="130">
        <f>IFERROR(__xludf.DUMMYFUNCTION("""COMPUTED_VALUE"""),0.0)</f>
        <v>0</v>
      </c>
      <c r="T40" s="130">
        <f>IFERROR(__xludf.DUMMYFUNCTION("""COMPUTED_VALUE"""),0.0)</f>
        <v>0</v>
      </c>
      <c r="U40" s="130">
        <f>IFERROR(__xludf.DUMMYFUNCTION("""COMPUTED_VALUE"""),0.0)</f>
        <v>0</v>
      </c>
      <c r="V40" s="131">
        <f>IFERROR(__xludf.DUMMYFUNCTION("""COMPUTED_VALUE"""),0.0)</f>
        <v>0</v>
      </c>
      <c r="W40" s="131" t="str">
        <f>IFERROR(__xludf.DUMMYFUNCTION("""COMPUTED_VALUE"""),"Yes")</f>
        <v>Yes</v>
      </c>
      <c r="X40" s="131" t="str">
        <f>IFERROR(__xludf.DUMMYFUNCTION("""COMPUTED_VALUE"""),"Yes")</f>
        <v>Yes</v>
      </c>
      <c r="Y40" s="131" t="str">
        <f>IFERROR(__xludf.DUMMYFUNCTION("""COMPUTED_VALUE"""),"S")</f>
        <v>S</v>
      </c>
      <c r="Z40" s="131"/>
      <c r="AA40" s="131"/>
      <c r="AB40" s="131"/>
      <c r="AC40" s="131"/>
      <c r="AD40" s="131"/>
      <c r="AE40" s="131"/>
      <c r="AF40" s="131"/>
      <c r="AG40" s="131"/>
      <c r="AH40" s="131"/>
      <c r="AI40" s="131"/>
      <c r="AJ40" s="131"/>
    </row>
    <row r="41">
      <c r="A41" s="126">
        <f>IFERROR(__xludf.DUMMYFUNCTION("""COMPUTED_VALUE"""),101.0)</f>
        <v>101</v>
      </c>
      <c r="B41" s="126" t="str">
        <f>IFERROR(__xludf.DUMMYFUNCTION("""COMPUTED_VALUE"""),"Integrated network and hosts energy management for cloud data centers")</f>
        <v>Integrated network and hosts energy management for cloud data centers</v>
      </c>
      <c r="C41" s="127" t="str">
        <f>IFERROR(__xludf.DUMMYFUNCTION("""COMPUTED_VALUE"""),"https://onlinelibrary.wiley.com/doi/abs/10.1002/ett.3641")</f>
        <v>https://onlinelibrary.wiley.com/doi/abs/10.1002/ett.3641</v>
      </c>
      <c r="D41" s="131" t="str">
        <f>IFERROR(__xludf.DUMMYFUNCTION("""COMPUTED_VALUE"""),"O Al‐Jarrah, Z Al‐Zoubi, Y Jararweh")</f>
        <v>O Al‐Jarrah, Z Al‐Zoubi, Y Jararweh</v>
      </c>
      <c r="E41" s="131" t="str">
        <f>IFERROR(__xludf.DUMMYFUNCTION("""COMPUTED_VALUE"""),"Wiley Online Library")</f>
        <v>Wiley Online Library</v>
      </c>
      <c r="F41" s="126" t="str">
        <f>IFERROR(__xludf.DUMMYFUNCTION("""COMPUTED_VALUE"""),"Wiley")</f>
        <v>Wiley</v>
      </c>
      <c r="G41" s="128" t="str">
        <f>IFERROR(__xludf.DUMMYFUNCTION("""COMPUTED_VALUE"""),"J")</f>
        <v>J</v>
      </c>
      <c r="H41" s="130">
        <f>IFERROR(__xludf.DUMMYFUNCTION("""COMPUTED_VALUE"""),2019.0)</f>
        <v>2019</v>
      </c>
      <c r="I41" s="130">
        <f>IFERROR(__xludf.DUMMYFUNCTION("""COMPUTED_VALUE"""),1.0)</f>
        <v>1</v>
      </c>
      <c r="J41" s="130">
        <f>IFERROR(__xludf.DUMMYFUNCTION("""COMPUTED_VALUE"""),1.0)</f>
        <v>1</v>
      </c>
      <c r="K41" s="130">
        <f>IFERROR(__xludf.DUMMYFUNCTION("""COMPUTED_VALUE"""),1.0)</f>
        <v>1</v>
      </c>
      <c r="L41" s="129">
        <f>IFERROR(__xludf.DUMMYFUNCTION("""COMPUTED_VALUE"""),1.0)</f>
        <v>1</v>
      </c>
      <c r="M41" s="130">
        <f>IFERROR(__xludf.DUMMYFUNCTION("""COMPUTED_VALUE"""),1.0)</f>
        <v>1</v>
      </c>
      <c r="N41" s="130">
        <f>IFERROR(__xludf.DUMMYFUNCTION("""COMPUTED_VALUE"""),0.0)</f>
        <v>0</v>
      </c>
      <c r="O41" s="130">
        <f>IFERROR(__xludf.DUMMYFUNCTION("""COMPUTED_VALUE"""),0.0)</f>
        <v>0</v>
      </c>
      <c r="P41" s="130">
        <f>IFERROR(__xludf.DUMMYFUNCTION("""COMPUTED_VALUE"""),0.0)</f>
        <v>0</v>
      </c>
      <c r="Q41" s="129">
        <f>IFERROR(__xludf.DUMMYFUNCTION("""COMPUTED_VALUE"""),0.0)</f>
        <v>0</v>
      </c>
      <c r="R41" s="129">
        <f>IFERROR(__xludf.DUMMYFUNCTION("""COMPUTED_VALUE"""),0.0)</f>
        <v>0</v>
      </c>
      <c r="S41" s="129">
        <f>IFERROR(__xludf.DUMMYFUNCTION("""COMPUTED_VALUE"""),0.0)</f>
        <v>0</v>
      </c>
      <c r="T41" s="129">
        <f>IFERROR(__xludf.DUMMYFUNCTION("""COMPUTED_VALUE"""),0.0)</f>
        <v>0</v>
      </c>
      <c r="U41" s="129">
        <f>IFERROR(__xludf.DUMMYFUNCTION("""COMPUTED_VALUE"""),0.0)</f>
        <v>0</v>
      </c>
      <c r="V41" s="126">
        <f>IFERROR(__xludf.DUMMYFUNCTION("""COMPUTED_VALUE"""),0.0)</f>
        <v>0</v>
      </c>
      <c r="W41" s="126" t="str">
        <f>IFERROR(__xludf.DUMMYFUNCTION("""COMPUTED_VALUE"""),"Yes")</f>
        <v>Yes</v>
      </c>
      <c r="X41" s="126" t="str">
        <f>IFERROR(__xludf.DUMMYFUNCTION("""COMPUTED_VALUE"""),"Yes")</f>
        <v>Yes</v>
      </c>
      <c r="Y41" s="126" t="str">
        <f>IFERROR(__xludf.DUMMYFUNCTION("""COMPUTED_VALUE"""),"S")</f>
        <v>S</v>
      </c>
      <c r="Z41" s="126"/>
      <c r="AA41" s="126"/>
      <c r="AB41" s="126"/>
      <c r="AC41" s="126"/>
      <c r="AD41" s="126"/>
      <c r="AE41" s="126"/>
      <c r="AF41" s="126"/>
      <c r="AG41" s="126"/>
      <c r="AH41" s="126"/>
      <c r="AI41" s="126"/>
      <c r="AJ41" s="126"/>
    </row>
    <row r="42">
      <c r="A42" s="126">
        <f>IFERROR(__xludf.DUMMYFUNCTION("""COMPUTED_VALUE"""),105.0)</f>
        <v>105</v>
      </c>
      <c r="B42" s="126" t="str">
        <f>IFERROR(__xludf.DUMMYFUNCTION("""COMPUTED_VALUE"""),"EEUI: a new measure to monitor and manage energy efficiency in data centers")</f>
        <v>EEUI: a new measure to monitor and manage energy efficiency in data centers</v>
      </c>
      <c r="C42" s="127" t="str">
        <f>IFERROR(__xludf.DUMMYFUNCTION("""COMPUTED_VALUE"""),"https://www.emerald.com/insight/content/doi/10.1108/IJPPM-08-2016-0160/full/html")</f>
        <v>https://www.emerald.com/insight/content/doi/10.1108/IJPPM-08-2016-0160/full/html</v>
      </c>
      <c r="D42" s="126" t="str">
        <f>IFERROR(__xludf.DUMMYFUNCTION("""COMPUTED_VALUE"""),"F Abaunza, AP Hameri, T Niemi")</f>
        <v>F Abaunza, AP Hameri, T Niemi</v>
      </c>
      <c r="E42" s="126" t="str">
        <f>IFERROR(__xludf.DUMMYFUNCTION("""COMPUTED_VALUE"""),"International Journal of Productivity and Performance Management")</f>
        <v>International Journal of Productivity and Performance Management</v>
      </c>
      <c r="F42" s="126" t="str">
        <f>IFERROR(__xludf.DUMMYFUNCTION("""COMPUTED_VALUE"""),"IJPPM")</f>
        <v>IJPPM</v>
      </c>
      <c r="G42" s="132" t="str">
        <f>IFERROR(__xludf.DUMMYFUNCTION("""COMPUTED_VALUE"""),"J")</f>
        <v>J</v>
      </c>
      <c r="H42" s="129">
        <f>IFERROR(__xludf.DUMMYFUNCTION("""COMPUTED_VALUE"""),2018.0)</f>
        <v>2018</v>
      </c>
      <c r="I42" s="129">
        <f>IFERROR(__xludf.DUMMYFUNCTION("""COMPUTED_VALUE"""),1.0)</f>
        <v>1</v>
      </c>
      <c r="J42" s="129">
        <f>IFERROR(__xludf.DUMMYFUNCTION("""COMPUTED_VALUE"""),1.0)</f>
        <v>1</v>
      </c>
      <c r="K42" s="130">
        <f>IFERROR(__xludf.DUMMYFUNCTION("""COMPUTED_VALUE"""),1.0)</f>
        <v>1</v>
      </c>
      <c r="L42" s="130">
        <f>IFERROR(__xludf.DUMMYFUNCTION("""COMPUTED_VALUE"""),1.0)</f>
        <v>1</v>
      </c>
      <c r="M42" s="130">
        <f>IFERROR(__xludf.DUMMYFUNCTION("""COMPUTED_VALUE"""),1.0)</f>
        <v>1</v>
      </c>
      <c r="N42" s="130">
        <f>IFERROR(__xludf.DUMMYFUNCTION("""COMPUTED_VALUE"""),0.0)</f>
        <v>0</v>
      </c>
      <c r="O42" s="130">
        <f>IFERROR(__xludf.DUMMYFUNCTION("""COMPUTED_VALUE"""),0.0)</f>
        <v>0</v>
      </c>
      <c r="P42" s="129">
        <f>IFERROR(__xludf.DUMMYFUNCTION("""COMPUTED_VALUE"""),0.0)</f>
        <v>0</v>
      </c>
      <c r="Q42" s="129">
        <f>IFERROR(__xludf.DUMMYFUNCTION("""COMPUTED_VALUE"""),0.0)</f>
        <v>0</v>
      </c>
      <c r="R42" s="129">
        <f>IFERROR(__xludf.DUMMYFUNCTION("""COMPUTED_VALUE"""),0.0)</f>
        <v>0</v>
      </c>
      <c r="S42" s="129">
        <f>IFERROR(__xludf.DUMMYFUNCTION("""COMPUTED_VALUE"""),0.0)</f>
        <v>0</v>
      </c>
      <c r="T42" s="129">
        <f>IFERROR(__xludf.DUMMYFUNCTION("""COMPUTED_VALUE"""),0.0)</f>
        <v>0</v>
      </c>
      <c r="U42" s="129">
        <f>IFERROR(__xludf.DUMMYFUNCTION("""COMPUTED_VALUE"""),0.0)</f>
        <v>0</v>
      </c>
      <c r="V42" s="126">
        <f>IFERROR(__xludf.DUMMYFUNCTION("""COMPUTED_VALUE"""),0.0)</f>
        <v>0</v>
      </c>
      <c r="W42" s="126" t="str">
        <f>IFERROR(__xludf.DUMMYFUNCTION("""COMPUTED_VALUE"""),"Yes")</f>
        <v>Yes</v>
      </c>
      <c r="X42" s="126" t="str">
        <f>IFERROR(__xludf.DUMMYFUNCTION("""COMPUTED_VALUE"""),"Yes")</f>
        <v>Yes</v>
      </c>
      <c r="Y42" s="126" t="str">
        <f>IFERROR(__xludf.DUMMYFUNCTION("""COMPUTED_VALUE"""),"F")</f>
        <v>F</v>
      </c>
      <c r="Z42" s="126" t="str">
        <f>IFERROR(__xludf.DUMMYFUNCTION("""COMPUTED_VALUE"""),"relies on operations mgmt, but does present new measure")</f>
        <v>relies on operations mgmt, but does present new measure</v>
      </c>
      <c r="AA42" s="126"/>
      <c r="AB42" s="126"/>
      <c r="AC42" s="126"/>
      <c r="AD42" s="126"/>
      <c r="AE42" s="126"/>
      <c r="AF42" s="126"/>
      <c r="AG42" s="126"/>
      <c r="AH42" s="126"/>
      <c r="AI42" s="126"/>
      <c r="AJ42" s="126"/>
    </row>
    <row r="43">
      <c r="A43" s="126">
        <f>IFERROR(__xludf.DUMMYFUNCTION("""COMPUTED_VALUE"""),119.0)</f>
        <v>119</v>
      </c>
      <c r="B43" s="126" t="str">
        <f>IFERROR(__xludf.DUMMYFUNCTION("""COMPUTED_VALUE"""),"CPicker: Leveraging Performance-Equivalent Configurations to Improve Data Center Energy Efficiency")</f>
        <v>CPicker: Leveraging Performance-Equivalent Configurations to Improve Data Center Energy Efficiency</v>
      </c>
      <c r="C43" s="127" t="str">
        <f>IFERROR(__xludf.DUMMYFUNCTION("""COMPUTED_VALUE"""),"https://link.springer.com/article/10.1007/s11390-018-1811-x")</f>
        <v>https://link.springer.com/article/10.1007/s11390-018-1811-x</v>
      </c>
      <c r="D43" s="126" t="str">
        <f>IFERROR(__xludf.DUMMYFUNCTION("""COMPUTED_VALUE"""),"FQ Sun, GH Yan, X He, HW Li, YH Han")</f>
        <v>FQ Sun, GH Yan, X He, HW Li, YH Han</v>
      </c>
      <c r="E43" s="126" t="str">
        <f>IFERROR(__xludf.DUMMYFUNCTION("""COMPUTED_VALUE"""),"Springer")</f>
        <v>Springer</v>
      </c>
      <c r="F43" s="126" t="str">
        <f>IFERROR(__xludf.DUMMYFUNCTION("""COMPUTED_VALUE"""),"Springer")</f>
        <v>Springer</v>
      </c>
      <c r="G43" s="128" t="str">
        <f>IFERROR(__xludf.DUMMYFUNCTION("""COMPUTED_VALUE"""),"J")</f>
        <v>J</v>
      </c>
      <c r="H43" s="129">
        <f>IFERROR(__xludf.DUMMYFUNCTION("""COMPUTED_VALUE"""),2018.0)</f>
        <v>2018</v>
      </c>
      <c r="I43" s="130">
        <f>IFERROR(__xludf.DUMMYFUNCTION("""COMPUTED_VALUE"""),1.0)</f>
        <v>1</v>
      </c>
      <c r="J43" s="129">
        <f>IFERROR(__xludf.DUMMYFUNCTION("""COMPUTED_VALUE"""),1.0)</f>
        <v>1</v>
      </c>
      <c r="K43" s="130">
        <f>IFERROR(__xludf.DUMMYFUNCTION("""COMPUTED_VALUE"""),1.0)</f>
        <v>1</v>
      </c>
      <c r="L43" s="130">
        <f>IFERROR(__xludf.DUMMYFUNCTION("""COMPUTED_VALUE"""),1.0)</f>
        <v>1</v>
      </c>
      <c r="M43" s="130">
        <f>IFERROR(__xludf.DUMMYFUNCTION("""COMPUTED_VALUE"""),1.0)</f>
        <v>1</v>
      </c>
      <c r="N43" s="130">
        <f>IFERROR(__xludf.DUMMYFUNCTION("""COMPUTED_VALUE"""),0.0)</f>
        <v>0</v>
      </c>
      <c r="O43" s="130">
        <f>IFERROR(__xludf.DUMMYFUNCTION("""COMPUTED_VALUE"""),0.0)</f>
        <v>0</v>
      </c>
      <c r="P43" s="130">
        <f>IFERROR(__xludf.DUMMYFUNCTION("""COMPUTED_VALUE"""),0.0)</f>
        <v>0</v>
      </c>
      <c r="Q43" s="130">
        <f>IFERROR(__xludf.DUMMYFUNCTION("""COMPUTED_VALUE"""),0.0)</f>
        <v>0</v>
      </c>
      <c r="R43" s="130">
        <f>IFERROR(__xludf.DUMMYFUNCTION("""COMPUTED_VALUE"""),0.0)</f>
        <v>0</v>
      </c>
      <c r="S43" s="130">
        <f>IFERROR(__xludf.DUMMYFUNCTION("""COMPUTED_VALUE"""),0.0)</f>
        <v>0</v>
      </c>
      <c r="T43" s="130">
        <f>IFERROR(__xludf.DUMMYFUNCTION("""COMPUTED_VALUE"""),0.0)</f>
        <v>0</v>
      </c>
      <c r="U43" s="130">
        <f>IFERROR(__xludf.DUMMYFUNCTION("""COMPUTED_VALUE"""),0.0)</f>
        <v>0</v>
      </c>
      <c r="V43" s="131">
        <f>IFERROR(__xludf.DUMMYFUNCTION("""COMPUTED_VALUE"""),0.0)</f>
        <v>0</v>
      </c>
      <c r="W43" s="131" t="str">
        <f>IFERROR(__xludf.DUMMYFUNCTION("""COMPUTED_VALUE"""),"Yes")</f>
        <v>Yes</v>
      </c>
      <c r="X43" s="131" t="str">
        <f>IFERROR(__xludf.DUMMYFUNCTION("""COMPUTED_VALUE"""),"Yes")</f>
        <v>Yes</v>
      </c>
      <c r="Y43" s="131" t="str">
        <f>IFERROR(__xludf.DUMMYFUNCTION("""COMPUTED_VALUE"""),"F")</f>
        <v>F</v>
      </c>
      <c r="Z43" s="131" t="str">
        <f>IFERROR(__xludf.DUMMYFUNCTION("""COMPUTED_VALUE"""),"algorithm to improve EE")</f>
        <v>algorithm to improve EE</v>
      </c>
      <c r="AA43" s="131"/>
      <c r="AB43" s="131"/>
      <c r="AC43" s="131"/>
      <c r="AD43" s="131"/>
      <c r="AE43" s="131"/>
      <c r="AF43" s="131"/>
      <c r="AG43" s="131"/>
      <c r="AH43" s="131"/>
      <c r="AI43" s="131"/>
      <c r="AJ43" s="131"/>
    </row>
    <row r="44">
      <c r="A44" s="126">
        <f>IFERROR(__xludf.DUMMYFUNCTION("""COMPUTED_VALUE"""),121.0)</f>
        <v>121</v>
      </c>
      <c r="B44" s="126" t="str">
        <f>IFERROR(__xludf.DUMMYFUNCTION("""COMPUTED_VALUE"""),"An energy and performance aware consolidation technique for containerized datacenters")</f>
        <v>An energy and performance aware consolidation technique for containerized datacenters</v>
      </c>
      <c r="C44" s="127" t="str">
        <f>IFERROR(__xludf.DUMMYFUNCTION("""COMPUTED_VALUE"""),"https://ieeexplore.ieee.org/abstract/document/8731726/")</f>
        <v>https://ieeexplore.ieee.org/abstract/document/8731726/</v>
      </c>
      <c r="D44" s="126" t="str">
        <f>IFERROR(__xludf.DUMMYFUNCTION("""COMPUTED_VALUE"""),"AA Khan, M Zakarya, R Buyya, R Khan, M Khan, O Rana")</f>
        <v>AA Khan, M Zakarya, R Buyya, R Khan, M Khan, O Rana</v>
      </c>
      <c r="E44" s="126" t="str">
        <f>IFERROR(__xludf.DUMMYFUNCTION("""COMPUTED_VALUE"""),"Institute of Electrical and Electronics Engineers")</f>
        <v>Institute of Electrical and Electronics Engineers</v>
      </c>
      <c r="F44" s="126" t="str">
        <f>IFERROR(__xludf.DUMMYFUNCTION("""COMPUTED_VALUE"""),"IEEE Xplore")</f>
        <v>IEEE Xplore</v>
      </c>
      <c r="G44" s="128" t="str">
        <f>IFERROR(__xludf.DUMMYFUNCTION("""COMPUTED_VALUE"""),"J")</f>
        <v>J</v>
      </c>
      <c r="H44" s="130">
        <f>IFERROR(__xludf.DUMMYFUNCTION("""COMPUTED_VALUE"""),2019.0)</f>
        <v>2019</v>
      </c>
      <c r="I44" s="130">
        <f>IFERROR(__xludf.DUMMYFUNCTION("""COMPUTED_VALUE"""),1.0)</f>
        <v>1</v>
      </c>
      <c r="J44" s="130">
        <f>IFERROR(__xludf.DUMMYFUNCTION("""COMPUTED_VALUE"""),1.0)</f>
        <v>1</v>
      </c>
      <c r="K44" s="129">
        <f>IFERROR(__xludf.DUMMYFUNCTION("""COMPUTED_VALUE"""),1.0)</f>
        <v>1</v>
      </c>
      <c r="L44" s="129">
        <f>IFERROR(__xludf.DUMMYFUNCTION("""COMPUTED_VALUE"""),1.0)</f>
        <v>1</v>
      </c>
      <c r="M44" s="130">
        <f>IFERROR(__xludf.DUMMYFUNCTION("""COMPUTED_VALUE"""),1.0)</f>
        <v>1</v>
      </c>
      <c r="N44" s="130">
        <f>IFERROR(__xludf.DUMMYFUNCTION("""COMPUTED_VALUE"""),0.0)</f>
        <v>0</v>
      </c>
      <c r="O44" s="130">
        <f>IFERROR(__xludf.DUMMYFUNCTION("""COMPUTED_VALUE"""),0.0)</f>
        <v>0</v>
      </c>
      <c r="P44" s="130">
        <f>IFERROR(__xludf.DUMMYFUNCTION("""COMPUTED_VALUE"""),0.0)</f>
        <v>0</v>
      </c>
      <c r="Q44" s="130">
        <f>IFERROR(__xludf.DUMMYFUNCTION("""COMPUTED_VALUE"""),0.0)</f>
        <v>0</v>
      </c>
      <c r="R44" s="130">
        <f>IFERROR(__xludf.DUMMYFUNCTION("""COMPUTED_VALUE"""),0.0)</f>
        <v>0</v>
      </c>
      <c r="S44" s="130">
        <f>IFERROR(__xludf.DUMMYFUNCTION("""COMPUTED_VALUE"""),0.0)</f>
        <v>0</v>
      </c>
      <c r="T44" s="130">
        <f>IFERROR(__xludf.DUMMYFUNCTION("""COMPUTED_VALUE"""),0.0)</f>
        <v>0</v>
      </c>
      <c r="U44" s="130">
        <f>IFERROR(__xludf.DUMMYFUNCTION("""COMPUTED_VALUE"""),0.0)</f>
        <v>0</v>
      </c>
      <c r="V44" s="131">
        <f>IFERROR(__xludf.DUMMYFUNCTION("""COMPUTED_VALUE"""),0.0)</f>
        <v>0</v>
      </c>
      <c r="W44" s="131" t="str">
        <f>IFERROR(__xludf.DUMMYFUNCTION("""COMPUTED_VALUE"""),"Yes")</f>
        <v>Yes</v>
      </c>
      <c r="X44" s="131" t="str">
        <f>IFERROR(__xludf.DUMMYFUNCTION("""COMPUTED_VALUE"""),"Yes")</f>
        <v>Yes</v>
      </c>
      <c r="Y44" s="131" t="str">
        <f>IFERROR(__xludf.DUMMYFUNCTION("""COMPUTED_VALUE"""),"F")</f>
        <v>F</v>
      </c>
      <c r="Z44" s="131" t="str">
        <f>IFERROR(__xludf.DUMMYFUNCTION("""COMPUTED_VALUE"""),"algorithm for container allocation")</f>
        <v>algorithm for container allocation</v>
      </c>
      <c r="AA44" s="131"/>
      <c r="AB44" s="131"/>
      <c r="AC44" s="131"/>
      <c r="AD44" s="131"/>
      <c r="AE44" s="131"/>
      <c r="AF44" s="131"/>
      <c r="AG44" s="131"/>
      <c r="AH44" s="131"/>
      <c r="AI44" s="131"/>
      <c r="AJ44" s="131"/>
    </row>
    <row r="45">
      <c r="A45" s="126">
        <f>IFERROR(__xludf.DUMMYFUNCTION("""COMPUTED_VALUE"""),122.0)</f>
        <v>122</v>
      </c>
      <c r="B45" s="126" t="str">
        <f>IFERROR(__xludf.DUMMYFUNCTION("""COMPUTED_VALUE"""),"Energy-aware coflow and antenna scheduling for hybrid server-centric data center networks")</f>
        <v>Energy-aware coflow and antenna scheduling for hybrid server-centric data center networks</v>
      </c>
      <c r="C45" s="127" t="str">
        <f>IFERROR(__xludf.DUMMYFUNCTION("""COMPUTED_VALUE"""),"https://ieeexplore.ieee.org/abstract/document/8631005/")</f>
        <v>https://ieeexplore.ieee.org/abstract/document/8631005/</v>
      </c>
      <c r="D45" s="126" t="str">
        <f>IFERROR(__xludf.DUMMYFUNCTION("""COMPUTED_VALUE"""),"T Li, S Santini")</f>
        <v>T Li, S Santini</v>
      </c>
      <c r="E45" s="126" t="str">
        <f>IFERROR(__xludf.DUMMYFUNCTION("""COMPUTED_VALUE"""),"Institute of Electrical and Electronics Engineers")</f>
        <v>Institute of Electrical and Electronics Engineers</v>
      </c>
      <c r="F45" s="126" t="str">
        <f>IFERROR(__xludf.DUMMYFUNCTION("""COMPUTED_VALUE"""),"IEEE Xplore")</f>
        <v>IEEE Xplore</v>
      </c>
      <c r="G45" s="128" t="str">
        <f>IFERROR(__xludf.DUMMYFUNCTION("""COMPUTED_VALUE"""),"J")</f>
        <v>J</v>
      </c>
      <c r="H45" s="130">
        <f>IFERROR(__xludf.DUMMYFUNCTION("""COMPUTED_VALUE"""),2019.0)</f>
        <v>2019</v>
      </c>
      <c r="I45" s="130">
        <f>IFERROR(__xludf.DUMMYFUNCTION("""COMPUTED_VALUE"""),1.0)</f>
        <v>1</v>
      </c>
      <c r="J45" s="130">
        <f>IFERROR(__xludf.DUMMYFUNCTION("""COMPUTED_VALUE"""),1.0)</f>
        <v>1</v>
      </c>
      <c r="K45" s="129">
        <f>IFERROR(__xludf.DUMMYFUNCTION("""COMPUTED_VALUE"""),1.0)</f>
        <v>1</v>
      </c>
      <c r="L45" s="130">
        <f>IFERROR(__xludf.DUMMYFUNCTION("""COMPUTED_VALUE"""),1.0)</f>
        <v>1</v>
      </c>
      <c r="M45" s="130">
        <f>IFERROR(__xludf.DUMMYFUNCTION("""COMPUTED_VALUE"""),1.0)</f>
        <v>1</v>
      </c>
      <c r="N45" s="130">
        <f>IFERROR(__xludf.DUMMYFUNCTION("""COMPUTED_VALUE"""),0.0)</f>
        <v>0</v>
      </c>
      <c r="O45" s="130">
        <f>IFERROR(__xludf.DUMMYFUNCTION("""COMPUTED_VALUE"""),0.0)</f>
        <v>0</v>
      </c>
      <c r="P45" s="130">
        <f>IFERROR(__xludf.DUMMYFUNCTION("""COMPUTED_VALUE"""),0.0)</f>
        <v>0</v>
      </c>
      <c r="Q45" s="130">
        <f>IFERROR(__xludf.DUMMYFUNCTION("""COMPUTED_VALUE"""),0.0)</f>
        <v>0</v>
      </c>
      <c r="R45" s="130">
        <f>IFERROR(__xludf.DUMMYFUNCTION("""COMPUTED_VALUE"""),0.0)</f>
        <v>0</v>
      </c>
      <c r="S45" s="130">
        <f>IFERROR(__xludf.DUMMYFUNCTION("""COMPUTED_VALUE"""),0.0)</f>
        <v>0</v>
      </c>
      <c r="T45" s="130">
        <f>IFERROR(__xludf.DUMMYFUNCTION("""COMPUTED_VALUE"""),0.0)</f>
        <v>0</v>
      </c>
      <c r="U45" s="130">
        <f>IFERROR(__xludf.DUMMYFUNCTION("""COMPUTED_VALUE"""),0.0)</f>
        <v>0</v>
      </c>
      <c r="V45" s="131">
        <f>IFERROR(__xludf.DUMMYFUNCTION("""COMPUTED_VALUE"""),0.0)</f>
        <v>0</v>
      </c>
      <c r="W45" s="131" t="str">
        <f>IFERROR(__xludf.DUMMYFUNCTION("""COMPUTED_VALUE"""),"Yes")</f>
        <v>Yes</v>
      </c>
      <c r="X45" s="131" t="str">
        <f>IFERROR(__xludf.DUMMYFUNCTION("""COMPUTED_VALUE"""),"Yes")</f>
        <v>Yes</v>
      </c>
      <c r="Y45" s="131" t="str">
        <f>IFERROR(__xludf.DUMMYFUNCTION("""COMPUTED_VALUE"""),"F")</f>
        <v>F</v>
      </c>
      <c r="Z45" s="131" t="str">
        <f>IFERROR(__xludf.DUMMYFUNCTION("""COMPUTED_VALUE"""),"algorithm to improve coflow in DC")</f>
        <v>algorithm to improve coflow in DC</v>
      </c>
      <c r="AA45" s="131"/>
      <c r="AB45" s="131"/>
      <c r="AC45" s="131"/>
      <c r="AD45" s="131"/>
      <c r="AE45" s="131"/>
      <c r="AF45" s="131"/>
      <c r="AG45" s="131"/>
      <c r="AH45" s="131"/>
      <c r="AI45" s="131"/>
      <c r="AJ45" s="131"/>
    </row>
    <row r="46">
      <c r="A46" s="126">
        <f>IFERROR(__xludf.DUMMYFUNCTION("""COMPUTED_VALUE"""),123.0)</f>
        <v>123</v>
      </c>
      <c r="B46" s="126" t="str">
        <f>IFERROR(__xludf.DUMMYFUNCTION("""COMPUTED_VALUE"""),"A whale optimization system for energy-efficient container placement in data centers")</f>
        <v>A whale optimization system for energy-efficient container placement in data centers</v>
      </c>
      <c r="C46" s="127" t="str">
        <f>IFERROR(__xludf.DUMMYFUNCTION("""COMPUTED_VALUE"""),"https://www.sciencedirect.com/science/article/pii/S0957417420305431")</f>
        <v>https://www.sciencedirect.com/science/article/pii/S0957417420305431</v>
      </c>
      <c r="D46" s="126" t="str">
        <f>IFERROR(__xludf.DUMMYFUNCTION("""COMPUTED_VALUE"""),"A Al-Moalmi, J Luo, A Salah, K Li, L Yin")</f>
        <v>A Al-Moalmi, J Luo, A Salah, K Li, L Yin</v>
      </c>
      <c r="E46" s="126" t="str">
        <f>IFERROR(__xludf.DUMMYFUNCTION("""COMPUTED_VALUE"""),"Elsevier")</f>
        <v>Elsevier</v>
      </c>
      <c r="F46" s="126" t="str">
        <f>IFERROR(__xludf.DUMMYFUNCTION("""COMPUTED_VALUE"""),"Elsevier")</f>
        <v>Elsevier</v>
      </c>
      <c r="G46" s="128" t="str">
        <f>IFERROR(__xludf.DUMMYFUNCTION("""COMPUTED_VALUE"""),"J")</f>
        <v>J</v>
      </c>
      <c r="H46" s="130">
        <f>IFERROR(__xludf.DUMMYFUNCTION("""COMPUTED_VALUE"""),2021.0)</f>
        <v>2021</v>
      </c>
      <c r="I46" s="130">
        <f>IFERROR(__xludf.DUMMYFUNCTION("""COMPUTED_VALUE"""),1.0)</f>
        <v>1</v>
      </c>
      <c r="J46" s="130">
        <f>IFERROR(__xludf.DUMMYFUNCTION("""COMPUTED_VALUE"""),1.0)</f>
        <v>1</v>
      </c>
      <c r="K46" s="129">
        <f>IFERROR(__xludf.DUMMYFUNCTION("""COMPUTED_VALUE"""),1.0)</f>
        <v>1</v>
      </c>
      <c r="L46" s="130">
        <f>IFERROR(__xludf.DUMMYFUNCTION("""COMPUTED_VALUE"""),1.0)</f>
        <v>1</v>
      </c>
      <c r="M46" s="130">
        <f>IFERROR(__xludf.DUMMYFUNCTION("""COMPUTED_VALUE"""),1.0)</f>
        <v>1</v>
      </c>
      <c r="N46" s="130">
        <f>IFERROR(__xludf.DUMMYFUNCTION("""COMPUTED_VALUE"""),0.0)</f>
        <v>0</v>
      </c>
      <c r="O46" s="130">
        <f>IFERROR(__xludf.DUMMYFUNCTION("""COMPUTED_VALUE"""),0.0)</f>
        <v>0</v>
      </c>
      <c r="P46" s="130">
        <f>IFERROR(__xludf.DUMMYFUNCTION("""COMPUTED_VALUE"""),0.0)</f>
        <v>0</v>
      </c>
      <c r="Q46" s="130">
        <f>IFERROR(__xludf.DUMMYFUNCTION("""COMPUTED_VALUE"""),0.0)</f>
        <v>0</v>
      </c>
      <c r="R46" s="130">
        <f>IFERROR(__xludf.DUMMYFUNCTION("""COMPUTED_VALUE"""),0.0)</f>
        <v>0</v>
      </c>
      <c r="S46" s="130">
        <f>IFERROR(__xludf.DUMMYFUNCTION("""COMPUTED_VALUE"""),0.0)</f>
        <v>0</v>
      </c>
      <c r="T46" s="130">
        <f>IFERROR(__xludf.DUMMYFUNCTION("""COMPUTED_VALUE"""),0.0)</f>
        <v>0</v>
      </c>
      <c r="U46" s="130">
        <f>IFERROR(__xludf.DUMMYFUNCTION("""COMPUTED_VALUE"""),0.0)</f>
        <v>0</v>
      </c>
      <c r="V46" s="131">
        <f>IFERROR(__xludf.DUMMYFUNCTION("""COMPUTED_VALUE"""),0.0)</f>
        <v>0</v>
      </c>
      <c r="W46" s="131" t="str">
        <f>IFERROR(__xludf.DUMMYFUNCTION("""COMPUTED_VALUE"""),"Yes")</f>
        <v>Yes</v>
      </c>
      <c r="X46" s="131" t="str">
        <f>IFERROR(__xludf.DUMMYFUNCTION("""COMPUTED_VALUE"""),"Yes")</f>
        <v>Yes</v>
      </c>
      <c r="Y46" s="131" t="str">
        <f>IFERROR(__xludf.DUMMYFUNCTION("""COMPUTED_VALUE"""),"F")</f>
        <v>F</v>
      </c>
      <c r="Z46" s="131" t="str">
        <f>IFERROR(__xludf.DUMMYFUNCTION("""COMPUTED_VALUE"""),"finds best balance VM/CM for PC")</f>
        <v>finds best balance VM/CM for PC</v>
      </c>
      <c r="AA46" s="131"/>
      <c r="AB46" s="131"/>
      <c r="AC46" s="131"/>
      <c r="AD46" s="131"/>
      <c r="AE46" s="131"/>
      <c r="AF46" s="131"/>
      <c r="AG46" s="131"/>
      <c r="AH46" s="131"/>
      <c r="AI46" s="131"/>
      <c r="AJ46" s="131"/>
    </row>
    <row r="47">
      <c r="A47" s="126">
        <f>IFERROR(__xludf.DUMMYFUNCTION("""COMPUTED_VALUE"""),128.0)</f>
        <v>128</v>
      </c>
      <c r="B47" s="126" t="str">
        <f>IFERROR(__xludf.DUMMYFUNCTION("""COMPUTED_VALUE"""),"Energy-efficient Virtual Machine Allocation Technique Using Flower Pollination Algorithm in Cloud Datacenter: A Panacea to Green Computing")</f>
        <v>Energy-efficient Virtual Machine Allocation Technique Using Flower Pollination Algorithm in Cloud Datacenter: A Panacea to Green Computing</v>
      </c>
      <c r="C47" s="127" t="str">
        <f>IFERROR(__xludf.DUMMYFUNCTION("""COMPUTED_VALUE"""),"https://link.springer.com/content/pdf/10.1007/s42235-019-0030-7.pdf")</f>
        <v>https://link.springer.com/content/pdf/10.1007/s42235-019-0030-7.pdf</v>
      </c>
      <c r="D47" s="131" t="str">
        <f>IFERROR(__xludf.DUMMYFUNCTION("""COMPUTED_VALUE"""),"MJ Usman, AS Ismail, H Chizari, G Abdul-Salaam, AM Usman, AY Gital, O Kaiwartya, A Aliyu ")</f>
        <v>MJ Usman, AS Ismail, H Chizari, G Abdul-Salaam, AM Usman, AY Gital, O Kaiwartya, A Aliyu </v>
      </c>
      <c r="E47" s="131" t="str">
        <f>IFERROR(__xludf.DUMMYFUNCTION("""COMPUTED_VALUE"""),"Springer")</f>
        <v>Springer</v>
      </c>
      <c r="F47" s="126" t="str">
        <f>IFERROR(__xludf.DUMMYFUNCTION("""COMPUTED_VALUE"""),"Springer")</f>
        <v>Springer</v>
      </c>
      <c r="G47" s="128" t="str">
        <f>IFERROR(__xludf.DUMMYFUNCTION("""COMPUTED_VALUE"""),"J")</f>
        <v>J</v>
      </c>
      <c r="H47" s="130">
        <f>IFERROR(__xludf.DUMMYFUNCTION("""COMPUTED_VALUE"""),2019.0)</f>
        <v>2019</v>
      </c>
      <c r="I47" s="130">
        <f>IFERROR(__xludf.DUMMYFUNCTION("""COMPUTED_VALUE"""),1.0)</f>
        <v>1</v>
      </c>
      <c r="J47" s="130">
        <f>IFERROR(__xludf.DUMMYFUNCTION("""COMPUTED_VALUE"""),1.0)</f>
        <v>1</v>
      </c>
      <c r="K47" s="129">
        <f>IFERROR(__xludf.DUMMYFUNCTION("""COMPUTED_VALUE"""),1.0)</f>
        <v>1</v>
      </c>
      <c r="L47" s="130">
        <f>IFERROR(__xludf.DUMMYFUNCTION("""COMPUTED_VALUE"""),1.0)</f>
        <v>1</v>
      </c>
      <c r="M47" s="130">
        <f>IFERROR(__xludf.DUMMYFUNCTION("""COMPUTED_VALUE"""),1.0)</f>
        <v>1</v>
      </c>
      <c r="N47" s="130">
        <f>IFERROR(__xludf.DUMMYFUNCTION("""COMPUTED_VALUE"""),0.0)</f>
        <v>0</v>
      </c>
      <c r="O47" s="130">
        <f>IFERROR(__xludf.DUMMYFUNCTION("""COMPUTED_VALUE"""),0.0)</f>
        <v>0</v>
      </c>
      <c r="P47" s="130">
        <f>IFERROR(__xludf.DUMMYFUNCTION("""COMPUTED_VALUE"""),0.0)</f>
        <v>0</v>
      </c>
      <c r="Q47" s="130">
        <f>IFERROR(__xludf.DUMMYFUNCTION("""COMPUTED_VALUE"""),0.0)</f>
        <v>0</v>
      </c>
      <c r="R47" s="130">
        <f>IFERROR(__xludf.DUMMYFUNCTION("""COMPUTED_VALUE"""),0.0)</f>
        <v>0</v>
      </c>
      <c r="S47" s="130">
        <f>IFERROR(__xludf.DUMMYFUNCTION("""COMPUTED_VALUE"""),0.0)</f>
        <v>0</v>
      </c>
      <c r="T47" s="130">
        <f>IFERROR(__xludf.DUMMYFUNCTION("""COMPUTED_VALUE"""),0.0)</f>
        <v>0</v>
      </c>
      <c r="U47" s="130">
        <f>IFERROR(__xludf.DUMMYFUNCTION("""COMPUTED_VALUE"""),0.0)</f>
        <v>0</v>
      </c>
      <c r="V47" s="131">
        <f>IFERROR(__xludf.DUMMYFUNCTION("""COMPUTED_VALUE"""),0.0)</f>
        <v>0</v>
      </c>
      <c r="W47" s="131" t="str">
        <f>IFERROR(__xludf.DUMMYFUNCTION("""COMPUTED_VALUE"""),"Yes")</f>
        <v>Yes</v>
      </c>
      <c r="X47" s="131" t="str">
        <f>IFERROR(__xludf.DUMMYFUNCTION("""COMPUTED_VALUE"""),"Yes")</f>
        <v>Yes</v>
      </c>
      <c r="Y47" s="131" t="str">
        <f>IFERROR(__xludf.DUMMYFUNCTION("""COMPUTED_VALUE"""),"F")</f>
        <v>F</v>
      </c>
      <c r="Z47" s="131" t="str">
        <f>IFERROR(__xludf.DUMMYFUNCTION("""COMPUTED_VALUE"""),"Flower Pollination algorithm")</f>
        <v>Flower Pollination algorithm</v>
      </c>
      <c r="AA47" s="131"/>
      <c r="AB47" s="131"/>
      <c r="AC47" s="131"/>
      <c r="AD47" s="131"/>
      <c r="AE47" s="131"/>
      <c r="AF47" s="131"/>
      <c r="AG47" s="131"/>
      <c r="AH47" s="131"/>
      <c r="AI47" s="131"/>
      <c r="AJ47" s="131"/>
    </row>
    <row r="48">
      <c r="A48" s="126">
        <f>IFERROR(__xludf.DUMMYFUNCTION("""COMPUTED_VALUE"""),136.0)</f>
        <v>136</v>
      </c>
      <c r="B48" s="126" t="str">
        <f>IFERROR(__xludf.DUMMYFUNCTION("""COMPUTED_VALUE"""),"Energy-efficient application assignment in profile-based data center management through a Repairing Genetic Algorithm")</f>
        <v>Energy-efficient application assignment in profile-based data center management through a Repairing Genetic Algorithm</v>
      </c>
      <c r="C48" s="127" t="str">
        <f>IFERROR(__xludf.DUMMYFUNCTION("""COMPUTED_VALUE"""),"https://www.sciencedirect.com/science/article/pii/S1568494618301327")</f>
        <v>https://www.sciencedirect.com/science/article/pii/S1568494618301327</v>
      </c>
      <c r="D48" s="126" t="str">
        <f>IFERROR(__xludf.DUMMYFUNCTION("""COMPUTED_VALUE"""),"M Vasudevan, YC Tian, M Tang, E Kozan, X Zhang")</f>
        <v>M Vasudevan, YC Tian, M Tang, E Kozan, X Zhang</v>
      </c>
      <c r="E48" s="126" t="str">
        <f>IFERROR(__xludf.DUMMYFUNCTION("""COMPUTED_VALUE"""),"Elsevier")</f>
        <v>Elsevier</v>
      </c>
      <c r="F48" s="126" t="str">
        <f>IFERROR(__xludf.DUMMYFUNCTION("""COMPUTED_VALUE"""),"Elsevier")</f>
        <v>Elsevier</v>
      </c>
      <c r="G48" s="128" t="str">
        <f>IFERROR(__xludf.DUMMYFUNCTION("""COMPUTED_VALUE"""),"J")</f>
        <v>J</v>
      </c>
      <c r="H48" s="130">
        <f>IFERROR(__xludf.DUMMYFUNCTION("""COMPUTED_VALUE"""),2018.0)</f>
        <v>2018</v>
      </c>
      <c r="I48" s="130">
        <f>IFERROR(__xludf.DUMMYFUNCTION("""COMPUTED_VALUE"""),1.0)</f>
        <v>1</v>
      </c>
      <c r="J48" s="130">
        <f>IFERROR(__xludf.DUMMYFUNCTION("""COMPUTED_VALUE"""),1.0)</f>
        <v>1</v>
      </c>
      <c r="K48" s="129">
        <f>IFERROR(__xludf.DUMMYFUNCTION("""COMPUTED_VALUE"""),1.0)</f>
        <v>1</v>
      </c>
      <c r="L48" s="130">
        <f>IFERROR(__xludf.DUMMYFUNCTION("""COMPUTED_VALUE"""),1.0)</f>
        <v>1</v>
      </c>
      <c r="M48" s="130">
        <f>IFERROR(__xludf.DUMMYFUNCTION("""COMPUTED_VALUE"""),1.0)</f>
        <v>1</v>
      </c>
      <c r="N48" s="130">
        <f>IFERROR(__xludf.DUMMYFUNCTION("""COMPUTED_VALUE"""),0.0)</f>
        <v>0</v>
      </c>
      <c r="O48" s="130">
        <f>IFERROR(__xludf.DUMMYFUNCTION("""COMPUTED_VALUE"""),0.0)</f>
        <v>0</v>
      </c>
      <c r="P48" s="130">
        <f>IFERROR(__xludf.DUMMYFUNCTION("""COMPUTED_VALUE"""),0.0)</f>
        <v>0</v>
      </c>
      <c r="Q48" s="130">
        <f>IFERROR(__xludf.DUMMYFUNCTION("""COMPUTED_VALUE"""),0.0)</f>
        <v>0</v>
      </c>
      <c r="R48" s="130">
        <f>IFERROR(__xludf.DUMMYFUNCTION("""COMPUTED_VALUE"""),0.0)</f>
        <v>0</v>
      </c>
      <c r="S48" s="130">
        <f>IFERROR(__xludf.DUMMYFUNCTION("""COMPUTED_VALUE"""),0.0)</f>
        <v>0</v>
      </c>
      <c r="T48" s="130">
        <f>IFERROR(__xludf.DUMMYFUNCTION("""COMPUTED_VALUE"""),0.0)</f>
        <v>0</v>
      </c>
      <c r="U48" s="130">
        <f>IFERROR(__xludf.DUMMYFUNCTION("""COMPUTED_VALUE"""),0.0)</f>
        <v>0</v>
      </c>
      <c r="V48" s="131">
        <f>IFERROR(__xludf.DUMMYFUNCTION("""COMPUTED_VALUE"""),0.0)</f>
        <v>0</v>
      </c>
      <c r="W48" s="131" t="str">
        <f>IFERROR(__xludf.DUMMYFUNCTION("""COMPUTED_VALUE"""),"Yes")</f>
        <v>Yes</v>
      </c>
      <c r="X48" s="131" t="str">
        <f>IFERROR(__xludf.DUMMYFUNCTION("""COMPUTED_VALUE"""),"Yes")</f>
        <v>Yes</v>
      </c>
      <c r="Y48" s="131" t="str">
        <f>IFERROR(__xludf.DUMMYFUNCTION("""COMPUTED_VALUE"""),"F")</f>
        <v>F</v>
      </c>
      <c r="Z48" s="131" t="str">
        <f>IFERROR(__xludf.DUMMYFUNCTION("""COMPUTED_VALUE"""),"app. assignment architecture ")</f>
        <v>app. assignment architecture </v>
      </c>
      <c r="AA48" s="131"/>
      <c r="AB48" s="131"/>
      <c r="AC48" s="131"/>
      <c r="AD48" s="131"/>
      <c r="AE48" s="131"/>
      <c r="AF48" s="131"/>
      <c r="AG48" s="131"/>
      <c r="AH48" s="131"/>
      <c r="AI48" s="131"/>
      <c r="AJ48" s="131"/>
    </row>
    <row r="49">
      <c r="A49" s="126">
        <f>IFERROR(__xludf.DUMMYFUNCTION("""COMPUTED_VALUE"""),141.0)</f>
        <v>141</v>
      </c>
      <c r="B49" s="126" t="str">
        <f>IFERROR(__xludf.DUMMYFUNCTION("""COMPUTED_VALUE"""),"Joint minimization of the energy costs from computing, data transmission, and migrations in cloud data centers")</f>
        <v>Joint minimization of the energy costs from computing, data transmission, and migrations in cloud data centers</v>
      </c>
      <c r="C49" s="127" t="str">
        <f>IFERROR(__xludf.DUMMYFUNCTION("""COMPUTED_VALUE"""),"https://ieeexplore.ieee.org/abstract/document/8267099/")</f>
        <v>https://ieeexplore.ieee.org/abstract/document/8267099/</v>
      </c>
      <c r="D49" s="126" t="str">
        <f>IFERROR(__xludf.DUMMYFUNCTION("""COMPUTED_VALUE"""),"C Canali, L Chiaraviglio, R Lancellotti,  M Shojafar")</f>
        <v>C Canali, L Chiaraviglio, R Lancellotti,  M Shojafar</v>
      </c>
      <c r="E49" s="126" t="str">
        <f>IFERROR(__xludf.DUMMYFUNCTION("""COMPUTED_VALUE"""),"Institute of Electrical and Electronics Engineers")</f>
        <v>Institute of Electrical and Electronics Engineers</v>
      </c>
      <c r="F49" s="126" t="str">
        <f>IFERROR(__xludf.DUMMYFUNCTION("""COMPUTED_VALUE"""),"IEEE Xplore")</f>
        <v>IEEE Xplore</v>
      </c>
      <c r="G49" s="128" t="str">
        <f>IFERROR(__xludf.DUMMYFUNCTION("""COMPUTED_VALUE"""),"J")</f>
        <v>J</v>
      </c>
      <c r="H49" s="130">
        <f>IFERROR(__xludf.DUMMYFUNCTION("""COMPUTED_VALUE"""),2018.0)</f>
        <v>2018</v>
      </c>
      <c r="I49" s="129">
        <f>IFERROR(__xludf.DUMMYFUNCTION("""COMPUTED_VALUE"""),1.0)</f>
        <v>1</v>
      </c>
      <c r="J49" s="130">
        <f>IFERROR(__xludf.DUMMYFUNCTION("""COMPUTED_VALUE"""),1.0)</f>
        <v>1</v>
      </c>
      <c r="K49" s="130">
        <f>IFERROR(__xludf.DUMMYFUNCTION("""COMPUTED_VALUE"""),1.0)</f>
        <v>1</v>
      </c>
      <c r="L49" s="130">
        <f>IFERROR(__xludf.DUMMYFUNCTION("""COMPUTED_VALUE"""),1.0)</f>
        <v>1</v>
      </c>
      <c r="M49" s="130">
        <f>IFERROR(__xludf.DUMMYFUNCTION("""COMPUTED_VALUE"""),1.0)</f>
        <v>1</v>
      </c>
      <c r="N49" s="130">
        <f>IFERROR(__xludf.DUMMYFUNCTION("""COMPUTED_VALUE"""),0.0)</f>
        <v>0</v>
      </c>
      <c r="O49" s="130">
        <f>IFERROR(__xludf.DUMMYFUNCTION("""COMPUTED_VALUE"""),0.0)</f>
        <v>0</v>
      </c>
      <c r="P49" s="130">
        <f>IFERROR(__xludf.DUMMYFUNCTION("""COMPUTED_VALUE"""),0.0)</f>
        <v>0</v>
      </c>
      <c r="Q49" s="129">
        <f>IFERROR(__xludf.DUMMYFUNCTION("""COMPUTED_VALUE"""),0.0)</f>
        <v>0</v>
      </c>
      <c r="R49" s="129">
        <f>IFERROR(__xludf.DUMMYFUNCTION("""COMPUTED_VALUE"""),0.0)</f>
        <v>0</v>
      </c>
      <c r="S49" s="129">
        <f>IFERROR(__xludf.DUMMYFUNCTION("""COMPUTED_VALUE"""),0.0)</f>
        <v>0</v>
      </c>
      <c r="T49" s="129">
        <f>IFERROR(__xludf.DUMMYFUNCTION("""COMPUTED_VALUE"""),0.0)</f>
        <v>0</v>
      </c>
      <c r="U49" s="129">
        <f>IFERROR(__xludf.DUMMYFUNCTION("""COMPUTED_VALUE"""),0.0)</f>
        <v>0</v>
      </c>
      <c r="V49" s="126">
        <f>IFERROR(__xludf.DUMMYFUNCTION("""COMPUTED_VALUE"""),0.0)</f>
        <v>0</v>
      </c>
      <c r="W49" s="126" t="str">
        <f>IFERROR(__xludf.DUMMYFUNCTION("""COMPUTED_VALUE"""),"Yes")</f>
        <v>Yes</v>
      </c>
      <c r="X49" s="126" t="str">
        <f>IFERROR(__xludf.DUMMYFUNCTION("""COMPUTED_VALUE"""),"Yes")</f>
        <v>Yes</v>
      </c>
      <c r="Y49" s="126" t="str">
        <f>IFERROR(__xludf.DUMMYFUNCTION("""COMPUTED_VALUE"""),"F")</f>
        <v>F</v>
      </c>
      <c r="Z49" s="126" t="str">
        <f>IFERROR(__xludf.DUMMYFUNCTION("""COMPUTED_VALUE"""),"algorithm to improve EE")</f>
        <v>algorithm to improve EE</v>
      </c>
      <c r="AA49" s="126"/>
      <c r="AB49" s="126"/>
      <c r="AC49" s="126"/>
      <c r="AD49" s="126"/>
      <c r="AE49" s="126"/>
      <c r="AF49" s="126"/>
      <c r="AG49" s="126"/>
      <c r="AH49" s="126"/>
      <c r="AI49" s="126"/>
      <c r="AJ49" s="126"/>
    </row>
    <row r="50">
      <c r="A50" s="126">
        <f>IFERROR(__xludf.DUMMYFUNCTION("""COMPUTED_VALUE"""),147.0)</f>
        <v>147</v>
      </c>
      <c r="B50" s="126" t="str">
        <f>IFERROR(__xludf.DUMMYFUNCTION("""COMPUTED_VALUE"""),"Energy-efficient dynamic virtual machine management in data centers")</f>
        <v>Energy-efficient dynamic virtual machine management in data centers</v>
      </c>
      <c r="C50" s="127" t="str">
        <f>IFERROR(__xludf.DUMMYFUNCTION("""COMPUTED_VALUE"""),"https://ieeexplore.ieee.org/abstract/document/8626500/")</f>
        <v>https://ieeexplore.ieee.org/abstract/document/8626500/</v>
      </c>
      <c r="D50" s="126" t="str">
        <f>IFERROR(__xludf.DUMMYFUNCTION("""COMPUTED_VALUE"""),"Z Han, H Tan, R Wang, G Chen, Y Li, FCM Lau")</f>
        <v>Z Han, H Tan, R Wang, G Chen, Y Li, FCM Lau</v>
      </c>
      <c r="E50" s="126" t="str">
        <f>IFERROR(__xludf.DUMMYFUNCTION("""COMPUTED_VALUE"""),"Institute of Electrical and Electronics Engineers")</f>
        <v>Institute of Electrical and Electronics Engineers</v>
      </c>
      <c r="F50" s="126" t="str">
        <f>IFERROR(__xludf.DUMMYFUNCTION("""COMPUTED_VALUE"""),"IEEE Xplore")</f>
        <v>IEEE Xplore</v>
      </c>
      <c r="G50" s="128" t="str">
        <f>IFERROR(__xludf.DUMMYFUNCTION("""COMPUTED_VALUE"""),"J")</f>
        <v>J</v>
      </c>
      <c r="H50" s="129">
        <f>IFERROR(__xludf.DUMMYFUNCTION("""COMPUTED_VALUE"""),2019.0)</f>
        <v>2019</v>
      </c>
      <c r="I50" s="130">
        <f>IFERROR(__xludf.DUMMYFUNCTION("""COMPUTED_VALUE"""),1.0)</f>
        <v>1</v>
      </c>
      <c r="J50" s="129">
        <f>IFERROR(__xludf.DUMMYFUNCTION("""COMPUTED_VALUE"""),1.0)</f>
        <v>1</v>
      </c>
      <c r="K50" s="130">
        <f>IFERROR(__xludf.DUMMYFUNCTION("""COMPUTED_VALUE"""),1.0)</f>
        <v>1</v>
      </c>
      <c r="L50" s="130">
        <f>IFERROR(__xludf.DUMMYFUNCTION("""COMPUTED_VALUE"""),1.0)</f>
        <v>1</v>
      </c>
      <c r="M50" s="130">
        <f>IFERROR(__xludf.DUMMYFUNCTION("""COMPUTED_VALUE"""),1.0)</f>
        <v>1</v>
      </c>
      <c r="N50" s="130">
        <f>IFERROR(__xludf.DUMMYFUNCTION("""COMPUTED_VALUE"""),0.0)</f>
        <v>0</v>
      </c>
      <c r="O50" s="130">
        <f>IFERROR(__xludf.DUMMYFUNCTION("""COMPUTED_VALUE"""),0.0)</f>
        <v>0</v>
      </c>
      <c r="P50" s="130">
        <f>IFERROR(__xludf.DUMMYFUNCTION("""COMPUTED_VALUE"""),0.0)</f>
        <v>0</v>
      </c>
      <c r="Q50" s="129">
        <f>IFERROR(__xludf.DUMMYFUNCTION("""COMPUTED_VALUE"""),0.0)</f>
        <v>0</v>
      </c>
      <c r="R50" s="129">
        <f>IFERROR(__xludf.DUMMYFUNCTION("""COMPUTED_VALUE"""),0.0)</f>
        <v>0</v>
      </c>
      <c r="S50" s="129">
        <f>IFERROR(__xludf.DUMMYFUNCTION("""COMPUTED_VALUE"""),0.0)</f>
        <v>0</v>
      </c>
      <c r="T50" s="129">
        <f>IFERROR(__xludf.DUMMYFUNCTION("""COMPUTED_VALUE"""),0.0)</f>
        <v>0</v>
      </c>
      <c r="U50" s="129">
        <f>IFERROR(__xludf.DUMMYFUNCTION("""COMPUTED_VALUE"""),0.0)</f>
        <v>0</v>
      </c>
      <c r="V50" s="126">
        <f>IFERROR(__xludf.DUMMYFUNCTION("""COMPUTED_VALUE"""),0.0)</f>
        <v>0</v>
      </c>
      <c r="W50" s="126" t="str">
        <f>IFERROR(__xludf.DUMMYFUNCTION("""COMPUTED_VALUE"""),"Yes")</f>
        <v>Yes</v>
      </c>
      <c r="X50" s="126" t="str">
        <f>IFERROR(__xludf.DUMMYFUNCTION("""COMPUTED_VALUE"""),"Yes")</f>
        <v>Yes</v>
      </c>
      <c r="Y50" s="126" t="str">
        <f>IFERROR(__xludf.DUMMYFUNCTION("""COMPUTED_VALUE"""),"F")</f>
        <v>F</v>
      </c>
      <c r="Z50" s="126" t="str">
        <f>IFERROR(__xludf.DUMMYFUNCTION("""COMPUTED_VALUE"""),"algorithm for VM management")</f>
        <v>algorithm for VM management</v>
      </c>
      <c r="AA50" s="126"/>
      <c r="AB50" s="126"/>
      <c r="AC50" s="126"/>
      <c r="AD50" s="126"/>
      <c r="AE50" s="126"/>
      <c r="AF50" s="126"/>
      <c r="AG50" s="126"/>
      <c r="AH50" s="126"/>
      <c r="AI50" s="126"/>
      <c r="AJ50" s="126"/>
    </row>
    <row r="51">
      <c r="A51" s="126">
        <f>IFERROR(__xludf.DUMMYFUNCTION("""COMPUTED_VALUE"""),150.0)</f>
        <v>150</v>
      </c>
      <c r="B51" s="126" t="str">
        <f>IFERROR(__xludf.DUMMYFUNCTION("""COMPUTED_VALUE"""),"An Apriori-based energy-efficient Algorithm for SDN data center")</f>
        <v>An Apriori-based energy-efficient Algorithm for SDN data center</v>
      </c>
      <c r="C51" s="127" t="str">
        <f>IFERROR(__xludf.DUMMYFUNCTION("""COMPUTED_VALUE"""),"https://ieeexplore.ieee.org/abstract/document/8982573/")</f>
        <v>https://ieeexplore.ieee.org/abstract/document/8982573/</v>
      </c>
      <c r="D51" s="131" t="str">
        <f>IFERROR(__xludf.DUMMYFUNCTION("""COMPUTED_VALUE"""),"P HongYu, H TianLu")</f>
        <v>P HongYu, H TianLu</v>
      </c>
      <c r="E51" s="131" t="str">
        <f>IFERROR(__xludf.DUMMYFUNCTION("""COMPUTED_VALUE"""),"Institute of Electrical and Electronics Engineers")</f>
        <v>Institute of Electrical and Electronics Engineers</v>
      </c>
      <c r="F51" s="126" t="str">
        <f>IFERROR(__xludf.DUMMYFUNCTION("""COMPUTED_VALUE"""),"IEEE Xplore")</f>
        <v>IEEE Xplore</v>
      </c>
      <c r="G51" s="128" t="str">
        <f>IFERROR(__xludf.DUMMYFUNCTION("""COMPUTED_VALUE"""),"C")</f>
        <v>C</v>
      </c>
      <c r="H51" s="130">
        <f>IFERROR(__xludf.DUMMYFUNCTION("""COMPUTED_VALUE"""),2019.0)</f>
        <v>2019</v>
      </c>
      <c r="I51" s="130">
        <f>IFERROR(__xludf.DUMMYFUNCTION("""COMPUTED_VALUE"""),1.0)</f>
        <v>1</v>
      </c>
      <c r="J51" s="130">
        <f>IFERROR(__xludf.DUMMYFUNCTION("""COMPUTED_VALUE"""),1.0)</f>
        <v>1</v>
      </c>
      <c r="K51" s="130">
        <f>IFERROR(__xludf.DUMMYFUNCTION("""COMPUTED_VALUE"""),1.0)</f>
        <v>1</v>
      </c>
      <c r="L51" s="129">
        <f>IFERROR(__xludf.DUMMYFUNCTION("""COMPUTED_VALUE"""),1.0)</f>
        <v>1</v>
      </c>
      <c r="M51" s="130">
        <f>IFERROR(__xludf.DUMMYFUNCTION("""COMPUTED_VALUE"""),1.0)</f>
        <v>1</v>
      </c>
      <c r="N51" s="130">
        <f>IFERROR(__xludf.DUMMYFUNCTION("""COMPUTED_VALUE"""),0.0)</f>
        <v>0</v>
      </c>
      <c r="O51" s="130">
        <f>IFERROR(__xludf.DUMMYFUNCTION("""COMPUTED_VALUE"""),0.0)</f>
        <v>0</v>
      </c>
      <c r="P51" s="130">
        <f>IFERROR(__xludf.DUMMYFUNCTION("""COMPUTED_VALUE"""),0.0)</f>
        <v>0</v>
      </c>
      <c r="Q51" s="129">
        <f>IFERROR(__xludf.DUMMYFUNCTION("""COMPUTED_VALUE"""),0.0)</f>
        <v>0</v>
      </c>
      <c r="R51" s="129">
        <f>IFERROR(__xludf.DUMMYFUNCTION("""COMPUTED_VALUE"""),0.0)</f>
        <v>0</v>
      </c>
      <c r="S51" s="129">
        <f>IFERROR(__xludf.DUMMYFUNCTION("""COMPUTED_VALUE"""),0.0)</f>
        <v>0</v>
      </c>
      <c r="T51" s="129">
        <f>IFERROR(__xludf.DUMMYFUNCTION("""COMPUTED_VALUE"""),0.0)</f>
        <v>0</v>
      </c>
      <c r="U51" s="129">
        <f>IFERROR(__xludf.DUMMYFUNCTION("""COMPUTED_VALUE"""),0.0)</f>
        <v>0</v>
      </c>
      <c r="V51" s="126">
        <f>IFERROR(__xludf.DUMMYFUNCTION("""COMPUTED_VALUE"""),0.0)</f>
        <v>0</v>
      </c>
      <c r="W51" s="126" t="str">
        <f>IFERROR(__xludf.DUMMYFUNCTION("""COMPUTED_VALUE"""),"Yes")</f>
        <v>Yes</v>
      </c>
      <c r="X51" s="126" t="str">
        <f>IFERROR(__xludf.DUMMYFUNCTION("""COMPUTED_VALUE"""),"Yes")</f>
        <v>Yes</v>
      </c>
      <c r="Y51" s="126" t="str">
        <f>IFERROR(__xludf.DUMMYFUNCTION("""COMPUTED_VALUE"""),"F")</f>
        <v>F</v>
      </c>
      <c r="Z51" s="126" t="str">
        <f>IFERROR(__xludf.DUMMYFUNCTION("""COMPUTED_VALUE"""),"energy saving algorithm ")</f>
        <v>energy saving algorithm </v>
      </c>
      <c r="AA51" s="126"/>
      <c r="AB51" s="126"/>
      <c r="AC51" s="126"/>
      <c r="AD51" s="126"/>
      <c r="AE51" s="126"/>
      <c r="AF51" s="126"/>
      <c r="AG51" s="126"/>
      <c r="AH51" s="126"/>
      <c r="AI51" s="126"/>
      <c r="AJ51" s="126"/>
    </row>
    <row r="52">
      <c r="A52" s="126">
        <f>IFERROR(__xludf.DUMMYFUNCTION("""COMPUTED_VALUE"""),152.0)</f>
        <v>152</v>
      </c>
      <c r="B52" s="126" t="str">
        <f>IFERROR(__xludf.DUMMYFUNCTION("""COMPUTED_VALUE"""),"A Novel Approach to Adaptive Flow Scheduling for Energy Efficient Data Center Network")</f>
        <v>A Novel Approach to Adaptive Flow Scheduling for Energy Efficient Data Center Network</v>
      </c>
      <c r="C52" s="127" t="str">
        <f>IFERROR(__xludf.DUMMYFUNCTION("""COMPUTED_VALUE"""),"https://jit.ndhu.edu.tw/article/view/2085")</f>
        <v>https://jit.ndhu.edu.tw/article/view/2085</v>
      </c>
      <c r="D52" s="131" t="str">
        <f>IFERROR(__xludf.DUMMYFUNCTION("""COMPUTED_VALUE"""),"R Ranjana, S Radha, J Raja")</f>
        <v>R Ranjana, S Radha, J Raja</v>
      </c>
      <c r="E52" s="131" t="str">
        <f>IFERROR(__xludf.DUMMYFUNCTION("""COMPUTED_VALUE"""),"Journal of Internet Technology")</f>
        <v>Journal of Internet Technology</v>
      </c>
      <c r="F52" s="126" t="str">
        <f>IFERROR(__xludf.DUMMYFUNCTION("""COMPUTED_VALUE"""),"JIT")</f>
        <v>JIT</v>
      </c>
      <c r="G52" s="128" t="str">
        <f>IFERROR(__xludf.DUMMYFUNCTION("""COMPUTED_VALUE"""),"J")</f>
        <v>J</v>
      </c>
      <c r="H52" s="130">
        <f>IFERROR(__xludf.DUMMYFUNCTION("""COMPUTED_VALUE"""),2019.0)</f>
        <v>2019</v>
      </c>
      <c r="I52" s="130">
        <f>IFERROR(__xludf.DUMMYFUNCTION("""COMPUTED_VALUE"""),1.0)</f>
        <v>1</v>
      </c>
      <c r="J52" s="130">
        <f>IFERROR(__xludf.DUMMYFUNCTION("""COMPUTED_VALUE"""),1.0)</f>
        <v>1</v>
      </c>
      <c r="K52" s="130">
        <f>IFERROR(__xludf.DUMMYFUNCTION("""COMPUTED_VALUE"""),1.0)</f>
        <v>1</v>
      </c>
      <c r="L52" s="129">
        <f>IFERROR(__xludf.DUMMYFUNCTION("""COMPUTED_VALUE"""),1.0)</f>
        <v>1</v>
      </c>
      <c r="M52" s="130">
        <f>IFERROR(__xludf.DUMMYFUNCTION("""COMPUTED_VALUE"""),1.0)</f>
        <v>1</v>
      </c>
      <c r="N52" s="130">
        <f>IFERROR(__xludf.DUMMYFUNCTION("""COMPUTED_VALUE"""),0.0)</f>
        <v>0</v>
      </c>
      <c r="O52" s="130">
        <f>IFERROR(__xludf.DUMMYFUNCTION("""COMPUTED_VALUE"""),0.0)</f>
        <v>0</v>
      </c>
      <c r="P52" s="130">
        <f>IFERROR(__xludf.DUMMYFUNCTION("""COMPUTED_VALUE"""),0.0)</f>
        <v>0</v>
      </c>
      <c r="Q52" s="130">
        <f>IFERROR(__xludf.DUMMYFUNCTION("""COMPUTED_VALUE"""),0.0)</f>
        <v>0</v>
      </c>
      <c r="R52" s="130">
        <f>IFERROR(__xludf.DUMMYFUNCTION("""COMPUTED_VALUE"""),0.0)</f>
        <v>0</v>
      </c>
      <c r="S52" s="130">
        <f>IFERROR(__xludf.DUMMYFUNCTION("""COMPUTED_VALUE"""),0.0)</f>
        <v>0</v>
      </c>
      <c r="T52" s="130">
        <f>IFERROR(__xludf.DUMMYFUNCTION("""COMPUTED_VALUE"""),0.0)</f>
        <v>0</v>
      </c>
      <c r="U52" s="130">
        <f>IFERROR(__xludf.DUMMYFUNCTION("""COMPUTED_VALUE"""),0.0)</f>
        <v>0</v>
      </c>
      <c r="V52" s="131">
        <f>IFERROR(__xludf.DUMMYFUNCTION("""COMPUTED_VALUE"""),0.0)</f>
        <v>0</v>
      </c>
      <c r="W52" s="131" t="str">
        <f>IFERROR(__xludf.DUMMYFUNCTION("""COMPUTED_VALUE"""),"Yes")</f>
        <v>Yes</v>
      </c>
      <c r="X52" s="131" t="str">
        <f>IFERROR(__xludf.DUMMYFUNCTION("""COMPUTED_VALUE"""),"Yes")</f>
        <v>Yes</v>
      </c>
      <c r="Y52" s="131" t="str">
        <f>IFERROR(__xludf.DUMMYFUNCTION("""COMPUTED_VALUE"""),"F")</f>
        <v>F</v>
      </c>
      <c r="Z52" s="131" t="str">
        <f>IFERROR(__xludf.DUMMYFUNCTION("""COMPUTED_VALUE"""),"adaptive flow scheduling model")</f>
        <v>adaptive flow scheduling model</v>
      </c>
      <c r="AA52" s="131"/>
      <c r="AB52" s="131"/>
      <c r="AC52" s="131"/>
      <c r="AD52" s="131"/>
      <c r="AE52" s="131"/>
      <c r="AF52" s="131"/>
      <c r="AG52" s="131"/>
      <c r="AH52" s="131"/>
      <c r="AI52" s="131"/>
      <c r="AJ52" s="131"/>
    </row>
    <row r="53">
      <c r="A53" s="126">
        <f>IFERROR(__xludf.DUMMYFUNCTION("""COMPUTED_VALUE"""),154.0)</f>
        <v>154</v>
      </c>
      <c r="B53" s="126" t="str">
        <f>IFERROR(__xludf.DUMMYFUNCTION("""COMPUTED_VALUE"""),"CLOUD DATA CENTER BASED ENERGY EFFICIENT SCHEDULING OF SERVERS WITH MULTI-SLEEP MODES")</f>
        <v>CLOUD DATA CENTER BASED ENERGY EFFICIENT SCHEDULING OF SERVERS WITH MULTI-SLEEP MODES</v>
      </c>
      <c r="C53" s="127" t="str">
        <f>IFERROR(__xludf.DUMMYFUNCTION("""COMPUTED_VALUE"""),"https://jespublication.com/upload/2019-V10-I12-10.pdf")</f>
        <v>https://jespublication.com/upload/2019-V10-I12-10.pdf</v>
      </c>
      <c r="D53" s="126" t="str">
        <f>IFERROR(__xludf.DUMMYFUNCTION("""COMPUTED_VALUE"""),"PS JYOTHI, BH BABU")</f>
        <v>PS JYOTHI, BH BABU</v>
      </c>
      <c r="E53" s="126" t="str">
        <f>IFERROR(__xludf.DUMMYFUNCTION("""COMPUTED_VALUE"""),"Journal of Engineering Sciences")</f>
        <v>Journal of Engineering Sciences</v>
      </c>
      <c r="F53" s="126" t="str">
        <f>IFERROR(__xludf.DUMMYFUNCTION("""COMPUTED_VALUE"""),"JES")</f>
        <v>JES</v>
      </c>
      <c r="G53" s="128" t="str">
        <f>IFERROR(__xludf.DUMMYFUNCTION("""COMPUTED_VALUE"""),"J")</f>
        <v>J</v>
      </c>
      <c r="H53" s="130">
        <f>IFERROR(__xludf.DUMMYFUNCTION("""COMPUTED_VALUE"""),2019.0)</f>
        <v>2019</v>
      </c>
      <c r="I53" s="130">
        <f>IFERROR(__xludf.DUMMYFUNCTION("""COMPUTED_VALUE"""),1.0)</f>
        <v>1</v>
      </c>
      <c r="J53" s="130">
        <f>IFERROR(__xludf.DUMMYFUNCTION("""COMPUTED_VALUE"""),1.0)</f>
        <v>1</v>
      </c>
      <c r="K53" s="130">
        <f>IFERROR(__xludf.DUMMYFUNCTION("""COMPUTED_VALUE"""),1.0)</f>
        <v>1</v>
      </c>
      <c r="L53" s="129">
        <f>IFERROR(__xludf.DUMMYFUNCTION("""COMPUTED_VALUE"""),1.0)</f>
        <v>1</v>
      </c>
      <c r="M53" s="130">
        <f>IFERROR(__xludf.DUMMYFUNCTION("""COMPUTED_VALUE"""),1.0)</f>
        <v>1</v>
      </c>
      <c r="N53" s="130">
        <f>IFERROR(__xludf.DUMMYFUNCTION("""COMPUTED_VALUE"""),0.0)</f>
        <v>0</v>
      </c>
      <c r="O53" s="130">
        <f>IFERROR(__xludf.DUMMYFUNCTION("""COMPUTED_VALUE"""),0.0)</f>
        <v>0</v>
      </c>
      <c r="P53" s="130">
        <f>IFERROR(__xludf.DUMMYFUNCTION("""COMPUTED_VALUE"""),0.0)</f>
        <v>0</v>
      </c>
      <c r="Q53" s="130">
        <f>IFERROR(__xludf.DUMMYFUNCTION("""COMPUTED_VALUE"""),0.0)</f>
        <v>0</v>
      </c>
      <c r="R53" s="130">
        <f>IFERROR(__xludf.DUMMYFUNCTION("""COMPUTED_VALUE"""),0.0)</f>
        <v>0</v>
      </c>
      <c r="S53" s="130">
        <f>IFERROR(__xludf.DUMMYFUNCTION("""COMPUTED_VALUE"""),0.0)</f>
        <v>0</v>
      </c>
      <c r="T53" s="130">
        <f>IFERROR(__xludf.DUMMYFUNCTION("""COMPUTED_VALUE"""),0.0)</f>
        <v>0</v>
      </c>
      <c r="U53" s="130">
        <f>IFERROR(__xludf.DUMMYFUNCTION("""COMPUTED_VALUE"""),0.0)</f>
        <v>0</v>
      </c>
      <c r="V53" s="131">
        <f>IFERROR(__xludf.DUMMYFUNCTION("""COMPUTED_VALUE"""),0.0)</f>
        <v>0</v>
      </c>
      <c r="W53" s="131" t="str">
        <f>IFERROR(__xludf.DUMMYFUNCTION("""COMPUTED_VALUE"""),"Yes")</f>
        <v>Yes</v>
      </c>
      <c r="X53" s="131" t="str">
        <f>IFERROR(__xludf.DUMMYFUNCTION("""COMPUTED_VALUE"""),"Yes")</f>
        <v>Yes</v>
      </c>
      <c r="Y53" s="131" t="str">
        <f>IFERROR(__xludf.DUMMYFUNCTION("""COMPUTED_VALUE"""),"F")</f>
        <v>F</v>
      </c>
      <c r="Z53" s="131" t="str">
        <f>IFERROR(__xludf.DUMMYFUNCTION("""COMPUTED_VALUE"""),"server scheduling algorithm ")</f>
        <v>server scheduling algorithm </v>
      </c>
      <c r="AA53" s="131"/>
      <c r="AB53" s="131"/>
      <c r="AC53" s="131"/>
      <c r="AD53" s="131"/>
      <c r="AE53" s="131"/>
      <c r="AF53" s="131"/>
      <c r="AG53" s="131"/>
      <c r="AH53" s="131"/>
      <c r="AI53" s="131"/>
      <c r="AJ53" s="131"/>
    </row>
    <row r="54">
      <c r="A54" s="126">
        <f>IFERROR(__xludf.DUMMYFUNCTION("""COMPUTED_VALUE"""),156.0)</f>
        <v>156</v>
      </c>
      <c r="B54" s="126" t="str">
        <f>IFERROR(__xludf.DUMMYFUNCTION("""COMPUTED_VALUE"""),"Short-term prediction model to maximize renewable energy usage in cloud data centers")</f>
        <v>Short-term prediction model to maximize renewable energy usage in cloud data centers</v>
      </c>
      <c r="C54" s="127" t="str">
        <f>IFERROR(__xludf.DUMMYFUNCTION("""COMPUTED_VALUE"""),"https://link.springer.com/chapter/10.1007/978-3-319-62238-5_8")</f>
        <v>https://link.springer.com/chapter/10.1007/978-3-319-62238-5_8</v>
      </c>
      <c r="D54" s="126" t="str">
        <f>IFERROR(__xludf.DUMMYFUNCTION("""COMPUTED_VALUE"""),"A Khosravi, R Buyya")</f>
        <v>A Khosravi, R Buyya</v>
      </c>
      <c r="E54" s="126" t="str">
        <f>IFERROR(__xludf.DUMMYFUNCTION("""COMPUTED_VALUE"""),"Springer")</f>
        <v>Springer</v>
      </c>
      <c r="F54" s="126" t="str">
        <f>IFERROR(__xludf.DUMMYFUNCTION("""COMPUTED_VALUE"""),"Springer")</f>
        <v>Springer</v>
      </c>
      <c r="G54" s="128" t="str">
        <f>IFERROR(__xludf.DUMMYFUNCTION("""COMPUTED_VALUE"""),"J")</f>
        <v>J</v>
      </c>
      <c r="H54" s="130">
        <f>IFERROR(__xludf.DUMMYFUNCTION("""COMPUTED_VALUE"""),2018.0)</f>
        <v>2018</v>
      </c>
      <c r="I54" s="129">
        <f>IFERROR(__xludf.DUMMYFUNCTION("""COMPUTED_VALUE"""),1.0)</f>
        <v>1</v>
      </c>
      <c r="J54" s="130">
        <f>IFERROR(__xludf.DUMMYFUNCTION("""COMPUTED_VALUE"""),1.0)</f>
        <v>1</v>
      </c>
      <c r="K54" s="130">
        <f>IFERROR(__xludf.DUMMYFUNCTION("""COMPUTED_VALUE"""),1.0)</f>
        <v>1</v>
      </c>
      <c r="L54" s="130">
        <f>IFERROR(__xludf.DUMMYFUNCTION("""COMPUTED_VALUE"""),1.0)</f>
        <v>1</v>
      </c>
      <c r="M54" s="130">
        <f>IFERROR(__xludf.DUMMYFUNCTION("""COMPUTED_VALUE"""),1.0)</f>
        <v>1</v>
      </c>
      <c r="N54" s="130">
        <f>IFERROR(__xludf.DUMMYFUNCTION("""COMPUTED_VALUE"""),0.0)</f>
        <v>0</v>
      </c>
      <c r="O54" s="130">
        <f>IFERROR(__xludf.DUMMYFUNCTION("""COMPUTED_VALUE"""),0.0)</f>
        <v>0</v>
      </c>
      <c r="P54" s="130">
        <f>IFERROR(__xludf.DUMMYFUNCTION("""COMPUTED_VALUE"""),0.0)</f>
        <v>0</v>
      </c>
      <c r="Q54" s="130">
        <f>IFERROR(__xludf.DUMMYFUNCTION("""COMPUTED_VALUE"""),0.0)</f>
        <v>0</v>
      </c>
      <c r="R54" s="130">
        <f>IFERROR(__xludf.DUMMYFUNCTION("""COMPUTED_VALUE"""),0.0)</f>
        <v>0</v>
      </c>
      <c r="S54" s="130">
        <f>IFERROR(__xludf.DUMMYFUNCTION("""COMPUTED_VALUE"""),0.0)</f>
        <v>0</v>
      </c>
      <c r="T54" s="130">
        <f>IFERROR(__xludf.DUMMYFUNCTION("""COMPUTED_VALUE"""),0.0)</f>
        <v>0</v>
      </c>
      <c r="U54" s="130">
        <f>IFERROR(__xludf.DUMMYFUNCTION("""COMPUTED_VALUE"""),0.0)</f>
        <v>0</v>
      </c>
      <c r="V54" s="131">
        <f>IFERROR(__xludf.DUMMYFUNCTION("""COMPUTED_VALUE"""),0.0)</f>
        <v>0</v>
      </c>
      <c r="W54" s="131" t="str">
        <f>IFERROR(__xludf.DUMMYFUNCTION("""COMPUTED_VALUE"""),"Yes")</f>
        <v>Yes</v>
      </c>
      <c r="X54" s="131" t="str">
        <f>IFERROR(__xludf.DUMMYFUNCTION("""COMPUTED_VALUE"""),"Yes")</f>
        <v>Yes</v>
      </c>
      <c r="Y54" s="131"/>
      <c r="Z54" s="131"/>
      <c r="AA54" s="131"/>
      <c r="AB54" s="131"/>
      <c r="AC54" s="131"/>
      <c r="AD54" s="131"/>
      <c r="AE54" s="131"/>
      <c r="AF54" s="131"/>
      <c r="AG54" s="131"/>
      <c r="AH54" s="131"/>
      <c r="AI54" s="131"/>
      <c r="AJ54" s="131"/>
    </row>
    <row r="55">
      <c r="A55" s="126">
        <f>IFERROR(__xludf.DUMMYFUNCTION("""COMPUTED_VALUE"""),168.0)</f>
        <v>168</v>
      </c>
      <c r="B55" s="126" t="str">
        <f>IFERROR(__xludf.DUMMYFUNCTION("""COMPUTED_VALUE"""),"Hybrid Best-Fit Heuristic for Energy Efficient Virtual Machine Placement in Cloud Data Centers")</f>
        <v>Hybrid Best-Fit Heuristic for Energy Efficient Virtual Machine Placement in Cloud Data Centers</v>
      </c>
      <c r="C55" s="127" t="str">
        <f>IFERROR(__xludf.DUMMYFUNCTION("""COMPUTED_VALUE"""),"http://search.proquest.com/openview/21c57e9527878ff9b6c8a99d58d1bdb0/1?pq-origsite=gscholar&amp;cbl=4477230")</f>
        <v>http://search.proquest.com/openview/21c57e9527878ff9b6c8a99d58d1bdb0/1?pq-origsite=gscholar&amp;cbl=4477230</v>
      </c>
      <c r="D55" s="131" t="str">
        <f>IFERROR(__xludf.DUMMYFUNCTION("""COMPUTED_VALUE"""),"S Jangiti, V Vijayakumar, V Subramaniyaswamy")</f>
        <v>S Jangiti, V Vijayakumar, V Subramaniyaswamy</v>
      </c>
      <c r="E55" s="131" t="str">
        <f>IFERROR(__xludf.DUMMYFUNCTION("""COMPUTED_VALUE"""),"EAI Endorsed Transactions on Energy Web")</f>
        <v>EAI Endorsed Transactions on Energy Web</v>
      </c>
      <c r="F55" s="126" t="str">
        <f>IFERROR(__xludf.DUMMYFUNCTION("""COMPUTED_VALUE"""),"EAI ")</f>
        <v>EAI </v>
      </c>
      <c r="G55" s="132" t="str">
        <f>IFERROR(__xludf.DUMMYFUNCTION("""COMPUTED_VALUE"""),"J")</f>
        <v>J</v>
      </c>
      <c r="H55" s="130">
        <f>IFERROR(__xludf.DUMMYFUNCTION("""COMPUTED_VALUE"""),2020.0)</f>
        <v>2020</v>
      </c>
      <c r="I55" s="130">
        <f>IFERROR(__xludf.DUMMYFUNCTION("""COMPUTED_VALUE"""),1.0)</f>
        <v>1</v>
      </c>
      <c r="J55" s="130">
        <f>IFERROR(__xludf.DUMMYFUNCTION("""COMPUTED_VALUE"""),1.0)</f>
        <v>1</v>
      </c>
      <c r="K55" s="130">
        <f>IFERROR(__xludf.DUMMYFUNCTION("""COMPUTED_VALUE"""),1.0)</f>
        <v>1</v>
      </c>
      <c r="L55" s="129">
        <f>IFERROR(__xludf.DUMMYFUNCTION("""COMPUTED_VALUE"""),1.0)</f>
        <v>1</v>
      </c>
      <c r="M55" s="130">
        <f>IFERROR(__xludf.DUMMYFUNCTION("""COMPUTED_VALUE"""),1.0)</f>
        <v>1</v>
      </c>
      <c r="N55" s="130">
        <f>IFERROR(__xludf.DUMMYFUNCTION("""COMPUTED_VALUE"""),0.0)</f>
        <v>0</v>
      </c>
      <c r="O55" s="130">
        <f>IFERROR(__xludf.DUMMYFUNCTION("""COMPUTED_VALUE"""),0.0)</f>
        <v>0</v>
      </c>
      <c r="P55" s="130">
        <f>IFERROR(__xludf.DUMMYFUNCTION("""COMPUTED_VALUE"""),0.0)</f>
        <v>0</v>
      </c>
      <c r="Q55" s="130">
        <f>IFERROR(__xludf.DUMMYFUNCTION("""COMPUTED_VALUE"""),0.0)</f>
        <v>0</v>
      </c>
      <c r="R55" s="130">
        <f>IFERROR(__xludf.DUMMYFUNCTION("""COMPUTED_VALUE"""),0.0)</f>
        <v>0</v>
      </c>
      <c r="S55" s="130">
        <f>IFERROR(__xludf.DUMMYFUNCTION("""COMPUTED_VALUE"""),0.0)</f>
        <v>0</v>
      </c>
      <c r="T55" s="130">
        <f>IFERROR(__xludf.DUMMYFUNCTION("""COMPUTED_VALUE"""),0.0)</f>
        <v>0</v>
      </c>
      <c r="U55" s="130">
        <f>IFERROR(__xludf.DUMMYFUNCTION("""COMPUTED_VALUE"""),0.0)</f>
        <v>0</v>
      </c>
      <c r="V55" s="131">
        <f>IFERROR(__xludf.DUMMYFUNCTION("""COMPUTED_VALUE"""),0.0)</f>
        <v>0</v>
      </c>
      <c r="W55" s="131" t="str">
        <f>IFERROR(__xludf.DUMMYFUNCTION("""COMPUTED_VALUE"""),"Yes")</f>
        <v>Yes</v>
      </c>
      <c r="X55" s="131" t="str">
        <f>IFERROR(__xludf.DUMMYFUNCTION("""COMPUTED_VALUE"""),"Yes")</f>
        <v>Yes</v>
      </c>
      <c r="Y55" s="131" t="str">
        <f>IFERROR(__xludf.DUMMYFUNCTION("""COMPUTED_VALUE"""),"F")</f>
        <v>F</v>
      </c>
      <c r="Z55" s="131" t="str">
        <f>IFERROR(__xludf.DUMMYFUNCTION("""COMPUTED_VALUE"""),"heuristic for VM placement")</f>
        <v>heuristic for VM placement</v>
      </c>
      <c r="AA55" s="131"/>
      <c r="AB55" s="131"/>
      <c r="AC55" s="131"/>
      <c r="AD55" s="131"/>
      <c r="AE55" s="131"/>
      <c r="AF55" s="131"/>
      <c r="AG55" s="131"/>
      <c r="AH55" s="131"/>
      <c r="AI55" s="131"/>
      <c r="AJ55" s="131"/>
    </row>
    <row r="56">
      <c r="A56" s="126">
        <f>IFERROR(__xludf.DUMMYFUNCTION("""COMPUTED_VALUE"""),169.0)</f>
        <v>169</v>
      </c>
      <c r="B56" s="126" t="str">
        <f>IFERROR(__xludf.DUMMYFUNCTION("""COMPUTED_VALUE"""),"An SDN Focused Approach for Energy Aware Traffic Engineering in Data Centers")</f>
        <v>An SDN Focused Approach for Energy Aware Traffic Engineering in Data Centers</v>
      </c>
      <c r="C56" s="127" t="str">
        <f>IFERROR(__xludf.DUMMYFUNCTION("""COMPUTED_VALUE"""),"https://www.mdpi.com/1424-8220/19/18/3980")</f>
        <v>https://www.mdpi.com/1424-8220/19/18/3980</v>
      </c>
      <c r="D56" s="126" t="str">
        <f>IFERROR(__xludf.DUMMYFUNCTION("""COMPUTED_VALUE"""),"P Charalampou, ED Sykas")</f>
        <v>P Charalampou, ED Sykas</v>
      </c>
      <c r="E56" s="126" t="str">
        <f>IFERROR(__xludf.DUMMYFUNCTION("""COMPUTED_VALUE"""),"Multidisciplinary Digital Publishing Institute")</f>
        <v>Multidisciplinary Digital Publishing Institute</v>
      </c>
      <c r="F56" s="126" t="str">
        <f>IFERROR(__xludf.DUMMYFUNCTION("""COMPUTED_VALUE"""),"MDPI")</f>
        <v>MDPI</v>
      </c>
      <c r="G56" s="128" t="str">
        <f>IFERROR(__xludf.DUMMYFUNCTION("""COMPUTED_VALUE"""),"J")</f>
        <v>J</v>
      </c>
      <c r="H56" s="130">
        <f>IFERROR(__xludf.DUMMYFUNCTION("""COMPUTED_VALUE"""),2019.0)</f>
        <v>2019</v>
      </c>
      <c r="I56" s="129">
        <f>IFERROR(__xludf.DUMMYFUNCTION("""COMPUTED_VALUE"""),1.0)</f>
        <v>1</v>
      </c>
      <c r="J56" s="130">
        <f>IFERROR(__xludf.DUMMYFUNCTION("""COMPUTED_VALUE"""),1.0)</f>
        <v>1</v>
      </c>
      <c r="K56" s="130">
        <f>IFERROR(__xludf.DUMMYFUNCTION("""COMPUTED_VALUE"""),1.0)</f>
        <v>1</v>
      </c>
      <c r="L56" s="130">
        <f>IFERROR(__xludf.DUMMYFUNCTION("""COMPUTED_VALUE"""),1.0)</f>
        <v>1</v>
      </c>
      <c r="M56" s="130">
        <f>IFERROR(__xludf.DUMMYFUNCTION("""COMPUTED_VALUE"""),1.0)</f>
        <v>1</v>
      </c>
      <c r="N56" s="130">
        <f>IFERROR(__xludf.DUMMYFUNCTION("""COMPUTED_VALUE"""),0.0)</f>
        <v>0</v>
      </c>
      <c r="O56" s="130">
        <f>IFERROR(__xludf.DUMMYFUNCTION("""COMPUTED_VALUE"""),0.0)</f>
        <v>0</v>
      </c>
      <c r="P56" s="130">
        <f>IFERROR(__xludf.DUMMYFUNCTION("""COMPUTED_VALUE"""),0.0)</f>
        <v>0</v>
      </c>
      <c r="Q56" s="129">
        <f>IFERROR(__xludf.DUMMYFUNCTION("""COMPUTED_VALUE"""),0.0)</f>
        <v>0</v>
      </c>
      <c r="R56" s="129">
        <f>IFERROR(__xludf.DUMMYFUNCTION("""COMPUTED_VALUE"""),0.0)</f>
        <v>0</v>
      </c>
      <c r="S56" s="129">
        <f>IFERROR(__xludf.DUMMYFUNCTION("""COMPUTED_VALUE"""),0.0)</f>
        <v>0</v>
      </c>
      <c r="T56" s="129">
        <f>IFERROR(__xludf.DUMMYFUNCTION("""COMPUTED_VALUE"""),0.0)</f>
        <v>0</v>
      </c>
      <c r="U56" s="129">
        <f>IFERROR(__xludf.DUMMYFUNCTION("""COMPUTED_VALUE"""),0.0)</f>
        <v>0</v>
      </c>
      <c r="V56" s="126">
        <f>IFERROR(__xludf.DUMMYFUNCTION("""COMPUTED_VALUE"""),0.0)</f>
        <v>0</v>
      </c>
      <c r="W56" s="126" t="str">
        <f>IFERROR(__xludf.DUMMYFUNCTION("""COMPUTED_VALUE"""),"Yes")</f>
        <v>Yes</v>
      </c>
      <c r="X56" s="126" t="str">
        <f>IFERROR(__xludf.DUMMYFUNCTION("""COMPUTED_VALUE"""),"Yes")</f>
        <v>Yes</v>
      </c>
      <c r="Y56" s="126" t="str">
        <f>IFERROR(__xludf.DUMMYFUNCTION("""COMPUTED_VALUE"""),"F")</f>
        <v>F</v>
      </c>
      <c r="Z56" s="126" t="str">
        <f>IFERROR(__xludf.DUMMYFUNCTION("""COMPUTED_VALUE"""),"MIP algorithm to optimize EC")</f>
        <v>MIP algorithm to optimize EC</v>
      </c>
      <c r="AA56" s="126"/>
      <c r="AB56" s="126"/>
      <c r="AC56" s="126"/>
      <c r="AD56" s="126"/>
      <c r="AE56" s="126"/>
      <c r="AF56" s="126"/>
      <c r="AG56" s="126"/>
      <c r="AH56" s="126"/>
      <c r="AI56" s="126"/>
      <c r="AJ56" s="126"/>
    </row>
    <row r="57">
      <c r="A57" s="126">
        <f>IFERROR(__xludf.DUMMYFUNCTION("""COMPUTED_VALUE"""),170.0)</f>
        <v>170</v>
      </c>
      <c r="B57" s="126" t="str">
        <f>IFERROR(__xludf.DUMMYFUNCTION("""COMPUTED_VALUE"""),"Exploiting user provided information in dynamic consolidation of virtual machines to minimize energy consumption of cloud data centers")</f>
        <v>Exploiting user provided information in dynamic consolidation of virtual machines to minimize energy consumption of cloud data centers</v>
      </c>
      <c r="C57" s="127" t="str">
        <f>IFERROR(__xludf.DUMMYFUNCTION("""COMPUTED_VALUE"""),"https://ieeexplore.ieee.org/abstract/document/8364052/")</f>
        <v>https://ieeexplore.ieee.org/abstract/document/8364052/</v>
      </c>
      <c r="D57" s="131" t="str">
        <f>IFERROR(__xludf.DUMMYFUNCTION("""COMPUTED_VALUE"""),"MA Khan, AP Paplinski, AM Khan, M Murshed, R Buyya")</f>
        <v>MA Khan, AP Paplinski, AM Khan, M Murshed, R Buyya</v>
      </c>
      <c r="E57" s="131" t="str">
        <f>IFERROR(__xludf.DUMMYFUNCTION("""COMPUTED_VALUE"""),"Institute of Electrical and Electronics Engineers")</f>
        <v>Institute of Electrical and Electronics Engineers</v>
      </c>
      <c r="F57" s="126" t="str">
        <f>IFERROR(__xludf.DUMMYFUNCTION("""COMPUTED_VALUE"""),"IEEE Xplore")</f>
        <v>IEEE Xplore</v>
      </c>
      <c r="G57" s="128" t="str">
        <f>IFERROR(__xludf.DUMMYFUNCTION("""COMPUTED_VALUE"""),"C")</f>
        <v>C</v>
      </c>
      <c r="H57" s="130">
        <f>IFERROR(__xludf.DUMMYFUNCTION("""COMPUTED_VALUE"""),2018.0)</f>
        <v>2018</v>
      </c>
      <c r="I57" s="130">
        <f>IFERROR(__xludf.DUMMYFUNCTION("""COMPUTED_VALUE"""),1.0)</f>
        <v>1</v>
      </c>
      <c r="J57" s="130">
        <f>IFERROR(__xludf.DUMMYFUNCTION("""COMPUTED_VALUE"""),1.0)</f>
        <v>1</v>
      </c>
      <c r="K57" s="130">
        <f>IFERROR(__xludf.DUMMYFUNCTION("""COMPUTED_VALUE"""),1.0)</f>
        <v>1</v>
      </c>
      <c r="L57" s="129">
        <f>IFERROR(__xludf.DUMMYFUNCTION("""COMPUTED_VALUE"""),1.0)</f>
        <v>1</v>
      </c>
      <c r="M57" s="130">
        <f>IFERROR(__xludf.DUMMYFUNCTION("""COMPUTED_VALUE"""),1.0)</f>
        <v>1</v>
      </c>
      <c r="N57" s="130">
        <f>IFERROR(__xludf.DUMMYFUNCTION("""COMPUTED_VALUE"""),0.0)</f>
        <v>0</v>
      </c>
      <c r="O57" s="130">
        <f>IFERROR(__xludf.DUMMYFUNCTION("""COMPUTED_VALUE"""),0.0)</f>
        <v>0</v>
      </c>
      <c r="P57" s="130">
        <f>IFERROR(__xludf.DUMMYFUNCTION("""COMPUTED_VALUE"""),0.0)</f>
        <v>0</v>
      </c>
      <c r="Q57" s="130">
        <f>IFERROR(__xludf.DUMMYFUNCTION("""COMPUTED_VALUE"""),0.0)</f>
        <v>0</v>
      </c>
      <c r="R57" s="130">
        <f>IFERROR(__xludf.DUMMYFUNCTION("""COMPUTED_VALUE"""),0.0)</f>
        <v>0</v>
      </c>
      <c r="S57" s="130">
        <f>IFERROR(__xludf.DUMMYFUNCTION("""COMPUTED_VALUE"""),0.0)</f>
        <v>0</v>
      </c>
      <c r="T57" s="130">
        <f>IFERROR(__xludf.DUMMYFUNCTION("""COMPUTED_VALUE"""),0.0)</f>
        <v>0</v>
      </c>
      <c r="U57" s="130">
        <f>IFERROR(__xludf.DUMMYFUNCTION("""COMPUTED_VALUE"""),0.0)</f>
        <v>0</v>
      </c>
      <c r="V57" s="131">
        <f>IFERROR(__xludf.DUMMYFUNCTION("""COMPUTED_VALUE"""),0.0)</f>
        <v>0</v>
      </c>
      <c r="W57" s="131" t="str">
        <f>IFERROR(__xludf.DUMMYFUNCTION("""COMPUTED_VALUE"""),"Yes")</f>
        <v>Yes</v>
      </c>
      <c r="X57" s="131" t="str">
        <f>IFERROR(__xludf.DUMMYFUNCTION("""COMPUTED_VALUE"""),"Yes")</f>
        <v>Yes</v>
      </c>
      <c r="Y57" s="131" t="str">
        <f>IFERROR(__xludf.DUMMYFUNCTION("""COMPUTED_VALUE"""),"F")</f>
        <v>F</v>
      </c>
      <c r="Z57" s="131" t="str">
        <f>IFERROR(__xludf.DUMMYFUNCTION("""COMPUTED_VALUE"""),"VM consolidation (dynamic)")</f>
        <v>VM consolidation (dynamic)</v>
      </c>
      <c r="AA57" s="131"/>
      <c r="AB57" s="131"/>
      <c r="AC57" s="131"/>
      <c r="AD57" s="131"/>
      <c r="AE57" s="131"/>
      <c r="AF57" s="131"/>
      <c r="AG57" s="131"/>
      <c r="AH57" s="131"/>
      <c r="AI57" s="131"/>
      <c r="AJ57" s="131"/>
    </row>
    <row r="58">
      <c r="A58" s="126">
        <f>IFERROR(__xludf.DUMMYFUNCTION("""COMPUTED_VALUE"""),171.0)</f>
        <v>171</v>
      </c>
      <c r="B58" s="126" t="str">
        <f>IFERROR(__xludf.DUMMYFUNCTION("""COMPUTED_VALUE"""),"DREAM: Distributed energy-aware traffic management for data center networks")</f>
        <v>DREAM: Distributed energy-aware traffic management for data center networks</v>
      </c>
      <c r="C58" s="127" t="str">
        <f>IFERROR(__xludf.DUMMYFUNCTION("""COMPUTED_VALUE"""),"https://dl.acm.org/doi/abs/10.1145/3307772.3328291")</f>
        <v>https://dl.acm.org/doi/abs/10.1145/3307772.3328291</v>
      </c>
      <c r="D58" s="126" t="str">
        <f>IFERROR(__xludf.DUMMYFUNCTION("""COMPUTED_VALUE"""),"L Zhou, LN Bhuyan, KK Ramakrishnan")</f>
        <v>L Zhou, LN Bhuyan, KK Ramakrishnan</v>
      </c>
      <c r="E58" s="126" t="str">
        <f>IFERROR(__xludf.DUMMYFUNCTION("""COMPUTED_VALUE"""),"Association for Computing Machinery")</f>
        <v>Association for Computing Machinery</v>
      </c>
      <c r="F58" s="126" t="str">
        <f>IFERROR(__xludf.DUMMYFUNCTION("""COMPUTED_VALUE"""),"ACM")</f>
        <v>ACM</v>
      </c>
      <c r="G58" s="128" t="str">
        <f>IFERROR(__xludf.DUMMYFUNCTION("""COMPUTED_VALUE"""),"C")</f>
        <v>C</v>
      </c>
      <c r="H58" s="130">
        <f>IFERROR(__xludf.DUMMYFUNCTION("""COMPUTED_VALUE"""),2019.0)</f>
        <v>2019</v>
      </c>
      <c r="I58" s="130">
        <f>IFERROR(__xludf.DUMMYFUNCTION("""COMPUTED_VALUE"""),1.0)</f>
        <v>1</v>
      </c>
      <c r="J58" s="130">
        <f>IFERROR(__xludf.DUMMYFUNCTION("""COMPUTED_VALUE"""),1.0)</f>
        <v>1</v>
      </c>
      <c r="K58" s="130">
        <f>IFERROR(__xludf.DUMMYFUNCTION("""COMPUTED_VALUE"""),1.0)</f>
        <v>1</v>
      </c>
      <c r="L58" s="129">
        <f>IFERROR(__xludf.DUMMYFUNCTION("""COMPUTED_VALUE"""),1.0)</f>
        <v>1</v>
      </c>
      <c r="M58" s="130">
        <f>IFERROR(__xludf.DUMMYFUNCTION("""COMPUTED_VALUE"""),1.0)</f>
        <v>1</v>
      </c>
      <c r="N58" s="130">
        <f>IFERROR(__xludf.DUMMYFUNCTION("""COMPUTED_VALUE"""),0.0)</f>
        <v>0</v>
      </c>
      <c r="O58" s="130">
        <f>IFERROR(__xludf.DUMMYFUNCTION("""COMPUTED_VALUE"""),0.0)</f>
        <v>0</v>
      </c>
      <c r="P58" s="130">
        <f>IFERROR(__xludf.DUMMYFUNCTION("""COMPUTED_VALUE"""),0.0)</f>
        <v>0</v>
      </c>
      <c r="Q58" s="130">
        <f>IFERROR(__xludf.DUMMYFUNCTION("""COMPUTED_VALUE"""),0.0)</f>
        <v>0</v>
      </c>
      <c r="R58" s="130">
        <f>IFERROR(__xludf.DUMMYFUNCTION("""COMPUTED_VALUE"""),0.0)</f>
        <v>0</v>
      </c>
      <c r="S58" s="130">
        <f>IFERROR(__xludf.DUMMYFUNCTION("""COMPUTED_VALUE"""),0.0)</f>
        <v>0</v>
      </c>
      <c r="T58" s="130">
        <f>IFERROR(__xludf.DUMMYFUNCTION("""COMPUTED_VALUE"""),0.0)</f>
        <v>0</v>
      </c>
      <c r="U58" s="130">
        <f>IFERROR(__xludf.DUMMYFUNCTION("""COMPUTED_VALUE"""),0.0)</f>
        <v>0</v>
      </c>
      <c r="V58" s="131">
        <f>IFERROR(__xludf.DUMMYFUNCTION("""COMPUTED_VALUE"""),0.0)</f>
        <v>0</v>
      </c>
      <c r="W58" s="131" t="str">
        <f>IFERROR(__xludf.DUMMYFUNCTION("""COMPUTED_VALUE"""),"Yes")</f>
        <v>Yes</v>
      </c>
      <c r="X58" s="131" t="str">
        <f>IFERROR(__xludf.DUMMYFUNCTION("""COMPUTED_VALUE"""),"Yes")</f>
        <v>Yes</v>
      </c>
      <c r="Y58" s="131" t="str">
        <f>IFERROR(__xludf.DUMMYFUNCTION("""COMPUTED_VALUE"""),"F")</f>
        <v>F</v>
      </c>
      <c r="Z58" s="131" t="str">
        <f>IFERROR(__xludf.DUMMYFUNCTION("""COMPUTED_VALUE"""),"traffic management framework")</f>
        <v>traffic management framework</v>
      </c>
      <c r="AA58" s="131"/>
      <c r="AB58" s="131"/>
      <c r="AC58" s="131"/>
      <c r="AD58" s="131"/>
      <c r="AE58" s="131"/>
      <c r="AF58" s="131"/>
      <c r="AG58" s="131"/>
      <c r="AH58" s="131"/>
      <c r="AI58" s="131"/>
      <c r="AJ58" s="131"/>
    </row>
    <row r="59">
      <c r="A59" s="126">
        <f>IFERROR(__xludf.DUMMYFUNCTION("""COMPUTED_VALUE"""),174.0)</f>
        <v>174</v>
      </c>
      <c r="B59" s="126" t="str">
        <f>IFERROR(__xludf.DUMMYFUNCTION("""COMPUTED_VALUE"""),"Energy-oriented analysis of HPC cluster queues: emerging metrics for sustainable data center")</f>
        <v>Energy-oriented analysis of HPC cluster queues: emerging metrics for sustainable data center</v>
      </c>
      <c r="C59" s="127" t="str">
        <f>IFERROR(__xludf.DUMMYFUNCTION("""COMPUTED_VALUE"""),"https://link.springer.com/chapter/10.1007/978-3-030-21507-1_41")</f>
        <v>https://link.springer.com/chapter/10.1007/978-3-030-21507-1_41</v>
      </c>
      <c r="D59" s="131" t="str">
        <f>IFERROR(__xludf.DUMMYFUNCTION("""COMPUTED_VALUE"""),"A Grishina, M Chinnici, D De Chiara, E Rondeau, AL Kor")</f>
        <v>A Grishina, M Chinnici, D De Chiara, E Rondeau, AL Kor</v>
      </c>
      <c r="E59" s="131" t="str">
        <f>IFERROR(__xludf.DUMMYFUNCTION("""COMPUTED_VALUE"""),"Springer")</f>
        <v>Springer</v>
      </c>
      <c r="F59" s="126" t="str">
        <f>IFERROR(__xludf.DUMMYFUNCTION("""COMPUTED_VALUE"""),"Springer")</f>
        <v>Springer</v>
      </c>
      <c r="G59" s="132" t="str">
        <f>IFERROR(__xludf.DUMMYFUNCTION("""COMPUTED_VALUE"""),"C")</f>
        <v>C</v>
      </c>
      <c r="H59" s="130">
        <f>IFERROR(__xludf.DUMMYFUNCTION("""COMPUTED_VALUE"""),2018.0)</f>
        <v>2018</v>
      </c>
      <c r="I59" s="130">
        <f>IFERROR(__xludf.DUMMYFUNCTION("""COMPUTED_VALUE"""),1.0)</f>
        <v>1</v>
      </c>
      <c r="J59" s="130">
        <f>IFERROR(__xludf.DUMMYFUNCTION("""COMPUTED_VALUE"""),1.0)</f>
        <v>1</v>
      </c>
      <c r="K59" s="130">
        <f>IFERROR(__xludf.DUMMYFUNCTION("""COMPUTED_VALUE"""),1.0)</f>
        <v>1</v>
      </c>
      <c r="L59" s="129">
        <f>IFERROR(__xludf.DUMMYFUNCTION("""COMPUTED_VALUE"""),1.0)</f>
        <v>1</v>
      </c>
      <c r="M59" s="130">
        <f>IFERROR(__xludf.DUMMYFUNCTION("""COMPUTED_VALUE"""),1.0)</f>
        <v>1</v>
      </c>
      <c r="N59" s="130">
        <f>IFERROR(__xludf.DUMMYFUNCTION("""COMPUTED_VALUE"""),0.0)</f>
        <v>0</v>
      </c>
      <c r="O59" s="130">
        <f>IFERROR(__xludf.DUMMYFUNCTION("""COMPUTED_VALUE"""),0.0)</f>
        <v>0</v>
      </c>
      <c r="P59" s="130">
        <f>IFERROR(__xludf.DUMMYFUNCTION("""COMPUTED_VALUE"""),0.0)</f>
        <v>0</v>
      </c>
      <c r="Q59" s="130">
        <f>IFERROR(__xludf.DUMMYFUNCTION("""COMPUTED_VALUE"""),0.0)</f>
        <v>0</v>
      </c>
      <c r="R59" s="130">
        <f>IFERROR(__xludf.DUMMYFUNCTION("""COMPUTED_VALUE"""),0.0)</f>
        <v>0</v>
      </c>
      <c r="S59" s="130">
        <f>IFERROR(__xludf.DUMMYFUNCTION("""COMPUTED_VALUE"""),0.0)</f>
        <v>0</v>
      </c>
      <c r="T59" s="130">
        <f>IFERROR(__xludf.DUMMYFUNCTION("""COMPUTED_VALUE"""),0.0)</f>
        <v>0</v>
      </c>
      <c r="U59" s="130">
        <f>IFERROR(__xludf.DUMMYFUNCTION("""COMPUTED_VALUE"""),0.0)</f>
        <v>0</v>
      </c>
      <c r="V59" s="131">
        <f>IFERROR(__xludf.DUMMYFUNCTION("""COMPUTED_VALUE"""),0.0)</f>
        <v>0</v>
      </c>
      <c r="W59" s="131" t="str">
        <f>IFERROR(__xludf.DUMMYFUNCTION("""COMPUTED_VALUE"""),"Yes")</f>
        <v>Yes</v>
      </c>
      <c r="X59" s="131" t="str">
        <f>IFERROR(__xludf.DUMMYFUNCTION("""COMPUTED_VALUE"""),"Yes")</f>
        <v>Yes</v>
      </c>
      <c r="Y59" s="131" t="str">
        <f>IFERROR(__xludf.DUMMYFUNCTION("""COMPUTED_VALUE"""),"F")</f>
        <v>F</v>
      </c>
      <c r="Z59" s="131" t="str">
        <f>IFERROR(__xludf.DUMMYFUNCTION("""COMPUTED_VALUE"""),"analysis productivity EE metrics")</f>
        <v>analysis productivity EE metrics</v>
      </c>
      <c r="AA59" s="131"/>
      <c r="AB59" s="131"/>
      <c r="AC59" s="131"/>
      <c r="AD59" s="131"/>
      <c r="AE59" s="131"/>
      <c r="AF59" s="131"/>
      <c r="AG59" s="131"/>
      <c r="AH59" s="131"/>
      <c r="AI59" s="131"/>
      <c r="AJ59" s="131"/>
    </row>
    <row r="60">
      <c r="A60" s="126">
        <f>IFERROR(__xludf.DUMMYFUNCTION("""COMPUTED_VALUE"""),177.0)</f>
        <v>177</v>
      </c>
      <c r="B60" s="126" t="str">
        <f>IFERROR(__xludf.DUMMYFUNCTION("""COMPUTED_VALUE"""),"Energy efficiency of data center operating practices: Server clustering, powering on/off, and bang–bang control")</f>
        <v>Energy efficiency of data center operating practices: Server clustering, powering on/off, and bang–bang control</v>
      </c>
      <c r="C60" s="127" t="str">
        <f>IFERROR(__xludf.DUMMYFUNCTION("""COMPUTED_VALUE"""),"https://onlinelibrary.wiley.com/doi/abs/10.1002/net.21752")</f>
        <v>https://onlinelibrary.wiley.com/doi/abs/10.1002/net.21752</v>
      </c>
      <c r="D60" s="126" t="str">
        <f>IFERROR(__xludf.DUMMYFUNCTION("""COMPUTED_VALUE"""),"Y Cho, YM Ko")</f>
        <v>Y Cho, YM Ko</v>
      </c>
      <c r="E60" s="126" t="str">
        <f>IFERROR(__xludf.DUMMYFUNCTION("""COMPUTED_VALUE"""),"Wiley Online Library")</f>
        <v>Wiley Online Library</v>
      </c>
      <c r="F60" s="126" t="str">
        <f>IFERROR(__xludf.DUMMYFUNCTION("""COMPUTED_VALUE"""),"Wiley")</f>
        <v>Wiley</v>
      </c>
      <c r="G60" s="128" t="str">
        <f>IFERROR(__xludf.DUMMYFUNCTION("""COMPUTED_VALUE"""),"J")</f>
        <v>J</v>
      </c>
      <c r="H60" s="130">
        <f>IFERROR(__xludf.DUMMYFUNCTION("""COMPUTED_VALUE"""),2018.0)</f>
        <v>2018</v>
      </c>
      <c r="I60" s="130">
        <f>IFERROR(__xludf.DUMMYFUNCTION("""COMPUTED_VALUE"""),1.0)</f>
        <v>1</v>
      </c>
      <c r="J60" s="130">
        <f>IFERROR(__xludf.DUMMYFUNCTION("""COMPUTED_VALUE"""),1.0)</f>
        <v>1</v>
      </c>
      <c r="K60" s="130">
        <f>IFERROR(__xludf.DUMMYFUNCTION("""COMPUTED_VALUE"""),1.0)</f>
        <v>1</v>
      </c>
      <c r="L60" s="129">
        <f>IFERROR(__xludf.DUMMYFUNCTION("""COMPUTED_VALUE"""),1.0)</f>
        <v>1</v>
      </c>
      <c r="M60" s="130">
        <f>IFERROR(__xludf.DUMMYFUNCTION("""COMPUTED_VALUE"""),1.0)</f>
        <v>1</v>
      </c>
      <c r="N60" s="130">
        <f>IFERROR(__xludf.DUMMYFUNCTION("""COMPUTED_VALUE"""),0.0)</f>
        <v>0</v>
      </c>
      <c r="O60" s="130">
        <f>IFERROR(__xludf.DUMMYFUNCTION("""COMPUTED_VALUE"""),0.0)</f>
        <v>0</v>
      </c>
      <c r="P60" s="130">
        <f>IFERROR(__xludf.DUMMYFUNCTION("""COMPUTED_VALUE"""),0.0)</f>
        <v>0</v>
      </c>
      <c r="Q60" s="130">
        <f>IFERROR(__xludf.DUMMYFUNCTION("""COMPUTED_VALUE"""),0.0)</f>
        <v>0</v>
      </c>
      <c r="R60" s="130">
        <f>IFERROR(__xludf.DUMMYFUNCTION("""COMPUTED_VALUE"""),0.0)</f>
        <v>0</v>
      </c>
      <c r="S60" s="130">
        <f>IFERROR(__xludf.DUMMYFUNCTION("""COMPUTED_VALUE"""),0.0)</f>
        <v>0</v>
      </c>
      <c r="T60" s="130">
        <f>IFERROR(__xludf.DUMMYFUNCTION("""COMPUTED_VALUE"""),0.0)</f>
        <v>0</v>
      </c>
      <c r="U60" s="130">
        <f>IFERROR(__xludf.DUMMYFUNCTION("""COMPUTED_VALUE"""),0.0)</f>
        <v>0</v>
      </c>
      <c r="V60" s="131">
        <f>IFERROR(__xludf.DUMMYFUNCTION("""COMPUTED_VALUE"""),0.0)</f>
        <v>0</v>
      </c>
      <c r="W60" s="131" t="str">
        <f>IFERROR(__xludf.DUMMYFUNCTION("""COMPUTED_VALUE"""),"Yes")</f>
        <v>Yes</v>
      </c>
      <c r="X60" s="131" t="str">
        <f>IFERROR(__xludf.DUMMYFUNCTION("""COMPUTED_VALUE"""),"Yes")</f>
        <v>Yes</v>
      </c>
      <c r="Y60" s="131" t="str">
        <f>IFERROR(__xludf.DUMMYFUNCTION("""COMPUTED_VALUE"""),"F")</f>
        <v>F</v>
      </c>
      <c r="Z60" s="131" t="str">
        <f>IFERROR(__xludf.DUMMYFUNCTION("""COMPUTED_VALUE"""),"adaptive load management ")</f>
        <v>adaptive load management </v>
      </c>
      <c r="AA60" s="131"/>
      <c r="AB60" s="131"/>
      <c r="AC60" s="131"/>
      <c r="AD60" s="131"/>
      <c r="AE60" s="131"/>
      <c r="AF60" s="131"/>
      <c r="AG60" s="131"/>
      <c r="AH60" s="131"/>
      <c r="AI60" s="131"/>
      <c r="AJ60" s="131"/>
    </row>
    <row r="61">
      <c r="A61" s="126">
        <f>IFERROR(__xludf.DUMMYFUNCTION("""COMPUTED_VALUE"""),179.0)</f>
        <v>179</v>
      </c>
      <c r="B61" s="126" t="str">
        <f>IFERROR(__xludf.DUMMYFUNCTION("""COMPUTED_VALUE"""),"Toward an Autonomic and Adaptive Load Management Strategy for Reducing Energy Consumption under Performance Constraints in Data Centers.")</f>
        <v>Toward an Autonomic and Adaptive Load Management Strategy for Reducing Energy Consumption under Performance Constraints in Data Centers.</v>
      </c>
      <c r="C61" s="127" t="str">
        <f>IFERROR(__xludf.DUMMYFUNCTION("""COMPUTED_VALUE"""),"https://www.researchgate.net/profile/Abdulrahman_Nahhas/publication/333335432_Toward_an_Autonomic_and_Adaptive_Load_Management_Strategy_for_Reducing_Energy_Consumption_under_Performance_Constraints_in_Data_Centers/links/5d1b96fa92851cf440600900/Toward-an-"&amp;"Autonomic-and-Adaptive-Load-Management-Strategy-for-Reducing-Energy-Consumption-under-Performance-Constraints-in-Data-Centers.pdf")</f>
        <v>https://www.researchgate.net/profile/Abdulrahman_Nahhas/publication/333335432_Toward_an_Autonomic_and_Adaptive_Load_Management_Strategy_for_Reducing_Energy_Consumption_under_Performance_Constraints_in_Data_Centers/links/5d1b96fa92851cf440600900/Toward-an-Autonomic-and-Adaptive-Load-Management-Strategy-for-Reducing-Energy-Consumption-under-Performance-Constraints-in-Data-Centers.pdf</v>
      </c>
      <c r="D61" s="126" t="str">
        <f>IFERROR(__xludf.DUMMYFUNCTION("""COMPUTED_VALUE"""),"A Nahhas, S Bosse, M Pohl, K Turowski")</f>
        <v>A Nahhas, S Bosse, M Pohl, K Turowski</v>
      </c>
      <c r="E61" s="127" t="str">
        <f>IFERROR(__xludf.DUMMYFUNCTION("""COMPUTED_VALUE"""),"researchgate.net")</f>
        <v>researchgate.net</v>
      </c>
      <c r="F61" s="127" t="str">
        <f>IFERROR(__xludf.DUMMYFUNCTION("""COMPUTED_VALUE"""),"researchgate.net")</f>
        <v>researchgate.net</v>
      </c>
      <c r="G61" s="128" t="str">
        <f>IFERROR(__xludf.DUMMYFUNCTION("""COMPUTED_VALUE"""),"C")</f>
        <v>C</v>
      </c>
      <c r="H61" s="130">
        <f>IFERROR(__xludf.DUMMYFUNCTION("""COMPUTED_VALUE"""),2019.0)</f>
        <v>2019</v>
      </c>
      <c r="I61" s="129">
        <f>IFERROR(__xludf.DUMMYFUNCTION("""COMPUTED_VALUE"""),1.0)</f>
        <v>1</v>
      </c>
      <c r="J61" s="130">
        <f>IFERROR(__xludf.DUMMYFUNCTION("""COMPUTED_VALUE"""),1.0)</f>
        <v>1</v>
      </c>
      <c r="K61" s="130">
        <f>IFERROR(__xludf.DUMMYFUNCTION("""COMPUTED_VALUE"""),1.0)</f>
        <v>1</v>
      </c>
      <c r="L61" s="130">
        <f>IFERROR(__xludf.DUMMYFUNCTION("""COMPUTED_VALUE"""),1.0)</f>
        <v>1</v>
      </c>
      <c r="M61" s="130">
        <f>IFERROR(__xludf.DUMMYFUNCTION("""COMPUTED_VALUE"""),1.0)</f>
        <v>1</v>
      </c>
      <c r="N61" s="130">
        <f>IFERROR(__xludf.DUMMYFUNCTION("""COMPUTED_VALUE"""),0.0)</f>
        <v>0</v>
      </c>
      <c r="O61" s="130">
        <f>IFERROR(__xludf.DUMMYFUNCTION("""COMPUTED_VALUE"""),0.0)</f>
        <v>0</v>
      </c>
      <c r="P61" s="130">
        <f>IFERROR(__xludf.DUMMYFUNCTION("""COMPUTED_VALUE"""),0.0)</f>
        <v>0</v>
      </c>
      <c r="Q61" s="130">
        <f>IFERROR(__xludf.DUMMYFUNCTION("""COMPUTED_VALUE"""),0.0)</f>
        <v>0</v>
      </c>
      <c r="R61" s="130">
        <f>IFERROR(__xludf.DUMMYFUNCTION("""COMPUTED_VALUE"""),0.0)</f>
        <v>0</v>
      </c>
      <c r="S61" s="130">
        <f>IFERROR(__xludf.DUMMYFUNCTION("""COMPUTED_VALUE"""),0.0)</f>
        <v>0</v>
      </c>
      <c r="T61" s="130">
        <f>IFERROR(__xludf.DUMMYFUNCTION("""COMPUTED_VALUE"""),0.0)</f>
        <v>0</v>
      </c>
      <c r="U61" s="130">
        <f>IFERROR(__xludf.DUMMYFUNCTION("""COMPUTED_VALUE"""),0.0)</f>
        <v>0</v>
      </c>
      <c r="V61" s="131">
        <f>IFERROR(__xludf.DUMMYFUNCTION("""COMPUTED_VALUE"""),0.0)</f>
        <v>0</v>
      </c>
      <c r="W61" s="131" t="str">
        <f>IFERROR(__xludf.DUMMYFUNCTION("""COMPUTED_VALUE"""),"Yes")</f>
        <v>Yes</v>
      </c>
      <c r="X61" s="131" t="str">
        <f>IFERROR(__xludf.DUMMYFUNCTION("""COMPUTED_VALUE"""),"Yes")</f>
        <v>Yes</v>
      </c>
      <c r="Y61" s="131" t="str">
        <f>IFERROR(__xludf.DUMMYFUNCTION("""COMPUTED_VALUE"""),"F")</f>
        <v>F</v>
      </c>
      <c r="Z61" s="131" t="str">
        <f>IFERROR(__xludf.DUMMYFUNCTION("""COMPUTED_VALUE"""),"load management strategy")</f>
        <v>load management strategy</v>
      </c>
      <c r="AA61" s="131"/>
      <c r="AB61" s="131"/>
      <c r="AC61" s="131"/>
      <c r="AD61" s="131"/>
      <c r="AE61" s="131"/>
      <c r="AF61" s="131"/>
      <c r="AG61" s="131"/>
      <c r="AH61" s="131"/>
      <c r="AI61" s="131"/>
      <c r="AJ61" s="131"/>
    </row>
    <row r="62">
      <c r="A62" s="126">
        <f>IFERROR(__xludf.DUMMYFUNCTION("""COMPUTED_VALUE"""),181.0)</f>
        <v>181</v>
      </c>
      <c r="B62" s="126" t="str">
        <f>IFERROR(__xludf.DUMMYFUNCTION("""COMPUTED_VALUE"""),"Utilization-prediction-aware virtual machine consolidation approach for energy-efficient cloud data centers")</f>
        <v>Utilization-prediction-aware virtual machine consolidation approach for energy-efficient cloud data centers</v>
      </c>
      <c r="C62" s="127" t="str">
        <f>IFERROR(__xludf.DUMMYFUNCTION("""COMPUTED_VALUE"""),"https://www.sciencedirect.com/science/article/pii/S074373151930190X")</f>
        <v>https://www.sciencedirect.com/science/article/pii/S074373151930190X</v>
      </c>
      <c r="D62" s="131" t="str">
        <f>IFERROR(__xludf.DUMMYFUNCTION("""COMPUTED_VALUE"""),"SY Hsieh, CS Liu, R Buyya, AY Zomaya")</f>
        <v>SY Hsieh, CS Liu, R Buyya, AY Zomaya</v>
      </c>
      <c r="E62" s="131" t="str">
        <f>IFERROR(__xludf.DUMMYFUNCTION("""COMPUTED_VALUE"""),"Elsevier")</f>
        <v>Elsevier</v>
      </c>
      <c r="F62" s="126" t="str">
        <f>IFERROR(__xludf.DUMMYFUNCTION("""COMPUTED_VALUE"""),"Elsevier")</f>
        <v>Elsevier</v>
      </c>
      <c r="G62" s="128" t="str">
        <f>IFERROR(__xludf.DUMMYFUNCTION("""COMPUTED_VALUE"""),"J")</f>
        <v>J</v>
      </c>
      <c r="H62" s="130">
        <f>IFERROR(__xludf.DUMMYFUNCTION("""COMPUTED_VALUE"""),2020.0)</f>
        <v>2020</v>
      </c>
      <c r="I62" s="130">
        <f>IFERROR(__xludf.DUMMYFUNCTION("""COMPUTED_VALUE"""),1.0)</f>
        <v>1</v>
      </c>
      <c r="J62" s="130">
        <f>IFERROR(__xludf.DUMMYFUNCTION("""COMPUTED_VALUE"""),1.0)</f>
        <v>1</v>
      </c>
      <c r="K62" s="130">
        <f>IFERROR(__xludf.DUMMYFUNCTION("""COMPUTED_VALUE"""),1.0)</f>
        <v>1</v>
      </c>
      <c r="L62" s="129">
        <f>IFERROR(__xludf.DUMMYFUNCTION("""COMPUTED_VALUE"""),1.0)</f>
        <v>1</v>
      </c>
      <c r="M62" s="130">
        <f>IFERROR(__xludf.DUMMYFUNCTION("""COMPUTED_VALUE"""),1.0)</f>
        <v>1</v>
      </c>
      <c r="N62" s="130">
        <f>IFERROR(__xludf.DUMMYFUNCTION("""COMPUTED_VALUE"""),0.0)</f>
        <v>0</v>
      </c>
      <c r="O62" s="130">
        <f>IFERROR(__xludf.DUMMYFUNCTION("""COMPUTED_VALUE"""),0.0)</f>
        <v>0</v>
      </c>
      <c r="P62" s="130">
        <f>IFERROR(__xludf.DUMMYFUNCTION("""COMPUTED_VALUE"""),0.0)</f>
        <v>0</v>
      </c>
      <c r="Q62" s="130">
        <f>IFERROR(__xludf.DUMMYFUNCTION("""COMPUTED_VALUE"""),0.0)</f>
        <v>0</v>
      </c>
      <c r="R62" s="130">
        <f>IFERROR(__xludf.DUMMYFUNCTION("""COMPUTED_VALUE"""),0.0)</f>
        <v>0</v>
      </c>
      <c r="S62" s="130">
        <f>IFERROR(__xludf.DUMMYFUNCTION("""COMPUTED_VALUE"""),0.0)</f>
        <v>0</v>
      </c>
      <c r="T62" s="130">
        <f>IFERROR(__xludf.DUMMYFUNCTION("""COMPUTED_VALUE"""),0.0)</f>
        <v>0</v>
      </c>
      <c r="U62" s="130">
        <f>IFERROR(__xludf.DUMMYFUNCTION("""COMPUTED_VALUE"""),0.0)</f>
        <v>0</v>
      </c>
      <c r="V62" s="131">
        <f>IFERROR(__xludf.DUMMYFUNCTION("""COMPUTED_VALUE"""),0.0)</f>
        <v>0</v>
      </c>
      <c r="W62" s="131" t="str">
        <f>IFERROR(__xludf.DUMMYFUNCTION("""COMPUTED_VALUE"""),"Yes")</f>
        <v>Yes</v>
      </c>
      <c r="X62" s="131" t="str">
        <f>IFERROR(__xludf.DUMMYFUNCTION("""COMPUTED_VALUE"""),"Yes")</f>
        <v>Yes</v>
      </c>
      <c r="Y62" s="131"/>
      <c r="Z62" s="131" t="str">
        <f>IFERROR(__xludf.DUMMYFUNCTION("""COMPUTED_VALUE"""),"VM consolidation")</f>
        <v>VM consolidation</v>
      </c>
      <c r="AA62" s="131"/>
      <c r="AB62" s="131"/>
      <c r="AC62" s="131"/>
      <c r="AD62" s="131"/>
      <c r="AE62" s="131"/>
      <c r="AF62" s="131"/>
      <c r="AG62" s="131"/>
      <c r="AH62" s="131"/>
      <c r="AI62" s="131"/>
      <c r="AJ62" s="131"/>
    </row>
    <row r="63">
      <c r="A63" s="126">
        <f>IFERROR(__xludf.DUMMYFUNCTION("""COMPUTED_VALUE"""),183.0)</f>
        <v>183</v>
      </c>
      <c r="B63" s="126" t="str">
        <f>IFERROR(__xludf.DUMMYFUNCTION("""COMPUTED_VALUE"""),"Reducing energy consumption in SDN-based data center networks through flow consolidation strategies")</f>
        <v>Reducing energy consumption in SDN-based data center networks through flow consolidation strategies</v>
      </c>
      <c r="C63" s="127" t="str">
        <f>IFERROR(__xludf.DUMMYFUNCTION("""COMPUTED_VALUE"""),"https://dl.acm.org/doi/abs/10.1145/3297280.3297420")</f>
        <v>https://dl.acm.org/doi/abs/10.1145/3297280.3297420</v>
      </c>
      <c r="D63" s="131" t="str">
        <f>IFERROR(__xludf.DUMMYFUNCTION("""COMPUTED_VALUE"""),"MS Conterato, TC Ferreto, F Rossi, WS Marques, PSS Souza")</f>
        <v>MS Conterato, TC Ferreto, F Rossi, WS Marques, PSS Souza</v>
      </c>
      <c r="E63" s="131" t="str">
        <f>IFERROR(__xludf.DUMMYFUNCTION("""COMPUTED_VALUE"""),"Association for Computing Machinery")</f>
        <v>Association for Computing Machinery</v>
      </c>
      <c r="F63" s="126" t="str">
        <f>IFERROR(__xludf.DUMMYFUNCTION("""COMPUTED_VALUE"""),"ACM")</f>
        <v>ACM</v>
      </c>
      <c r="G63" s="128" t="str">
        <f>IFERROR(__xludf.DUMMYFUNCTION("""COMPUTED_VALUE"""),"C")</f>
        <v>C</v>
      </c>
      <c r="H63" s="130">
        <f>IFERROR(__xludf.DUMMYFUNCTION("""COMPUTED_VALUE"""),2019.0)</f>
        <v>2019</v>
      </c>
      <c r="I63" s="130">
        <f>IFERROR(__xludf.DUMMYFUNCTION("""COMPUTED_VALUE"""),1.0)</f>
        <v>1</v>
      </c>
      <c r="J63" s="130">
        <f>IFERROR(__xludf.DUMMYFUNCTION("""COMPUTED_VALUE"""),1.0)</f>
        <v>1</v>
      </c>
      <c r="K63" s="130">
        <f>IFERROR(__xludf.DUMMYFUNCTION("""COMPUTED_VALUE"""),1.0)</f>
        <v>1</v>
      </c>
      <c r="L63" s="129">
        <f>IFERROR(__xludf.DUMMYFUNCTION("""COMPUTED_VALUE"""),1.0)</f>
        <v>1</v>
      </c>
      <c r="M63" s="130">
        <f>IFERROR(__xludf.DUMMYFUNCTION("""COMPUTED_VALUE"""),1.0)</f>
        <v>1</v>
      </c>
      <c r="N63" s="129">
        <f>IFERROR(__xludf.DUMMYFUNCTION("""COMPUTED_VALUE"""),0.0)</f>
        <v>0</v>
      </c>
      <c r="O63" s="130">
        <f>IFERROR(__xludf.DUMMYFUNCTION("""COMPUTED_VALUE"""),0.0)</f>
        <v>0</v>
      </c>
      <c r="P63" s="130">
        <f>IFERROR(__xludf.DUMMYFUNCTION("""COMPUTED_VALUE"""),0.0)</f>
        <v>0</v>
      </c>
      <c r="Q63" s="129">
        <f>IFERROR(__xludf.DUMMYFUNCTION("""COMPUTED_VALUE"""),0.0)</f>
        <v>0</v>
      </c>
      <c r="R63" s="129">
        <f>IFERROR(__xludf.DUMMYFUNCTION("""COMPUTED_VALUE"""),0.0)</f>
        <v>0</v>
      </c>
      <c r="S63" s="129">
        <f>IFERROR(__xludf.DUMMYFUNCTION("""COMPUTED_VALUE"""),0.0)</f>
        <v>0</v>
      </c>
      <c r="T63" s="129">
        <f>IFERROR(__xludf.DUMMYFUNCTION("""COMPUTED_VALUE"""),0.0)</f>
        <v>0</v>
      </c>
      <c r="U63" s="129">
        <f>IFERROR(__xludf.DUMMYFUNCTION("""COMPUTED_VALUE"""),0.0)</f>
        <v>0</v>
      </c>
      <c r="V63" s="126">
        <f>IFERROR(__xludf.DUMMYFUNCTION("""COMPUTED_VALUE"""),0.0)</f>
        <v>0</v>
      </c>
      <c r="W63" s="126" t="str">
        <f>IFERROR(__xludf.DUMMYFUNCTION("""COMPUTED_VALUE"""),"Yes")</f>
        <v>Yes</v>
      </c>
      <c r="X63" s="126" t="str">
        <f>IFERROR(__xludf.DUMMYFUNCTION("""COMPUTED_VALUE"""),"Yes")</f>
        <v>Yes</v>
      </c>
      <c r="Y63" s="126" t="str">
        <f>IFERROR(__xludf.DUMMYFUNCTION("""COMPUTED_VALUE"""),"F")</f>
        <v>F</v>
      </c>
      <c r="Z63" s="126" t="str">
        <f>IFERROR(__xludf.DUMMYFUNCTION("""COMPUTED_VALUE"""),"flow paths in DCN")</f>
        <v>flow paths in DCN</v>
      </c>
      <c r="AA63" s="126"/>
      <c r="AB63" s="126"/>
      <c r="AC63" s="126"/>
      <c r="AD63" s="126"/>
      <c r="AE63" s="126"/>
      <c r="AF63" s="126"/>
      <c r="AG63" s="126"/>
      <c r="AH63" s="126"/>
      <c r="AI63" s="126"/>
      <c r="AJ63" s="126"/>
    </row>
    <row r="64">
      <c r="A64" s="126">
        <f>IFERROR(__xludf.DUMMYFUNCTION("""COMPUTED_VALUE"""),184.0)</f>
        <v>184</v>
      </c>
      <c r="B64" s="126" t="str">
        <f>IFERROR(__xludf.DUMMYFUNCTION("""COMPUTED_VALUE"""),"An energy-saving strategy based on multi-server vacation queuing theory in cloud data center")</f>
        <v>An energy-saving strategy based on multi-server vacation queuing theory in cloud data center</v>
      </c>
      <c r="C64" s="127" t="str">
        <f>IFERROR(__xludf.DUMMYFUNCTION("""COMPUTED_VALUE"""),"https://link.springer.com/article/10.1007/s11227-018-2513-4")</f>
        <v>https://link.springer.com/article/10.1007/s11227-018-2513-4</v>
      </c>
      <c r="D64" s="131" t="str">
        <f>IFERROR(__xludf.DUMMYFUNCTION("""COMPUTED_VALUE"""),"Y Chunxia, J Shunfu")</f>
        <v>Y Chunxia, J Shunfu</v>
      </c>
      <c r="E64" s="131" t="str">
        <f>IFERROR(__xludf.DUMMYFUNCTION("""COMPUTED_VALUE"""),"Springer")</f>
        <v>Springer</v>
      </c>
      <c r="F64" s="126" t="str">
        <f>IFERROR(__xludf.DUMMYFUNCTION("""COMPUTED_VALUE"""),"Springer")</f>
        <v>Springer</v>
      </c>
      <c r="G64" s="128" t="str">
        <f>IFERROR(__xludf.DUMMYFUNCTION("""COMPUTED_VALUE"""),"J")</f>
        <v>J</v>
      </c>
      <c r="H64" s="130">
        <f>IFERROR(__xludf.DUMMYFUNCTION("""COMPUTED_VALUE"""),2018.0)</f>
        <v>2018</v>
      </c>
      <c r="I64" s="130">
        <f>IFERROR(__xludf.DUMMYFUNCTION("""COMPUTED_VALUE"""),1.0)</f>
        <v>1</v>
      </c>
      <c r="J64" s="130">
        <f>IFERROR(__xludf.DUMMYFUNCTION("""COMPUTED_VALUE"""),1.0)</f>
        <v>1</v>
      </c>
      <c r="K64" s="130">
        <f>IFERROR(__xludf.DUMMYFUNCTION("""COMPUTED_VALUE"""),1.0)</f>
        <v>1</v>
      </c>
      <c r="L64" s="129">
        <f>IFERROR(__xludf.DUMMYFUNCTION("""COMPUTED_VALUE"""),1.0)</f>
        <v>1</v>
      </c>
      <c r="M64" s="130">
        <f>IFERROR(__xludf.DUMMYFUNCTION("""COMPUTED_VALUE"""),1.0)</f>
        <v>1</v>
      </c>
      <c r="N64" s="130">
        <f>IFERROR(__xludf.DUMMYFUNCTION("""COMPUTED_VALUE"""),0.0)</f>
        <v>0</v>
      </c>
      <c r="O64" s="130">
        <f>IFERROR(__xludf.DUMMYFUNCTION("""COMPUTED_VALUE"""),0.0)</f>
        <v>0</v>
      </c>
      <c r="P64" s="130">
        <f>IFERROR(__xludf.DUMMYFUNCTION("""COMPUTED_VALUE"""),0.0)</f>
        <v>0</v>
      </c>
      <c r="Q64" s="130">
        <f>IFERROR(__xludf.DUMMYFUNCTION("""COMPUTED_VALUE"""),0.0)</f>
        <v>0</v>
      </c>
      <c r="R64" s="130">
        <f>IFERROR(__xludf.DUMMYFUNCTION("""COMPUTED_VALUE"""),0.0)</f>
        <v>0</v>
      </c>
      <c r="S64" s="130">
        <f>IFERROR(__xludf.DUMMYFUNCTION("""COMPUTED_VALUE"""),0.0)</f>
        <v>0</v>
      </c>
      <c r="T64" s="130">
        <f>IFERROR(__xludf.DUMMYFUNCTION("""COMPUTED_VALUE"""),0.0)</f>
        <v>0</v>
      </c>
      <c r="U64" s="130">
        <f>IFERROR(__xludf.DUMMYFUNCTION("""COMPUTED_VALUE"""),0.0)</f>
        <v>0</v>
      </c>
      <c r="V64" s="131">
        <f>IFERROR(__xludf.DUMMYFUNCTION("""COMPUTED_VALUE"""),0.0)</f>
        <v>0</v>
      </c>
      <c r="W64" s="131" t="str">
        <f>IFERROR(__xludf.DUMMYFUNCTION("""COMPUTED_VALUE"""),"Yes")</f>
        <v>Yes</v>
      </c>
      <c r="X64" s="131" t="str">
        <f>IFERROR(__xludf.DUMMYFUNCTION("""COMPUTED_VALUE"""),"Yes")</f>
        <v>Yes</v>
      </c>
      <c r="Y64" s="131" t="str">
        <f>IFERROR(__xludf.DUMMYFUNCTION("""COMPUTED_VALUE"""),"F")</f>
        <v>F</v>
      </c>
      <c r="Z64" s="131" t="str">
        <f>IFERROR(__xludf.DUMMYFUNCTION("""COMPUTED_VALUE"""),"server vacation queuing system")</f>
        <v>server vacation queuing system</v>
      </c>
      <c r="AA64" s="131"/>
      <c r="AB64" s="131"/>
      <c r="AC64" s="131"/>
      <c r="AD64" s="131"/>
      <c r="AE64" s="131"/>
      <c r="AF64" s="131"/>
      <c r="AG64" s="131"/>
      <c r="AH64" s="131"/>
      <c r="AI64" s="131"/>
      <c r="AJ64" s="131"/>
    </row>
    <row r="65">
      <c r="A65" s="126">
        <f>IFERROR(__xludf.DUMMYFUNCTION("""COMPUTED_VALUE"""),186.0)</f>
        <v>186</v>
      </c>
      <c r="B65" s="126" t="str">
        <f>IFERROR(__xludf.DUMMYFUNCTION("""COMPUTED_VALUE"""),"Energy aware resource efficient-(eare) server consolidation framework for cloud datacenter")</f>
        <v>Energy aware resource efficient-(eare) server consolidation framework for cloud datacenter</v>
      </c>
      <c r="C65" s="127" t="str">
        <f>IFERROR(__xludf.DUMMYFUNCTION("""COMPUTED_VALUE"""),"https://link.springer.com/chapter/10.1007/978-981-15-5341-7_111")</f>
        <v>https://link.springer.com/chapter/10.1007/978-981-15-5341-7_111</v>
      </c>
      <c r="D65" s="131" t="str">
        <f>IFERROR(__xludf.DUMMYFUNCTION("""COMPUTED_VALUE"""),"D Saxena, AK Singh")</f>
        <v>D Saxena, AK Singh</v>
      </c>
      <c r="E65" s="131" t="str">
        <f>IFERROR(__xludf.DUMMYFUNCTION("""COMPUTED_VALUE"""),"Springer")</f>
        <v>Springer</v>
      </c>
      <c r="F65" s="126" t="str">
        <f>IFERROR(__xludf.DUMMYFUNCTION("""COMPUTED_VALUE"""),"Springer")</f>
        <v>Springer</v>
      </c>
      <c r="G65" s="128" t="str">
        <f>IFERROR(__xludf.DUMMYFUNCTION("""COMPUTED_VALUE"""),"J")</f>
        <v>J</v>
      </c>
      <c r="H65" s="130">
        <f>IFERROR(__xludf.DUMMYFUNCTION("""COMPUTED_VALUE"""),2020.0)</f>
        <v>2020</v>
      </c>
      <c r="I65" s="130">
        <f>IFERROR(__xludf.DUMMYFUNCTION("""COMPUTED_VALUE"""),1.0)</f>
        <v>1</v>
      </c>
      <c r="J65" s="130">
        <f>IFERROR(__xludf.DUMMYFUNCTION("""COMPUTED_VALUE"""),1.0)</f>
        <v>1</v>
      </c>
      <c r="K65" s="130">
        <f>IFERROR(__xludf.DUMMYFUNCTION("""COMPUTED_VALUE"""),1.0)</f>
        <v>1</v>
      </c>
      <c r="L65" s="129">
        <f>IFERROR(__xludf.DUMMYFUNCTION("""COMPUTED_VALUE"""),1.0)</f>
        <v>1</v>
      </c>
      <c r="M65" s="130">
        <f>IFERROR(__xludf.DUMMYFUNCTION("""COMPUTED_VALUE"""),1.0)</f>
        <v>1</v>
      </c>
      <c r="N65" s="130">
        <f>IFERROR(__xludf.DUMMYFUNCTION("""COMPUTED_VALUE"""),0.0)</f>
        <v>0</v>
      </c>
      <c r="O65" s="130">
        <f>IFERROR(__xludf.DUMMYFUNCTION("""COMPUTED_VALUE"""),0.0)</f>
        <v>0</v>
      </c>
      <c r="P65" s="130">
        <f>IFERROR(__xludf.DUMMYFUNCTION("""COMPUTED_VALUE"""),0.0)</f>
        <v>0</v>
      </c>
      <c r="Q65" s="130">
        <f>IFERROR(__xludf.DUMMYFUNCTION("""COMPUTED_VALUE"""),0.0)</f>
        <v>0</v>
      </c>
      <c r="R65" s="130">
        <f>IFERROR(__xludf.DUMMYFUNCTION("""COMPUTED_VALUE"""),0.0)</f>
        <v>0</v>
      </c>
      <c r="S65" s="130">
        <f>IFERROR(__xludf.DUMMYFUNCTION("""COMPUTED_VALUE"""),0.0)</f>
        <v>0</v>
      </c>
      <c r="T65" s="130">
        <f>IFERROR(__xludf.DUMMYFUNCTION("""COMPUTED_VALUE"""),0.0)</f>
        <v>0</v>
      </c>
      <c r="U65" s="130">
        <f>IFERROR(__xludf.DUMMYFUNCTION("""COMPUTED_VALUE"""),0.0)</f>
        <v>0</v>
      </c>
      <c r="V65" s="131">
        <f>IFERROR(__xludf.DUMMYFUNCTION("""COMPUTED_VALUE"""),0.0)</f>
        <v>0</v>
      </c>
      <c r="W65" s="131" t="str">
        <f>IFERROR(__xludf.DUMMYFUNCTION("""COMPUTED_VALUE"""),"Yes")</f>
        <v>Yes</v>
      </c>
      <c r="X65" s="131" t="str">
        <f>IFERROR(__xludf.DUMMYFUNCTION("""COMPUTED_VALUE"""),"Yes")</f>
        <v>Yes</v>
      </c>
      <c r="Y65" s="131" t="str">
        <f>IFERROR(__xludf.DUMMYFUNCTION("""COMPUTED_VALUE"""),"F")</f>
        <v>F</v>
      </c>
      <c r="Z65" s="131" t="str">
        <f>IFERROR(__xludf.DUMMYFUNCTION("""COMPUTED_VALUE"""),"VM consolidation framework")</f>
        <v>VM consolidation framework</v>
      </c>
      <c r="AA65" s="131"/>
      <c r="AB65" s="131"/>
      <c r="AC65" s="131"/>
      <c r="AD65" s="131"/>
      <c r="AE65" s="131"/>
      <c r="AF65" s="131"/>
      <c r="AG65" s="131"/>
      <c r="AH65" s="131"/>
      <c r="AI65" s="131"/>
      <c r="AJ65" s="131"/>
    </row>
    <row r="66">
      <c r="A66" s="126">
        <f>IFERROR(__xludf.DUMMYFUNCTION("""COMPUTED_VALUE"""),188.0)</f>
        <v>188</v>
      </c>
      <c r="B66" s="126" t="str">
        <f>IFERROR(__xludf.DUMMYFUNCTION("""COMPUTED_VALUE"""),"ESP-VDCE: Energy, SLA, and price-driven virtual data center embedding")</f>
        <v>ESP-VDCE: Energy, SLA, and price-driven virtual data center embedding</v>
      </c>
      <c r="C66" s="127" t="str">
        <f>IFERROR(__xludf.DUMMYFUNCTION("""COMPUTED_VALUE"""),"https://ieeexplore.ieee.org/abstract/document/9148838/")</f>
        <v>https://ieeexplore.ieee.org/abstract/document/9148838/</v>
      </c>
      <c r="D66" s="126" t="str">
        <f>IFERROR(__xludf.DUMMYFUNCTION("""COMPUTED_VALUE"""),"K Kaur, S Garg, G Kaddoum, S Guo")</f>
        <v>K Kaur, S Garg, G Kaddoum, S Guo</v>
      </c>
      <c r="E66" s="126" t="str">
        <f>IFERROR(__xludf.DUMMYFUNCTION("""COMPUTED_VALUE"""),"Institute of Electrical and Electronics Engineers")</f>
        <v>Institute of Electrical and Electronics Engineers</v>
      </c>
      <c r="F66" s="126" t="str">
        <f>IFERROR(__xludf.DUMMYFUNCTION("""COMPUTED_VALUE"""),"IEEE Xplore")</f>
        <v>IEEE Xplore</v>
      </c>
      <c r="G66" s="128" t="str">
        <f>IFERROR(__xludf.DUMMYFUNCTION("""COMPUTED_VALUE"""),"C")</f>
        <v>C</v>
      </c>
      <c r="H66" s="130">
        <f>IFERROR(__xludf.DUMMYFUNCTION("""COMPUTED_VALUE"""),2020.0)</f>
        <v>2020</v>
      </c>
      <c r="I66" s="129">
        <f>IFERROR(__xludf.DUMMYFUNCTION("""COMPUTED_VALUE"""),1.0)</f>
        <v>1</v>
      </c>
      <c r="J66" s="130">
        <f>IFERROR(__xludf.DUMMYFUNCTION("""COMPUTED_VALUE"""),1.0)</f>
        <v>1</v>
      </c>
      <c r="K66" s="130">
        <f>IFERROR(__xludf.DUMMYFUNCTION("""COMPUTED_VALUE"""),1.0)</f>
        <v>1</v>
      </c>
      <c r="L66" s="130">
        <f>IFERROR(__xludf.DUMMYFUNCTION("""COMPUTED_VALUE"""),1.0)</f>
        <v>1</v>
      </c>
      <c r="M66" s="130">
        <f>IFERROR(__xludf.DUMMYFUNCTION("""COMPUTED_VALUE"""),1.0)</f>
        <v>1</v>
      </c>
      <c r="N66" s="130">
        <f>IFERROR(__xludf.DUMMYFUNCTION("""COMPUTED_VALUE"""),0.0)</f>
        <v>0</v>
      </c>
      <c r="O66" s="130">
        <f>IFERROR(__xludf.DUMMYFUNCTION("""COMPUTED_VALUE"""),0.0)</f>
        <v>0</v>
      </c>
      <c r="P66" s="130">
        <f>IFERROR(__xludf.DUMMYFUNCTION("""COMPUTED_VALUE"""),0.0)</f>
        <v>0</v>
      </c>
      <c r="Q66" s="130">
        <f>IFERROR(__xludf.DUMMYFUNCTION("""COMPUTED_VALUE"""),0.0)</f>
        <v>0</v>
      </c>
      <c r="R66" s="130">
        <f>IFERROR(__xludf.DUMMYFUNCTION("""COMPUTED_VALUE"""),0.0)</f>
        <v>0</v>
      </c>
      <c r="S66" s="130">
        <f>IFERROR(__xludf.DUMMYFUNCTION("""COMPUTED_VALUE"""),0.0)</f>
        <v>0</v>
      </c>
      <c r="T66" s="130">
        <f>IFERROR(__xludf.DUMMYFUNCTION("""COMPUTED_VALUE"""),0.0)</f>
        <v>0</v>
      </c>
      <c r="U66" s="130">
        <f>IFERROR(__xludf.DUMMYFUNCTION("""COMPUTED_VALUE"""),0.0)</f>
        <v>0</v>
      </c>
      <c r="V66" s="131">
        <f>IFERROR(__xludf.DUMMYFUNCTION("""COMPUTED_VALUE"""),0.0)</f>
        <v>0</v>
      </c>
      <c r="W66" s="131" t="str">
        <f>IFERROR(__xludf.DUMMYFUNCTION("""COMPUTED_VALUE"""),"Yes")</f>
        <v>Yes</v>
      </c>
      <c r="X66" s="131" t="str">
        <f>IFERROR(__xludf.DUMMYFUNCTION("""COMPUTED_VALUE"""),"Yes")</f>
        <v>Yes</v>
      </c>
      <c r="Y66" s="131" t="str">
        <f>IFERROR(__xludf.DUMMYFUNCTION("""COMPUTED_VALUE"""),"F")</f>
        <v>F</v>
      </c>
      <c r="Z66" s="131" t="str">
        <f>IFERROR(__xludf.DUMMYFUNCTION("""COMPUTED_VALUE"""),"cloud computing")</f>
        <v>cloud computing</v>
      </c>
      <c r="AA66" s="131"/>
      <c r="AB66" s="131"/>
      <c r="AC66" s="131"/>
      <c r="AD66" s="131"/>
      <c r="AE66" s="131"/>
      <c r="AF66" s="131"/>
      <c r="AG66" s="131"/>
      <c r="AH66" s="131"/>
      <c r="AI66" s="131"/>
      <c r="AJ66" s="131"/>
    </row>
    <row r="67">
      <c r="A67" s="126">
        <f>IFERROR(__xludf.DUMMYFUNCTION("""COMPUTED_VALUE"""),189.0)</f>
        <v>189</v>
      </c>
      <c r="B67" s="126" t="str">
        <f>IFERROR(__xludf.DUMMYFUNCTION("""COMPUTED_VALUE"""),"Virtual Machine Migration and Rack Consolidation for Energy Management in Cloud Data Centers")</f>
        <v>Virtual Machine Migration and Rack Consolidation for Energy Management in Cloud Data Centers</v>
      </c>
      <c r="C67" s="127" t="str">
        <f>IFERROR(__xludf.DUMMYFUNCTION("""COMPUTED_VALUE"""),"https://link.springer.com/chapter/10.1007/978-3-030-47560-4_22")</f>
        <v>https://link.springer.com/chapter/10.1007/978-3-030-47560-4_22</v>
      </c>
      <c r="D67" s="126" t="str">
        <f>IFERROR(__xludf.DUMMYFUNCTION("""COMPUTED_VALUE"""),"IG Hemanandhini, R Pavithra, P Sugantha Priyadharshini")</f>
        <v>IG Hemanandhini, R Pavithra, P Sugantha Priyadharshini</v>
      </c>
      <c r="E67" s="126" t="str">
        <f>IFERROR(__xludf.DUMMYFUNCTION("""COMPUTED_VALUE"""),"Springer")</f>
        <v>Springer</v>
      </c>
      <c r="F67" s="126" t="str">
        <f>IFERROR(__xludf.DUMMYFUNCTION("""COMPUTED_VALUE"""),"Springer")</f>
        <v>Springer</v>
      </c>
      <c r="G67" s="128" t="str">
        <f>IFERROR(__xludf.DUMMYFUNCTION("""COMPUTED_VALUE"""),"C")</f>
        <v>C</v>
      </c>
      <c r="H67" s="130">
        <f>IFERROR(__xludf.DUMMYFUNCTION("""COMPUTED_VALUE"""),2020.0)</f>
        <v>2020</v>
      </c>
      <c r="I67" s="129">
        <f>IFERROR(__xludf.DUMMYFUNCTION("""COMPUTED_VALUE"""),1.0)</f>
        <v>1</v>
      </c>
      <c r="J67" s="130">
        <f>IFERROR(__xludf.DUMMYFUNCTION("""COMPUTED_VALUE"""),1.0)</f>
        <v>1</v>
      </c>
      <c r="K67" s="130">
        <f>IFERROR(__xludf.DUMMYFUNCTION("""COMPUTED_VALUE"""),1.0)</f>
        <v>1</v>
      </c>
      <c r="L67" s="130">
        <f>IFERROR(__xludf.DUMMYFUNCTION("""COMPUTED_VALUE"""),1.0)</f>
        <v>1</v>
      </c>
      <c r="M67" s="130">
        <f>IFERROR(__xludf.DUMMYFUNCTION("""COMPUTED_VALUE"""),1.0)</f>
        <v>1</v>
      </c>
      <c r="N67" s="130">
        <f>IFERROR(__xludf.DUMMYFUNCTION("""COMPUTED_VALUE"""),0.0)</f>
        <v>0</v>
      </c>
      <c r="O67" s="130">
        <f>IFERROR(__xludf.DUMMYFUNCTION("""COMPUTED_VALUE"""),0.0)</f>
        <v>0</v>
      </c>
      <c r="P67" s="130">
        <f>IFERROR(__xludf.DUMMYFUNCTION("""COMPUTED_VALUE"""),0.0)</f>
        <v>0</v>
      </c>
      <c r="Q67" s="130">
        <f>IFERROR(__xludf.DUMMYFUNCTION("""COMPUTED_VALUE"""),0.0)</f>
        <v>0</v>
      </c>
      <c r="R67" s="130">
        <f>IFERROR(__xludf.DUMMYFUNCTION("""COMPUTED_VALUE"""),0.0)</f>
        <v>0</v>
      </c>
      <c r="S67" s="130">
        <f>IFERROR(__xludf.DUMMYFUNCTION("""COMPUTED_VALUE"""),0.0)</f>
        <v>0</v>
      </c>
      <c r="T67" s="130">
        <f>IFERROR(__xludf.DUMMYFUNCTION("""COMPUTED_VALUE"""),0.0)</f>
        <v>0</v>
      </c>
      <c r="U67" s="130">
        <f>IFERROR(__xludf.DUMMYFUNCTION("""COMPUTED_VALUE"""),0.0)</f>
        <v>0</v>
      </c>
      <c r="V67" s="131">
        <f>IFERROR(__xludf.DUMMYFUNCTION("""COMPUTED_VALUE"""),0.0)</f>
        <v>0</v>
      </c>
      <c r="W67" s="131" t="str">
        <f>IFERROR(__xludf.DUMMYFUNCTION("""COMPUTED_VALUE"""),"Yes")</f>
        <v>Yes</v>
      </c>
      <c r="X67" s="131" t="str">
        <f>IFERROR(__xludf.DUMMYFUNCTION("""COMPUTED_VALUE"""),"Yes")</f>
        <v>Yes</v>
      </c>
      <c r="Y67" s="131" t="str">
        <f>IFERROR(__xludf.DUMMYFUNCTION("""COMPUTED_VALUE"""),"F")</f>
        <v>F</v>
      </c>
      <c r="Z67" s="131" t="str">
        <f>IFERROR(__xludf.DUMMYFUNCTION("""COMPUTED_VALUE"""),"VM / rack consolidation")</f>
        <v>VM / rack consolidation</v>
      </c>
      <c r="AA67" s="131"/>
      <c r="AB67" s="131"/>
      <c r="AC67" s="131"/>
      <c r="AD67" s="131"/>
      <c r="AE67" s="131"/>
      <c r="AF67" s="131"/>
      <c r="AG67" s="131"/>
      <c r="AH67" s="131"/>
      <c r="AI67" s="131"/>
      <c r="AJ67" s="131"/>
    </row>
    <row r="68">
      <c r="A68" s="126">
        <f>IFERROR(__xludf.DUMMYFUNCTION("""COMPUTED_VALUE"""),190.0)</f>
        <v>190</v>
      </c>
      <c r="B68" s="126" t="str">
        <f>IFERROR(__xludf.DUMMYFUNCTION("""COMPUTED_VALUE"""),"GreenPOD: Leveraging queuing networks for reducing energy consumption in data centers")</f>
        <v>GreenPOD: Leveraging queuing networks for reducing energy consumption in data centers</v>
      </c>
      <c r="C68" s="127" t="str">
        <f>IFERROR(__xludf.DUMMYFUNCTION("""COMPUTED_VALUE"""),"https://ieeexplore.ieee.org/abstract/document/8401602/")</f>
        <v>https://ieeexplore.ieee.org/abstract/document/8401602/</v>
      </c>
      <c r="D68" s="126" t="str">
        <f>IFERROR(__xludf.DUMMYFUNCTION("""COMPUTED_VALUE"""),"F Balde, H Elbiaze, B Gueye")</f>
        <v>F Balde, H Elbiaze, B Gueye</v>
      </c>
      <c r="E68" s="126" t="str">
        <f>IFERROR(__xludf.DUMMYFUNCTION("""COMPUTED_VALUE"""),"Institute of Electrical and Electronics Engineers")</f>
        <v>Institute of Electrical and Electronics Engineers</v>
      </c>
      <c r="F68" s="126" t="str">
        <f>IFERROR(__xludf.DUMMYFUNCTION("""COMPUTED_VALUE"""),"IEEE Xplore")</f>
        <v>IEEE Xplore</v>
      </c>
      <c r="G68" s="128" t="str">
        <f>IFERROR(__xludf.DUMMYFUNCTION("""COMPUTED_VALUE"""),"C")</f>
        <v>C</v>
      </c>
      <c r="H68" s="130">
        <f>IFERROR(__xludf.DUMMYFUNCTION("""COMPUTED_VALUE"""),2018.0)</f>
        <v>2018</v>
      </c>
      <c r="I68" s="129">
        <f>IFERROR(__xludf.DUMMYFUNCTION("""COMPUTED_VALUE"""),1.0)</f>
        <v>1</v>
      </c>
      <c r="J68" s="130">
        <f>IFERROR(__xludf.DUMMYFUNCTION("""COMPUTED_VALUE"""),1.0)</f>
        <v>1</v>
      </c>
      <c r="K68" s="130">
        <f>IFERROR(__xludf.DUMMYFUNCTION("""COMPUTED_VALUE"""),1.0)</f>
        <v>1</v>
      </c>
      <c r="L68" s="130">
        <f>IFERROR(__xludf.DUMMYFUNCTION("""COMPUTED_VALUE"""),1.0)</f>
        <v>1</v>
      </c>
      <c r="M68" s="130">
        <f>IFERROR(__xludf.DUMMYFUNCTION("""COMPUTED_VALUE"""),1.0)</f>
        <v>1</v>
      </c>
      <c r="N68" s="130">
        <f>IFERROR(__xludf.DUMMYFUNCTION("""COMPUTED_VALUE"""),0.0)</f>
        <v>0</v>
      </c>
      <c r="O68" s="130">
        <f>IFERROR(__xludf.DUMMYFUNCTION("""COMPUTED_VALUE"""),0.0)</f>
        <v>0</v>
      </c>
      <c r="P68" s="130">
        <f>IFERROR(__xludf.DUMMYFUNCTION("""COMPUTED_VALUE"""),0.0)</f>
        <v>0</v>
      </c>
      <c r="Q68" s="130">
        <f>IFERROR(__xludf.DUMMYFUNCTION("""COMPUTED_VALUE"""),0.0)</f>
        <v>0</v>
      </c>
      <c r="R68" s="130">
        <f>IFERROR(__xludf.DUMMYFUNCTION("""COMPUTED_VALUE"""),0.0)</f>
        <v>0</v>
      </c>
      <c r="S68" s="130">
        <f>IFERROR(__xludf.DUMMYFUNCTION("""COMPUTED_VALUE"""),0.0)</f>
        <v>0</v>
      </c>
      <c r="T68" s="130">
        <f>IFERROR(__xludf.DUMMYFUNCTION("""COMPUTED_VALUE"""),0.0)</f>
        <v>0</v>
      </c>
      <c r="U68" s="130">
        <f>IFERROR(__xludf.DUMMYFUNCTION("""COMPUTED_VALUE"""),0.0)</f>
        <v>0</v>
      </c>
      <c r="V68" s="131">
        <f>IFERROR(__xludf.DUMMYFUNCTION("""COMPUTED_VALUE"""),0.0)</f>
        <v>0</v>
      </c>
      <c r="W68" s="131" t="str">
        <f>IFERROR(__xludf.DUMMYFUNCTION("""COMPUTED_VALUE"""),"Yes")</f>
        <v>Yes</v>
      </c>
      <c r="X68" s="131" t="str">
        <f>IFERROR(__xludf.DUMMYFUNCTION("""COMPUTED_VALUE"""),"Yes")</f>
        <v>Yes</v>
      </c>
      <c r="Y68" s="131" t="str">
        <f>IFERROR(__xludf.DUMMYFUNCTION("""COMPUTED_VALUE"""),"F")</f>
        <v>F</v>
      </c>
      <c r="Z68" s="131"/>
      <c r="AA68" s="131"/>
      <c r="AB68" s="131"/>
      <c r="AC68" s="131"/>
      <c r="AD68" s="131"/>
      <c r="AE68" s="131"/>
      <c r="AF68" s="131"/>
      <c r="AG68" s="131"/>
      <c r="AH68" s="131"/>
      <c r="AI68" s="131"/>
      <c r="AJ68" s="131"/>
    </row>
    <row r="69">
      <c r="A69" s="126">
        <f>IFERROR(__xludf.DUMMYFUNCTION("""COMPUTED_VALUE"""),192.0)</f>
        <v>192</v>
      </c>
      <c r="B69" s="126" t="str">
        <f>IFERROR(__xludf.DUMMYFUNCTION("""COMPUTED_VALUE"""),"Optimization of energy consumption of green data center in e-commerce")</f>
        <v>Optimization of energy consumption of green data center in e-commerce</v>
      </c>
      <c r="C69" s="127" t="str">
        <f>IFERROR(__xludf.DUMMYFUNCTION("""COMPUTED_VALUE"""),"https://www.sciencedirect.com/science/article/pii/S2210537918302907")</f>
        <v>https://www.sciencedirect.com/science/article/pii/S2210537918302907</v>
      </c>
      <c r="D69" s="131" t="str">
        <f>IFERROR(__xludf.DUMMYFUNCTION("""COMPUTED_VALUE"""),"Q Zhou, J Lou, Y Jiang")</f>
        <v>Q Zhou, J Lou, Y Jiang</v>
      </c>
      <c r="E69" s="131" t="str">
        <f>IFERROR(__xludf.DUMMYFUNCTION("""COMPUTED_VALUE"""),"Elsevier")</f>
        <v>Elsevier</v>
      </c>
      <c r="F69" s="126" t="str">
        <f>IFERROR(__xludf.DUMMYFUNCTION("""COMPUTED_VALUE"""),"Elsevier")</f>
        <v>Elsevier</v>
      </c>
      <c r="G69" s="128" t="str">
        <f>IFERROR(__xludf.DUMMYFUNCTION("""COMPUTED_VALUE"""),"J")</f>
        <v>J</v>
      </c>
      <c r="H69" s="130">
        <f>IFERROR(__xludf.DUMMYFUNCTION("""COMPUTED_VALUE"""),2019.0)</f>
        <v>2019</v>
      </c>
      <c r="I69" s="129">
        <f>IFERROR(__xludf.DUMMYFUNCTION("""COMPUTED_VALUE"""),1.0)</f>
        <v>1</v>
      </c>
      <c r="J69" s="130">
        <f>IFERROR(__xludf.DUMMYFUNCTION("""COMPUTED_VALUE"""),1.0)</f>
        <v>1</v>
      </c>
      <c r="K69" s="130">
        <f>IFERROR(__xludf.DUMMYFUNCTION("""COMPUTED_VALUE"""),1.0)</f>
        <v>1</v>
      </c>
      <c r="L69" s="129">
        <f>IFERROR(__xludf.DUMMYFUNCTION("""COMPUTED_VALUE"""),1.0)</f>
        <v>1</v>
      </c>
      <c r="M69" s="130">
        <f>IFERROR(__xludf.DUMMYFUNCTION("""COMPUTED_VALUE"""),1.0)</f>
        <v>1</v>
      </c>
      <c r="N69" s="130">
        <f>IFERROR(__xludf.DUMMYFUNCTION("""COMPUTED_VALUE"""),0.0)</f>
        <v>0</v>
      </c>
      <c r="O69" s="130">
        <f>IFERROR(__xludf.DUMMYFUNCTION("""COMPUTED_VALUE"""),0.0)</f>
        <v>0</v>
      </c>
      <c r="P69" s="130">
        <f>IFERROR(__xludf.DUMMYFUNCTION("""COMPUTED_VALUE"""),0.0)</f>
        <v>0</v>
      </c>
      <c r="Q69" s="130">
        <f>IFERROR(__xludf.DUMMYFUNCTION("""COMPUTED_VALUE"""),0.0)</f>
        <v>0</v>
      </c>
      <c r="R69" s="130">
        <f>IFERROR(__xludf.DUMMYFUNCTION("""COMPUTED_VALUE"""),0.0)</f>
        <v>0</v>
      </c>
      <c r="S69" s="130">
        <f>IFERROR(__xludf.DUMMYFUNCTION("""COMPUTED_VALUE"""),0.0)</f>
        <v>0</v>
      </c>
      <c r="T69" s="130">
        <f>IFERROR(__xludf.DUMMYFUNCTION("""COMPUTED_VALUE"""),0.0)</f>
        <v>0</v>
      </c>
      <c r="U69" s="130">
        <f>IFERROR(__xludf.DUMMYFUNCTION("""COMPUTED_VALUE"""),0.0)</f>
        <v>0</v>
      </c>
      <c r="V69" s="131">
        <f>IFERROR(__xludf.DUMMYFUNCTION("""COMPUTED_VALUE"""),0.0)</f>
        <v>0</v>
      </c>
      <c r="W69" s="131" t="str">
        <f>IFERROR(__xludf.DUMMYFUNCTION("""COMPUTED_VALUE"""),"Yes")</f>
        <v>Yes</v>
      </c>
      <c r="X69" s="131" t="str">
        <f>IFERROR(__xludf.DUMMYFUNCTION("""COMPUTED_VALUE"""),"Yes")</f>
        <v>Yes</v>
      </c>
      <c r="Y69" s="131" t="str">
        <f>IFERROR(__xludf.DUMMYFUNCTION("""COMPUTED_VALUE"""),"F")</f>
        <v>F</v>
      </c>
      <c r="Z69" s="131" t="str">
        <f>IFERROR(__xludf.DUMMYFUNCTION("""COMPUTED_VALUE"""),"energy consumption of switches")</f>
        <v>energy consumption of switches</v>
      </c>
      <c r="AA69" s="131"/>
      <c r="AB69" s="131"/>
      <c r="AC69" s="131"/>
      <c r="AD69" s="131"/>
      <c r="AE69" s="131"/>
      <c r="AF69" s="131"/>
      <c r="AG69" s="131"/>
      <c r="AH69" s="131"/>
      <c r="AI69" s="131"/>
      <c r="AJ69" s="131"/>
    </row>
    <row r="70">
      <c r="A70" s="126">
        <f>IFERROR(__xludf.DUMMYFUNCTION("""COMPUTED_VALUE"""),193.0)</f>
        <v>193</v>
      </c>
      <c r="B70" s="126" t="str">
        <f>IFERROR(__xludf.DUMMYFUNCTION("""COMPUTED_VALUE"""),"Energy-aware dynamic resource management in elastic cloud datacenters")</f>
        <v>Energy-aware dynamic resource management in elastic cloud datacenters</v>
      </c>
      <c r="C70" s="127" t="str">
        <f>IFERROR(__xludf.DUMMYFUNCTION("""COMPUTED_VALUE"""),"https://www.sciencedirect.com/science/article/pii/S1569190X18301825")</f>
        <v>https://www.sciencedirect.com/science/article/pii/S1569190X18301825</v>
      </c>
      <c r="D70" s="131" t="str">
        <f>IFERROR(__xludf.DUMMYFUNCTION("""COMPUTED_VALUE"""),"AA Khan, M Zakarya, R Khan")</f>
        <v>AA Khan, M Zakarya, R Khan</v>
      </c>
      <c r="E70" s="131" t="str">
        <f>IFERROR(__xludf.DUMMYFUNCTION("""COMPUTED_VALUE"""),"Elsevier")</f>
        <v>Elsevier</v>
      </c>
      <c r="F70" s="126" t="str">
        <f>IFERROR(__xludf.DUMMYFUNCTION("""COMPUTED_VALUE"""),"Elsevier")</f>
        <v>Elsevier</v>
      </c>
      <c r="G70" s="128" t="str">
        <f>IFERROR(__xludf.DUMMYFUNCTION("""COMPUTED_VALUE"""),"J")</f>
        <v>J</v>
      </c>
      <c r="H70" s="130">
        <f>IFERROR(__xludf.DUMMYFUNCTION("""COMPUTED_VALUE"""),2019.0)</f>
        <v>2019</v>
      </c>
      <c r="I70" s="130">
        <f>IFERROR(__xludf.DUMMYFUNCTION("""COMPUTED_VALUE"""),1.0)</f>
        <v>1</v>
      </c>
      <c r="J70" s="130">
        <f>IFERROR(__xludf.DUMMYFUNCTION("""COMPUTED_VALUE"""),1.0)</f>
        <v>1</v>
      </c>
      <c r="K70" s="130">
        <f>IFERROR(__xludf.DUMMYFUNCTION("""COMPUTED_VALUE"""),1.0)</f>
        <v>1</v>
      </c>
      <c r="L70" s="129">
        <f>IFERROR(__xludf.DUMMYFUNCTION("""COMPUTED_VALUE"""),1.0)</f>
        <v>1</v>
      </c>
      <c r="M70" s="130">
        <f>IFERROR(__xludf.DUMMYFUNCTION("""COMPUTED_VALUE"""),1.0)</f>
        <v>1</v>
      </c>
      <c r="N70" s="130">
        <f>IFERROR(__xludf.DUMMYFUNCTION("""COMPUTED_VALUE"""),0.0)</f>
        <v>0</v>
      </c>
      <c r="O70" s="130">
        <f>IFERROR(__xludf.DUMMYFUNCTION("""COMPUTED_VALUE"""),0.0)</f>
        <v>0</v>
      </c>
      <c r="P70" s="130">
        <f>IFERROR(__xludf.DUMMYFUNCTION("""COMPUTED_VALUE"""),0.0)</f>
        <v>0</v>
      </c>
      <c r="Q70" s="129">
        <f>IFERROR(__xludf.DUMMYFUNCTION("""COMPUTED_VALUE"""),0.0)</f>
        <v>0</v>
      </c>
      <c r="R70" s="129">
        <f>IFERROR(__xludf.DUMMYFUNCTION("""COMPUTED_VALUE"""),0.0)</f>
        <v>0</v>
      </c>
      <c r="S70" s="129">
        <f>IFERROR(__xludf.DUMMYFUNCTION("""COMPUTED_VALUE"""),0.0)</f>
        <v>0</v>
      </c>
      <c r="T70" s="129">
        <f>IFERROR(__xludf.DUMMYFUNCTION("""COMPUTED_VALUE"""),0.0)</f>
        <v>0</v>
      </c>
      <c r="U70" s="129">
        <f>IFERROR(__xludf.DUMMYFUNCTION("""COMPUTED_VALUE"""),0.0)</f>
        <v>0</v>
      </c>
      <c r="V70" s="126">
        <f>IFERROR(__xludf.DUMMYFUNCTION("""COMPUTED_VALUE"""),0.0)</f>
        <v>0</v>
      </c>
      <c r="W70" s="126" t="str">
        <f>IFERROR(__xludf.DUMMYFUNCTION("""COMPUTED_VALUE"""),"Yes")</f>
        <v>Yes</v>
      </c>
      <c r="X70" s="126" t="str">
        <f>IFERROR(__xludf.DUMMYFUNCTION("""COMPUTED_VALUE"""),"Yes")</f>
        <v>Yes</v>
      </c>
      <c r="Y70" s="126" t="str">
        <f>IFERROR(__xludf.DUMMYFUNCTION("""COMPUTED_VALUE"""),"F")</f>
        <v>F</v>
      </c>
      <c r="Z70" s="126" t="str">
        <f>IFERROR(__xludf.DUMMYFUNCTION("""COMPUTED_VALUE"""),"VM allocation and consolidation")</f>
        <v>VM allocation and consolidation</v>
      </c>
      <c r="AA70" s="126"/>
      <c r="AB70" s="126"/>
      <c r="AC70" s="126"/>
      <c r="AD70" s="126"/>
      <c r="AE70" s="126"/>
      <c r="AF70" s="126"/>
      <c r="AG70" s="126"/>
      <c r="AH70" s="126"/>
      <c r="AI70" s="126"/>
      <c r="AJ70" s="126"/>
    </row>
    <row r="71">
      <c r="A71" s="126">
        <f>IFERROR(__xludf.DUMMYFUNCTION("""COMPUTED_VALUE"""),194.0)</f>
        <v>194</v>
      </c>
      <c r="B71" s="126" t="str">
        <f>IFERROR(__xludf.DUMMYFUNCTION("""COMPUTED_VALUE"""),"EPBLA: energy-efficient consolidation of virtual machines using learning automata in cloud data centers")</f>
        <v>EPBLA: energy-efficient consolidation of virtual machines using learning automata in cloud data centers</v>
      </c>
      <c r="C71" s="127" t="str">
        <f>IFERROR(__xludf.DUMMYFUNCTION("""COMPUTED_VALUE"""),"https://link.springer.com/content/pdf/10.1007/s10586-020-03066-6.pdf")</f>
        <v>https://link.springer.com/content/pdf/10.1007/s10586-020-03066-6.pdf</v>
      </c>
      <c r="D71" s="131" t="str">
        <f>IFERROR(__xludf.DUMMYFUNCTION("""COMPUTED_VALUE"""),"N Rasouli, R Razavi, HR Faragardi")</f>
        <v>N Rasouli, R Razavi, HR Faragardi</v>
      </c>
      <c r="E71" s="131" t="str">
        <f>IFERROR(__xludf.DUMMYFUNCTION("""COMPUTED_VALUE"""),"Springer")</f>
        <v>Springer</v>
      </c>
      <c r="F71" s="126" t="str">
        <f>IFERROR(__xludf.DUMMYFUNCTION("""COMPUTED_VALUE"""),"Springer")</f>
        <v>Springer</v>
      </c>
      <c r="G71" s="128" t="str">
        <f>IFERROR(__xludf.DUMMYFUNCTION("""COMPUTED_VALUE"""),"J")</f>
        <v>J</v>
      </c>
      <c r="H71" s="130">
        <f>IFERROR(__xludf.DUMMYFUNCTION("""COMPUTED_VALUE"""),2020.0)</f>
        <v>2020</v>
      </c>
      <c r="I71" s="130">
        <f>IFERROR(__xludf.DUMMYFUNCTION("""COMPUTED_VALUE"""),1.0)</f>
        <v>1</v>
      </c>
      <c r="J71" s="130">
        <f>IFERROR(__xludf.DUMMYFUNCTION("""COMPUTED_VALUE"""),1.0)</f>
        <v>1</v>
      </c>
      <c r="K71" s="130">
        <f>IFERROR(__xludf.DUMMYFUNCTION("""COMPUTED_VALUE"""),1.0)</f>
        <v>1</v>
      </c>
      <c r="L71" s="129">
        <f>IFERROR(__xludf.DUMMYFUNCTION("""COMPUTED_VALUE"""),1.0)</f>
        <v>1</v>
      </c>
      <c r="M71" s="130">
        <f>IFERROR(__xludf.DUMMYFUNCTION("""COMPUTED_VALUE"""),1.0)</f>
        <v>1</v>
      </c>
      <c r="N71" s="130">
        <f>IFERROR(__xludf.DUMMYFUNCTION("""COMPUTED_VALUE"""),0.0)</f>
        <v>0</v>
      </c>
      <c r="O71" s="130">
        <f>IFERROR(__xludf.DUMMYFUNCTION("""COMPUTED_VALUE"""),0.0)</f>
        <v>0</v>
      </c>
      <c r="P71" s="130">
        <f>IFERROR(__xludf.DUMMYFUNCTION("""COMPUTED_VALUE"""),0.0)</f>
        <v>0</v>
      </c>
      <c r="Q71" s="129">
        <f>IFERROR(__xludf.DUMMYFUNCTION("""COMPUTED_VALUE"""),0.0)</f>
        <v>0</v>
      </c>
      <c r="R71" s="129">
        <f>IFERROR(__xludf.DUMMYFUNCTION("""COMPUTED_VALUE"""),0.0)</f>
        <v>0</v>
      </c>
      <c r="S71" s="129">
        <f>IFERROR(__xludf.DUMMYFUNCTION("""COMPUTED_VALUE"""),0.0)</f>
        <v>0</v>
      </c>
      <c r="T71" s="129">
        <f>IFERROR(__xludf.DUMMYFUNCTION("""COMPUTED_VALUE"""),0.0)</f>
        <v>0</v>
      </c>
      <c r="U71" s="129">
        <f>IFERROR(__xludf.DUMMYFUNCTION("""COMPUTED_VALUE"""),0.0)</f>
        <v>0</v>
      </c>
      <c r="V71" s="126">
        <f>IFERROR(__xludf.DUMMYFUNCTION("""COMPUTED_VALUE"""),0.0)</f>
        <v>0</v>
      </c>
      <c r="W71" s="126" t="str">
        <f>IFERROR(__xludf.DUMMYFUNCTION("""COMPUTED_VALUE"""),"Yes")</f>
        <v>Yes</v>
      </c>
      <c r="X71" s="126" t="str">
        <f>IFERROR(__xludf.DUMMYFUNCTION("""COMPUTED_VALUE"""),"Yes")</f>
        <v>Yes</v>
      </c>
      <c r="Y71" s="126" t="str">
        <f>IFERROR(__xludf.DUMMYFUNCTION("""COMPUTED_VALUE"""),"F")</f>
        <v>F</v>
      </c>
      <c r="Z71" s="126" t="str">
        <f>IFERROR(__xludf.DUMMYFUNCTION("""COMPUTED_VALUE"""),"VM placement and migration ")</f>
        <v>VM placement and migration </v>
      </c>
      <c r="AA71" s="126"/>
      <c r="AB71" s="126"/>
      <c r="AC71" s="126"/>
      <c r="AD71" s="126"/>
      <c r="AE71" s="126"/>
      <c r="AF71" s="126"/>
      <c r="AG71" s="126"/>
      <c r="AH71" s="126"/>
      <c r="AI71" s="126"/>
      <c r="AJ71" s="126"/>
    </row>
    <row r="72">
      <c r="A72" s="126">
        <f>IFERROR(__xludf.DUMMYFUNCTION("""COMPUTED_VALUE"""),195.0)</f>
        <v>195</v>
      </c>
      <c r="B72" s="126" t="str">
        <f>IFERROR(__xludf.DUMMYFUNCTION("""COMPUTED_VALUE"""),"An Energy Saving-Oriented Incentive Mechanism in Colocation Data Centers")</f>
        <v>An Energy Saving-Oriented Incentive Mechanism in Colocation Data Centers</v>
      </c>
      <c r="C72" s="127" t="str">
        <f>IFERROR(__xludf.DUMMYFUNCTION("""COMPUTED_VALUE"""),"https://ieeexplore.ieee.org/abstract/document/9209724/")</f>
        <v>https://ieeexplore.ieee.org/abstract/document/9209724/</v>
      </c>
      <c r="D72" s="126" t="str">
        <f>IFERROR(__xludf.DUMMYFUNCTION("""COMPUTED_VALUE"""),"C Chi, K Ji, A Marahatta, F Zhang, Y Wang, Z Liu")</f>
        <v>C Chi, K Ji, A Marahatta, F Zhang, Y Wang, Z Liu</v>
      </c>
      <c r="E72" s="126" t="str">
        <f>IFERROR(__xludf.DUMMYFUNCTION("""COMPUTED_VALUE"""),"Institute of Electrical and Electronics Engineers")</f>
        <v>Institute of Electrical and Electronics Engineers</v>
      </c>
      <c r="F72" s="126" t="str">
        <f>IFERROR(__xludf.DUMMYFUNCTION("""COMPUTED_VALUE"""),"IEEE Xplore")</f>
        <v>IEEE Xplore</v>
      </c>
      <c r="G72" s="128" t="str">
        <f>IFERROR(__xludf.DUMMYFUNCTION("""COMPUTED_VALUE"""),"C")</f>
        <v>C</v>
      </c>
      <c r="H72" s="130">
        <f>IFERROR(__xludf.DUMMYFUNCTION("""COMPUTED_VALUE"""),2020.0)</f>
        <v>2020</v>
      </c>
      <c r="I72" s="130">
        <f>IFERROR(__xludf.DUMMYFUNCTION("""COMPUTED_VALUE"""),1.0)</f>
        <v>1</v>
      </c>
      <c r="J72" s="130">
        <f>IFERROR(__xludf.DUMMYFUNCTION("""COMPUTED_VALUE"""),1.0)</f>
        <v>1</v>
      </c>
      <c r="K72" s="130">
        <f>IFERROR(__xludf.DUMMYFUNCTION("""COMPUTED_VALUE"""),1.0)</f>
        <v>1</v>
      </c>
      <c r="L72" s="129">
        <f>IFERROR(__xludf.DUMMYFUNCTION("""COMPUTED_VALUE"""),1.0)</f>
        <v>1</v>
      </c>
      <c r="M72" s="130">
        <f>IFERROR(__xludf.DUMMYFUNCTION("""COMPUTED_VALUE"""),1.0)</f>
        <v>1</v>
      </c>
      <c r="N72" s="130">
        <f>IFERROR(__xludf.DUMMYFUNCTION("""COMPUTED_VALUE"""),0.0)</f>
        <v>0</v>
      </c>
      <c r="O72" s="130">
        <f>IFERROR(__xludf.DUMMYFUNCTION("""COMPUTED_VALUE"""),0.0)</f>
        <v>0</v>
      </c>
      <c r="P72" s="130">
        <f>IFERROR(__xludf.DUMMYFUNCTION("""COMPUTED_VALUE"""),0.0)</f>
        <v>0</v>
      </c>
      <c r="Q72" s="130">
        <f>IFERROR(__xludf.DUMMYFUNCTION("""COMPUTED_VALUE"""),0.0)</f>
        <v>0</v>
      </c>
      <c r="R72" s="130">
        <f>IFERROR(__xludf.DUMMYFUNCTION("""COMPUTED_VALUE"""),0.0)</f>
        <v>0</v>
      </c>
      <c r="S72" s="130">
        <f>IFERROR(__xludf.DUMMYFUNCTION("""COMPUTED_VALUE"""),0.0)</f>
        <v>0</v>
      </c>
      <c r="T72" s="130">
        <f>IFERROR(__xludf.DUMMYFUNCTION("""COMPUTED_VALUE"""),0.0)</f>
        <v>0</v>
      </c>
      <c r="U72" s="130">
        <f>IFERROR(__xludf.DUMMYFUNCTION("""COMPUTED_VALUE"""),0.0)</f>
        <v>0</v>
      </c>
      <c r="V72" s="131">
        <f>IFERROR(__xludf.DUMMYFUNCTION("""COMPUTED_VALUE"""),0.0)</f>
        <v>0</v>
      </c>
      <c r="W72" s="131" t="str">
        <f>IFERROR(__xludf.DUMMYFUNCTION("""COMPUTED_VALUE"""),"Yes")</f>
        <v>Yes</v>
      </c>
      <c r="X72" s="131" t="str">
        <f>IFERROR(__xludf.DUMMYFUNCTION("""COMPUTED_VALUE"""),"Yes")</f>
        <v>Yes</v>
      </c>
      <c r="Y72" s="131" t="str">
        <f>IFERROR(__xludf.DUMMYFUNCTION("""COMPUTED_VALUE"""),"F")</f>
        <v>F</v>
      </c>
      <c r="Z72" s="131" t="str">
        <f>IFERROR(__xludf.DUMMYFUNCTION("""COMPUTED_VALUE"""),"energy saving for coloDC tenants ")</f>
        <v>energy saving for coloDC tenants </v>
      </c>
      <c r="AA72" s="131"/>
      <c r="AB72" s="131"/>
      <c r="AC72" s="131"/>
      <c r="AD72" s="131"/>
      <c r="AE72" s="131"/>
      <c r="AF72" s="131"/>
      <c r="AG72" s="131"/>
      <c r="AH72" s="131"/>
      <c r="AI72" s="131"/>
      <c r="AJ72" s="131"/>
    </row>
    <row r="73">
      <c r="A73" s="126">
        <f>IFERROR(__xludf.DUMMYFUNCTION("""COMPUTED_VALUE"""),199.0)</f>
        <v>199</v>
      </c>
      <c r="B73" s="126" t="str">
        <f>IFERROR(__xludf.DUMMYFUNCTION("""COMPUTED_VALUE"""),"Optimal Energy aware Dynamic Virtual Machine consolidation in Cloud Data Centers")</f>
        <v>Optimal Energy aware Dynamic Virtual Machine consolidation in Cloud Data Centers</v>
      </c>
      <c r="C73" s="127" t="str">
        <f>IFERROR(__xludf.DUMMYFUNCTION("""COMPUTED_VALUE"""),"https://ieeexplore.ieee.org/abstract/document/9029070/")</f>
        <v>https://ieeexplore.ieee.org/abstract/document/9029070/</v>
      </c>
      <c r="D73" s="126" t="str">
        <f>IFERROR(__xludf.DUMMYFUNCTION("""COMPUTED_VALUE"""),"KS Reddi, SK Pasupuleti")</f>
        <v>KS Reddi, SK Pasupuleti</v>
      </c>
      <c r="E73" s="126" t="str">
        <f>IFERROR(__xludf.DUMMYFUNCTION("""COMPUTED_VALUE"""),"Institute of Electrical and Electronics Engineers")</f>
        <v>Institute of Electrical and Electronics Engineers</v>
      </c>
      <c r="F73" s="126" t="str">
        <f>IFERROR(__xludf.DUMMYFUNCTION("""COMPUTED_VALUE"""),"IEEE Xplore")</f>
        <v>IEEE Xplore</v>
      </c>
      <c r="G73" s="128" t="str">
        <f>IFERROR(__xludf.DUMMYFUNCTION("""COMPUTED_VALUE"""),"C")</f>
        <v>C</v>
      </c>
      <c r="H73" s="130">
        <f>IFERROR(__xludf.DUMMYFUNCTION("""COMPUTED_VALUE"""),2019.0)</f>
        <v>2019</v>
      </c>
      <c r="I73" s="130">
        <f>IFERROR(__xludf.DUMMYFUNCTION("""COMPUTED_VALUE"""),1.0)</f>
        <v>1</v>
      </c>
      <c r="J73" s="130">
        <f>IFERROR(__xludf.DUMMYFUNCTION("""COMPUTED_VALUE"""),1.0)</f>
        <v>1</v>
      </c>
      <c r="K73" s="130">
        <f>IFERROR(__xludf.DUMMYFUNCTION("""COMPUTED_VALUE"""),1.0)</f>
        <v>1</v>
      </c>
      <c r="L73" s="129">
        <f>IFERROR(__xludf.DUMMYFUNCTION("""COMPUTED_VALUE"""),1.0)</f>
        <v>1</v>
      </c>
      <c r="M73" s="130">
        <f>IFERROR(__xludf.DUMMYFUNCTION("""COMPUTED_VALUE"""),1.0)</f>
        <v>1</v>
      </c>
      <c r="N73" s="130">
        <f>IFERROR(__xludf.DUMMYFUNCTION("""COMPUTED_VALUE"""),0.0)</f>
        <v>0</v>
      </c>
      <c r="O73" s="130">
        <f>IFERROR(__xludf.DUMMYFUNCTION("""COMPUTED_VALUE"""),0.0)</f>
        <v>0</v>
      </c>
      <c r="P73" s="130">
        <f>IFERROR(__xludf.DUMMYFUNCTION("""COMPUTED_VALUE"""),0.0)</f>
        <v>0</v>
      </c>
      <c r="Q73" s="130">
        <f>IFERROR(__xludf.DUMMYFUNCTION("""COMPUTED_VALUE"""),0.0)</f>
        <v>0</v>
      </c>
      <c r="R73" s="130">
        <f>IFERROR(__xludf.DUMMYFUNCTION("""COMPUTED_VALUE"""),0.0)</f>
        <v>0</v>
      </c>
      <c r="S73" s="130">
        <f>IFERROR(__xludf.DUMMYFUNCTION("""COMPUTED_VALUE"""),0.0)</f>
        <v>0</v>
      </c>
      <c r="T73" s="130">
        <f>IFERROR(__xludf.DUMMYFUNCTION("""COMPUTED_VALUE"""),0.0)</f>
        <v>0</v>
      </c>
      <c r="U73" s="130">
        <f>IFERROR(__xludf.DUMMYFUNCTION("""COMPUTED_VALUE"""),0.0)</f>
        <v>0</v>
      </c>
      <c r="V73" s="131">
        <f>IFERROR(__xludf.DUMMYFUNCTION("""COMPUTED_VALUE"""),0.0)</f>
        <v>0</v>
      </c>
      <c r="W73" s="131" t="str">
        <f>IFERROR(__xludf.DUMMYFUNCTION("""COMPUTED_VALUE"""),"Yes")</f>
        <v>Yes</v>
      </c>
      <c r="X73" s="131" t="str">
        <f>IFERROR(__xludf.DUMMYFUNCTION("""COMPUTED_VALUE"""),"Yes")</f>
        <v>Yes</v>
      </c>
      <c r="Y73" s="131" t="str">
        <f>IFERROR(__xludf.DUMMYFUNCTION("""COMPUTED_VALUE"""),"F")</f>
        <v>F</v>
      </c>
      <c r="Z73" s="131" t="str">
        <f>IFERROR(__xludf.DUMMYFUNCTION("""COMPUTED_VALUE"""),"VM consolidation (bad English)")</f>
        <v>VM consolidation (bad English)</v>
      </c>
      <c r="AA73" s="131"/>
      <c r="AB73" s="131"/>
      <c r="AC73" s="131"/>
      <c r="AD73" s="131"/>
      <c r="AE73" s="131"/>
      <c r="AF73" s="131"/>
      <c r="AG73" s="131"/>
      <c r="AH73" s="131"/>
      <c r="AI73" s="131"/>
      <c r="AJ73" s="131"/>
    </row>
    <row r="74">
      <c r="A74" s="126">
        <f>IFERROR(__xludf.DUMMYFUNCTION("""COMPUTED_VALUE"""),200.0)</f>
        <v>200</v>
      </c>
      <c r="B74" s="126" t="str">
        <f>IFERROR(__xludf.DUMMYFUNCTION("""COMPUTED_VALUE"""),"Stochastic Modeling and Performance Analysis of Energy-Aware Cloud Data Center Based on Dynamic Scalable Stochastic Petri Net")</f>
        <v>Stochastic Modeling and Performance Analysis of Energy-Aware Cloud Data Center Based on Dynamic Scalable Stochastic Petri Net</v>
      </c>
      <c r="C74" s="127" t="str">
        <f>IFERROR(__xludf.DUMMYFUNCTION("""COMPUTED_VALUE"""),"http://www.cai.sk/ojs/index.php/cai/article/viewArticle/4918")</f>
        <v>http://www.cai.sk/ojs/index.php/cai/article/viewArticle/4918</v>
      </c>
      <c r="D74" s="126" t="str">
        <f>IFERROR(__xludf.DUMMYFUNCTION("""COMPUTED_VALUE"""),"H He, Y Zhao, S Pang")</f>
        <v>H He, Y Zhao, S Pang</v>
      </c>
      <c r="E74" s="126" t="str">
        <f>IFERROR(__xludf.DUMMYFUNCTION("""COMPUTED_VALUE"""),"Computing and Informatics")</f>
        <v>Computing and Informatics</v>
      </c>
      <c r="F74" s="126" t="str">
        <f>IFERROR(__xludf.DUMMYFUNCTION("""COMPUTED_VALUE"""),"CAI")</f>
        <v>CAI</v>
      </c>
      <c r="G74" s="128" t="str">
        <f>IFERROR(__xludf.DUMMYFUNCTION("""COMPUTED_VALUE"""),"J")</f>
        <v>J</v>
      </c>
      <c r="H74" s="130">
        <f>IFERROR(__xludf.DUMMYFUNCTION("""COMPUTED_VALUE"""),2020.0)</f>
        <v>2020</v>
      </c>
      <c r="I74" s="130">
        <f>IFERROR(__xludf.DUMMYFUNCTION("""COMPUTED_VALUE"""),1.0)</f>
        <v>1</v>
      </c>
      <c r="J74" s="130">
        <f>IFERROR(__xludf.DUMMYFUNCTION("""COMPUTED_VALUE"""),1.0)</f>
        <v>1</v>
      </c>
      <c r="K74" s="130">
        <f>IFERROR(__xludf.DUMMYFUNCTION("""COMPUTED_VALUE"""),1.0)</f>
        <v>1</v>
      </c>
      <c r="L74" s="129">
        <f>IFERROR(__xludf.DUMMYFUNCTION("""COMPUTED_VALUE"""),1.0)</f>
        <v>1</v>
      </c>
      <c r="M74" s="130">
        <f>IFERROR(__xludf.DUMMYFUNCTION("""COMPUTED_VALUE"""),1.0)</f>
        <v>1</v>
      </c>
      <c r="N74" s="130">
        <f>IFERROR(__xludf.DUMMYFUNCTION("""COMPUTED_VALUE"""),0.0)</f>
        <v>0</v>
      </c>
      <c r="O74" s="130">
        <f>IFERROR(__xludf.DUMMYFUNCTION("""COMPUTED_VALUE"""),0.0)</f>
        <v>0</v>
      </c>
      <c r="P74" s="130">
        <f>IFERROR(__xludf.DUMMYFUNCTION("""COMPUTED_VALUE"""),0.0)</f>
        <v>0</v>
      </c>
      <c r="Q74" s="130">
        <f>IFERROR(__xludf.DUMMYFUNCTION("""COMPUTED_VALUE"""),0.0)</f>
        <v>0</v>
      </c>
      <c r="R74" s="130">
        <f>IFERROR(__xludf.DUMMYFUNCTION("""COMPUTED_VALUE"""),0.0)</f>
        <v>0</v>
      </c>
      <c r="S74" s="130">
        <f>IFERROR(__xludf.DUMMYFUNCTION("""COMPUTED_VALUE"""),0.0)</f>
        <v>0</v>
      </c>
      <c r="T74" s="130">
        <f>IFERROR(__xludf.DUMMYFUNCTION("""COMPUTED_VALUE"""),0.0)</f>
        <v>0</v>
      </c>
      <c r="U74" s="130">
        <f>IFERROR(__xludf.DUMMYFUNCTION("""COMPUTED_VALUE"""),0.0)</f>
        <v>0</v>
      </c>
      <c r="V74" s="131">
        <f>IFERROR(__xludf.DUMMYFUNCTION("""COMPUTED_VALUE"""),0.0)</f>
        <v>0</v>
      </c>
      <c r="W74" s="131" t="str">
        <f>IFERROR(__xludf.DUMMYFUNCTION("""COMPUTED_VALUE"""),"Yes")</f>
        <v>Yes</v>
      </c>
      <c r="X74" s="131" t="str">
        <f>IFERROR(__xludf.DUMMYFUNCTION("""COMPUTED_VALUE"""),"Yes")</f>
        <v>Yes</v>
      </c>
      <c r="Y74" s="131" t="str">
        <f>IFERROR(__xludf.DUMMYFUNCTION("""COMPUTED_VALUE"""),"F")</f>
        <v>F</v>
      </c>
      <c r="Z74" s="131" t="str">
        <f>IFERROR(__xludf.DUMMYFUNCTION("""COMPUTED_VALUE"""),"VM scheduling algorithm")</f>
        <v>VM scheduling algorithm</v>
      </c>
      <c r="AA74" s="131"/>
      <c r="AB74" s="131"/>
      <c r="AC74" s="131"/>
      <c r="AD74" s="131"/>
      <c r="AE74" s="131"/>
      <c r="AF74" s="131"/>
      <c r="AG74" s="131"/>
      <c r="AH74" s="131"/>
      <c r="AI74" s="131"/>
      <c r="AJ74" s="131"/>
    </row>
    <row r="75">
      <c r="A75" s="126">
        <f>IFERROR(__xludf.DUMMYFUNCTION("""COMPUTED_VALUE"""),201.0)</f>
        <v>201</v>
      </c>
      <c r="B75" s="126" t="str">
        <f>IFERROR(__xludf.DUMMYFUNCTION("""COMPUTED_VALUE"""),"An Energy-efficient Genetic-based Algorithm for Virtual Machine Placement in Cloud Datacenter")</f>
        <v>An Energy-efficient Genetic-based Algorithm for Virtual Machine Placement in Cloud Datacenter</v>
      </c>
      <c r="C75" s="127" t="str">
        <f>IFERROR(__xludf.DUMMYFUNCTION("""COMPUTED_VALUE"""),"http://www.jmess.org/wp-content/uploads/2019/05/JMESSP13420537.pdf")</f>
        <v>http://www.jmess.org/wp-content/uploads/2019/05/JMESSP13420537.pdf</v>
      </c>
      <c r="D75" s="126" t="str">
        <f>IFERROR(__xludf.DUMMYFUNCTION("""COMPUTED_VALUE"""),"P Saeedi")</f>
        <v>P Saeedi</v>
      </c>
      <c r="E75" s="126" t="str">
        <f>IFERROR(__xludf.DUMMYFUNCTION("""COMPUTED_VALUE"""),"Journal of Multidisciplinary Engineering Science Studies")</f>
        <v>Journal of Multidisciplinary Engineering Science Studies</v>
      </c>
      <c r="F75" s="126" t="str">
        <f>IFERROR(__xludf.DUMMYFUNCTION("""COMPUTED_VALUE"""),"JMESS")</f>
        <v>JMESS</v>
      </c>
      <c r="G75" s="128" t="str">
        <f>IFERROR(__xludf.DUMMYFUNCTION("""COMPUTED_VALUE"""),"J")</f>
        <v>J</v>
      </c>
      <c r="H75" s="130">
        <f>IFERROR(__xludf.DUMMYFUNCTION("""COMPUTED_VALUE"""),2019.0)</f>
        <v>2019</v>
      </c>
      <c r="I75" s="129">
        <f>IFERROR(__xludf.DUMMYFUNCTION("""COMPUTED_VALUE"""),1.0)</f>
        <v>1</v>
      </c>
      <c r="J75" s="130">
        <f>IFERROR(__xludf.DUMMYFUNCTION("""COMPUTED_VALUE"""),1.0)</f>
        <v>1</v>
      </c>
      <c r="K75" s="130">
        <f>IFERROR(__xludf.DUMMYFUNCTION("""COMPUTED_VALUE"""),1.0)</f>
        <v>1</v>
      </c>
      <c r="L75" s="130">
        <f>IFERROR(__xludf.DUMMYFUNCTION("""COMPUTED_VALUE"""),1.0)</f>
        <v>1</v>
      </c>
      <c r="M75" s="130">
        <f>IFERROR(__xludf.DUMMYFUNCTION("""COMPUTED_VALUE"""),1.0)</f>
        <v>1</v>
      </c>
      <c r="N75" s="130">
        <f>IFERROR(__xludf.DUMMYFUNCTION("""COMPUTED_VALUE"""),0.0)</f>
        <v>0</v>
      </c>
      <c r="O75" s="130">
        <f>IFERROR(__xludf.DUMMYFUNCTION("""COMPUTED_VALUE"""),0.0)</f>
        <v>0</v>
      </c>
      <c r="P75" s="130">
        <f>IFERROR(__xludf.DUMMYFUNCTION("""COMPUTED_VALUE"""),0.0)</f>
        <v>0</v>
      </c>
      <c r="Q75" s="130">
        <f>IFERROR(__xludf.DUMMYFUNCTION("""COMPUTED_VALUE"""),0.0)</f>
        <v>0</v>
      </c>
      <c r="R75" s="130">
        <f>IFERROR(__xludf.DUMMYFUNCTION("""COMPUTED_VALUE"""),0.0)</f>
        <v>0</v>
      </c>
      <c r="S75" s="130">
        <f>IFERROR(__xludf.DUMMYFUNCTION("""COMPUTED_VALUE"""),0.0)</f>
        <v>0</v>
      </c>
      <c r="T75" s="130">
        <f>IFERROR(__xludf.DUMMYFUNCTION("""COMPUTED_VALUE"""),0.0)</f>
        <v>0</v>
      </c>
      <c r="U75" s="130">
        <f>IFERROR(__xludf.DUMMYFUNCTION("""COMPUTED_VALUE"""),0.0)</f>
        <v>0</v>
      </c>
      <c r="V75" s="131">
        <f>IFERROR(__xludf.DUMMYFUNCTION("""COMPUTED_VALUE"""),0.0)</f>
        <v>0</v>
      </c>
      <c r="W75" s="131" t="str">
        <f>IFERROR(__xludf.DUMMYFUNCTION("""COMPUTED_VALUE"""),"Yes")</f>
        <v>Yes</v>
      </c>
      <c r="X75" s="131" t="str">
        <f>IFERROR(__xludf.DUMMYFUNCTION("""COMPUTED_VALUE"""),"Yes")</f>
        <v>Yes</v>
      </c>
      <c r="Y75" s="131" t="str">
        <f>IFERROR(__xludf.DUMMYFUNCTION("""COMPUTED_VALUE"""),"F")</f>
        <v>F</v>
      </c>
      <c r="Z75" s="131" t="str">
        <f>IFERROR(__xludf.DUMMYFUNCTION("""COMPUTED_VALUE"""),"VM placement algorithm")</f>
        <v>VM placement algorithm</v>
      </c>
      <c r="AA75" s="131"/>
      <c r="AB75" s="131"/>
      <c r="AC75" s="131"/>
      <c r="AD75" s="131"/>
      <c r="AE75" s="131"/>
      <c r="AF75" s="131"/>
      <c r="AG75" s="131"/>
      <c r="AH75" s="131"/>
      <c r="AI75" s="131"/>
      <c r="AJ75" s="131"/>
    </row>
    <row r="76">
      <c r="A76" s="126">
        <f>IFERROR(__xludf.DUMMYFUNCTION("""COMPUTED_VALUE"""),203.0)</f>
        <v>203</v>
      </c>
      <c r="B76" s="126" t="str">
        <f>IFERROR(__xludf.DUMMYFUNCTION("""COMPUTED_VALUE"""),"Location-aware energy efficient virtual network embedding in software-defined optical data center networks")</f>
        <v>Location-aware energy efficient virtual network embedding in software-defined optical data center networks</v>
      </c>
      <c r="C76" s="127" t="str">
        <f>IFERROR(__xludf.DUMMYFUNCTION("""COMPUTED_VALUE"""),"https://www.osapublishing.org/abstract.cfm?uri=jocn-10-7-B58")</f>
        <v>https://www.osapublishing.org/abstract.cfm?uri=jocn-10-7-B58</v>
      </c>
      <c r="D76" s="131" t="str">
        <f>IFERROR(__xludf.DUMMYFUNCTION("""COMPUTED_VALUE"""),"Y Zong, Y Ou, A Hammad, K Kondepu, R Nejabati, D Simeonidou, Y Liu, L Guo")</f>
        <v>Y Zong, Y Ou, A Hammad, K Kondepu, R Nejabati, D Simeonidou, Y Liu, L Guo</v>
      </c>
      <c r="E76" s="131" t="str">
        <f>IFERROR(__xludf.DUMMYFUNCTION("""COMPUTED_VALUE"""),"Journal of Optical Communications and Networking")</f>
        <v>Journal of Optical Communications and Networking</v>
      </c>
      <c r="F76" s="126" t="str">
        <f>IFERROR(__xludf.DUMMYFUNCTION("""COMPUTED_VALUE"""),"JOCN")</f>
        <v>JOCN</v>
      </c>
      <c r="G76" s="128" t="str">
        <f>IFERROR(__xludf.DUMMYFUNCTION("""COMPUTED_VALUE"""),"J")</f>
        <v>J</v>
      </c>
      <c r="H76" s="130">
        <f>IFERROR(__xludf.DUMMYFUNCTION("""COMPUTED_VALUE"""),2018.0)</f>
        <v>2018</v>
      </c>
      <c r="I76" s="130">
        <f>IFERROR(__xludf.DUMMYFUNCTION("""COMPUTED_VALUE"""),1.0)</f>
        <v>1</v>
      </c>
      <c r="J76" s="130">
        <f>IFERROR(__xludf.DUMMYFUNCTION("""COMPUTED_VALUE"""),1.0)</f>
        <v>1</v>
      </c>
      <c r="K76" s="130">
        <f>IFERROR(__xludf.DUMMYFUNCTION("""COMPUTED_VALUE"""),1.0)</f>
        <v>1</v>
      </c>
      <c r="L76" s="129">
        <f>IFERROR(__xludf.DUMMYFUNCTION("""COMPUTED_VALUE"""),1.0)</f>
        <v>1</v>
      </c>
      <c r="M76" s="130">
        <f>IFERROR(__xludf.DUMMYFUNCTION("""COMPUTED_VALUE"""),1.0)</f>
        <v>1</v>
      </c>
      <c r="N76" s="130">
        <f>IFERROR(__xludf.DUMMYFUNCTION("""COMPUTED_VALUE"""),0.0)</f>
        <v>0</v>
      </c>
      <c r="O76" s="130">
        <f>IFERROR(__xludf.DUMMYFUNCTION("""COMPUTED_VALUE"""),0.0)</f>
        <v>0</v>
      </c>
      <c r="P76" s="130">
        <f>IFERROR(__xludf.DUMMYFUNCTION("""COMPUTED_VALUE"""),0.0)</f>
        <v>0</v>
      </c>
      <c r="Q76" s="130">
        <f>IFERROR(__xludf.DUMMYFUNCTION("""COMPUTED_VALUE"""),0.0)</f>
        <v>0</v>
      </c>
      <c r="R76" s="130">
        <f>IFERROR(__xludf.DUMMYFUNCTION("""COMPUTED_VALUE"""),0.0)</f>
        <v>0</v>
      </c>
      <c r="S76" s="130">
        <f>IFERROR(__xludf.DUMMYFUNCTION("""COMPUTED_VALUE"""),0.0)</f>
        <v>0</v>
      </c>
      <c r="T76" s="130">
        <f>IFERROR(__xludf.DUMMYFUNCTION("""COMPUTED_VALUE"""),0.0)</f>
        <v>0</v>
      </c>
      <c r="U76" s="130">
        <f>IFERROR(__xludf.DUMMYFUNCTION("""COMPUTED_VALUE"""),0.0)</f>
        <v>0</v>
      </c>
      <c r="V76" s="131">
        <f>IFERROR(__xludf.DUMMYFUNCTION("""COMPUTED_VALUE"""),0.0)</f>
        <v>0</v>
      </c>
      <c r="W76" s="131" t="str">
        <f>IFERROR(__xludf.DUMMYFUNCTION("""COMPUTED_VALUE"""),"Yes")</f>
        <v>Yes</v>
      </c>
      <c r="X76" s="131" t="str">
        <f>IFERROR(__xludf.DUMMYFUNCTION("""COMPUTED_VALUE"""),"Yes")</f>
        <v>Yes</v>
      </c>
      <c r="Y76" s="131" t="str">
        <f>IFERROR(__xludf.DUMMYFUNCTION("""COMPUTED_VALUE"""),"F")</f>
        <v>F</v>
      </c>
      <c r="Z76" s="131" t="str">
        <f>IFERROR(__xludf.DUMMYFUNCTION("""COMPUTED_VALUE"""),"Virtual network embedding (VNE)")</f>
        <v>Virtual network embedding (VNE)</v>
      </c>
      <c r="AA76" s="131"/>
      <c r="AB76" s="131"/>
      <c r="AC76" s="131"/>
      <c r="AD76" s="131"/>
      <c r="AE76" s="131"/>
      <c r="AF76" s="131"/>
      <c r="AG76" s="131"/>
      <c r="AH76" s="131"/>
      <c r="AI76" s="131"/>
      <c r="AJ76" s="131"/>
    </row>
    <row r="77">
      <c r="A77" s="126">
        <f>IFERROR(__xludf.DUMMYFUNCTION("""COMPUTED_VALUE"""),204.0)</f>
        <v>204</v>
      </c>
      <c r="B77" s="126" t="str">
        <f>IFERROR(__xludf.DUMMYFUNCTION("""COMPUTED_VALUE"""),"Energy-Efficient Resource Allocation Strategy Based on Task Classification in Data Center")</f>
        <v>Energy-Efficient Resource Allocation Strategy Based on Task Classification in Data Center</v>
      </c>
      <c r="C77" s="127" t="str">
        <f>IFERROR(__xludf.DUMMYFUNCTION("""COMPUTED_VALUE"""),"https://www.atlantis-press.com/proceedings/amcce-18/25895654")</f>
        <v>https://www.atlantis-press.com/proceedings/amcce-18/25895654</v>
      </c>
      <c r="D77" s="126" t="str">
        <f>IFERROR(__xludf.DUMMYFUNCTION("""COMPUTED_VALUE"""),"H Li, S Ding, P Zhang, J Lai")</f>
        <v>H Li, S Ding, P Zhang, J Lai</v>
      </c>
      <c r="E77" s="126" t="str">
        <f>IFERROR(__xludf.DUMMYFUNCTION("""COMPUTED_VALUE"""),"Atlantis Press")</f>
        <v>Atlantis Press</v>
      </c>
      <c r="F77" s="126" t="str">
        <f>IFERROR(__xludf.DUMMYFUNCTION("""COMPUTED_VALUE"""),"AP")</f>
        <v>AP</v>
      </c>
      <c r="G77" s="128" t="str">
        <f>IFERROR(__xludf.DUMMYFUNCTION("""COMPUTED_VALUE"""),"C")</f>
        <v>C</v>
      </c>
      <c r="H77" s="130">
        <f>IFERROR(__xludf.DUMMYFUNCTION("""COMPUTED_VALUE"""),2018.0)</f>
        <v>2018</v>
      </c>
      <c r="I77" s="129">
        <f>IFERROR(__xludf.DUMMYFUNCTION("""COMPUTED_VALUE"""),1.0)</f>
        <v>1</v>
      </c>
      <c r="J77" s="130">
        <f>IFERROR(__xludf.DUMMYFUNCTION("""COMPUTED_VALUE"""),1.0)</f>
        <v>1</v>
      </c>
      <c r="K77" s="130">
        <f>IFERROR(__xludf.DUMMYFUNCTION("""COMPUTED_VALUE"""),1.0)</f>
        <v>1</v>
      </c>
      <c r="L77" s="130">
        <f>IFERROR(__xludf.DUMMYFUNCTION("""COMPUTED_VALUE"""),1.0)</f>
        <v>1</v>
      </c>
      <c r="M77" s="130">
        <f>IFERROR(__xludf.DUMMYFUNCTION("""COMPUTED_VALUE"""),1.0)</f>
        <v>1</v>
      </c>
      <c r="N77" s="130">
        <f>IFERROR(__xludf.DUMMYFUNCTION("""COMPUTED_VALUE"""),0.0)</f>
        <v>0</v>
      </c>
      <c r="O77" s="130">
        <f>IFERROR(__xludf.DUMMYFUNCTION("""COMPUTED_VALUE"""),0.0)</f>
        <v>0</v>
      </c>
      <c r="P77" s="130">
        <f>IFERROR(__xludf.DUMMYFUNCTION("""COMPUTED_VALUE"""),0.0)</f>
        <v>0</v>
      </c>
      <c r="Q77" s="130">
        <f>IFERROR(__xludf.DUMMYFUNCTION("""COMPUTED_VALUE"""),0.0)</f>
        <v>0</v>
      </c>
      <c r="R77" s="130">
        <f>IFERROR(__xludf.DUMMYFUNCTION("""COMPUTED_VALUE"""),0.0)</f>
        <v>0</v>
      </c>
      <c r="S77" s="130">
        <f>IFERROR(__xludf.DUMMYFUNCTION("""COMPUTED_VALUE"""),0.0)</f>
        <v>0</v>
      </c>
      <c r="T77" s="130">
        <f>IFERROR(__xludf.DUMMYFUNCTION("""COMPUTED_VALUE"""),0.0)</f>
        <v>0</v>
      </c>
      <c r="U77" s="130">
        <f>IFERROR(__xludf.DUMMYFUNCTION("""COMPUTED_VALUE"""),0.0)</f>
        <v>0</v>
      </c>
      <c r="V77" s="131">
        <f>IFERROR(__xludf.DUMMYFUNCTION("""COMPUTED_VALUE"""),0.0)</f>
        <v>0</v>
      </c>
      <c r="W77" s="131" t="str">
        <f>IFERROR(__xludf.DUMMYFUNCTION("""COMPUTED_VALUE"""),"Yes")</f>
        <v>Yes</v>
      </c>
      <c r="X77" s="131" t="str">
        <f>IFERROR(__xludf.DUMMYFUNCTION("""COMPUTED_VALUE"""),"Yes")</f>
        <v>Yes</v>
      </c>
      <c r="Y77" s="131" t="str">
        <f>IFERROR(__xludf.DUMMYFUNCTION("""COMPUTED_VALUE"""),"F")</f>
        <v>F</v>
      </c>
      <c r="Z77" s="131" t="str">
        <f>IFERROR(__xludf.DUMMYFUNCTION("""COMPUTED_VALUE"""),"resource allocation strategy")</f>
        <v>resource allocation strategy</v>
      </c>
      <c r="AA77" s="131"/>
      <c r="AB77" s="131"/>
      <c r="AC77" s="131"/>
      <c r="AD77" s="131"/>
      <c r="AE77" s="131"/>
      <c r="AF77" s="131"/>
      <c r="AG77" s="131"/>
      <c r="AH77" s="131"/>
      <c r="AI77" s="131"/>
      <c r="AJ77" s="131"/>
    </row>
    <row r="78">
      <c r="A78" s="126">
        <f>IFERROR(__xludf.DUMMYFUNCTION("""COMPUTED_VALUE"""),206.0)</f>
        <v>206</v>
      </c>
      <c r="B78" s="126" t="str">
        <f>IFERROR(__xludf.DUMMYFUNCTION("""COMPUTED_VALUE"""),"An adaptive autonomic framework for optimizing energy consumption in the cloud data centers")</f>
        <v>An adaptive autonomic framework for optimizing energy consumption in the cloud data centers</v>
      </c>
      <c r="C78" s="127" t="str">
        <f>IFERROR(__xludf.DUMMYFUNCTION("""COMPUTED_VALUE"""),"http://www.inass.org/2019/2019083112.pdf")</f>
        <v>http://www.inass.org/2019/2019083112.pdf</v>
      </c>
      <c r="D78" s="126" t="str">
        <f>IFERROR(__xludf.DUMMYFUNCTION("""COMPUTED_VALUE"""),"S Diouani, H Medromi")</f>
        <v>S Diouani, H Medromi</v>
      </c>
      <c r="E78" s="126" t="str">
        <f>IFERROR(__xludf.DUMMYFUNCTION("""COMPUTED_VALUE"""),"International Journal of Intelligent Engineering &amp; Systems")</f>
        <v>International Journal of Intelligent Engineering &amp; Systems</v>
      </c>
      <c r="F78" s="126" t="str">
        <f>IFERROR(__xludf.DUMMYFUNCTION("""COMPUTED_VALUE"""),"INASS")</f>
        <v>INASS</v>
      </c>
      <c r="G78" s="128" t="str">
        <f>IFERROR(__xludf.DUMMYFUNCTION("""COMPUTED_VALUE"""),"J")</f>
        <v>J</v>
      </c>
      <c r="H78" s="129">
        <f>IFERROR(__xludf.DUMMYFUNCTION("""COMPUTED_VALUE"""),2019.0)</f>
        <v>2019</v>
      </c>
      <c r="I78" s="130">
        <f>IFERROR(__xludf.DUMMYFUNCTION("""COMPUTED_VALUE"""),1.0)</f>
        <v>1</v>
      </c>
      <c r="J78" s="129">
        <f>IFERROR(__xludf.DUMMYFUNCTION("""COMPUTED_VALUE"""),1.0)</f>
        <v>1</v>
      </c>
      <c r="K78" s="130">
        <f>IFERROR(__xludf.DUMMYFUNCTION("""COMPUTED_VALUE"""),1.0)</f>
        <v>1</v>
      </c>
      <c r="L78" s="130">
        <f>IFERROR(__xludf.DUMMYFUNCTION("""COMPUTED_VALUE"""),1.0)</f>
        <v>1</v>
      </c>
      <c r="M78" s="130">
        <f>IFERROR(__xludf.DUMMYFUNCTION("""COMPUTED_VALUE"""),1.0)</f>
        <v>1</v>
      </c>
      <c r="N78" s="130">
        <f>IFERROR(__xludf.DUMMYFUNCTION("""COMPUTED_VALUE"""),0.0)</f>
        <v>0</v>
      </c>
      <c r="O78" s="130">
        <f>IFERROR(__xludf.DUMMYFUNCTION("""COMPUTED_VALUE"""),0.0)</f>
        <v>0</v>
      </c>
      <c r="P78" s="130">
        <f>IFERROR(__xludf.DUMMYFUNCTION("""COMPUTED_VALUE"""),0.0)</f>
        <v>0</v>
      </c>
      <c r="Q78" s="130">
        <f>IFERROR(__xludf.DUMMYFUNCTION("""COMPUTED_VALUE"""),0.0)</f>
        <v>0</v>
      </c>
      <c r="R78" s="130">
        <f>IFERROR(__xludf.DUMMYFUNCTION("""COMPUTED_VALUE"""),0.0)</f>
        <v>0</v>
      </c>
      <c r="S78" s="130">
        <f>IFERROR(__xludf.DUMMYFUNCTION("""COMPUTED_VALUE"""),0.0)</f>
        <v>0</v>
      </c>
      <c r="T78" s="130">
        <f>IFERROR(__xludf.DUMMYFUNCTION("""COMPUTED_VALUE"""),0.0)</f>
        <v>0</v>
      </c>
      <c r="U78" s="130">
        <f>IFERROR(__xludf.DUMMYFUNCTION("""COMPUTED_VALUE"""),0.0)</f>
        <v>0</v>
      </c>
      <c r="V78" s="131">
        <f>IFERROR(__xludf.DUMMYFUNCTION("""COMPUTED_VALUE"""),0.0)</f>
        <v>0</v>
      </c>
      <c r="W78" s="131" t="str">
        <f>IFERROR(__xludf.DUMMYFUNCTION("""COMPUTED_VALUE"""),"Yes")</f>
        <v>Yes</v>
      </c>
      <c r="X78" s="131" t="str">
        <f>IFERROR(__xludf.DUMMYFUNCTION("""COMPUTED_VALUE"""),"Yes")</f>
        <v>Yes</v>
      </c>
      <c r="Y78" s="131" t="str">
        <f>IFERROR(__xludf.DUMMYFUNCTION("""COMPUTED_VALUE"""),"F")</f>
        <v>F</v>
      </c>
      <c r="Z78" s="131" t="str">
        <f>IFERROR(__xludf.DUMMYFUNCTION("""COMPUTED_VALUE"""),"EE autonomic framework")</f>
        <v>EE autonomic framework</v>
      </c>
      <c r="AA78" s="131"/>
      <c r="AB78" s="131"/>
      <c r="AC78" s="131"/>
      <c r="AD78" s="131"/>
      <c r="AE78" s="131"/>
      <c r="AF78" s="131"/>
      <c r="AG78" s="131"/>
      <c r="AH78" s="131"/>
      <c r="AI78" s="131"/>
      <c r="AJ78" s="131"/>
    </row>
    <row r="79">
      <c r="A79" s="126">
        <f>IFERROR(__xludf.DUMMYFUNCTION("""COMPUTED_VALUE"""),207.0)</f>
        <v>207</v>
      </c>
      <c r="B79" s="126" t="str">
        <f>IFERROR(__xludf.DUMMYFUNCTION("""COMPUTED_VALUE"""),"Minimizing SLA violation and power consumption in Cloud data centers using adaptive energy-aware algorithms")</f>
        <v>Minimizing SLA violation and power consumption in Cloud data centers using adaptive energy-aware algorithms</v>
      </c>
      <c r="C79" s="127" t="str">
        <f>IFERROR(__xludf.DUMMYFUNCTION("""COMPUTED_VALUE"""),"https://www.sciencedirect.com/science/article/pii/S0167739X17316059")</f>
        <v>https://www.sciencedirect.com/science/article/pii/S0167739X17316059</v>
      </c>
      <c r="D79" s="126" t="str">
        <f>IFERROR(__xludf.DUMMYFUNCTION("""COMPUTED_VALUE"""),"Z Zhou, J Abawajy, M Chowdhury, Z Hu, K Li, H Cheng, AA Alelaiwi, F Li")</f>
        <v>Z Zhou, J Abawajy, M Chowdhury, Z Hu, K Li, H Cheng, AA Alelaiwi, F Li</v>
      </c>
      <c r="E79" s="126" t="str">
        <f>IFERROR(__xludf.DUMMYFUNCTION("""COMPUTED_VALUE"""),"Elsevier")</f>
        <v>Elsevier</v>
      </c>
      <c r="F79" s="126" t="str">
        <f>IFERROR(__xludf.DUMMYFUNCTION("""COMPUTED_VALUE"""),"Elsevier")</f>
        <v>Elsevier</v>
      </c>
      <c r="G79" s="128" t="str">
        <f>IFERROR(__xludf.DUMMYFUNCTION("""COMPUTED_VALUE"""),"J")</f>
        <v>J</v>
      </c>
      <c r="H79" s="130">
        <f>IFERROR(__xludf.DUMMYFUNCTION("""COMPUTED_VALUE"""),2018.0)</f>
        <v>2018</v>
      </c>
      <c r="I79" s="130">
        <f>IFERROR(__xludf.DUMMYFUNCTION("""COMPUTED_VALUE"""),1.0)</f>
        <v>1</v>
      </c>
      <c r="J79" s="130">
        <f>IFERROR(__xludf.DUMMYFUNCTION("""COMPUTED_VALUE"""),1.0)</f>
        <v>1</v>
      </c>
      <c r="K79" s="129">
        <f>IFERROR(__xludf.DUMMYFUNCTION("""COMPUTED_VALUE"""),1.0)</f>
        <v>1</v>
      </c>
      <c r="L79" s="129">
        <f>IFERROR(__xludf.DUMMYFUNCTION("""COMPUTED_VALUE"""),1.0)</f>
        <v>1</v>
      </c>
      <c r="M79" s="130">
        <f>IFERROR(__xludf.DUMMYFUNCTION("""COMPUTED_VALUE"""),1.0)</f>
        <v>1</v>
      </c>
      <c r="N79" s="130">
        <f>IFERROR(__xludf.DUMMYFUNCTION("""COMPUTED_VALUE"""),0.0)</f>
        <v>0</v>
      </c>
      <c r="O79" s="130">
        <f>IFERROR(__xludf.DUMMYFUNCTION("""COMPUTED_VALUE"""),0.0)</f>
        <v>0</v>
      </c>
      <c r="P79" s="130">
        <f>IFERROR(__xludf.DUMMYFUNCTION("""COMPUTED_VALUE"""),0.0)</f>
        <v>0</v>
      </c>
      <c r="Q79" s="130">
        <f>IFERROR(__xludf.DUMMYFUNCTION("""COMPUTED_VALUE"""),0.0)</f>
        <v>0</v>
      </c>
      <c r="R79" s="130">
        <f>IFERROR(__xludf.DUMMYFUNCTION("""COMPUTED_VALUE"""),0.0)</f>
        <v>0</v>
      </c>
      <c r="S79" s="130">
        <f>IFERROR(__xludf.DUMMYFUNCTION("""COMPUTED_VALUE"""),0.0)</f>
        <v>0</v>
      </c>
      <c r="T79" s="130">
        <f>IFERROR(__xludf.DUMMYFUNCTION("""COMPUTED_VALUE"""),0.0)</f>
        <v>0</v>
      </c>
      <c r="U79" s="130">
        <f>IFERROR(__xludf.DUMMYFUNCTION("""COMPUTED_VALUE"""),0.0)</f>
        <v>0</v>
      </c>
      <c r="V79" s="131">
        <f>IFERROR(__xludf.DUMMYFUNCTION("""COMPUTED_VALUE"""),0.0)</f>
        <v>0</v>
      </c>
      <c r="W79" s="131" t="str">
        <f>IFERROR(__xludf.DUMMYFUNCTION("""COMPUTED_VALUE"""),"Yes")</f>
        <v>Yes</v>
      </c>
      <c r="X79" s="131" t="str">
        <f>IFERROR(__xludf.DUMMYFUNCTION("""COMPUTED_VALUE"""),"Yes")</f>
        <v>Yes</v>
      </c>
      <c r="Y79" s="131" t="str">
        <f>IFERROR(__xludf.DUMMYFUNCTION("""COMPUTED_VALUE"""),"F")</f>
        <v>F</v>
      </c>
      <c r="Z79" s="131" t="str">
        <f>IFERROR(__xludf.DUMMYFUNCTION("""COMPUTED_VALUE"""),"energy-aware algorithms")</f>
        <v>energy-aware algorithms</v>
      </c>
      <c r="AA79" s="131"/>
      <c r="AB79" s="131"/>
      <c r="AC79" s="131"/>
      <c r="AD79" s="131"/>
      <c r="AE79" s="131"/>
      <c r="AF79" s="131"/>
      <c r="AG79" s="131"/>
      <c r="AH79" s="131"/>
      <c r="AI79" s="131"/>
      <c r="AJ79" s="131"/>
    </row>
    <row r="80">
      <c r="A80" s="126">
        <f>IFERROR(__xludf.DUMMYFUNCTION("""COMPUTED_VALUE"""),211.0)</f>
        <v>211</v>
      </c>
      <c r="B80" s="126" t="str">
        <f>IFERROR(__xludf.DUMMYFUNCTION("""COMPUTED_VALUE"""),"Energy Optimization for Software-Defined Data Center Networks Based on Flow Allocation Strategies")</f>
        <v>Energy Optimization for Software-Defined Data Center Networks Based on Flow Allocation Strategies</v>
      </c>
      <c r="C80" s="127" t="str">
        <f>IFERROR(__xludf.DUMMYFUNCTION("""COMPUTED_VALUE"""),"https://www.mdpi.com/2079-9292/8/9/1014")</f>
        <v>https://www.mdpi.com/2079-9292/8/9/1014</v>
      </c>
      <c r="D80" s="131" t="str">
        <f>IFERROR(__xludf.DUMMYFUNCTION("""COMPUTED_VALUE"""),"Z Lu, J Lei, Y He, Z Li, S Deng, X Gao")</f>
        <v>Z Lu, J Lei, Y He, Z Li, S Deng, X Gao</v>
      </c>
      <c r="E80" s="131" t="str">
        <f>IFERROR(__xludf.DUMMYFUNCTION("""COMPUTED_VALUE"""),"Multidisciplinary Digital Publishing Institute")</f>
        <v>Multidisciplinary Digital Publishing Institute</v>
      </c>
      <c r="F80" s="126" t="str">
        <f>IFERROR(__xludf.DUMMYFUNCTION("""COMPUTED_VALUE"""),"MDPI")</f>
        <v>MDPI</v>
      </c>
      <c r="G80" s="128" t="str">
        <f>IFERROR(__xludf.DUMMYFUNCTION("""COMPUTED_VALUE"""),"J")</f>
        <v>J</v>
      </c>
      <c r="H80" s="130">
        <f>IFERROR(__xludf.DUMMYFUNCTION("""COMPUTED_VALUE"""),2019.0)</f>
        <v>2019</v>
      </c>
      <c r="I80" s="130">
        <f>IFERROR(__xludf.DUMMYFUNCTION("""COMPUTED_VALUE"""),1.0)</f>
        <v>1</v>
      </c>
      <c r="J80" s="130">
        <f>IFERROR(__xludf.DUMMYFUNCTION("""COMPUTED_VALUE"""),1.0)</f>
        <v>1</v>
      </c>
      <c r="K80" s="130">
        <f>IFERROR(__xludf.DUMMYFUNCTION("""COMPUTED_VALUE"""),1.0)</f>
        <v>1</v>
      </c>
      <c r="L80" s="129">
        <f>IFERROR(__xludf.DUMMYFUNCTION("""COMPUTED_VALUE"""),1.0)</f>
        <v>1</v>
      </c>
      <c r="M80" s="130">
        <f>IFERROR(__xludf.DUMMYFUNCTION("""COMPUTED_VALUE"""),1.0)</f>
        <v>1</v>
      </c>
      <c r="N80" s="130">
        <f>IFERROR(__xludf.DUMMYFUNCTION("""COMPUTED_VALUE"""),0.0)</f>
        <v>0</v>
      </c>
      <c r="O80" s="130">
        <f>IFERROR(__xludf.DUMMYFUNCTION("""COMPUTED_VALUE"""),0.0)</f>
        <v>0</v>
      </c>
      <c r="P80" s="130">
        <f>IFERROR(__xludf.DUMMYFUNCTION("""COMPUTED_VALUE"""),0.0)</f>
        <v>0</v>
      </c>
      <c r="Q80" s="130">
        <f>IFERROR(__xludf.DUMMYFUNCTION("""COMPUTED_VALUE"""),0.0)</f>
        <v>0</v>
      </c>
      <c r="R80" s="130">
        <f>IFERROR(__xludf.DUMMYFUNCTION("""COMPUTED_VALUE"""),0.0)</f>
        <v>0</v>
      </c>
      <c r="S80" s="130">
        <f>IFERROR(__xludf.DUMMYFUNCTION("""COMPUTED_VALUE"""),0.0)</f>
        <v>0</v>
      </c>
      <c r="T80" s="130">
        <f>IFERROR(__xludf.DUMMYFUNCTION("""COMPUTED_VALUE"""),0.0)</f>
        <v>0</v>
      </c>
      <c r="U80" s="130">
        <f>IFERROR(__xludf.DUMMYFUNCTION("""COMPUTED_VALUE"""),0.0)</f>
        <v>0</v>
      </c>
      <c r="V80" s="131">
        <f>IFERROR(__xludf.DUMMYFUNCTION("""COMPUTED_VALUE"""),0.0)</f>
        <v>0</v>
      </c>
      <c r="W80" s="131" t="str">
        <f>IFERROR(__xludf.DUMMYFUNCTION("""COMPUTED_VALUE"""),"Yes")</f>
        <v>Yes</v>
      </c>
      <c r="X80" s="131" t="str">
        <f>IFERROR(__xludf.DUMMYFUNCTION("""COMPUTED_VALUE"""),"Yes")</f>
        <v>Yes</v>
      </c>
      <c r="Y80" s="131" t="str">
        <f>IFERROR(__xludf.DUMMYFUNCTION("""COMPUTED_VALUE"""),"F")</f>
        <v>F</v>
      </c>
      <c r="Z80" s="131" t="str">
        <f>IFERROR(__xludf.DUMMYFUNCTION("""COMPUTED_VALUE"""),"flow allocation strategy")</f>
        <v>flow allocation strategy</v>
      </c>
      <c r="AA80" s="131"/>
      <c r="AB80" s="131"/>
      <c r="AC80" s="131"/>
      <c r="AD80" s="131"/>
      <c r="AE80" s="131"/>
      <c r="AF80" s="131"/>
      <c r="AG80" s="131"/>
      <c r="AH80" s="131"/>
      <c r="AI80" s="131"/>
      <c r="AJ80" s="131"/>
    </row>
    <row r="81">
      <c r="A81" s="126">
        <f>IFERROR(__xludf.DUMMYFUNCTION("""COMPUTED_VALUE"""),213.0)</f>
        <v>213</v>
      </c>
      <c r="B81" s="126" t="str">
        <f>IFERROR(__xludf.DUMMYFUNCTION("""COMPUTED_VALUE"""),"A proposed energy and performance aware cloud framework for improving service level agreements (SLAs) in cloud datacenters")</f>
        <v>A proposed energy and performance aware cloud framework for improving service level agreements (SLAs) in cloud datacenters</v>
      </c>
      <c r="C81" s="127" t="str">
        <f>IFERROR(__xludf.DUMMYFUNCTION("""COMPUTED_VALUE"""),"https://strathprints.strath.ac.uk/id/eprint/65612")</f>
        <v>https://strathprints.strath.ac.uk/id/eprint/65612</v>
      </c>
      <c r="D81" s="126" t="str">
        <f>IFERROR(__xludf.DUMMYFUNCTION("""COMPUTED_VALUE"""),"AAH Al-Mahruqi, V Athinarayanana…")</f>
        <v>AAH Al-Mahruqi, V Athinarayanana…</v>
      </c>
      <c r="E81" s="126" t="str">
        <f>IFERROR(__xludf.DUMMYFUNCTION("""COMPUTED_VALUE"""),"International Journal of Applied Engineering Research")</f>
        <v>International Journal of Applied Engineering Research</v>
      </c>
      <c r="F81" s="126" t="str">
        <f>IFERROR(__xludf.DUMMYFUNCTION("""COMPUTED_VALUE"""),"IJAER")</f>
        <v>IJAER</v>
      </c>
      <c r="G81" s="128" t="str">
        <f>IFERROR(__xludf.DUMMYFUNCTION("""COMPUTED_VALUE"""),"J")</f>
        <v>J</v>
      </c>
      <c r="H81" s="130">
        <f>IFERROR(__xludf.DUMMYFUNCTION("""COMPUTED_VALUE"""),2018.0)</f>
        <v>2018</v>
      </c>
      <c r="I81" s="130">
        <f>IFERROR(__xludf.DUMMYFUNCTION("""COMPUTED_VALUE"""),1.0)</f>
        <v>1</v>
      </c>
      <c r="J81" s="130">
        <f>IFERROR(__xludf.DUMMYFUNCTION("""COMPUTED_VALUE"""),1.0)</f>
        <v>1</v>
      </c>
      <c r="K81" s="130">
        <f>IFERROR(__xludf.DUMMYFUNCTION("""COMPUTED_VALUE"""),1.0)</f>
        <v>1</v>
      </c>
      <c r="L81" s="130">
        <f>IFERROR(__xludf.DUMMYFUNCTION("""COMPUTED_VALUE"""),1.0)</f>
        <v>1</v>
      </c>
      <c r="M81" s="130">
        <f>IFERROR(__xludf.DUMMYFUNCTION("""COMPUTED_VALUE"""),1.0)</f>
        <v>1</v>
      </c>
      <c r="N81" s="130">
        <f>IFERROR(__xludf.DUMMYFUNCTION("""COMPUTED_VALUE"""),0.0)</f>
        <v>0</v>
      </c>
      <c r="O81" s="130">
        <f>IFERROR(__xludf.DUMMYFUNCTION("""COMPUTED_VALUE"""),0.0)</f>
        <v>0</v>
      </c>
      <c r="P81" s="130">
        <f>IFERROR(__xludf.DUMMYFUNCTION("""COMPUTED_VALUE"""),0.0)</f>
        <v>0</v>
      </c>
      <c r="Q81" s="129">
        <f>IFERROR(__xludf.DUMMYFUNCTION("""COMPUTED_VALUE"""),0.0)</f>
        <v>0</v>
      </c>
      <c r="R81" s="129">
        <f>IFERROR(__xludf.DUMMYFUNCTION("""COMPUTED_VALUE"""),0.0)</f>
        <v>0</v>
      </c>
      <c r="S81" s="129">
        <f>IFERROR(__xludf.DUMMYFUNCTION("""COMPUTED_VALUE"""),0.0)</f>
        <v>0</v>
      </c>
      <c r="T81" s="129">
        <f>IFERROR(__xludf.DUMMYFUNCTION("""COMPUTED_VALUE"""),0.0)</f>
        <v>0</v>
      </c>
      <c r="U81" s="129">
        <f>IFERROR(__xludf.DUMMYFUNCTION("""COMPUTED_VALUE"""),0.0)</f>
        <v>0</v>
      </c>
      <c r="V81" s="126">
        <f>IFERROR(__xludf.DUMMYFUNCTION("""COMPUTED_VALUE"""),0.0)</f>
        <v>0</v>
      </c>
      <c r="W81" s="126" t="str">
        <f>IFERROR(__xludf.DUMMYFUNCTION("""COMPUTED_VALUE"""),"Yes")</f>
        <v>Yes</v>
      </c>
      <c r="X81" s="126" t="str">
        <f>IFERROR(__xludf.DUMMYFUNCTION("""COMPUTED_VALUE"""),"Yes")</f>
        <v>Yes</v>
      </c>
      <c r="Y81" s="126" t="str">
        <f>IFERROR(__xludf.DUMMYFUNCTION("""COMPUTED_VALUE"""),"C")</f>
        <v>C</v>
      </c>
      <c r="Z81" s="126" t="str">
        <f>IFERROR(__xludf.DUMMYFUNCTION("""COMPUTED_VALUE"""),"SLA Framework")</f>
        <v>SLA Framework</v>
      </c>
      <c r="AA81" s="126"/>
      <c r="AB81" s="126"/>
      <c r="AC81" s="126"/>
      <c r="AD81" s="126"/>
      <c r="AE81" s="126"/>
      <c r="AF81" s="126"/>
      <c r="AG81" s="126"/>
      <c r="AH81" s="126"/>
      <c r="AI81" s="126"/>
      <c r="AJ81" s="126"/>
    </row>
    <row r="82">
      <c r="A82" s="126">
        <f>IFERROR(__xludf.DUMMYFUNCTION("""COMPUTED_VALUE"""),214.0)</f>
        <v>214</v>
      </c>
      <c r="B82" s="126" t="str">
        <f>IFERROR(__xludf.DUMMYFUNCTION("""COMPUTED_VALUE"""),"A reliable energy-aware approach for dynamic virtual machine consolidation in cloud data centers")</f>
        <v>A reliable energy-aware approach for dynamic virtual machine consolidation in cloud data centers</v>
      </c>
      <c r="C82" s="127" t="str">
        <f>IFERROR(__xludf.DUMMYFUNCTION("""COMPUTED_VALUE"""),"https://link.springer.com/article/10.1007/s11227-018-2709-7")</f>
        <v>https://link.springer.com/article/10.1007/s11227-018-2709-7</v>
      </c>
      <c r="D82" s="131" t="str">
        <f>IFERROR(__xludf.DUMMYFUNCTION("""COMPUTED_VALUE"""),"MH Sayadnavard, AT Haghighat…")</f>
        <v>MH Sayadnavard, AT Haghighat…</v>
      </c>
      <c r="E82" s="131" t="str">
        <f>IFERROR(__xludf.DUMMYFUNCTION("""COMPUTED_VALUE"""),"Springer")</f>
        <v>Springer</v>
      </c>
      <c r="F82" s="126" t="str">
        <f>IFERROR(__xludf.DUMMYFUNCTION("""COMPUTED_VALUE"""),"Springer")</f>
        <v>Springer</v>
      </c>
      <c r="G82" s="128" t="str">
        <f>IFERROR(__xludf.DUMMYFUNCTION("""COMPUTED_VALUE"""),"J")</f>
        <v>J</v>
      </c>
      <c r="H82" s="129">
        <f>IFERROR(__xludf.DUMMYFUNCTION("""COMPUTED_VALUE"""),2019.0)</f>
        <v>2019</v>
      </c>
      <c r="I82" s="129">
        <f>IFERROR(__xludf.DUMMYFUNCTION("""COMPUTED_VALUE"""),1.0)</f>
        <v>1</v>
      </c>
      <c r="J82" s="129">
        <f>IFERROR(__xludf.DUMMYFUNCTION("""COMPUTED_VALUE"""),1.0)</f>
        <v>1</v>
      </c>
      <c r="K82" s="130">
        <f>IFERROR(__xludf.DUMMYFUNCTION("""COMPUTED_VALUE"""),1.0)</f>
        <v>1</v>
      </c>
      <c r="L82" s="129">
        <f>IFERROR(__xludf.DUMMYFUNCTION("""COMPUTED_VALUE"""),1.0)</f>
        <v>1</v>
      </c>
      <c r="M82" s="130">
        <f>IFERROR(__xludf.DUMMYFUNCTION("""COMPUTED_VALUE"""),1.0)</f>
        <v>1</v>
      </c>
      <c r="N82" s="130">
        <f>IFERROR(__xludf.DUMMYFUNCTION("""COMPUTED_VALUE"""),0.0)</f>
        <v>0</v>
      </c>
      <c r="O82" s="130">
        <f>IFERROR(__xludf.DUMMYFUNCTION("""COMPUTED_VALUE"""),0.0)</f>
        <v>0</v>
      </c>
      <c r="P82" s="129">
        <f>IFERROR(__xludf.DUMMYFUNCTION("""COMPUTED_VALUE"""),0.0)</f>
        <v>0</v>
      </c>
      <c r="Q82" s="129">
        <f>IFERROR(__xludf.DUMMYFUNCTION("""COMPUTED_VALUE"""),0.0)</f>
        <v>0</v>
      </c>
      <c r="R82" s="129">
        <f>IFERROR(__xludf.DUMMYFUNCTION("""COMPUTED_VALUE"""),0.0)</f>
        <v>0</v>
      </c>
      <c r="S82" s="129">
        <f>IFERROR(__xludf.DUMMYFUNCTION("""COMPUTED_VALUE"""),0.0)</f>
        <v>0</v>
      </c>
      <c r="T82" s="129">
        <f>IFERROR(__xludf.DUMMYFUNCTION("""COMPUTED_VALUE"""),0.0)</f>
        <v>0</v>
      </c>
      <c r="U82" s="129">
        <f>IFERROR(__xludf.DUMMYFUNCTION("""COMPUTED_VALUE"""),0.0)</f>
        <v>0</v>
      </c>
      <c r="V82" s="126">
        <f>IFERROR(__xludf.DUMMYFUNCTION("""COMPUTED_VALUE"""),0.0)</f>
        <v>0</v>
      </c>
      <c r="W82" s="126" t="str">
        <f>IFERROR(__xludf.DUMMYFUNCTION("""COMPUTED_VALUE"""),"Yes")</f>
        <v>Yes</v>
      </c>
      <c r="X82" s="126" t="str">
        <f>IFERROR(__xludf.DUMMYFUNCTION("""COMPUTED_VALUE"""),"Yes")</f>
        <v>Yes</v>
      </c>
      <c r="Y82" s="126" t="str">
        <f>IFERROR(__xludf.DUMMYFUNCTION("""COMPUTED_VALUE"""),"C")</f>
        <v>C</v>
      </c>
      <c r="Z82" s="126" t="str">
        <f>IFERROR(__xludf.DUMMYFUNCTION("""COMPUTED_VALUE"""),"vm consolidation")</f>
        <v>vm consolidation</v>
      </c>
      <c r="AA82" s="126"/>
      <c r="AB82" s="126"/>
      <c r="AC82" s="126"/>
      <c r="AD82" s="126"/>
      <c r="AE82" s="126"/>
      <c r="AF82" s="126"/>
      <c r="AG82" s="126"/>
      <c r="AH82" s="126"/>
      <c r="AI82" s="126"/>
      <c r="AJ82" s="126"/>
    </row>
    <row r="83">
      <c r="A83" s="126">
        <f>IFERROR(__xludf.DUMMYFUNCTION("""COMPUTED_VALUE"""),219.0)</f>
        <v>219</v>
      </c>
      <c r="B83" s="126" t="str">
        <f>IFERROR(__xludf.DUMMYFUNCTION("""COMPUTED_VALUE"""),"Memory-aware resource management algorithm for low-energy cloud data centers")</f>
        <v>Memory-aware resource management algorithm for low-energy cloud data centers</v>
      </c>
      <c r="C83" s="127" t="str">
        <f>IFERROR(__xludf.DUMMYFUNCTION("""COMPUTED_VALUE"""),"https://www.sciencedirect.com/science/article/pii/S0167739X20305835")</f>
        <v>https://www.sciencedirect.com/science/article/pii/S0167739X20305835</v>
      </c>
      <c r="D83" s="126" t="str">
        <f>IFERROR(__xludf.DUMMYFUNCTION("""COMPUTED_VALUE"""),"B Liang, X Dong, Y Wang, X Zhang")</f>
        <v>B Liang, X Dong, Y Wang, X Zhang</v>
      </c>
      <c r="E83" s="126" t="str">
        <f>IFERROR(__xludf.DUMMYFUNCTION("""COMPUTED_VALUE"""),"Elsevier")</f>
        <v>Elsevier</v>
      </c>
      <c r="F83" s="126" t="str">
        <f>IFERROR(__xludf.DUMMYFUNCTION("""COMPUTED_VALUE"""),"Elsevier")</f>
        <v>Elsevier</v>
      </c>
      <c r="G83" s="126" t="str">
        <f>IFERROR(__xludf.DUMMYFUNCTION("""COMPUTED_VALUE"""),"J")</f>
        <v>J</v>
      </c>
      <c r="H83" s="129">
        <f>IFERROR(__xludf.DUMMYFUNCTION("""COMPUTED_VALUE"""),2020.0)</f>
        <v>2020</v>
      </c>
      <c r="I83" s="129">
        <f>IFERROR(__xludf.DUMMYFUNCTION("""COMPUTED_VALUE"""),1.0)</f>
        <v>1</v>
      </c>
      <c r="J83" s="129">
        <f>IFERROR(__xludf.DUMMYFUNCTION("""COMPUTED_VALUE"""),1.0)</f>
        <v>1</v>
      </c>
      <c r="K83" s="129">
        <f>IFERROR(__xludf.DUMMYFUNCTION("""COMPUTED_VALUE"""),1.0)</f>
        <v>1</v>
      </c>
      <c r="L83" s="129">
        <f>IFERROR(__xludf.DUMMYFUNCTION("""COMPUTED_VALUE"""),1.0)</f>
        <v>1</v>
      </c>
      <c r="M83" s="129">
        <f>IFERROR(__xludf.DUMMYFUNCTION("""COMPUTED_VALUE"""),1.0)</f>
        <v>1</v>
      </c>
      <c r="N83" s="129">
        <f>IFERROR(__xludf.DUMMYFUNCTION("""COMPUTED_VALUE"""),0.0)</f>
        <v>0</v>
      </c>
      <c r="O83" s="129">
        <f>IFERROR(__xludf.DUMMYFUNCTION("""COMPUTED_VALUE"""),0.0)</f>
        <v>0</v>
      </c>
      <c r="P83" s="129">
        <f>IFERROR(__xludf.DUMMYFUNCTION("""COMPUTED_VALUE"""),0.0)</f>
        <v>0</v>
      </c>
      <c r="Q83" s="129">
        <f>IFERROR(__xludf.DUMMYFUNCTION("""COMPUTED_VALUE"""),0.0)</f>
        <v>0</v>
      </c>
      <c r="R83" s="129">
        <f>IFERROR(__xludf.DUMMYFUNCTION("""COMPUTED_VALUE"""),0.0)</f>
        <v>0</v>
      </c>
      <c r="S83" s="129">
        <f>IFERROR(__xludf.DUMMYFUNCTION("""COMPUTED_VALUE"""),0.0)</f>
        <v>0</v>
      </c>
      <c r="T83" s="129">
        <f>IFERROR(__xludf.DUMMYFUNCTION("""COMPUTED_VALUE"""),0.0)</f>
        <v>0</v>
      </c>
      <c r="U83" s="129">
        <f>IFERROR(__xludf.DUMMYFUNCTION("""COMPUTED_VALUE"""),0.0)</f>
        <v>0</v>
      </c>
      <c r="V83" s="126">
        <f>IFERROR(__xludf.DUMMYFUNCTION("""COMPUTED_VALUE"""),0.0)</f>
        <v>0</v>
      </c>
      <c r="W83" s="126" t="str">
        <f>IFERROR(__xludf.DUMMYFUNCTION("""COMPUTED_VALUE"""),"Yes")</f>
        <v>Yes</v>
      </c>
      <c r="X83" s="126" t="str">
        <f>IFERROR(__xludf.DUMMYFUNCTION("""COMPUTED_VALUE"""),"Yes")</f>
        <v>Yes</v>
      </c>
      <c r="Y83" s="126" t="str">
        <f>IFERROR(__xludf.DUMMYFUNCTION("""COMPUTED_VALUE"""),"C")</f>
        <v>C</v>
      </c>
      <c r="Z83" s="126" t="str">
        <f>IFERROR(__xludf.DUMMYFUNCTION("""COMPUTED_VALUE"""),"memory prioritization")</f>
        <v>memory prioritization</v>
      </c>
      <c r="AA83" s="126"/>
      <c r="AB83" s="126"/>
      <c r="AC83" s="126"/>
      <c r="AD83" s="126"/>
      <c r="AE83" s="126"/>
      <c r="AF83" s="126"/>
      <c r="AG83" s="126"/>
      <c r="AH83" s="126"/>
      <c r="AI83" s="126"/>
      <c r="AJ83" s="126"/>
    </row>
    <row r="84">
      <c r="A84" s="126">
        <f>IFERROR(__xludf.DUMMYFUNCTION("""COMPUTED_VALUE"""),220.0)</f>
        <v>220</v>
      </c>
      <c r="B84" s="126" t="str">
        <f>IFERROR(__xludf.DUMMYFUNCTION("""COMPUTED_VALUE"""),"Improving the energy efficiency of virtual data centers in an IT service provider through proactive fuzzy rules-based multicriteria decision making")</f>
        <v>Improving the energy efficiency of virtual data centers in an IT service provider through proactive fuzzy rules-based multicriteria decision making</v>
      </c>
      <c r="C84" s="127" t="str">
        <f>IFERROR(__xludf.DUMMYFUNCTION("""COMPUTED_VALUE"""),"https://link.springer.com/article/10.1007/s11227-018-2301-1")</f>
        <v>https://link.springer.com/article/10.1007/s11227-018-2301-1</v>
      </c>
      <c r="D84" s="126" t="str">
        <f>IFERROR(__xludf.DUMMYFUNCTION("""COMPUTED_VALUE"""),"A Cocaña-Fernández, J Rodríguez-Soares…")</f>
        <v>A Cocaña-Fernández, J Rodríguez-Soares…</v>
      </c>
      <c r="E84" s="126" t="str">
        <f>IFERROR(__xludf.DUMMYFUNCTION("""COMPUTED_VALUE"""),"Springer")</f>
        <v>Springer</v>
      </c>
      <c r="F84" s="126" t="str">
        <f>IFERROR(__xludf.DUMMYFUNCTION("""COMPUTED_VALUE"""),"Springer")</f>
        <v>Springer</v>
      </c>
      <c r="G84" s="132" t="str">
        <f>IFERROR(__xludf.DUMMYFUNCTION("""COMPUTED_VALUE"""),"J")</f>
        <v>J</v>
      </c>
      <c r="H84" s="129">
        <f>IFERROR(__xludf.DUMMYFUNCTION("""COMPUTED_VALUE"""),2019.0)</f>
        <v>2019</v>
      </c>
      <c r="I84" s="129">
        <f>IFERROR(__xludf.DUMMYFUNCTION("""COMPUTED_VALUE"""),1.0)</f>
        <v>1</v>
      </c>
      <c r="J84" s="129">
        <f>IFERROR(__xludf.DUMMYFUNCTION("""COMPUTED_VALUE"""),1.0)</f>
        <v>1</v>
      </c>
      <c r="K84" s="130">
        <f>IFERROR(__xludf.DUMMYFUNCTION("""COMPUTED_VALUE"""),1.0)</f>
        <v>1</v>
      </c>
      <c r="L84" s="130">
        <f>IFERROR(__xludf.DUMMYFUNCTION("""COMPUTED_VALUE"""),1.0)</f>
        <v>1</v>
      </c>
      <c r="M84" s="130">
        <f>IFERROR(__xludf.DUMMYFUNCTION("""COMPUTED_VALUE"""),1.0)</f>
        <v>1</v>
      </c>
      <c r="N84" s="130">
        <f>IFERROR(__xludf.DUMMYFUNCTION("""COMPUTED_VALUE"""),0.0)</f>
        <v>0</v>
      </c>
      <c r="O84" s="130">
        <f>IFERROR(__xludf.DUMMYFUNCTION("""COMPUTED_VALUE"""),0.0)</f>
        <v>0</v>
      </c>
      <c r="P84" s="129">
        <f>IFERROR(__xludf.DUMMYFUNCTION("""COMPUTED_VALUE"""),0.0)</f>
        <v>0</v>
      </c>
      <c r="Q84" s="129">
        <f>IFERROR(__xludf.DUMMYFUNCTION("""COMPUTED_VALUE"""),0.0)</f>
        <v>0</v>
      </c>
      <c r="R84" s="129">
        <f>IFERROR(__xludf.DUMMYFUNCTION("""COMPUTED_VALUE"""),0.0)</f>
        <v>0</v>
      </c>
      <c r="S84" s="129">
        <f>IFERROR(__xludf.DUMMYFUNCTION("""COMPUTED_VALUE"""),0.0)</f>
        <v>0</v>
      </c>
      <c r="T84" s="129">
        <f>IFERROR(__xludf.DUMMYFUNCTION("""COMPUTED_VALUE"""),0.0)</f>
        <v>0</v>
      </c>
      <c r="U84" s="129">
        <f>IFERROR(__xludf.DUMMYFUNCTION("""COMPUTED_VALUE"""),0.0)</f>
        <v>0</v>
      </c>
      <c r="V84" s="126">
        <f>IFERROR(__xludf.DUMMYFUNCTION("""COMPUTED_VALUE"""),0.0)</f>
        <v>0</v>
      </c>
      <c r="W84" s="126" t="str">
        <f>IFERROR(__xludf.DUMMYFUNCTION("""COMPUTED_VALUE"""),"Yes")</f>
        <v>Yes</v>
      </c>
      <c r="X84" s="126" t="str">
        <f>IFERROR(__xludf.DUMMYFUNCTION("""COMPUTED_VALUE"""),"Yes")</f>
        <v>Yes</v>
      </c>
      <c r="Y84" s="126" t="str">
        <f>IFERROR(__xludf.DUMMYFUNCTION("""COMPUTED_VALUE"""),"C")</f>
        <v>C</v>
      </c>
      <c r="Z84" s="126" t="str">
        <f>IFERROR(__xludf.DUMMYFUNCTION("""COMPUTED_VALUE"""),"reallocation of VM and PM")</f>
        <v>reallocation of VM and PM</v>
      </c>
      <c r="AA84" s="126"/>
      <c r="AB84" s="126"/>
      <c r="AC84" s="126"/>
      <c r="AD84" s="126"/>
      <c r="AE84" s="126"/>
      <c r="AF84" s="126"/>
      <c r="AG84" s="126"/>
      <c r="AH84" s="126"/>
      <c r="AI84" s="126"/>
      <c r="AJ84" s="126"/>
    </row>
    <row r="85">
      <c r="A85" s="126">
        <f>IFERROR(__xludf.DUMMYFUNCTION("""COMPUTED_VALUE"""),222.0)</f>
        <v>222</v>
      </c>
      <c r="B85" s="126" t="str">
        <f>IFERROR(__xludf.DUMMYFUNCTION("""COMPUTED_VALUE"""),"ETAS: Energy and thermal‐aware dynamic virtual machine consolidation in cloud data center with proactive hotspot mitigation")</f>
        <v>ETAS: Energy and thermal‐aware dynamic virtual machine consolidation in cloud data center with proactive hotspot mitigation</v>
      </c>
      <c r="C85" s="127" t="str">
        <f>IFERROR(__xludf.DUMMYFUNCTION("""COMPUTED_VALUE"""),"https://onlinelibrary.wiley.com/doi/abs/10.1002/cpe.5221")</f>
        <v>https://onlinelibrary.wiley.com/doi/abs/10.1002/cpe.5221</v>
      </c>
      <c r="D85" s="131" t="str">
        <f>IFERROR(__xludf.DUMMYFUNCTION("""COMPUTED_VALUE"""),"S Ilager, K Ramamohanarao…")</f>
        <v>S Ilager, K Ramamohanarao…</v>
      </c>
      <c r="E85" s="131" t="str">
        <f>IFERROR(__xludf.DUMMYFUNCTION("""COMPUTED_VALUE"""),"Wiley Online Library")</f>
        <v>Wiley Online Library</v>
      </c>
      <c r="F85" s="126" t="str">
        <f>IFERROR(__xludf.DUMMYFUNCTION("""COMPUTED_VALUE"""),"Wiley")</f>
        <v>Wiley</v>
      </c>
      <c r="G85" s="128" t="str">
        <f>IFERROR(__xludf.DUMMYFUNCTION("""COMPUTED_VALUE"""),"J")</f>
        <v>J</v>
      </c>
      <c r="H85" s="130">
        <f>IFERROR(__xludf.DUMMYFUNCTION("""COMPUTED_VALUE"""),2019.0)</f>
        <v>2019</v>
      </c>
      <c r="I85" s="130">
        <f>IFERROR(__xludf.DUMMYFUNCTION("""COMPUTED_VALUE"""),1.0)</f>
        <v>1</v>
      </c>
      <c r="J85" s="130">
        <f>IFERROR(__xludf.DUMMYFUNCTION("""COMPUTED_VALUE"""),1.0)</f>
        <v>1</v>
      </c>
      <c r="K85" s="130">
        <f>IFERROR(__xludf.DUMMYFUNCTION("""COMPUTED_VALUE"""),1.0)</f>
        <v>1</v>
      </c>
      <c r="L85" s="129">
        <f>IFERROR(__xludf.DUMMYFUNCTION("""COMPUTED_VALUE"""),1.0)</f>
        <v>1</v>
      </c>
      <c r="M85" s="130">
        <f>IFERROR(__xludf.DUMMYFUNCTION("""COMPUTED_VALUE"""),1.0)</f>
        <v>1</v>
      </c>
      <c r="N85" s="130">
        <f>IFERROR(__xludf.DUMMYFUNCTION("""COMPUTED_VALUE"""),0.0)</f>
        <v>0</v>
      </c>
      <c r="O85" s="130">
        <f>IFERROR(__xludf.DUMMYFUNCTION("""COMPUTED_VALUE"""),0.0)</f>
        <v>0</v>
      </c>
      <c r="P85" s="130">
        <f>IFERROR(__xludf.DUMMYFUNCTION("""COMPUTED_VALUE"""),0.0)</f>
        <v>0</v>
      </c>
      <c r="Q85" s="129">
        <f>IFERROR(__xludf.DUMMYFUNCTION("""COMPUTED_VALUE"""),0.0)</f>
        <v>0</v>
      </c>
      <c r="R85" s="129">
        <f>IFERROR(__xludf.DUMMYFUNCTION("""COMPUTED_VALUE"""),0.0)</f>
        <v>0</v>
      </c>
      <c r="S85" s="129">
        <f>IFERROR(__xludf.DUMMYFUNCTION("""COMPUTED_VALUE"""),0.0)</f>
        <v>0</v>
      </c>
      <c r="T85" s="129">
        <f>IFERROR(__xludf.DUMMYFUNCTION("""COMPUTED_VALUE"""),0.0)</f>
        <v>0</v>
      </c>
      <c r="U85" s="129">
        <f>IFERROR(__xludf.DUMMYFUNCTION("""COMPUTED_VALUE"""),0.0)</f>
        <v>0</v>
      </c>
      <c r="V85" s="126">
        <f>IFERROR(__xludf.DUMMYFUNCTION("""COMPUTED_VALUE"""),0.0)</f>
        <v>0</v>
      </c>
      <c r="W85" s="126" t="str">
        <f>IFERROR(__xludf.DUMMYFUNCTION("""COMPUTED_VALUE"""),"Yes")</f>
        <v>Yes</v>
      </c>
      <c r="X85" s="126" t="str">
        <f>IFERROR(__xludf.DUMMYFUNCTION("""COMPUTED_VALUE"""),"Yes")</f>
        <v>Yes</v>
      </c>
      <c r="Y85" s="126" t="str">
        <f>IFERROR(__xludf.DUMMYFUNCTION("""COMPUTED_VALUE"""),"C")</f>
        <v>C</v>
      </c>
      <c r="Z85" s="126"/>
      <c r="AA85" s="126"/>
      <c r="AB85" s="126"/>
      <c r="AC85" s="126"/>
      <c r="AD85" s="126"/>
      <c r="AE85" s="126"/>
      <c r="AF85" s="126"/>
      <c r="AG85" s="126"/>
      <c r="AH85" s="126"/>
      <c r="AI85" s="126"/>
      <c r="AJ85" s="126"/>
    </row>
    <row r="86">
      <c r="A86" s="126">
        <f>IFERROR(__xludf.DUMMYFUNCTION("""COMPUTED_VALUE"""),223.0)</f>
        <v>223</v>
      </c>
      <c r="B86" s="126" t="str">
        <f>IFERROR(__xludf.DUMMYFUNCTION("""COMPUTED_VALUE"""),"Energy efficient data center resources management using beam search algorithm")</f>
        <v>Energy efficient data center resources management using beam search algorithm</v>
      </c>
      <c r="C86" s="127" t="str">
        <f>IFERROR(__xludf.DUMMYFUNCTION("""COMPUTED_VALUE"""),"https://content.sciendo.com/view/journals/techtrans/11/4/article-p127.xml")</f>
        <v>https://content.sciendo.com/view/journals/techtrans/11/4/article-p127.xml</v>
      </c>
      <c r="D86" s="126" t="str">
        <f>IFERROR(__xludf.DUMMYFUNCTION("""COMPUTED_VALUE"""),"S Telenyk, O Rolik, E Zharikov…")</f>
        <v>S Telenyk, O Rolik, E Zharikov…</v>
      </c>
      <c r="E86" s="127" t="str">
        <f>IFERROR(__xludf.DUMMYFUNCTION("""COMPUTED_VALUE"""),"content.sciendo.com")</f>
        <v>content.sciendo.com</v>
      </c>
      <c r="F86" s="127" t="str">
        <f>IFERROR(__xludf.DUMMYFUNCTION("""COMPUTED_VALUE"""),"content.sciendo.com")</f>
        <v>content.sciendo.com</v>
      </c>
      <c r="G86" s="128"/>
      <c r="H86" s="129">
        <f>IFERROR(__xludf.DUMMYFUNCTION("""COMPUTED_VALUE"""),2018.0)</f>
        <v>2018</v>
      </c>
      <c r="I86" s="129">
        <f>IFERROR(__xludf.DUMMYFUNCTION("""COMPUTED_VALUE"""),1.0)</f>
        <v>1</v>
      </c>
      <c r="J86" s="129">
        <f>IFERROR(__xludf.DUMMYFUNCTION("""COMPUTED_VALUE"""),1.0)</f>
        <v>1</v>
      </c>
      <c r="K86" s="130">
        <f>IFERROR(__xludf.DUMMYFUNCTION("""COMPUTED_VALUE"""),1.0)</f>
        <v>1</v>
      </c>
      <c r="L86" s="130">
        <f>IFERROR(__xludf.DUMMYFUNCTION("""COMPUTED_VALUE"""),1.0)</f>
        <v>1</v>
      </c>
      <c r="M86" s="130">
        <f>IFERROR(__xludf.DUMMYFUNCTION("""COMPUTED_VALUE"""),1.0)</f>
        <v>1</v>
      </c>
      <c r="N86" s="130">
        <f>IFERROR(__xludf.DUMMYFUNCTION("""COMPUTED_VALUE"""),0.0)</f>
        <v>0</v>
      </c>
      <c r="O86" s="130">
        <f>IFERROR(__xludf.DUMMYFUNCTION("""COMPUTED_VALUE"""),0.0)</f>
        <v>0</v>
      </c>
      <c r="P86" s="130">
        <f>IFERROR(__xludf.DUMMYFUNCTION("""COMPUTED_VALUE"""),0.0)</f>
        <v>0</v>
      </c>
      <c r="Q86" s="130">
        <f>IFERROR(__xludf.DUMMYFUNCTION("""COMPUTED_VALUE"""),0.0)</f>
        <v>0</v>
      </c>
      <c r="R86" s="130">
        <f>IFERROR(__xludf.DUMMYFUNCTION("""COMPUTED_VALUE"""),0.0)</f>
        <v>0</v>
      </c>
      <c r="S86" s="130">
        <f>IFERROR(__xludf.DUMMYFUNCTION("""COMPUTED_VALUE"""),0.0)</f>
        <v>0</v>
      </c>
      <c r="T86" s="130">
        <f>IFERROR(__xludf.DUMMYFUNCTION("""COMPUTED_VALUE"""),0.0)</f>
        <v>0</v>
      </c>
      <c r="U86" s="130">
        <f>IFERROR(__xludf.DUMMYFUNCTION("""COMPUTED_VALUE"""),0.0)</f>
        <v>0</v>
      </c>
      <c r="V86" s="131">
        <f>IFERROR(__xludf.DUMMYFUNCTION("""COMPUTED_VALUE"""),0.0)</f>
        <v>0</v>
      </c>
      <c r="W86" s="131" t="str">
        <f>IFERROR(__xludf.DUMMYFUNCTION("""COMPUTED_VALUE"""),"Yes")</f>
        <v>Yes</v>
      </c>
      <c r="X86" s="131" t="str">
        <f>IFERROR(__xludf.DUMMYFUNCTION("""COMPUTED_VALUE"""),"Yes")</f>
        <v>Yes</v>
      </c>
      <c r="Y86" s="131" t="str">
        <f>IFERROR(__xludf.DUMMYFUNCTION("""COMPUTED_VALUE"""),"C")</f>
        <v>C</v>
      </c>
      <c r="Z86" s="131" t="str">
        <f>IFERROR(__xludf.DUMMYFUNCTION("""COMPUTED_VALUE"""),"vm consolidation")</f>
        <v>vm consolidation</v>
      </c>
      <c r="AA86" s="131"/>
      <c r="AB86" s="131"/>
      <c r="AC86" s="131"/>
      <c r="AD86" s="131"/>
      <c r="AE86" s="131"/>
      <c r="AF86" s="131"/>
      <c r="AG86" s="131"/>
      <c r="AH86" s="131"/>
      <c r="AI86" s="131"/>
      <c r="AJ86" s="131"/>
    </row>
    <row r="87">
      <c r="A87" s="126">
        <f>IFERROR(__xludf.DUMMYFUNCTION("""COMPUTED_VALUE"""),225.0)</f>
        <v>225</v>
      </c>
      <c r="B87" s="126" t="str">
        <f>IFERROR(__xludf.DUMMYFUNCTION("""COMPUTED_VALUE"""),"Towards an optimized energy consumption of resources in cloud data centers")</f>
        <v>Towards an optimized energy consumption of resources in cloud data centers</v>
      </c>
      <c r="C87" s="127" t="str">
        <f>IFERROR(__xludf.DUMMYFUNCTION("""COMPUTED_VALUE"""),"https://link.springer.com/chapter/10.1007/978-3-030-02849-7_16")</f>
        <v>https://link.springer.com/chapter/10.1007/978-3-030-02849-7_16</v>
      </c>
      <c r="D87" s="126" t="str">
        <f>IFERROR(__xludf.DUMMYFUNCTION("""COMPUTED_VALUE"""),"S Diouani, H Medromi")</f>
        <v>S Diouani, H Medromi</v>
      </c>
      <c r="E87" s="126" t="str">
        <f>IFERROR(__xludf.DUMMYFUNCTION("""COMPUTED_VALUE"""),"Springer")</f>
        <v>Springer</v>
      </c>
      <c r="F87" s="126" t="str">
        <f>IFERROR(__xludf.DUMMYFUNCTION("""COMPUTED_VALUE"""),"Springer")</f>
        <v>Springer</v>
      </c>
      <c r="G87" s="128" t="str">
        <f>IFERROR(__xludf.DUMMYFUNCTION("""COMPUTED_VALUE"""),"C")</f>
        <v>C</v>
      </c>
      <c r="H87" s="129">
        <f>IFERROR(__xludf.DUMMYFUNCTION("""COMPUTED_VALUE"""),2018.0)</f>
        <v>2018</v>
      </c>
      <c r="I87" s="129">
        <f>IFERROR(__xludf.DUMMYFUNCTION("""COMPUTED_VALUE"""),1.0)</f>
        <v>1</v>
      </c>
      <c r="J87" s="129">
        <f>IFERROR(__xludf.DUMMYFUNCTION("""COMPUTED_VALUE"""),1.0)</f>
        <v>1</v>
      </c>
      <c r="K87" s="130">
        <f>IFERROR(__xludf.DUMMYFUNCTION("""COMPUTED_VALUE"""),1.0)</f>
        <v>1</v>
      </c>
      <c r="L87" s="130">
        <f>IFERROR(__xludf.DUMMYFUNCTION("""COMPUTED_VALUE"""),1.0)</f>
        <v>1</v>
      </c>
      <c r="M87" s="130">
        <f>IFERROR(__xludf.DUMMYFUNCTION("""COMPUTED_VALUE"""),1.0)</f>
        <v>1</v>
      </c>
      <c r="N87" s="130">
        <f>IFERROR(__xludf.DUMMYFUNCTION("""COMPUTED_VALUE"""),0.0)</f>
        <v>0</v>
      </c>
      <c r="O87" s="130">
        <f>IFERROR(__xludf.DUMMYFUNCTION("""COMPUTED_VALUE"""),0.0)</f>
        <v>0</v>
      </c>
      <c r="P87" s="129">
        <f>IFERROR(__xludf.DUMMYFUNCTION("""COMPUTED_VALUE"""),0.0)</f>
        <v>0</v>
      </c>
      <c r="Q87" s="129">
        <f>IFERROR(__xludf.DUMMYFUNCTION("""COMPUTED_VALUE"""),0.0)</f>
        <v>0</v>
      </c>
      <c r="R87" s="129">
        <f>IFERROR(__xludf.DUMMYFUNCTION("""COMPUTED_VALUE"""),0.0)</f>
        <v>0</v>
      </c>
      <c r="S87" s="129">
        <f>IFERROR(__xludf.DUMMYFUNCTION("""COMPUTED_VALUE"""),0.0)</f>
        <v>0</v>
      </c>
      <c r="T87" s="129">
        <f>IFERROR(__xludf.DUMMYFUNCTION("""COMPUTED_VALUE"""),0.0)</f>
        <v>0</v>
      </c>
      <c r="U87" s="129">
        <f>IFERROR(__xludf.DUMMYFUNCTION("""COMPUTED_VALUE"""),0.0)</f>
        <v>0</v>
      </c>
      <c r="V87" s="126">
        <f>IFERROR(__xludf.DUMMYFUNCTION("""COMPUTED_VALUE"""),0.0)</f>
        <v>0</v>
      </c>
      <c r="W87" s="126" t="str">
        <f>IFERROR(__xludf.DUMMYFUNCTION("""COMPUTED_VALUE"""),"Yes")</f>
        <v>Yes</v>
      </c>
      <c r="X87" s="126" t="str">
        <f>IFERROR(__xludf.DUMMYFUNCTION("""COMPUTED_VALUE"""),"Yes")</f>
        <v>Yes</v>
      </c>
      <c r="Y87" s="126" t="str">
        <f>IFERROR(__xludf.DUMMYFUNCTION("""COMPUTED_VALUE"""),"C")</f>
        <v>C</v>
      </c>
      <c r="Z87" s="126"/>
      <c r="AA87" s="126"/>
      <c r="AB87" s="126"/>
      <c r="AC87" s="126"/>
      <c r="AD87" s="126"/>
      <c r="AE87" s="126"/>
      <c r="AF87" s="126"/>
      <c r="AG87" s="126"/>
      <c r="AH87" s="126"/>
      <c r="AI87" s="126"/>
      <c r="AJ87" s="126"/>
    </row>
    <row r="88">
      <c r="A88" s="126">
        <f>IFERROR(__xludf.DUMMYFUNCTION("""COMPUTED_VALUE"""),230.0)</f>
        <v>230</v>
      </c>
      <c r="B88" s="126" t="str">
        <f>IFERROR(__xludf.DUMMYFUNCTION("""COMPUTED_VALUE"""),"Energy and service level agreement aware resource allocation heuristics for cloud data centers")</f>
        <v>Energy and service level agreement aware resource allocation heuristics for cloud data centers</v>
      </c>
      <c r="C88" s="127" t="str">
        <f>IFERROR(__xludf.DUMMYFUNCTION("""COMPUTED_VALUE"""),"https://www.koreascience.or.kr/article/JAKO201811459665241.page")</f>
        <v>https://www.koreascience.or.kr/article/JAKO201811459665241.page</v>
      </c>
      <c r="D88" s="126" t="str">
        <f>IFERROR(__xludf.DUMMYFUNCTION("""COMPUTED_VALUE"""),"K Sutha, GM Nawaz")</f>
        <v>K Sutha, GM Nawaz</v>
      </c>
      <c r="E88" s="127" t="str">
        <f>IFERROR(__xludf.DUMMYFUNCTION("""COMPUTED_VALUE"""),"koreascience.or.kr")</f>
        <v>koreascience.or.kr</v>
      </c>
      <c r="F88" s="127" t="str">
        <f>IFERROR(__xludf.DUMMYFUNCTION("""COMPUTED_VALUE"""),"koreascience.or.kr")</f>
        <v>koreascience.or.kr</v>
      </c>
      <c r="G88" s="128" t="str">
        <f>IFERROR(__xludf.DUMMYFUNCTION("""COMPUTED_VALUE"""),"J")</f>
        <v>J</v>
      </c>
      <c r="H88" s="130">
        <f>IFERROR(__xludf.DUMMYFUNCTION("""COMPUTED_VALUE"""),2018.0)</f>
        <v>2018</v>
      </c>
      <c r="I88" s="129">
        <f>IFERROR(__xludf.DUMMYFUNCTION("""COMPUTED_VALUE"""),1.0)</f>
        <v>1</v>
      </c>
      <c r="J88" s="130">
        <f>IFERROR(__xludf.DUMMYFUNCTION("""COMPUTED_VALUE"""),1.0)</f>
        <v>1</v>
      </c>
      <c r="K88" s="130">
        <f>IFERROR(__xludf.DUMMYFUNCTION("""COMPUTED_VALUE"""),1.0)</f>
        <v>1</v>
      </c>
      <c r="L88" s="129">
        <f>IFERROR(__xludf.DUMMYFUNCTION("""COMPUTED_VALUE"""),1.0)</f>
        <v>1</v>
      </c>
      <c r="M88" s="130">
        <f>IFERROR(__xludf.DUMMYFUNCTION("""COMPUTED_VALUE"""),1.0)</f>
        <v>1</v>
      </c>
      <c r="N88" s="130">
        <f>IFERROR(__xludf.DUMMYFUNCTION("""COMPUTED_VALUE"""),0.0)</f>
        <v>0</v>
      </c>
      <c r="O88" s="130">
        <f>IFERROR(__xludf.DUMMYFUNCTION("""COMPUTED_VALUE"""),0.0)</f>
        <v>0</v>
      </c>
      <c r="P88" s="130">
        <f>IFERROR(__xludf.DUMMYFUNCTION("""COMPUTED_VALUE"""),0.0)</f>
        <v>0</v>
      </c>
      <c r="Q88" s="130">
        <f>IFERROR(__xludf.DUMMYFUNCTION("""COMPUTED_VALUE"""),0.0)</f>
        <v>0</v>
      </c>
      <c r="R88" s="130">
        <f>IFERROR(__xludf.DUMMYFUNCTION("""COMPUTED_VALUE"""),0.0)</f>
        <v>0</v>
      </c>
      <c r="S88" s="130">
        <f>IFERROR(__xludf.DUMMYFUNCTION("""COMPUTED_VALUE"""),0.0)</f>
        <v>0</v>
      </c>
      <c r="T88" s="130">
        <f>IFERROR(__xludf.DUMMYFUNCTION("""COMPUTED_VALUE"""),0.0)</f>
        <v>0</v>
      </c>
      <c r="U88" s="130">
        <f>IFERROR(__xludf.DUMMYFUNCTION("""COMPUTED_VALUE"""),0.0)</f>
        <v>0</v>
      </c>
      <c r="V88" s="131">
        <f>IFERROR(__xludf.DUMMYFUNCTION("""COMPUTED_VALUE"""),0.0)</f>
        <v>0</v>
      </c>
      <c r="W88" s="131" t="str">
        <f>IFERROR(__xludf.DUMMYFUNCTION("""COMPUTED_VALUE"""),"Yes")</f>
        <v>Yes</v>
      </c>
      <c r="X88" s="131" t="str">
        <f>IFERROR(__xludf.DUMMYFUNCTION("""COMPUTED_VALUE"""),"Yes")</f>
        <v>Yes</v>
      </c>
      <c r="Y88" s="131" t="str">
        <f>IFERROR(__xludf.DUMMYFUNCTION("""COMPUTED_VALUE"""),"C")</f>
        <v>C</v>
      </c>
      <c r="Z88" s="131"/>
      <c r="AA88" s="131"/>
      <c r="AB88" s="131"/>
      <c r="AC88" s="131"/>
      <c r="AD88" s="131"/>
      <c r="AE88" s="131"/>
      <c r="AF88" s="131"/>
      <c r="AG88" s="131"/>
      <c r="AH88" s="131"/>
      <c r="AI88" s="131"/>
      <c r="AJ88" s="131"/>
    </row>
    <row r="89">
      <c r="A89" s="126">
        <f>IFERROR(__xludf.DUMMYFUNCTION("""COMPUTED_VALUE"""),233.0)</f>
        <v>233</v>
      </c>
      <c r="B89" s="126" t="str">
        <f>IFERROR(__xludf.DUMMYFUNCTION("""COMPUTED_VALUE"""),"An energy-efficient algorithm for virtual machine placement optimization in cloud data centers")</f>
        <v>An energy-efficient algorithm for virtual machine placement optimization in cloud data centers</v>
      </c>
      <c r="C89" s="127" t="str">
        <f>IFERROR(__xludf.DUMMYFUNCTION("""COMPUTED_VALUE"""),"https://link.springer.com/content/pdf/10.1007/s10586-020-03096-0.pdf")</f>
        <v>https://link.springer.com/content/pdf/10.1007/s10586-020-03096-0.pdf</v>
      </c>
      <c r="D89" s="126" t="str">
        <f>IFERROR(__xludf.DUMMYFUNCTION("""COMPUTED_VALUE"""),"S Azizi, D Li")</f>
        <v>S Azizi, D Li</v>
      </c>
      <c r="E89" s="126" t="str">
        <f>IFERROR(__xludf.DUMMYFUNCTION("""COMPUTED_VALUE"""),"Springer")</f>
        <v>Springer</v>
      </c>
      <c r="F89" s="126" t="str">
        <f>IFERROR(__xludf.DUMMYFUNCTION("""COMPUTED_VALUE"""),"Springer")</f>
        <v>Springer</v>
      </c>
      <c r="G89" s="128" t="str">
        <f>IFERROR(__xludf.DUMMYFUNCTION("""COMPUTED_VALUE"""),"J")</f>
        <v>J</v>
      </c>
      <c r="H89" s="129">
        <f>IFERROR(__xludf.DUMMYFUNCTION("""COMPUTED_VALUE"""),2020.0)</f>
        <v>2020</v>
      </c>
      <c r="I89" s="129">
        <f>IFERROR(__xludf.DUMMYFUNCTION("""COMPUTED_VALUE"""),1.0)</f>
        <v>1</v>
      </c>
      <c r="J89" s="129">
        <f>IFERROR(__xludf.DUMMYFUNCTION("""COMPUTED_VALUE"""),1.0)</f>
        <v>1</v>
      </c>
      <c r="K89" s="130">
        <f>IFERROR(__xludf.DUMMYFUNCTION("""COMPUTED_VALUE"""),1.0)</f>
        <v>1</v>
      </c>
      <c r="L89" s="130">
        <f>IFERROR(__xludf.DUMMYFUNCTION("""COMPUTED_VALUE"""),1.0)</f>
        <v>1</v>
      </c>
      <c r="M89" s="130">
        <f>IFERROR(__xludf.DUMMYFUNCTION("""COMPUTED_VALUE"""),1.0)</f>
        <v>1</v>
      </c>
      <c r="N89" s="130">
        <f>IFERROR(__xludf.DUMMYFUNCTION("""COMPUTED_VALUE"""),0.0)</f>
        <v>0</v>
      </c>
      <c r="O89" s="130">
        <f>IFERROR(__xludf.DUMMYFUNCTION("""COMPUTED_VALUE"""),0.0)</f>
        <v>0</v>
      </c>
      <c r="P89" s="129">
        <f>IFERROR(__xludf.DUMMYFUNCTION("""COMPUTED_VALUE"""),0.0)</f>
        <v>0</v>
      </c>
      <c r="Q89" s="129">
        <f>IFERROR(__xludf.DUMMYFUNCTION("""COMPUTED_VALUE"""),0.0)</f>
        <v>0</v>
      </c>
      <c r="R89" s="129">
        <f>IFERROR(__xludf.DUMMYFUNCTION("""COMPUTED_VALUE"""),0.0)</f>
        <v>0</v>
      </c>
      <c r="S89" s="129">
        <f>IFERROR(__xludf.DUMMYFUNCTION("""COMPUTED_VALUE"""),0.0)</f>
        <v>0</v>
      </c>
      <c r="T89" s="129">
        <f>IFERROR(__xludf.DUMMYFUNCTION("""COMPUTED_VALUE"""),0.0)</f>
        <v>0</v>
      </c>
      <c r="U89" s="129">
        <f>IFERROR(__xludf.DUMMYFUNCTION("""COMPUTED_VALUE"""),0.0)</f>
        <v>0</v>
      </c>
      <c r="V89" s="126">
        <f>IFERROR(__xludf.DUMMYFUNCTION("""COMPUTED_VALUE"""),0.0)</f>
        <v>0</v>
      </c>
      <c r="W89" s="126" t="str">
        <f>IFERROR(__xludf.DUMMYFUNCTION("""COMPUTED_VALUE"""),"Yes")</f>
        <v>Yes</v>
      </c>
      <c r="X89" s="126" t="str">
        <f>IFERROR(__xludf.DUMMYFUNCTION("""COMPUTED_VALUE"""),"Yes")</f>
        <v>Yes</v>
      </c>
      <c r="Y89" s="126" t="str">
        <f>IFERROR(__xludf.DUMMYFUNCTION("""COMPUTED_VALUE"""),"C")</f>
        <v>C</v>
      </c>
      <c r="Z89" s="126" t="str">
        <f>IFERROR(__xludf.DUMMYFUNCTION("""COMPUTED_VALUE"""),"efficiency algorithms")</f>
        <v>efficiency algorithms</v>
      </c>
      <c r="AA89" s="126"/>
      <c r="AB89" s="126"/>
      <c r="AC89" s="126"/>
      <c r="AD89" s="126"/>
      <c r="AE89" s="126"/>
      <c r="AF89" s="126"/>
      <c r="AG89" s="126"/>
      <c r="AH89" s="126"/>
      <c r="AI89" s="126"/>
      <c r="AJ89" s="126"/>
    </row>
    <row r="90">
      <c r="A90" s="126">
        <f>IFERROR(__xludf.DUMMYFUNCTION("""COMPUTED_VALUE"""),235.0)</f>
        <v>235</v>
      </c>
      <c r="B90" s="126" t="str">
        <f>IFERROR(__xludf.DUMMYFUNCTION("""COMPUTED_VALUE"""),"DQN-based energy-efficient routing algorithm in software-defined data centers")</f>
        <v>DQN-based energy-efficient routing algorithm in software-defined data centers</v>
      </c>
      <c r="C90" s="127" t="str">
        <f>IFERROR(__xludf.DUMMYFUNCTION("""COMPUTED_VALUE"""),"https://journals.sagepub.com/doi/abs/10.1177/1550147720935775")</f>
        <v>https://journals.sagepub.com/doi/abs/10.1177/1550147720935775</v>
      </c>
      <c r="D90" s="126" t="str">
        <f>IFERROR(__xludf.DUMMYFUNCTION("""COMPUTED_VALUE"""),"Z Yao, Y Wang, X Qiu")</f>
        <v>Z Yao, Y Wang, X Qiu</v>
      </c>
      <c r="E90" s="126" t="str">
        <f>IFERROR(__xludf.DUMMYFUNCTION("""COMPUTED_VALUE"""),"International Journal of Distributed Sensor Networks")</f>
        <v>International Journal of Distributed Sensor Networks</v>
      </c>
      <c r="F90" s="127" t="str">
        <f>IFERROR(__xludf.DUMMYFUNCTION("""COMPUTED_VALUE"""),"journals.sagepub.com")</f>
        <v>journals.sagepub.com</v>
      </c>
      <c r="G90" s="128" t="str">
        <f>IFERROR(__xludf.DUMMYFUNCTION("""COMPUTED_VALUE"""),"J")</f>
        <v>J</v>
      </c>
      <c r="H90" s="129">
        <f>IFERROR(__xludf.DUMMYFUNCTION("""COMPUTED_VALUE"""),2020.0)</f>
        <v>2020</v>
      </c>
      <c r="I90" s="129">
        <f>IFERROR(__xludf.DUMMYFUNCTION("""COMPUTED_VALUE"""),1.0)</f>
        <v>1</v>
      </c>
      <c r="J90" s="129">
        <f>IFERROR(__xludf.DUMMYFUNCTION("""COMPUTED_VALUE"""),1.0)</f>
        <v>1</v>
      </c>
      <c r="K90" s="130">
        <f>IFERROR(__xludf.DUMMYFUNCTION("""COMPUTED_VALUE"""),1.0)</f>
        <v>1</v>
      </c>
      <c r="L90" s="130">
        <f>IFERROR(__xludf.DUMMYFUNCTION("""COMPUTED_VALUE"""),1.0)</f>
        <v>1</v>
      </c>
      <c r="M90" s="130">
        <f>IFERROR(__xludf.DUMMYFUNCTION("""COMPUTED_VALUE"""),1.0)</f>
        <v>1</v>
      </c>
      <c r="N90" s="130">
        <f>IFERROR(__xludf.DUMMYFUNCTION("""COMPUTED_VALUE"""),0.0)</f>
        <v>0</v>
      </c>
      <c r="O90" s="130">
        <f>IFERROR(__xludf.DUMMYFUNCTION("""COMPUTED_VALUE"""),0.0)</f>
        <v>0</v>
      </c>
      <c r="P90" s="129">
        <f>IFERROR(__xludf.DUMMYFUNCTION("""COMPUTED_VALUE"""),0.0)</f>
        <v>0</v>
      </c>
      <c r="Q90" s="129">
        <f>IFERROR(__xludf.DUMMYFUNCTION("""COMPUTED_VALUE"""),0.0)</f>
        <v>0</v>
      </c>
      <c r="R90" s="129">
        <f>IFERROR(__xludf.DUMMYFUNCTION("""COMPUTED_VALUE"""),0.0)</f>
        <v>0</v>
      </c>
      <c r="S90" s="129">
        <f>IFERROR(__xludf.DUMMYFUNCTION("""COMPUTED_VALUE"""),0.0)</f>
        <v>0</v>
      </c>
      <c r="T90" s="129">
        <f>IFERROR(__xludf.DUMMYFUNCTION("""COMPUTED_VALUE"""),0.0)</f>
        <v>0</v>
      </c>
      <c r="U90" s="129">
        <f>IFERROR(__xludf.DUMMYFUNCTION("""COMPUTED_VALUE"""),0.0)</f>
        <v>0</v>
      </c>
      <c r="V90" s="126">
        <f>IFERROR(__xludf.DUMMYFUNCTION("""COMPUTED_VALUE"""),0.0)</f>
        <v>0</v>
      </c>
      <c r="W90" s="126" t="str">
        <f>IFERROR(__xludf.DUMMYFUNCTION("""COMPUTED_VALUE"""),"Yes")</f>
        <v>Yes</v>
      </c>
      <c r="X90" s="126" t="str">
        <f>IFERROR(__xludf.DUMMYFUNCTION("""COMPUTED_VALUE"""),"Yes")</f>
        <v>Yes</v>
      </c>
      <c r="Y90" s="126" t="str">
        <f>IFERROR(__xludf.DUMMYFUNCTION("""COMPUTED_VALUE"""),"C")</f>
        <v>C</v>
      </c>
      <c r="Z90" s="126" t="str">
        <f>IFERROR(__xludf.DUMMYFUNCTION("""COMPUTED_VALUE"""),"networking algorithms")</f>
        <v>networking algorithms</v>
      </c>
      <c r="AA90" s="126"/>
      <c r="AB90" s="126"/>
      <c r="AC90" s="126"/>
      <c r="AD90" s="126"/>
      <c r="AE90" s="126"/>
      <c r="AF90" s="126"/>
      <c r="AG90" s="126"/>
      <c r="AH90" s="126"/>
      <c r="AI90" s="126"/>
      <c r="AJ90" s="126"/>
    </row>
    <row r="91">
      <c r="A91" s="126">
        <f>IFERROR(__xludf.DUMMYFUNCTION("""COMPUTED_VALUE"""),239.0)</f>
        <v>239</v>
      </c>
      <c r="B91" s="126" t="str">
        <f>IFERROR(__xludf.DUMMYFUNCTION("""COMPUTED_VALUE"""),"Optimized Energy Cost and Carbon Emission-Aware Virtual Machine Allocation in Sustainable Data Centers")</f>
        <v>Optimized Energy Cost and Carbon Emission-Aware Virtual Machine Allocation in Sustainable Data Centers</v>
      </c>
      <c r="C91" s="127" t="str">
        <f>IFERROR(__xludf.DUMMYFUNCTION("""COMPUTED_VALUE"""),"https://www.mdpi.com/2071-1050/12/16/6383")</f>
        <v>https://www.mdpi.com/2071-1050/12/16/6383</v>
      </c>
      <c r="D91" s="126" t="str">
        <f>IFERROR(__xludf.DUMMYFUNCTION("""COMPUTED_VALUE"""),"T Renugadevi, K Geetha, K Muthukumar, ZW Geem")</f>
        <v>T Renugadevi, K Geetha, K Muthukumar, ZW Geem</v>
      </c>
      <c r="E91" s="126" t="str">
        <f>IFERROR(__xludf.DUMMYFUNCTION("""COMPUTED_VALUE"""),"Multidisciplinary Digital Publishing Institute")</f>
        <v>Multidisciplinary Digital Publishing Institute</v>
      </c>
      <c r="F91" s="126" t="str">
        <f>IFERROR(__xludf.DUMMYFUNCTION("""COMPUTED_VALUE"""),"MDPI")</f>
        <v>MDPI</v>
      </c>
      <c r="G91" s="128" t="str">
        <f>IFERROR(__xludf.DUMMYFUNCTION("""COMPUTED_VALUE"""),"J")</f>
        <v>J</v>
      </c>
      <c r="H91" s="130">
        <f>IFERROR(__xludf.DUMMYFUNCTION("""COMPUTED_VALUE"""),2020.0)</f>
        <v>2020</v>
      </c>
      <c r="I91" s="130">
        <f>IFERROR(__xludf.DUMMYFUNCTION("""COMPUTED_VALUE"""),1.0)</f>
        <v>1</v>
      </c>
      <c r="J91" s="130">
        <f>IFERROR(__xludf.DUMMYFUNCTION("""COMPUTED_VALUE"""),1.0)</f>
        <v>1</v>
      </c>
      <c r="K91" s="129">
        <f>IFERROR(__xludf.DUMMYFUNCTION("""COMPUTED_VALUE"""),1.0)</f>
        <v>1</v>
      </c>
      <c r="L91" s="129">
        <f>IFERROR(__xludf.DUMMYFUNCTION("""COMPUTED_VALUE"""),1.0)</f>
        <v>1</v>
      </c>
      <c r="M91" s="130">
        <f>IFERROR(__xludf.DUMMYFUNCTION("""COMPUTED_VALUE"""),1.0)</f>
        <v>1</v>
      </c>
      <c r="N91" s="130">
        <f>IFERROR(__xludf.DUMMYFUNCTION("""COMPUTED_VALUE"""),0.0)</f>
        <v>0</v>
      </c>
      <c r="O91" s="130">
        <f>IFERROR(__xludf.DUMMYFUNCTION("""COMPUTED_VALUE"""),0.0)</f>
        <v>0</v>
      </c>
      <c r="P91" s="130">
        <f>IFERROR(__xludf.DUMMYFUNCTION("""COMPUTED_VALUE"""),0.0)</f>
        <v>0</v>
      </c>
      <c r="Q91" s="130">
        <f>IFERROR(__xludf.DUMMYFUNCTION("""COMPUTED_VALUE"""),0.0)</f>
        <v>0</v>
      </c>
      <c r="R91" s="130">
        <f>IFERROR(__xludf.DUMMYFUNCTION("""COMPUTED_VALUE"""),0.0)</f>
        <v>0</v>
      </c>
      <c r="S91" s="130">
        <f>IFERROR(__xludf.DUMMYFUNCTION("""COMPUTED_VALUE"""),0.0)</f>
        <v>0</v>
      </c>
      <c r="T91" s="130">
        <f>IFERROR(__xludf.DUMMYFUNCTION("""COMPUTED_VALUE"""),0.0)</f>
        <v>0</v>
      </c>
      <c r="U91" s="130">
        <f>IFERROR(__xludf.DUMMYFUNCTION("""COMPUTED_VALUE"""),0.0)</f>
        <v>0</v>
      </c>
      <c r="V91" s="131">
        <f>IFERROR(__xludf.DUMMYFUNCTION("""COMPUTED_VALUE"""),0.0)</f>
        <v>0</v>
      </c>
      <c r="W91" s="131" t="str">
        <f>IFERROR(__xludf.DUMMYFUNCTION("""COMPUTED_VALUE"""),"Yes")</f>
        <v>Yes</v>
      </c>
      <c r="X91" s="131" t="str">
        <f>IFERROR(__xludf.DUMMYFUNCTION("""COMPUTED_VALUE"""),"Yes")</f>
        <v>Yes</v>
      </c>
      <c r="Y91" s="131" t="str">
        <f>IFERROR(__xludf.DUMMYFUNCTION("""COMPUTED_VALUE"""),"C")</f>
        <v>C</v>
      </c>
      <c r="Z91" s="131" t="str">
        <f>IFERROR(__xludf.DUMMYFUNCTION("""COMPUTED_VALUE"""),"RE aware vm placement")</f>
        <v>RE aware vm placement</v>
      </c>
      <c r="AA91" s="131"/>
      <c r="AB91" s="131"/>
      <c r="AC91" s="131"/>
      <c r="AD91" s="131"/>
      <c r="AE91" s="131"/>
      <c r="AF91" s="131"/>
      <c r="AG91" s="131"/>
      <c r="AH91" s="131"/>
      <c r="AI91" s="131"/>
      <c r="AJ91" s="131"/>
    </row>
    <row r="92">
      <c r="A92" s="126">
        <f>IFERROR(__xludf.DUMMYFUNCTION("""COMPUTED_VALUE"""),241.0)</f>
        <v>241</v>
      </c>
      <c r="B92" s="126" t="str">
        <f>IFERROR(__xludf.DUMMYFUNCTION("""COMPUTED_VALUE"""),"Joint server and network energy saving in data centers for latency-sensitive applications")</f>
        <v>Joint server and network energy saving in data centers for latency-sensitive applications</v>
      </c>
      <c r="C92" s="127" t="str">
        <f>IFERROR(__xludf.DUMMYFUNCTION("""COMPUTED_VALUE"""),"https://ieeexplore.ieee.org/abstract/document/8425223/")</f>
        <v>https://ieeexplore.ieee.org/abstract/document/8425223/</v>
      </c>
      <c r="D92" s="126" t="str">
        <f>IFERROR(__xludf.DUMMYFUNCTION("""COMPUTED_VALUE"""),"L Zhou, CH Chou, LN Bhuyan…")</f>
        <v>L Zhou, CH Chou, LN Bhuyan…</v>
      </c>
      <c r="E92" s="126" t="str">
        <f>IFERROR(__xludf.DUMMYFUNCTION("""COMPUTED_VALUE"""),"Institute of Electrical and Electronics Engineers")</f>
        <v>Institute of Electrical and Electronics Engineers</v>
      </c>
      <c r="F92" s="126" t="str">
        <f>IFERROR(__xludf.DUMMYFUNCTION("""COMPUTED_VALUE"""),"IEEE Xplore")</f>
        <v>IEEE Xplore</v>
      </c>
      <c r="G92" s="128"/>
      <c r="H92" s="130">
        <f>IFERROR(__xludf.DUMMYFUNCTION("""COMPUTED_VALUE"""),2018.0)</f>
        <v>2018</v>
      </c>
      <c r="I92" s="129">
        <f>IFERROR(__xludf.DUMMYFUNCTION("""COMPUTED_VALUE"""),1.0)</f>
        <v>1</v>
      </c>
      <c r="J92" s="129">
        <f>IFERROR(__xludf.DUMMYFUNCTION("""COMPUTED_VALUE"""),1.0)</f>
        <v>1</v>
      </c>
      <c r="K92" s="130">
        <f>IFERROR(__xludf.DUMMYFUNCTION("""COMPUTED_VALUE"""),1.0)</f>
        <v>1</v>
      </c>
      <c r="L92" s="130">
        <f>IFERROR(__xludf.DUMMYFUNCTION("""COMPUTED_VALUE"""),1.0)</f>
        <v>1</v>
      </c>
      <c r="M92" s="130">
        <f>IFERROR(__xludf.DUMMYFUNCTION("""COMPUTED_VALUE"""),1.0)</f>
        <v>1</v>
      </c>
      <c r="N92" s="130">
        <f>IFERROR(__xludf.DUMMYFUNCTION("""COMPUTED_VALUE"""),0.0)</f>
        <v>0</v>
      </c>
      <c r="O92" s="130">
        <f>IFERROR(__xludf.DUMMYFUNCTION("""COMPUTED_VALUE"""),0.0)</f>
        <v>0</v>
      </c>
      <c r="P92" s="130">
        <f>IFERROR(__xludf.DUMMYFUNCTION("""COMPUTED_VALUE"""),0.0)</f>
        <v>0</v>
      </c>
      <c r="Q92" s="130">
        <f>IFERROR(__xludf.DUMMYFUNCTION("""COMPUTED_VALUE"""),0.0)</f>
        <v>0</v>
      </c>
      <c r="R92" s="130">
        <f>IFERROR(__xludf.DUMMYFUNCTION("""COMPUTED_VALUE"""),0.0)</f>
        <v>0</v>
      </c>
      <c r="S92" s="130">
        <f>IFERROR(__xludf.DUMMYFUNCTION("""COMPUTED_VALUE"""),0.0)</f>
        <v>0</v>
      </c>
      <c r="T92" s="130">
        <f>IFERROR(__xludf.DUMMYFUNCTION("""COMPUTED_VALUE"""),0.0)</f>
        <v>0</v>
      </c>
      <c r="U92" s="130">
        <f>IFERROR(__xludf.DUMMYFUNCTION("""COMPUTED_VALUE"""),0.0)</f>
        <v>0</v>
      </c>
      <c r="V92" s="131">
        <f>IFERROR(__xludf.DUMMYFUNCTION("""COMPUTED_VALUE"""),0.0)</f>
        <v>0</v>
      </c>
      <c r="W92" s="131" t="str">
        <f>IFERROR(__xludf.DUMMYFUNCTION("""COMPUTED_VALUE"""),"Yes")</f>
        <v>Yes</v>
      </c>
      <c r="X92" s="131" t="str">
        <f>IFERROR(__xludf.DUMMYFUNCTION("""COMPUTED_VALUE"""),"Yes")</f>
        <v>Yes</v>
      </c>
      <c r="Y92" s="131" t="str">
        <f>IFERROR(__xludf.DUMMYFUNCTION("""COMPUTED_VALUE"""),"C")</f>
        <v>C</v>
      </c>
      <c r="Z92" s="131" t="str">
        <f>IFERROR(__xludf.DUMMYFUNCTION("""COMPUTED_VALUE"""),"networking optimization algorithms")</f>
        <v>networking optimization algorithms</v>
      </c>
      <c r="AA92" s="131"/>
      <c r="AB92" s="131"/>
      <c r="AC92" s="131"/>
      <c r="AD92" s="131"/>
      <c r="AE92" s="131"/>
      <c r="AF92" s="131"/>
      <c r="AG92" s="131"/>
      <c r="AH92" s="131"/>
      <c r="AI92" s="131"/>
      <c r="AJ92" s="131"/>
    </row>
    <row r="93">
      <c r="A93" s="126">
        <f>IFERROR(__xludf.DUMMYFUNCTION("""COMPUTED_VALUE"""),248.0)</f>
        <v>248</v>
      </c>
      <c r="B93" s="126" t="str">
        <f>IFERROR(__xludf.DUMMYFUNCTION("""COMPUTED_VALUE"""),"Erlang Based Server Selection Scheme Using Software Defined Networking in Datacenter for Energy Conservation")</f>
        <v>Erlang Based Server Selection Scheme Using Software Defined Networking in Datacenter for Energy Conservation</v>
      </c>
      <c r="C93" s="127" t="str">
        <f>IFERROR(__xludf.DUMMYFUNCTION("""COMPUTED_VALUE"""),"https://ieeexplore.ieee.org/abstract/document/8991670/")</f>
        <v>https://ieeexplore.ieee.org/abstract/document/8991670/</v>
      </c>
      <c r="D93" s="126" t="str">
        <f>IFERROR(__xludf.DUMMYFUNCTION("""COMPUTED_VALUE"""),"A Husen, I Raza, SA Hussain")</f>
        <v>A Husen, I Raza, SA Hussain</v>
      </c>
      <c r="E93" s="126" t="str">
        <f>IFERROR(__xludf.DUMMYFUNCTION("""COMPUTED_VALUE"""),"Institute of Electrical and Electronics Engineers")</f>
        <v>Institute of Electrical and Electronics Engineers</v>
      </c>
      <c r="F93" s="126" t="str">
        <f>IFERROR(__xludf.DUMMYFUNCTION("""COMPUTED_VALUE"""),"IEEE Xplore")</f>
        <v>IEEE Xplore</v>
      </c>
      <c r="G93" s="132"/>
      <c r="H93" s="129">
        <f>IFERROR(__xludf.DUMMYFUNCTION("""COMPUTED_VALUE"""),2019.0)</f>
        <v>2019</v>
      </c>
      <c r="I93" s="129">
        <f>IFERROR(__xludf.DUMMYFUNCTION("""COMPUTED_VALUE"""),1.0)</f>
        <v>1</v>
      </c>
      <c r="J93" s="129">
        <f>IFERROR(__xludf.DUMMYFUNCTION("""COMPUTED_VALUE"""),1.0)</f>
        <v>1</v>
      </c>
      <c r="K93" s="130">
        <f>IFERROR(__xludf.DUMMYFUNCTION("""COMPUTED_VALUE"""),1.0)</f>
        <v>1</v>
      </c>
      <c r="L93" s="130">
        <f>IFERROR(__xludf.DUMMYFUNCTION("""COMPUTED_VALUE"""),1.0)</f>
        <v>1</v>
      </c>
      <c r="M93" s="130">
        <f>IFERROR(__xludf.DUMMYFUNCTION("""COMPUTED_VALUE"""),1.0)</f>
        <v>1</v>
      </c>
      <c r="N93" s="130">
        <f>IFERROR(__xludf.DUMMYFUNCTION("""COMPUTED_VALUE"""),0.0)</f>
        <v>0</v>
      </c>
      <c r="O93" s="130">
        <f>IFERROR(__xludf.DUMMYFUNCTION("""COMPUTED_VALUE"""),0.0)</f>
        <v>0</v>
      </c>
      <c r="P93" s="129">
        <f>IFERROR(__xludf.DUMMYFUNCTION("""COMPUTED_VALUE"""),0.0)</f>
        <v>0</v>
      </c>
      <c r="Q93" s="129">
        <f>IFERROR(__xludf.DUMMYFUNCTION("""COMPUTED_VALUE"""),0.0)</f>
        <v>0</v>
      </c>
      <c r="R93" s="129">
        <f>IFERROR(__xludf.DUMMYFUNCTION("""COMPUTED_VALUE"""),0.0)</f>
        <v>0</v>
      </c>
      <c r="S93" s="129">
        <f>IFERROR(__xludf.DUMMYFUNCTION("""COMPUTED_VALUE"""),0.0)</f>
        <v>0</v>
      </c>
      <c r="T93" s="129">
        <f>IFERROR(__xludf.DUMMYFUNCTION("""COMPUTED_VALUE"""),0.0)</f>
        <v>0</v>
      </c>
      <c r="U93" s="129">
        <f>IFERROR(__xludf.DUMMYFUNCTION("""COMPUTED_VALUE"""),0.0)</f>
        <v>0</v>
      </c>
      <c r="V93" s="126">
        <f>IFERROR(__xludf.DUMMYFUNCTION("""COMPUTED_VALUE"""),0.0)</f>
        <v>0</v>
      </c>
      <c r="W93" s="126" t="str">
        <f>IFERROR(__xludf.DUMMYFUNCTION("""COMPUTED_VALUE"""),"Yes")</f>
        <v>Yes</v>
      </c>
      <c r="X93" s="126" t="str">
        <f>IFERROR(__xludf.DUMMYFUNCTION("""COMPUTED_VALUE"""),"Yes")</f>
        <v>Yes</v>
      </c>
      <c r="Y93" s="126" t="str">
        <f>IFERROR(__xludf.DUMMYFUNCTION("""COMPUTED_VALUE"""),"C")</f>
        <v>C</v>
      </c>
      <c r="Z93" s="126" t="str">
        <f>IFERROR(__xludf.DUMMYFUNCTION("""COMPUTED_VALUE"""),"server selection through networking")</f>
        <v>server selection through networking</v>
      </c>
      <c r="AA93" s="126"/>
      <c r="AB93" s="126"/>
      <c r="AC93" s="126"/>
      <c r="AD93" s="126"/>
      <c r="AE93" s="126"/>
      <c r="AF93" s="126"/>
      <c r="AG93" s="126"/>
      <c r="AH93" s="126"/>
      <c r="AI93" s="126"/>
      <c r="AJ93" s="126"/>
    </row>
    <row r="94">
      <c r="A94" s="126">
        <f>IFERROR(__xludf.DUMMYFUNCTION("""COMPUTED_VALUE"""),260.0)</f>
        <v>260</v>
      </c>
      <c r="B94" s="126" t="str">
        <f>IFERROR(__xludf.DUMMYFUNCTION("""COMPUTED_VALUE"""),"Energy-and locality-efficient multi-job scheduling based on MapReduce for heterogeneous datacenter")</f>
        <v>Energy-and locality-efficient multi-job scheduling based on MapReduce for heterogeneous datacenter</v>
      </c>
      <c r="C94" s="127" t="str">
        <f>IFERROR(__xludf.DUMMYFUNCTION("""COMPUTED_VALUE"""),"https://link.springer.com/article/10.1007/s11761-019-00273-x")</f>
        <v>https://link.springer.com/article/10.1007/s11761-019-00273-x</v>
      </c>
      <c r="D94" s="126" t="str">
        <f>IFERROR(__xludf.DUMMYFUNCTION("""COMPUTED_VALUE"""),"L Chen, ZH Liu")</f>
        <v>L Chen, ZH Liu</v>
      </c>
      <c r="E94" s="126" t="str">
        <f>IFERROR(__xludf.DUMMYFUNCTION("""COMPUTED_VALUE"""),"Springer")</f>
        <v>Springer</v>
      </c>
      <c r="F94" s="126" t="str">
        <f>IFERROR(__xludf.DUMMYFUNCTION("""COMPUTED_VALUE"""),"Springer")</f>
        <v>Springer</v>
      </c>
      <c r="G94" s="128" t="str">
        <f>IFERROR(__xludf.DUMMYFUNCTION("""COMPUTED_VALUE"""),"J")</f>
        <v>J</v>
      </c>
      <c r="H94" s="130">
        <f>IFERROR(__xludf.DUMMYFUNCTION("""COMPUTED_VALUE"""),2019.0)</f>
        <v>2019</v>
      </c>
      <c r="I94" s="129">
        <f>IFERROR(__xludf.DUMMYFUNCTION("""COMPUTED_VALUE"""),1.0)</f>
        <v>1</v>
      </c>
      <c r="J94" s="130">
        <f>IFERROR(__xludf.DUMMYFUNCTION("""COMPUTED_VALUE"""),1.0)</f>
        <v>1</v>
      </c>
      <c r="K94" s="130">
        <f>IFERROR(__xludf.DUMMYFUNCTION("""COMPUTED_VALUE"""),1.0)</f>
        <v>1</v>
      </c>
      <c r="L94" s="130">
        <f>IFERROR(__xludf.DUMMYFUNCTION("""COMPUTED_VALUE"""),1.0)</f>
        <v>1</v>
      </c>
      <c r="M94" s="130">
        <f>IFERROR(__xludf.DUMMYFUNCTION("""COMPUTED_VALUE"""),1.0)</f>
        <v>1</v>
      </c>
      <c r="N94" s="130">
        <f>IFERROR(__xludf.DUMMYFUNCTION("""COMPUTED_VALUE"""),0.0)</f>
        <v>0</v>
      </c>
      <c r="O94" s="130">
        <f>IFERROR(__xludf.DUMMYFUNCTION("""COMPUTED_VALUE"""),0.0)</f>
        <v>0</v>
      </c>
      <c r="P94" s="130">
        <f>IFERROR(__xludf.DUMMYFUNCTION("""COMPUTED_VALUE"""),0.0)</f>
        <v>0</v>
      </c>
      <c r="Q94" s="130">
        <f>IFERROR(__xludf.DUMMYFUNCTION("""COMPUTED_VALUE"""),0.0)</f>
        <v>0</v>
      </c>
      <c r="R94" s="130">
        <f>IFERROR(__xludf.DUMMYFUNCTION("""COMPUTED_VALUE"""),0.0)</f>
        <v>0</v>
      </c>
      <c r="S94" s="130">
        <f>IFERROR(__xludf.DUMMYFUNCTION("""COMPUTED_VALUE"""),0.0)</f>
        <v>0</v>
      </c>
      <c r="T94" s="130">
        <f>IFERROR(__xludf.DUMMYFUNCTION("""COMPUTED_VALUE"""),0.0)</f>
        <v>0</v>
      </c>
      <c r="U94" s="130">
        <f>IFERROR(__xludf.DUMMYFUNCTION("""COMPUTED_VALUE"""),0.0)</f>
        <v>0</v>
      </c>
      <c r="V94" s="131">
        <f>IFERROR(__xludf.DUMMYFUNCTION("""COMPUTED_VALUE"""),0.0)</f>
        <v>0</v>
      </c>
      <c r="W94" s="131" t="str">
        <f>IFERROR(__xludf.DUMMYFUNCTION("""COMPUTED_VALUE"""),"Yes")</f>
        <v>Yes</v>
      </c>
      <c r="X94" s="131" t="str">
        <f>IFERROR(__xludf.DUMMYFUNCTION("""COMPUTED_VALUE"""),"Yes")</f>
        <v>Yes</v>
      </c>
      <c r="Y94" s="131" t="str">
        <f>IFERROR(__xludf.DUMMYFUNCTION("""COMPUTED_VALUE"""),"C")</f>
        <v>C</v>
      </c>
      <c r="Z94" s="131" t="str">
        <f>IFERROR(__xludf.DUMMYFUNCTION("""COMPUTED_VALUE"""),"job scheduling")</f>
        <v>job scheduling</v>
      </c>
      <c r="AA94" s="131"/>
      <c r="AB94" s="131"/>
      <c r="AC94" s="131"/>
      <c r="AD94" s="131"/>
      <c r="AE94" s="131"/>
      <c r="AF94" s="131"/>
      <c r="AG94" s="131"/>
      <c r="AH94" s="131"/>
      <c r="AI94" s="131"/>
      <c r="AJ94" s="131"/>
    </row>
    <row r="95">
      <c r="A95" s="126">
        <f>IFERROR(__xludf.DUMMYFUNCTION("""COMPUTED_VALUE"""),261.0)</f>
        <v>261</v>
      </c>
      <c r="B95" s="126" t="str">
        <f>IFERROR(__xludf.DUMMYFUNCTION("""COMPUTED_VALUE"""),"Magnetic: Multi-agent machine learning-based approach for energy efficient dynamic consolidation in data centers")</f>
        <v>Magnetic: Multi-agent machine learning-based approach for energy efficient dynamic consolidation in data centers</v>
      </c>
      <c r="C95" s="127" t="str">
        <f>IFERROR(__xludf.DUMMYFUNCTION("""COMPUTED_VALUE"""),"https://ieeexplore.ieee.org/abstract/document/8727486/")</f>
        <v>https://ieeexplore.ieee.org/abstract/document/8727486/</v>
      </c>
      <c r="D95" s="126" t="str">
        <f>IFERROR(__xludf.DUMMYFUNCTION("""COMPUTED_VALUE"""),"K Haghshenas, A Pahlevan, M Zapater…")</f>
        <v>K Haghshenas, A Pahlevan, M Zapater…</v>
      </c>
      <c r="E95" s="126" t="str">
        <f>IFERROR(__xludf.DUMMYFUNCTION("""COMPUTED_VALUE"""),"Institute of Electrical and Electronics Engineers")</f>
        <v>Institute of Electrical and Electronics Engineers</v>
      </c>
      <c r="F95" s="126" t="str">
        <f>IFERROR(__xludf.DUMMYFUNCTION("""COMPUTED_VALUE"""),"IEEE Xplore")</f>
        <v>IEEE Xplore</v>
      </c>
      <c r="G95" s="128" t="str">
        <f>IFERROR(__xludf.DUMMYFUNCTION("""COMPUTED_VALUE"""),"J")</f>
        <v>J</v>
      </c>
      <c r="H95" s="129">
        <f>IFERROR(__xludf.DUMMYFUNCTION("""COMPUTED_VALUE"""),2019.0)</f>
        <v>2019</v>
      </c>
      <c r="I95" s="129">
        <f>IFERROR(__xludf.DUMMYFUNCTION("""COMPUTED_VALUE"""),1.0)</f>
        <v>1</v>
      </c>
      <c r="J95" s="129">
        <f>IFERROR(__xludf.DUMMYFUNCTION("""COMPUTED_VALUE"""),1.0)</f>
        <v>1</v>
      </c>
      <c r="K95" s="129">
        <f>IFERROR(__xludf.DUMMYFUNCTION("""COMPUTED_VALUE"""),1.0)</f>
        <v>1</v>
      </c>
      <c r="L95" s="130">
        <f>IFERROR(__xludf.DUMMYFUNCTION("""COMPUTED_VALUE"""),1.0)</f>
        <v>1</v>
      </c>
      <c r="M95" s="130">
        <f>IFERROR(__xludf.DUMMYFUNCTION("""COMPUTED_VALUE"""),1.0)</f>
        <v>1</v>
      </c>
      <c r="N95" s="130">
        <f>IFERROR(__xludf.DUMMYFUNCTION("""COMPUTED_VALUE"""),0.0)</f>
        <v>0</v>
      </c>
      <c r="O95" s="130">
        <f>IFERROR(__xludf.DUMMYFUNCTION("""COMPUTED_VALUE"""),0.0)</f>
        <v>0</v>
      </c>
      <c r="P95" s="129">
        <f>IFERROR(__xludf.DUMMYFUNCTION("""COMPUTED_VALUE"""),0.0)</f>
        <v>0</v>
      </c>
      <c r="Q95" s="129">
        <f>IFERROR(__xludf.DUMMYFUNCTION("""COMPUTED_VALUE"""),0.0)</f>
        <v>0</v>
      </c>
      <c r="R95" s="129">
        <f>IFERROR(__xludf.DUMMYFUNCTION("""COMPUTED_VALUE"""),0.0)</f>
        <v>0</v>
      </c>
      <c r="S95" s="129">
        <f>IFERROR(__xludf.DUMMYFUNCTION("""COMPUTED_VALUE"""),0.0)</f>
        <v>0</v>
      </c>
      <c r="T95" s="129">
        <f>IFERROR(__xludf.DUMMYFUNCTION("""COMPUTED_VALUE"""),0.0)</f>
        <v>0</v>
      </c>
      <c r="U95" s="129">
        <f>IFERROR(__xludf.DUMMYFUNCTION("""COMPUTED_VALUE"""),0.0)</f>
        <v>0</v>
      </c>
      <c r="V95" s="126">
        <f>IFERROR(__xludf.DUMMYFUNCTION("""COMPUTED_VALUE"""),0.0)</f>
        <v>0</v>
      </c>
      <c r="W95" s="126" t="str">
        <f>IFERROR(__xludf.DUMMYFUNCTION("""COMPUTED_VALUE"""),"Yes")</f>
        <v>Yes</v>
      </c>
      <c r="X95" s="126" t="str">
        <f>IFERROR(__xludf.DUMMYFUNCTION("""COMPUTED_VALUE"""),"Yes")</f>
        <v>Yes</v>
      </c>
      <c r="Y95" s="126" t="str">
        <f>IFERROR(__xludf.DUMMYFUNCTION("""COMPUTED_VALUE"""),"C")</f>
        <v>C</v>
      </c>
      <c r="Z95" s="126" t="str">
        <f>IFERROR(__xludf.DUMMYFUNCTION("""COMPUTED_VALUE"""),"VM consolidation by ML")</f>
        <v>VM consolidation by ML</v>
      </c>
      <c r="AA95" s="126"/>
      <c r="AB95" s="126"/>
      <c r="AC95" s="126"/>
      <c r="AD95" s="126"/>
      <c r="AE95" s="126"/>
      <c r="AF95" s="126"/>
      <c r="AG95" s="126"/>
      <c r="AH95" s="126"/>
      <c r="AI95" s="126"/>
      <c r="AJ95" s="126"/>
    </row>
    <row r="96">
      <c r="A96" s="126">
        <f>IFERROR(__xludf.DUMMYFUNCTION("""COMPUTED_VALUE"""),266.0)</f>
        <v>266</v>
      </c>
      <c r="B96" s="126" t="str">
        <f>IFERROR(__xludf.DUMMYFUNCTION("""COMPUTED_VALUE"""),"An energy-efficient VM placement method for cloud data centers using a hybrid genetic algorithm")</f>
        <v>An energy-efficient VM placement method for cloud data centers using a hybrid genetic algorithm</v>
      </c>
      <c r="C96" s="127" t="str">
        <f>IFERROR(__xludf.DUMMYFUNCTION("""COMPUTED_VALUE"""),"https://www.emerald.com/insight/content/doi/10.1108/JSIT-10-2017-0089/full/html")</f>
        <v>https://www.emerald.com/insight/content/doi/10.1108/JSIT-10-2017-0089/full/html</v>
      </c>
      <c r="D96" s="126" t="str">
        <f>IFERROR(__xludf.DUMMYFUNCTION("""COMPUTED_VALUE"""),"MA Kaaouache, S Bouamama")</f>
        <v>MA Kaaouache, S Bouamama</v>
      </c>
      <c r="E96" s="126" t="str">
        <f>IFERROR(__xludf.DUMMYFUNCTION("""COMPUTED_VALUE"""),"Journal of Systems and Information Technology")</f>
        <v>Journal of Systems and Information Technology</v>
      </c>
      <c r="F96" s="126" t="str">
        <f>IFERROR(__xludf.DUMMYFUNCTION("""COMPUTED_VALUE"""),"JSIT")</f>
        <v>JSIT</v>
      </c>
      <c r="G96" s="128" t="str">
        <f>IFERROR(__xludf.DUMMYFUNCTION("""COMPUTED_VALUE"""),"J")</f>
        <v>J</v>
      </c>
      <c r="H96" s="129">
        <f>IFERROR(__xludf.DUMMYFUNCTION("""COMPUTED_VALUE"""),2018.0)</f>
        <v>2018</v>
      </c>
      <c r="I96" s="129">
        <f>IFERROR(__xludf.DUMMYFUNCTION("""COMPUTED_VALUE"""),1.0)</f>
        <v>1</v>
      </c>
      <c r="J96" s="129">
        <f>IFERROR(__xludf.DUMMYFUNCTION("""COMPUTED_VALUE"""),1.0)</f>
        <v>1</v>
      </c>
      <c r="K96" s="130">
        <f>IFERROR(__xludf.DUMMYFUNCTION("""COMPUTED_VALUE"""),1.0)</f>
        <v>1</v>
      </c>
      <c r="L96" s="130">
        <f>IFERROR(__xludf.DUMMYFUNCTION("""COMPUTED_VALUE"""),1.0)</f>
        <v>1</v>
      </c>
      <c r="M96" s="130">
        <f>IFERROR(__xludf.DUMMYFUNCTION("""COMPUTED_VALUE"""),1.0)</f>
        <v>1</v>
      </c>
      <c r="N96" s="130">
        <f>IFERROR(__xludf.DUMMYFUNCTION("""COMPUTED_VALUE"""),0.0)</f>
        <v>0</v>
      </c>
      <c r="O96" s="130">
        <f>IFERROR(__xludf.DUMMYFUNCTION("""COMPUTED_VALUE"""),0.0)</f>
        <v>0</v>
      </c>
      <c r="P96" s="129">
        <f>IFERROR(__xludf.DUMMYFUNCTION("""COMPUTED_VALUE"""),0.0)</f>
        <v>0</v>
      </c>
      <c r="Q96" s="129">
        <f>IFERROR(__xludf.DUMMYFUNCTION("""COMPUTED_VALUE"""),0.0)</f>
        <v>0</v>
      </c>
      <c r="R96" s="129">
        <f>IFERROR(__xludf.DUMMYFUNCTION("""COMPUTED_VALUE"""),0.0)</f>
        <v>0</v>
      </c>
      <c r="S96" s="129">
        <f>IFERROR(__xludf.DUMMYFUNCTION("""COMPUTED_VALUE"""),0.0)</f>
        <v>0</v>
      </c>
      <c r="T96" s="129">
        <f>IFERROR(__xludf.DUMMYFUNCTION("""COMPUTED_VALUE"""),0.0)</f>
        <v>0</v>
      </c>
      <c r="U96" s="129">
        <f>IFERROR(__xludf.DUMMYFUNCTION("""COMPUTED_VALUE"""),0.0)</f>
        <v>0</v>
      </c>
      <c r="V96" s="126">
        <f>IFERROR(__xludf.DUMMYFUNCTION("""COMPUTED_VALUE"""),0.0)</f>
        <v>0</v>
      </c>
      <c r="W96" s="126" t="str">
        <f>IFERROR(__xludf.DUMMYFUNCTION("""COMPUTED_VALUE"""),"Yes")</f>
        <v>Yes</v>
      </c>
      <c r="X96" s="126" t="str">
        <f>IFERROR(__xludf.DUMMYFUNCTION("""COMPUTED_VALUE"""),"Yes")</f>
        <v>Yes</v>
      </c>
      <c r="Y96" s="126" t="str">
        <f>IFERROR(__xludf.DUMMYFUNCTION("""COMPUTED_VALUE"""),"C")</f>
        <v>C</v>
      </c>
      <c r="Z96" s="126" t="str">
        <f>IFERROR(__xludf.DUMMYFUNCTION("""COMPUTED_VALUE"""),"VM placement")</f>
        <v>VM placement</v>
      </c>
      <c r="AA96" s="126"/>
      <c r="AB96" s="126"/>
      <c r="AC96" s="126"/>
      <c r="AD96" s="126"/>
      <c r="AE96" s="126"/>
      <c r="AF96" s="126"/>
      <c r="AG96" s="126"/>
      <c r="AH96" s="126"/>
      <c r="AI96" s="126"/>
      <c r="AJ96" s="126"/>
    </row>
    <row r="97">
      <c r="A97" s="126">
        <f>IFERROR(__xludf.DUMMYFUNCTION("""COMPUTED_VALUE"""),275.0)</f>
        <v>275</v>
      </c>
      <c r="B97" s="126" t="str">
        <f>IFERROR(__xludf.DUMMYFUNCTION("""COMPUTED_VALUE"""),"Joint optimization of energy saving and load balancing for data center networks based on software defined networks")</f>
        <v>Joint optimization of energy saving and load balancing for data center networks based on software defined networks</v>
      </c>
      <c r="C97" s="127" t="str">
        <f>IFERROR(__xludf.DUMMYFUNCTION("""COMPUTED_VALUE"""),"https://onlinelibrary.wiley.com/doi/abs/10.1002/cpe.6134")</f>
        <v>https://onlinelibrary.wiley.com/doi/abs/10.1002/cpe.6134</v>
      </c>
      <c r="D97" s="126" t="str">
        <f>IFERROR(__xludf.DUMMYFUNCTION("""COMPUTED_VALUE"""),"Y He, Z Lu, J Lei, S Deng, X Gao")</f>
        <v>Y He, Z Lu, J Lei, S Deng, X Gao</v>
      </c>
      <c r="E97" s="126" t="str">
        <f>IFERROR(__xludf.DUMMYFUNCTION("""COMPUTED_VALUE"""),"Wiley Online Library")</f>
        <v>Wiley Online Library</v>
      </c>
      <c r="F97" s="126" t="str">
        <f>IFERROR(__xludf.DUMMYFUNCTION("""COMPUTED_VALUE"""),"Wiley")</f>
        <v>Wiley</v>
      </c>
      <c r="G97" s="128"/>
      <c r="H97" s="129">
        <f>IFERROR(__xludf.DUMMYFUNCTION("""COMPUTED_VALUE"""),2020.0)</f>
        <v>2020</v>
      </c>
      <c r="I97" s="129">
        <f>IFERROR(__xludf.DUMMYFUNCTION("""COMPUTED_VALUE"""),1.0)</f>
        <v>1</v>
      </c>
      <c r="J97" s="130">
        <f>IFERROR(__xludf.DUMMYFUNCTION("""COMPUTED_VALUE"""),1.0)</f>
        <v>1</v>
      </c>
      <c r="K97" s="130">
        <f>IFERROR(__xludf.DUMMYFUNCTION("""COMPUTED_VALUE"""),1.0)</f>
        <v>1</v>
      </c>
      <c r="L97" s="130">
        <f>IFERROR(__xludf.DUMMYFUNCTION("""COMPUTED_VALUE"""),1.0)</f>
        <v>1</v>
      </c>
      <c r="M97" s="130">
        <f>IFERROR(__xludf.DUMMYFUNCTION("""COMPUTED_VALUE"""),1.0)</f>
        <v>1</v>
      </c>
      <c r="N97" s="130">
        <f>IFERROR(__xludf.DUMMYFUNCTION("""COMPUTED_VALUE"""),0.0)</f>
        <v>0</v>
      </c>
      <c r="O97" s="130">
        <f>IFERROR(__xludf.DUMMYFUNCTION("""COMPUTED_VALUE"""),0.0)</f>
        <v>0</v>
      </c>
      <c r="P97" s="130">
        <f>IFERROR(__xludf.DUMMYFUNCTION("""COMPUTED_VALUE"""),0.0)</f>
        <v>0</v>
      </c>
      <c r="Q97" s="130">
        <f>IFERROR(__xludf.DUMMYFUNCTION("""COMPUTED_VALUE"""),0.0)</f>
        <v>0</v>
      </c>
      <c r="R97" s="130">
        <f>IFERROR(__xludf.DUMMYFUNCTION("""COMPUTED_VALUE"""),0.0)</f>
        <v>0</v>
      </c>
      <c r="S97" s="130">
        <f>IFERROR(__xludf.DUMMYFUNCTION("""COMPUTED_VALUE"""),0.0)</f>
        <v>0</v>
      </c>
      <c r="T97" s="130">
        <f>IFERROR(__xludf.DUMMYFUNCTION("""COMPUTED_VALUE"""),0.0)</f>
        <v>0</v>
      </c>
      <c r="U97" s="130">
        <f>IFERROR(__xludf.DUMMYFUNCTION("""COMPUTED_VALUE"""),0.0)</f>
        <v>0</v>
      </c>
      <c r="V97" s="131">
        <f>IFERROR(__xludf.DUMMYFUNCTION("""COMPUTED_VALUE"""),0.0)</f>
        <v>0</v>
      </c>
      <c r="W97" s="131" t="str">
        <f>IFERROR(__xludf.DUMMYFUNCTION("""COMPUTED_VALUE"""),"Yes")</f>
        <v>Yes</v>
      </c>
      <c r="X97" s="131" t="str">
        <f>IFERROR(__xludf.DUMMYFUNCTION("""COMPUTED_VALUE"""),"Yes")</f>
        <v>Yes</v>
      </c>
      <c r="Y97" s="131" t="str">
        <f>IFERROR(__xludf.DUMMYFUNCTION("""COMPUTED_VALUE"""),"C")</f>
        <v>C</v>
      </c>
      <c r="Z97" s="131" t="str">
        <f>IFERROR(__xludf.DUMMYFUNCTION("""COMPUTED_VALUE"""),"Traffic flow management")</f>
        <v>Traffic flow management</v>
      </c>
      <c r="AA97" s="131"/>
      <c r="AB97" s="131"/>
      <c r="AC97" s="131"/>
      <c r="AD97" s="131"/>
      <c r="AE97" s="131"/>
      <c r="AF97" s="131"/>
      <c r="AG97" s="131"/>
      <c r="AH97" s="131"/>
      <c r="AI97" s="131"/>
      <c r="AJ97" s="131"/>
    </row>
    <row r="98">
      <c r="A98" s="126">
        <f>IFERROR(__xludf.DUMMYFUNCTION("""COMPUTED_VALUE"""),276.0)</f>
        <v>276</v>
      </c>
      <c r="B98" s="126" t="str">
        <f>IFERROR(__xludf.DUMMYFUNCTION("""COMPUTED_VALUE"""),"Managing energy, performance and cost in large scale heterogeneous datacenters using migrations")</f>
        <v>Managing energy, performance and cost in large scale heterogeneous datacenters using migrations</v>
      </c>
      <c r="C98" s="127" t="str">
        <f>IFERROR(__xludf.DUMMYFUNCTION("""COMPUTED_VALUE"""),"https://www.sciencedirect.com/science/article/pii/S0167739X17326249")</f>
        <v>https://www.sciencedirect.com/science/article/pii/S0167739X17326249</v>
      </c>
      <c r="D98" s="126" t="str">
        <f>IFERROR(__xludf.DUMMYFUNCTION("""COMPUTED_VALUE"""),"M Zakarya, L Gillam")</f>
        <v>M Zakarya, L Gillam</v>
      </c>
      <c r="E98" s="126" t="str">
        <f>IFERROR(__xludf.DUMMYFUNCTION("""COMPUTED_VALUE"""),"Elsevier")</f>
        <v>Elsevier</v>
      </c>
      <c r="F98" s="126" t="str">
        <f>IFERROR(__xludf.DUMMYFUNCTION("""COMPUTED_VALUE"""),"Elsevier")</f>
        <v>Elsevier</v>
      </c>
      <c r="G98" s="128" t="str">
        <f>IFERROR(__xludf.DUMMYFUNCTION("""COMPUTED_VALUE"""),"J")</f>
        <v>J</v>
      </c>
      <c r="H98" s="130">
        <f>IFERROR(__xludf.DUMMYFUNCTION("""COMPUTED_VALUE"""),2019.0)</f>
        <v>2019</v>
      </c>
      <c r="I98" s="130">
        <f>IFERROR(__xludf.DUMMYFUNCTION("""COMPUTED_VALUE"""),1.0)</f>
        <v>1</v>
      </c>
      <c r="J98" s="130">
        <f>IFERROR(__xludf.DUMMYFUNCTION("""COMPUTED_VALUE"""),1.0)</f>
        <v>1</v>
      </c>
      <c r="K98" s="129">
        <f>IFERROR(__xludf.DUMMYFUNCTION("""COMPUTED_VALUE"""),1.0)</f>
        <v>1</v>
      </c>
      <c r="L98" s="130">
        <f>IFERROR(__xludf.DUMMYFUNCTION("""COMPUTED_VALUE"""),1.0)</f>
        <v>1</v>
      </c>
      <c r="M98" s="130">
        <f>IFERROR(__xludf.DUMMYFUNCTION("""COMPUTED_VALUE"""),1.0)</f>
        <v>1</v>
      </c>
      <c r="N98" s="130">
        <f>IFERROR(__xludf.DUMMYFUNCTION("""COMPUTED_VALUE"""),0.0)</f>
        <v>0</v>
      </c>
      <c r="O98" s="130">
        <f>IFERROR(__xludf.DUMMYFUNCTION("""COMPUTED_VALUE"""),0.0)</f>
        <v>0</v>
      </c>
      <c r="P98" s="130">
        <f>IFERROR(__xludf.DUMMYFUNCTION("""COMPUTED_VALUE"""),0.0)</f>
        <v>0</v>
      </c>
      <c r="Q98" s="130">
        <f>IFERROR(__xludf.DUMMYFUNCTION("""COMPUTED_VALUE"""),0.0)</f>
        <v>0</v>
      </c>
      <c r="R98" s="130">
        <f>IFERROR(__xludf.DUMMYFUNCTION("""COMPUTED_VALUE"""),0.0)</f>
        <v>0</v>
      </c>
      <c r="S98" s="130">
        <f>IFERROR(__xludf.DUMMYFUNCTION("""COMPUTED_VALUE"""),0.0)</f>
        <v>0</v>
      </c>
      <c r="T98" s="130">
        <f>IFERROR(__xludf.DUMMYFUNCTION("""COMPUTED_VALUE"""),0.0)</f>
        <v>0</v>
      </c>
      <c r="U98" s="130">
        <f>IFERROR(__xludf.DUMMYFUNCTION("""COMPUTED_VALUE"""),0.0)</f>
        <v>0</v>
      </c>
      <c r="V98" s="131">
        <f>IFERROR(__xludf.DUMMYFUNCTION("""COMPUTED_VALUE"""),0.0)</f>
        <v>0</v>
      </c>
      <c r="W98" s="131" t="str">
        <f>IFERROR(__xludf.DUMMYFUNCTION("""COMPUTED_VALUE"""),"Yes")</f>
        <v>Yes</v>
      </c>
      <c r="X98" s="131" t="str">
        <f>IFERROR(__xludf.DUMMYFUNCTION("""COMPUTED_VALUE"""),"Yes")</f>
        <v>Yes</v>
      </c>
      <c r="Y98" s="131" t="str">
        <f>IFERROR(__xludf.DUMMYFUNCTION("""COMPUTED_VALUE"""),"C")</f>
        <v>C</v>
      </c>
      <c r="Z98" s="131" t="str">
        <f>IFERROR(__xludf.DUMMYFUNCTION("""COMPUTED_VALUE"""),"VM")</f>
        <v>VM</v>
      </c>
      <c r="AA98" s="131"/>
      <c r="AB98" s="131"/>
      <c r="AC98" s="131"/>
      <c r="AD98" s="131"/>
      <c r="AE98" s="131"/>
      <c r="AF98" s="131"/>
      <c r="AG98" s="131"/>
      <c r="AH98" s="131"/>
      <c r="AI98" s="131"/>
      <c r="AJ98" s="131"/>
    </row>
    <row r="99">
      <c r="A99" s="126">
        <f>IFERROR(__xludf.DUMMYFUNCTION("""COMPUTED_VALUE"""),278.0)</f>
        <v>278</v>
      </c>
      <c r="B99" s="126" t="str">
        <f>IFERROR(__xludf.DUMMYFUNCTION("""COMPUTED_VALUE"""),"A big data-enabled consolidated framework for energy efficient software defined data centers in IoT setups")</f>
        <v>A big data-enabled consolidated framework for energy efficient software defined data centers in IoT setups</v>
      </c>
      <c r="C99" s="127" t="str">
        <f>IFERROR(__xludf.DUMMYFUNCTION("""COMPUTED_VALUE"""),"https://ieeexplore.ieee.org/abstract/document/8825507/")</f>
        <v>https://ieeexplore.ieee.org/abstract/document/8825507/</v>
      </c>
      <c r="D99" s="126" t="str">
        <f>IFERROR(__xludf.DUMMYFUNCTION("""COMPUTED_VALUE"""),"K Kaur, S Garg, G Kaddoum…")</f>
        <v>K Kaur, S Garg, G Kaddoum…</v>
      </c>
      <c r="E99" s="126" t="str">
        <f>IFERROR(__xludf.DUMMYFUNCTION("""COMPUTED_VALUE"""),"Institute of Electrical and Electronics Engineers")</f>
        <v>Institute of Electrical and Electronics Engineers</v>
      </c>
      <c r="F99" s="126" t="str">
        <f>IFERROR(__xludf.DUMMYFUNCTION("""COMPUTED_VALUE"""),"IEEE Xplore")</f>
        <v>IEEE Xplore</v>
      </c>
      <c r="G99" s="128" t="str">
        <f>IFERROR(__xludf.DUMMYFUNCTION("""COMPUTED_VALUE"""),"J")</f>
        <v>J</v>
      </c>
      <c r="H99" s="129">
        <f>IFERROR(__xludf.DUMMYFUNCTION("""COMPUTED_VALUE"""),2019.0)</f>
        <v>2019</v>
      </c>
      <c r="I99" s="129">
        <f>IFERROR(__xludf.DUMMYFUNCTION("""COMPUTED_VALUE"""),1.0)</f>
        <v>1</v>
      </c>
      <c r="J99" s="130">
        <f>IFERROR(__xludf.DUMMYFUNCTION("""COMPUTED_VALUE"""),1.0)</f>
        <v>1</v>
      </c>
      <c r="K99" s="130">
        <f>IFERROR(__xludf.DUMMYFUNCTION("""COMPUTED_VALUE"""),1.0)</f>
        <v>1</v>
      </c>
      <c r="L99" s="130">
        <f>IFERROR(__xludf.DUMMYFUNCTION("""COMPUTED_VALUE"""),1.0)</f>
        <v>1</v>
      </c>
      <c r="M99" s="130">
        <f>IFERROR(__xludf.DUMMYFUNCTION("""COMPUTED_VALUE"""),1.0)</f>
        <v>1</v>
      </c>
      <c r="N99" s="130">
        <f>IFERROR(__xludf.DUMMYFUNCTION("""COMPUTED_VALUE"""),0.0)</f>
        <v>0</v>
      </c>
      <c r="O99" s="129">
        <f>IFERROR(__xludf.DUMMYFUNCTION("""COMPUTED_VALUE"""),0.0)</f>
        <v>0</v>
      </c>
      <c r="P99" s="130">
        <f>IFERROR(__xludf.DUMMYFUNCTION("""COMPUTED_VALUE"""),0.0)</f>
        <v>0</v>
      </c>
      <c r="Q99" s="130">
        <f>IFERROR(__xludf.DUMMYFUNCTION("""COMPUTED_VALUE"""),0.0)</f>
        <v>0</v>
      </c>
      <c r="R99" s="130">
        <f>IFERROR(__xludf.DUMMYFUNCTION("""COMPUTED_VALUE"""),0.0)</f>
        <v>0</v>
      </c>
      <c r="S99" s="130">
        <f>IFERROR(__xludf.DUMMYFUNCTION("""COMPUTED_VALUE"""),0.0)</f>
        <v>0</v>
      </c>
      <c r="T99" s="130">
        <f>IFERROR(__xludf.DUMMYFUNCTION("""COMPUTED_VALUE"""),0.0)</f>
        <v>0</v>
      </c>
      <c r="U99" s="130">
        <f>IFERROR(__xludf.DUMMYFUNCTION("""COMPUTED_VALUE"""),0.0)</f>
        <v>0</v>
      </c>
      <c r="V99" s="131">
        <f>IFERROR(__xludf.DUMMYFUNCTION("""COMPUTED_VALUE"""),0.0)</f>
        <v>0</v>
      </c>
      <c r="W99" s="131" t="str">
        <f>IFERROR(__xludf.DUMMYFUNCTION("""COMPUTED_VALUE"""),"Yes")</f>
        <v>Yes</v>
      </c>
      <c r="X99" s="131" t="str">
        <f>IFERROR(__xludf.DUMMYFUNCTION("""COMPUTED_VALUE"""),"Yes")</f>
        <v>Yes</v>
      </c>
      <c r="Y99" s="131" t="str">
        <f>IFERROR(__xludf.DUMMYFUNCTION("""COMPUTED_VALUE"""),"C")</f>
        <v>C</v>
      </c>
      <c r="Z99" s="131" t="str">
        <f>IFERROR(__xludf.DUMMYFUNCTION("""COMPUTED_VALUE"""),"resource management")</f>
        <v>resource management</v>
      </c>
      <c r="AA99" s="131"/>
      <c r="AB99" s="131"/>
      <c r="AC99" s="131"/>
      <c r="AD99" s="131"/>
      <c r="AE99" s="131"/>
      <c r="AF99" s="131"/>
      <c r="AG99" s="131"/>
      <c r="AH99" s="131"/>
      <c r="AI99" s="131"/>
      <c r="AJ99" s="131"/>
    </row>
    <row r="100">
      <c r="A100" s="126">
        <f>IFERROR(__xludf.DUMMYFUNCTION("""COMPUTED_VALUE"""),284.0)</f>
        <v>284</v>
      </c>
      <c r="B100" s="126" t="str">
        <f>IFERROR(__xludf.DUMMYFUNCTION("""COMPUTED_VALUE"""),"Type-aware virtual machine management for energy efficient cloud data centers")</f>
        <v>Type-aware virtual machine management for energy efficient cloud data centers</v>
      </c>
      <c r="C100" s="127" t="str">
        <f>IFERROR(__xludf.DUMMYFUNCTION("""COMPUTED_VALUE"""),"https://www.sciencedirect.com/science/article/pii/S2210537917304249")</f>
        <v>https://www.sciencedirect.com/science/article/pii/S2210537917304249</v>
      </c>
      <c r="D100" s="126" t="str">
        <f>IFERROR(__xludf.DUMMYFUNCTION("""COMPUTED_VALUE"""),"A Al-Dulaimy, W Itani, R Zantout, A Zekri")</f>
        <v>A Al-Dulaimy, W Itani, R Zantout, A Zekri</v>
      </c>
      <c r="E100" s="126" t="str">
        <f>IFERROR(__xludf.DUMMYFUNCTION("""COMPUTED_VALUE"""),"Elsevier")</f>
        <v>Elsevier</v>
      </c>
      <c r="F100" s="126" t="str">
        <f>IFERROR(__xludf.DUMMYFUNCTION("""COMPUTED_VALUE"""),"Elsevier")</f>
        <v>Elsevier</v>
      </c>
      <c r="G100" s="128" t="str">
        <f>IFERROR(__xludf.DUMMYFUNCTION("""COMPUTED_VALUE"""),"J")</f>
        <v>J</v>
      </c>
      <c r="H100" s="129">
        <f>IFERROR(__xludf.DUMMYFUNCTION("""COMPUTED_VALUE"""),2018.0)</f>
        <v>2018</v>
      </c>
      <c r="I100" s="129">
        <f>IFERROR(__xludf.DUMMYFUNCTION("""COMPUTED_VALUE"""),1.0)</f>
        <v>1</v>
      </c>
      <c r="J100" s="130">
        <f>IFERROR(__xludf.DUMMYFUNCTION("""COMPUTED_VALUE"""),1.0)</f>
        <v>1</v>
      </c>
      <c r="K100" s="130">
        <f>IFERROR(__xludf.DUMMYFUNCTION("""COMPUTED_VALUE"""),1.0)</f>
        <v>1</v>
      </c>
      <c r="L100" s="130">
        <f>IFERROR(__xludf.DUMMYFUNCTION("""COMPUTED_VALUE"""),1.0)</f>
        <v>1</v>
      </c>
      <c r="M100" s="130">
        <f>IFERROR(__xludf.DUMMYFUNCTION("""COMPUTED_VALUE"""),1.0)</f>
        <v>1</v>
      </c>
      <c r="N100" s="130">
        <f>IFERROR(__xludf.DUMMYFUNCTION("""COMPUTED_VALUE"""),0.0)</f>
        <v>0</v>
      </c>
      <c r="O100" s="130">
        <f>IFERROR(__xludf.DUMMYFUNCTION("""COMPUTED_VALUE"""),0.0)</f>
        <v>0</v>
      </c>
      <c r="P100" s="130">
        <f>IFERROR(__xludf.DUMMYFUNCTION("""COMPUTED_VALUE"""),0.0)</f>
        <v>0</v>
      </c>
      <c r="Q100" s="129">
        <f>IFERROR(__xludf.DUMMYFUNCTION("""COMPUTED_VALUE"""),0.0)</f>
        <v>0</v>
      </c>
      <c r="R100" s="129">
        <f>IFERROR(__xludf.DUMMYFUNCTION("""COMPUTED_VALUE"""),0.0)</f>
        <v>0</v>
      </c>
      <c r="S100" s="129">
        <f>IFERROR(__xludf.DUMMYFUNCTION("""COMPUTED_VALUE"""),0.0)</f>
        <v>0</v>
      </c>
      <c r="T100" s="129">
        <f>IFERROR(__xludf.DUMMYFUNCTION("""COMPUTED_VALUE"""),0.0)</f>
        <v>0</v>
      </c>
      <c r="U100" s="129">
        <f>IFERROR(__xludf.DUMMYFUNCTION("""COMPUTED_VALUE"""),0.0)</f>
        <v>0</v>
      </c>
      <c r="V100" s="126">
        <f>IFERROR(__xludf.DUMMYFUNCTION("""COMPUTED_VALUE"""),0.0)</f>
        <v>0</v>
      </c>
      <c r="W100" s="126" t="str">
        <f>IFERROR(__xludf.DUMMYFUNCTION("""COMPUTED_VALUE"""),"Yes")</f>
        <v>Yes</v>
      </c>
      <c r="X100" s="126" t="str">
        <f>IFERROR(__xludf.DUMMYFUNCTION("""COMPUTED_VALUE"""),"Yes")</f>
        <v>Yes</v>
      </c>
      <c r="Y100" s="126" t="str">
        <f>IFERROR(__xludf.DUMMYFUNCTION("""COMPUTED_VALUE"""),"C")</f>
        <v>C</v>
      </c>
      <c r="Z100" s="126" t="str">
        <f>IFERROR(__xludf.DUMMYFUNCTION("""COMPUTED_VALUE"""),"Type aware vm")</f>
        <v>Type aware vm</v>
      </c>
      <c r="AA100" s="126"/>
      <c r="AB100" s="126"/>
      <c r="AC100" s="126"/>
      <c r="AD100" s="126"/>
      <c r="AE100" s="126"/>
      <c r="AF100" s="126"/>
      <c r="AG100" s="126"/>
      <c r="AH100" s="126"/>
      <c r="AI100" s="126"/>
      <c r="AJ100" s="126"/>
    </row>
    <row r="101">
      <c r="A101" s="126">
        <f>IFERROR(__xludf.DUMMYFUNCTION("""COMPUTED_VALUE"""),287.0)</f>
        <v>287</v>
      </c>
      <c r="B101" s="126" t="str">
        <f>IFERROR(__xludf.DUMMYFUNCTION("""COMPUTED_VALUE"""),"A novel coalitional game-theoretic approach for energy-aware dynamic VM consolidation in heterogeneous cloud datacenters")</f>
        <v>A novel coalitional game-theoretic approach for energy-aware dynamic VM consolidation in heterogeneous cloud datacenters</v>
      </c>
      <c r="C101" s="127" t="str">
        <f>IFERROR(__xludf.DUMMYFUNCTION("""COMPUTED_VALUE"""),"https://link.springer.com/chapter/10.1007/978-3-030-23499-7_7")</f>
        <v>https://link.springer.com/chapter/10.1007/978-3-030-23499-7_7</v>
      </c>
      <c r="D101" s="126" t="str">
        <f>IFERROR(__xludf.DUMMYFUNCTION("""COMPUTED_VALUE"""),"X Xiao, Y Xia, F Zeng, W Zheng, X Sun, Q Peng…")</f>
        <v>X Xiao, Y Xia, F Zeng, W Zheng, X Sun, Q Peng…</v>
      </c>
      <c r="E101" s="126" t="str">
        <f>IFERROR(__xludf.DUMMYFUNCTION("""COMPUTED_VALUE"""),"Springer")</f>
        <v>Springer</v>
      </c>
      <c r="F101" s="126" t="str">
        <f>IFERROR(__xludf.DUMMYFUNCTION("""COMPUTED_VALUE"""),"Springer")</f>
        <v>Springer</v>
      </c>
      <c r="G101" s="128" t="str">
        <f>IFERROR(__xludf.DUMMYFUNCTION("""COMPUTED_VALUE"""),"C")</f>
        <v>C</v>
      </c>
      <c r="H101" s="129">
        <f>IFERROR(__xludf.DUMMYFUNCTION("""COMPUTED_VALUE"""),2019.0)</f>
        <v>2019</v>
      </c>
      <c r="I101" s="130">
        <f>IFERROR(__xludf.DUMMYFUNCTION("""COMPUTED_VALUE"""),1.0)</f>
        <v>1</v>
      </c>
      <c r="J101" s="129">
        <f>IFERROR(__xludf.DUMMYFUNCTION("""COMPUTED_VALUE"""),1.0)</f>
        <v>1</v>
      </c>
      <c r="K101" s="130">
        <f>IFERROR(__xludf.DUMMYFUNCTION("""COMPUTED_VALUE"""),1.0)</f>
        <v>1</v>
      </c>
      <c r="L101" s="130">
        <f>IFERROR(__xludf.DUMMYFUNCTION("""COMPUTED_VALUE"""),1.0)</f>
        <v>1</v>
      </c>
      <c r="M101" s="130">
        <f>IFERROR(__xludf.DUMMYFUNCTION("""COMPUTED_VALUE"""),1.0)</f>
        <v>1</v>
      </c>
      <c r="N101" s="130">
        <f>IFERROR(__xludf.DUMMYFUNCTION("""COMPUTED_VALUE"""),0.0)</f>
        <v>0</v>
      </c>
      <c r="O101" s="130">
        <f>IFERROR(__xludf.DUMMYFUNCTION("""COMPUTED_VALUE"""),0.0)</f>
        <v>0</v>
      </c>
      <c r="P101" s="130">
        <f>IFERROR(__xludf.DUMMYFUNCTION("""COMPUTED_VALUE"""),0.0)</f>
        <v>0</v>
      </c>
      <c r="Q101" s="129">
        <f>IFERROR(__xludf.DUMMYFUNCTION("""COMPUTED_VALUE"""),0.0)</f>
        <v>0</v>
      </c>
      <c r="R101" s="129">
        <f>IFERROR(__xludf.DUMMYFUNCTION("""COMPUTED_VALUE"""),0.0)</f>
        <v>0</v>
      </c>
      <c r="S101" s="129">
        <f>IFERROR(__xludf.DUMMYFUNCTION("""COMPUTED_VALUE"""),0.0)</f>
        <v>0</v>
      </c>
      <c r="T101" s="129">
        <f>IFERROR(__xludf.DUMMYFUNCTION("""COMPUTED_VALUE"""),0.0)</f>
        <v>0</v>
      </c>
      <c r="U101" s="129">
        <f>IFERROR(__xludf.DUMMYFUNCTION("""COMPUTED_VALUE"""),0.0)</f>
        <v>0</v>
      </c>
      <c r="V101" s="126">
        <f>IFERROR(__xludf.DUMMYFUNCTION("""COMPUTED_VALUE"""),0.0)</f>
        <v>0</v>
      </c>
      <c r="W101" s="126" t="str">
        <f>IFERROR(__xludf.DUMMYFUNCTION("""COMPUTED_VALUE"""),"Yes")</f>
        <v>Yes</v>
      </c>
      <c r="X101" s="126" t="str">
        <f>IFERROR(__xludf.DUMMYFUNCTION("""COMPUTED_VALUE"""),"Yes")</f>
        <v>Yes</v>
      </c>
      <c r="Y101" s="126" t="str">
        <f>IFERROR(__xludf.DUMMYFUNCTION("""COMPUTED_VALUE"""),"C")</f>
        <v>C</v>
      </c>
      <c r="Z101" s="126" t="str">
        <f>IFERROR(__xludf.DUMMYFUNCTION("""COMPUTED_VALUE"""),"game theory virtualization")</f>
        <v>game theory virtualization</v>
      </c>
      <c r="AA101" s="126"/>
      <c r="AB101" s="126"/>
      <c r="AC101" s="126"/>
      <c r="AD101" s="126"/>
      <c r="AE101" s="126"/>
      <c r="AF101" s="126"/>
      <c r="AG101" s="126"/>
      <c r="AH101" s="126"/>
      <c r="AI101" s="126"/>
      <c r="AJ101" s="126"/>
    </row>
    <row r="102">
      <c r="A102" s="126">
        <f>IFERROR(__xludf.DUMMYFUNCTION("""COMPUTED_VALUE"""),289.0)</f>
        <v>289</v>
      </c>
      <c r="B102" s="126" t="str">
        <f>IFERROR(__xludf.DUMMYFUNCTION("""COMPUTED_VALUE"""),"An Incentive Mechanism for Improving Energy Efficiency of Colocation Data Centers Based on Power Prediction")</f>
        <v>An Incentive Mechanism for Improving Energy Efficiency of Colocation Data Centers Based on Power Prediction</v>
      </c>
      <c r="C102" s="127" t="str">
        <f>IFERROR(__xludf.DUMMYFUNCTION("""COMPUTED_VALUE"""),"https://ieeexplore.ieee.org/abstract/document/9219590/")</f>
        <v>https://ieeexplore.ieee.org/abstract/document/9219590/</v>
      </c>
      <c r="D102" s="126" t="str">
        <f>IFERROR(__xludf.DUMMYFUNCTION("""COMPUTED_VALUE"""),"C Chi, K Ji, A Marahatta, F Zhang…")</f>
        <v>C Chi, K Ji, A Marahatta, F Zhang…</v>
      </c>
      <c r="E102" s="126" t="str">
        <f>IFERROR(__xludf.DUMMYFUNCTION("""COMPUTED_VALUE"""),"Institute of Electrical and Electronics Engineers")</f>
        <v>Institute of Electrical and Electronics Engineers</v>
      </c>
      <c r="F102" s="126" t="str">
        <f>IFERROR(__xludf.DUMMYFUNCTION("""COMPUTED_VALUE"""),"IEEE Xplore")</f>
        <v>IEEE Xplore</v>
      </c>
      <c r="G102" s="132" t="str">
        <f>IFERROR(__xludf.DUMMYFUNCTION("""COMPUTED_VALUE"""),"C")</f>
        <v>C</v>
      </c>
      <c r="H102" s="129">
        <f>IFERROR(__xludf.DUMMYFUNCTION("""COMPUTED_VALUE"""),2020.0)</f>
        <v>2020</v>
      </c>
      <c r="I102" s="129">
        <f>IFERROR(__xludf.DUMMYFUNCTION("""COMPUTED_VALUE"""),1.0)</f>
        <v>1</v>
      </c>
      <c r="J102" s="129">
        <f>IFERROR(__xludf.DUMMYFUNCTION("""COMPUTED_VALUE"""),1.0)</f>
        <v>1</v>
      </c>
      <c r="K102" s="130">
        <f>IFERROR(__xludf.DUMMYFUNCTION("""COMPUTED_VALUE"""),1.0)</f>
        <v>1</v>
      </c>
      <c r="L102" s="130">
        <f>IFERROR(__xludf.DUMMYFUNCTION("""COMPUTED_VALUE"""),1.0)</f>
        <v>1</v>
      </c>
      <c r="M102" s="130">
        <f>IFERROR(__xludf.DUMMYFUNCTION("""COMPUTED_VALUE"""),1.0)</f>
        <v>1</v>
      </c>
      <c r="N102" s="130">
        <f>IFERROR(__xludf.DUMMYFUNCTION("""COMPUTED_VALUE"""),0.0)</f>
        <v>0</v>
      </c>
      <c r="O102" s="130">
        <f>IFERROR(__xludf.DUMMYFUNCTION("""COMPUTED_VALUE"""),0.0)</f>
        <v>0</v>
      </c>
      <c r="P102" s="129">
        <f>IFERROR(__xludf.DUMMYFUNCTION("""COMPUTED_VALUE"""),0.0)</f>
        <v>0</v>
      </c>
      <c r="Q102" s="129">
        <f>IFERROR(__xludf.DUMMYFUNCTION("""COMPUTED_VALUE"""),0.0)</f>
        <v>0</v>
      </c>
      <c r="R102" s="129">
        <f>IFERROR(__xludf.DUMMYFUNCTION("""COMPUTED_VALUE"""),0.0)</f>
        <v>0</v>
      </c>
      <c r="S102" s="129">
        <f>IFERROR(__xludf.DUMMYFUNCTION("""COMPUTED_VALUE"""),0.0)</f>
        <v>0</v>
      </c>
      <c r="T102" s="129">
        <f>IFERROR(__xludf.DUMMYFUNCTION("""COMPUTED_VALUE"""),0.0)</f>
        <v>0</v>
      </c>
      <c r="U102" s="129">
        <f>IFERROR(__xludf.DUMMYFUNCTION("""COMPUTED_VALUE"""),0.0)</f>
        <v>0</v>
      </c>
      <c r="V102" s="126">
        <f>IFERROR(__xludf.DUMMYFUNCTION("""COMPUTED_VALUE"""),0.0)</f>
        <v>0</v>
      </c>
      <c r="W102" s="126" t="str">
        <f>IFERROR(__xludf.DUMMYFUNCTION("""COMPUTED_VALUE"""),"Yes")</f>
        <v>Yes</v>
      </c>
      <c r="X102" s="126" t="str">
        <f>IFERROR(__xludf.DUMMYFUNCTION("""COMPUTED_VALUE"""),"Yes")</f>
        <v>Yes</v>
      </c>
      <c r="Y102" s="126" t="str">
        <f>IFERROR(__xludf.DUMMYFUNCTION("""COMPUTED_VALUE"""),"C")</f>
        <v>C</v>
      </c>
      <c r="Z102" s="126" t="str">
        <f>IFERROR(__xludf.DUMMYFUNCTION("""COMPUTED_VALUE"""),"optimizing colocations")</f>
        <v>optimizing colocations</v>
      </c>
      <c r="AA102" s="126"/>
      <c r="AB102" s="126"/>
      <c r="AC102" s="126"/>
      <c r="AD102" s="126"/>
      <c r="AE102" s="126"/>
      <c r="AF102" s="126"/>
      <c r="AG102" s="126"/>
      <c r="AH102" s="126"/>
      <c r="AI102" s="126"/>
      <c r="AJ102" s="126"/>
    </row>
    <row r="103">
      <c r="A103" s="126">
        <f>IFERROR(__xludf.DUMMYFUNCTION("""COMPUTED_VALUE"""),290.0)</f>
        <v>290</v>
      </c>
      <c r="B103" s="126" t="str">
        <f>IFERROR(__xludf.DUMMYFUNCTION("""COMPUTED_VALUE"""),"Resource scheduling for energy-efficient in cloud-computing data centers")</f>
        <v>Resource scheduling for energy-efficient in cloud-computing data centers</v>
      </c>
      <c r="C103" s="127" t="str">
        <f>IFERROR(__xludf.DUMMYFUNCTION("""COMPUTED_VALUE"""),"https://ieeexplore.ieee.org/abstract/document/8622869/")</f>
        <v>https://ieeexplore.ieee.org/abstract/document/8622869/</v>
      </c>
      <c r="D103" s="126" t="str">
        <f>IFERROR(__xludf.DUMMYFUNCTION("""COMPUTED_VALUE"""),"S Xu, L Liu, L Cui, X Chang, H Li")</f>
        <v>S Xu, L Liu, L Cui, X Chang, H Li</v>
      </c>
      <c r="E103" s="126" t="str">
        <f>IFERROR(__xludf.DUMMYFUNCTION("""COMPUTED_VALUE"""),"Institute of Electrical and Electronics Engineers")</f>
        <v>Institute of Electrical and Electronics Engineers</v>
      </c>
      <c r="F103" s="126" t="str">
        <f>IFERROR(__xludf.DUMMYFUNCTION("""COMPUTED_VALUE"""),"IEEE Xplore")</f>
        <v>IEEE Xplore</v>
      </c>
      <c r="G103" s="128"/>
      <c r="H103" s="130">
        <f>IFERROR(__xludf.DUMMYFUNCTION("""COMPUTED_VALUE"""),2018.0)</f>
        <v>2018</v>
      </c>
      <c r="I103" s="129">
        <f>IFERROR(__xludf.DUMMYFUNCTION("""COMPUTED_VALUE"""),1.0)</f>
        <v>1</v>
      </c>
      <c r="J103" s="130">
        <f>IFERROR(__xludf.DUMMYFUNCTION("""COMPUTED_VALUE"""),1.0)</f>
        <v>1</v>
      </c>
      <c r="K103" s="130">
        <f>IFERROR(__xludf.DUMMYFUNCTION("""COMPUTED_VALUE"""),1.0)</f>
        <v>1</v>
      </c>
      <c r="L103" s="129">
        <f>IFERROR(__xludf.DUMMYFUNCTION("""COMPUTED_VALUE"""),1.0)</f>
        <v>1</v>
      </c>
      <c r="M103" s="130">
        <f>IFERROR(__xludf.DUMMYFUNCTION("""COMPUTED_VALUE"""),1.0)</f>
        <v>1</v>
      </c>
      <c r="N103" s="130">
        <f>IFERROR(__xludf.DUMMYFUNCTION("""COMPUTED_VALUE"""),0.0)</f>
        <v>0</v>
      </c>
      <c r="O103" s="130">
        <f>IFERROR(__xludf.DUMMYFUNCTION("""COMPUTED_VALUE"""),0.0)</f>
        <v>0</v>
      </c>
      <c r="P103" s="130">
        <f>IFERROR(__xludf.DUMMYFUNCTION("""COMPUTED_VALUE"""),0.0)</f>
        <v>0</v>
      </c>
      <c r="Q103" s="129">
        <f>IFERROR(__xludf.DUMMYFUNCTION("""COMPUTED_VALUE"""),0.0)</f>
        <v>0</v>
      </c>
      <c r="R103" s="129">
        <f>IFERROR(__xludf.DUMMYFUNCTION("""COMPUTED_VALUE"""),0.0)</f>
        <v>0</v>
      </c>
      <c r="S103" s="129">
        <f>IFERROR(__xludf.DUMMYFUNCTION("""COMPUTED_VALUE"""),0.0)</f>
        <v>0</v>
      </c>
      <c r="T103" s="129">
        <f>IFERROR(__xludf.DUMMYFUNCTION("""COMPUTED_VALUE"""),0.0)</f>
        <v>0</v>
      </c>
      <c r="U103" s="129">
        <f>IFERROR(__xludf.DUMMYFUNCTION("""COMPUTED_VALUE"""),0.0)</f>
        <v>0</v>
      </c>
      <c r="V103" s="126">
        <f>IFERROR(__xludf.DUMMYFUNCTION("""COMPUTED_VALUE"""),0.0)</f>
        <v>0</v>
      </c>
      <c r="W103" s="126" t="str">
        <f>IFERROR(__xludf.DUMMYFUNCTION("""COMPUTED_VALUE"""),"Yes")</f>
        <v>Yes</v>
      </c>
      <c r="X103" s="126" t="str">
        <f>IFERROR(__xludf.DUMMYFUNCTION("""COMPUTED_VALUE"""),"Yes")</f>
        <v>Yes</v>
      </c>
      <c r="Y103" s="126" t="str">
        <f>IFERROR(__xludf.DUMMYFUNCTION("""COMPUTED_VALUE"""),"C")</f>
        <v>C</v>
      </c>
      <c r="Z103" s="126" t="str">
        <f>IFERROR(__xludf.DUMMYFUNCTION("""COMPUTED_VALUE"""),"resource scheduling")</f>
        <v>resource scheduling</v>
      </c>
      <c r="AA103" s="126"/>
      <c r="AB103" s="126"/>
      <c r="AC103" s="126"/>
      <c r="AD103" s="126"/>
      <c r="AE103" s="126"/>
      <c r="AF103" s="126"/>
      <c r="AG103" s="126"/>
      <c r="AH103" s="126"/>
      <c r="AI103" s="126"/>
      <c r="AJ103" s="126"/>
    </row>
    <row r="104">
      <c r="A104" s="126">
        <f>IFERROR(__xludf.DUMMYFUNCTION("""COMPUTED_VALUE"""),293.0)</f>
        <v>293</v>
      </c>
      <c r="B104" s="126" t="str">
        <f>IFERROR(__xludf.DUMMYFUNCTION("""COMPUTED_VALUE"""),"Energy-Efficient Resource Provisioning using Adaptive Harmony Search Algorithm for Compute-Intensive Workloads with Load Balancing in Datacenters")</f>
        <v>Energy-Efficient Resource Provisioning using Adaptive Harmony Search Algorithm for Compute-Intensive Workloads with Load Balancing in Datacenters</v>
      </c>
      <c r="C104" s="127" t="str">
        <f>IFERROR(__xludf.DUMMYFUNCTION("""COMPUTED_VALUE"""),"https://www.mdpi.com/2076-3417/10/7/2323")</f>
        <v>https://www.mdpi.com/2076-3417/10/7/2323</v>
      </c>
      <c r="D104" s="126" t="str">
        <f>IFERROR(__xludf.DUMMYFUNCTION("""COMPUTED_VALUE"""),"T Renugadevi, K Geetha, K Muthukumar, ZW Geem")</f>
        <v>T Renugadevi, K Geetha, K Muthukumar, ZW Geem</v>
      </c>
      <c r="E104" s="126" t="str">
        <f>IFERROR(__xludf.DUMMYFUNCTION("""COMPUTED_VALUE"""),"Multidisciplinary Digital Publishing Institute")</f>
        <v>Multidisciplinary Digital Publishing Institute</v>
      </c>
      <c r="F104" s="126" t="str">
        <f>IFERROR(__xludf.DUMMYFUNCTION("""COMPUTED_VALUE"""),"MDPI")</f>
        <v>MDPI</v>
      </c>
      <c r="G104" s="128" t="str">
        <f>IFERROR(__xludf.DUMMYFUNCTION("""COMPUTED_VALUE"""),"J")</f>
        <v>J</v>
      </c>
      <c r="H104" s="130">
        <f>IFERROR(__xludf.DUMMYFUNCTION("""COMPUTED_VALUE"""),2020.0)</f>
        <v>2020</v>
      </c>
      <c r="I104" s="129">
        <f>IFERROR(__xludf.DUMMYFUNCTION("""COMPUTED_VALUE"""),1.0)</f>
        <v>1</v>
      </c>
      <c r="J104" s="130">
        <f>IFERROR(__xludf.DUMMYFUNCTION("""COMPUTED_VALUE"""),1.0)</f>
        <v>1</v>
      </c>
      <c r="K104" s="130">
        <f>IFERROR(__xludf.DUMMYFUNCTION("""COMPUTED_VALUE"""),1.0)</f>
        <v>1</v>
      </c>
      <c r="L104" s="129">
        <f>IFERROR(__xludf.DUMMYFUNCTION("""COMPUTED_VALUE"""),1.0)</f>
        <v>1</v>
      </c>
      <c r="M104" s="130">
        <f>IFERROR(__xludf.DUMMYFUNCTION("""COMPUTED_VALUE"""),1.0)</f>
        <v>1</v>
      </c>
      <c r="N104" s="130">
        <f>IFERROR(__xludf.DUMMYFUNCTION("""COMPUTED_VALUE"""),0.0)</f>
        <v>0</v>
      </c>
      <c r="O104" s="130">
        <f>IFERROR(__xludf.DUMMYFUNCTION("""COMPUTED_VALUE"""),0.0)</f>
        <v>0</v>
      </c>
      <c r="P104" s="130">
        <f>IFERROR(__xludf.DUMMYFUNCTION("""COMPUTED_VALUE"""),0.0)</f>
        <v>0</v>
      </c>
      <c r="Q104" s="130">
        <f>IFERROR(__xludf.DUMMYFUNCTION("""COMPUTED_VALUE"""),0.0)</f>
        <v>0</v>
      </c>
      <c r="R104" s="130">
        <f>IFERROR(__xludf.DUMMYFUNCTION("""COMPUTED_VALUE"""),0.0)</f>
        <v>0</v>
      </c>
      <c r="S104" s="130">
        <f>IFERROR(__xludf.DUMMYFUNCTION("""COMPUTED_VALUE"""),0.0)</f>
        <v>0</v>
      </c>
      <c r="T104" s="130">
        <f>IFERROR(__xludf.DUMMYFUNCTION("""COMPUTED_VALUE"""),0.0)</f>
        <v>0</v>
      </c>
      <c r="U104" s="130">
        <f>IFERROR(__xludf.DUMMYFUNCTION("""COMPUTED_VALUE"""),0.0)</f>
        <v>0</v>
      </c>
      <c r="V104" s="131">
        <f>IFERROR(__xludf.DUMMYFUNCTION("""COMPUTED_VALUE"""),0.0)</f>
        <v>0</v>
      </c>
      <c r="W104" s="131" t="str">
        <f>IFERROR(__xludf.DUMMYFUNCTION("""COMPUTED_VALUE"""),"Yes")</f>
        <v>Yes</v>
      </c>
      <c r="X104" s="131" t="str">
        <f>IFERROR(__xludf.DUMMYFUNCTION("""COMPUTED_VALUE"""),"Yes")</f>
        <v>Yes</v>
      </c>
      <c r="Y104" s="131" t="str">
        <f>IFERROR(__xludf.DUMMYFUNCTION("""COMPUTED_VALUE"""),"C")</f>
        <v>C</v>
      </c>
      <c r="Z104" s="131" t="str">
        <f>IFERROR(__xludf.DUMMYFUNCTION("""COMPUTED_VALUE"""),"load balancing")</f>
        <v>load balancing</v>
      </c>
      <c r="AA104" s="131"/>
      <c r="AB104" s="131"/>
      <c r="AC104" s="131"/>
      <c r="AD104" s="131"/>
      <c r="AE104" s="131"/>
      <c r="AF104" s="131"/>
      <c r="AG104" s="131"/>
      <c r="AH104" s="131"/>
      <c r="AI104" s="131"/>
      <c r="AJ104" s="131"/>
    </row>
    <row r="105">
      <c r="A105" s="126">
        <f>IFERROR(__xludf.DUMMYFUNCTION("""COMPUTED_VALUE"""),294.0)</f>
        <v>294</v>
      </c>
      <c r="B105" s="126" t="str">
        <f>IFERROR(__xludf.DUMMYFUNCTION("""COMPUTED_VALUE"""),"SLA-aware and energy-efficient VM consolidation in cloud data centers using robust linear regression prediction model")</f>
        <v>SLA-aware and energy-efficient VM consolidation in cloud data centers using robust linear regression prediction model</v>
      </c>
      <c r="C105" s="127" t="str">
        <f>IFERROR(__xludf.DUMMYFUNCTION("""COMPUTED_VALUE"""),"https://ieeexplore.ieee.org/abstract/document/8606094/")</f>
        <v>https://ieeexplore.ieee.org/abstract/document/8606094/</v>
      </c>
      <c r="D105" s="131" t="str">
        <f>IFERROR(__xludf.DUMMYFUNCTION("""COMPUTED_VALUE"""),"L Li, J Dong, D Zuo, J Wu")</f>
        <v>L Li, J Dong, D Zuo, J Wu</v>
      </c>
      <c r="E105" s="131" t="str">
        <f>IFERROR(__xludf.DUMMYFUNCTION("""COMPUTED_VALUE"""),"Institute of Electrical and Electronics Engineers")</f>
        <v>Institute of Electrical and Electronics Engineers</v>
      </c>
      <c r="F105" s="126" t="str">
        <f>IFERROR(__xludf.DUMMYFUNCTION("""COMPUTED_VALUE"""),"IEEE Xplore")</f>
        <v>IEEE Xplore</v>
      </c>
      <c r="G105" s="128" t="str">
        <f>IFERROR(__xludf.DUMMYFUNCTION("""COMPUTED_VALUE"""),"J")</f>
        <v>J</v>
      </c>
      <c r="H105" s="130">
        <f>IFERROR(__xludf.DUMMYFUNCTION("""COMPUTED_VALUE"""),2019.0)</f>
        <v>2019</v>
      </c>
      <c r="I105" s="129">
        <f>IFERROR(__xludf.DUMMYFUNCTION("""COMPUTED_VALUE"""),1.0)</f>
        <v>1</v>
      </c>
      <c r="J105" s="130">
        <f>IFERROR(__xludf.DUMMYFUNCTION("""COMPUTED_VALUE"""),1.0)</f>
        <v>1</v>
      </c>
      <c r="K105" s="130">
        <f>IFERROR(__xludf.DUMMYFUNCTION("""COMPUTED_VALUE"""),1.0)</f>
        <v>1</v>
      </c>
      <c r="L105" s="129">
        <f>IFERROR(__xludf.DUMMYFUNCTION("""COMPUTED_VALUE"""),1.0)</f>
        <v>1</v>
      </c>
      <c r="M105" s="130">
        <f>IFERROR(__xludf.DUMMYFUNCTION("""COMPUTED_VALUE"""),1.0)</f>
        <v>1</v>
      </c>
      <c r="N105" s="130">
        <f>IFERROR(__xludf.DUMMYFUNCTION("""COMPUTED_VALUE"""),0.0)</f>
        <v>0</v>
      </c>
      <c r="O105" s="130">
        <f>IFERROR(__xludf.DUMMYFUNCTION("""COMPUTED_VALUE"""),0.0)</f>
        <v>0</v>
      </c>
      <c r="P105" s="130">
        <f>IFERROR(__xludf.DUMMYFUNCTION("""COMPUTED_VALUE"""),0.0)</f>
        <v>0</v>
      </c>
      <c r="Q105" s="129">
        <f>IFERROR(__xludf.DUMMYFUNCTION("""COMPUTED_VALUE"""),0.0)</f>
        <v>0</v>
      </c>
      <c r="R105" s="129">
        <f>IFERROR(__xludf.DUMMYFUNCTION("""COMPUTED_VALUE"""),0.0)</f>
        <v>0</v>
      </c>
      <c r="S105" s="129">
        <f>IFERROR(__xludf.DUMMYFUNCTION("""COMPUTED_VALUE"""),0.0)</f>
        <v>0</v>
      </c>
      <c r="T105" s="129">
        <f>IFERROR(__xludf.DUMMYFUNCTION("""COMPUTED_VALUE"""),0.0)</f>
        <v>0</v>
      </c>
      <c r="U105" s="129">
        <f>IFERROR(__xludf.DUMMYFUNCTION("""COMPUTED_VALUE"""),0.0)</f>
        <v>0</v>
      </c>
      <c r="V105" s="126">
        <f>IFERROR(__xludf.DUMMYFUNCTION("""COMPUTED_VALUE"""),0.0)</f>
        <v>0</v>
      </c>
      <c r="W105" s="126" t="str">
        <f>IFERROR(__xludf.DUMMYFUNCTION("""COMPUTED_VALUE"""),"Yes")</f>
        <v>Yes</v>
      </c>
      <c r="X105" s="126" t="str">
        <f>IFERROR(__xludf.DUMMYFUNCTION("""COMPUTED_VALUE"""),"Yes")</f>
        <v>Yes</v>
      </c>
      <c r="Y105" s="126" t="str">
        <f>IFERROR(__xludf.DUMMYFUNCTION("""COMPUTED_VALUE"""),"C")</f>
        <v>C</v>
      </c>
      <c r="Z105" s="126" t="str">
        <f>IFERROR(__xludf.DUMMYFUNCTION("""COMPUTED_VALUE"""),"vm")</f>
        <v>vm</v>
      </c>
      <c r="AA105" s="126"/>
      <c r="AB105" s="126"/>
      <c r="AC105" s="126"/>
      <c r="AD105" s="126"/>
      <c r="AE105" s="126"/>
      <c r="AF105" s="126"/>
      <c r="AG105" s="126"/>
      <c r="AH105" s="126"/>
      <c r="AI105" s="126"/>
      <c r="AJ105" s="126"/>
    </row>
    <row r="106">
      <c r="A106" s="126">
        <f>IFERROR(__xludf.DUMMYFUNCTION("""COMPUTED_VALUE"""),298.0)</f>
        <v>298</v>
      </c>
      <c r="B106" s="126" t="str">
        <f>IFERROR(__xludf.DUMMYFUNCTION("""COMPUTED_VALUE"""),"Performance &amp; Energy Consumption Metrics Of A Data Center According To The Energy Consumption Models Cubic, Linear, Square And Square Root")</f>
        <v>Performance &amp; Energy Consumption Metrics Of A Data Center According To The Energy Consumption Models Cubic, Linear, Square And Square Root</v>
      </c>
      <c r="C106" s="127" t="str">
        <f>IFERROR(__xludf.DUMMYFUNCTION("""COMPUTED_VALUE"""),"https://ieeexplore.ieee.org/abstract/document/8931339/")</f>
        <v>https://ieeexplore.ieee.org/abstract/document/8931339/</v>
      </c>
      <c r="D106" s="131" t="str">
        <f>IFERROR(__xludf.DUMMYFUNCTION("""COMPUTED_VALUE"""),"C Saad-Eddine, B Younes")</f>
        <v>C Saad-Eddine, B Younes</v>
      </c>
      <c r="E106" s="131" t="str">
        <f>IFERROR(__xludf.DUMMYFUNCTION("""COMPUTED_VALUE"""),"Institute of Electrical and Electronics Engineers")</f>
        <v>Institute of Electrical and Electronics Engineers</v>
      </c>
      <c r="F106" s="126" t="str">
        <f>IFERROR(__xludf.DUMMYFUNCTION("""COMPUTED_VALUE"""),"IEEE Xplore")</f>
        <v>IEEE Xplore</v>
      </c>
      <c r="G106" s="128" t="str">
        <f>IFERROR(__xludf.DUMMYFUNCTION("""COMPUTED_VALUE"""),"C")</f>
        <v>C</v>
      </c>
      <c r="H106" s="130">
        <f>IFERROR(__xludf.DUMMYFUNCTION("""COMPUTED_VALUE"""),2019.0)</f>
        <v>2019</v>
      </c>
      <c r="I106" s="129">
        <f>IFERROR(__xludf.DUMMYFUNCTION("""COMPUTED_VALUE"""),1.0)</f>
        <v>1</v>
      </c>
      <c r="J106" s="130">
        <f>IFERROR(__xludf.DUMMYFUNCTION("""COMPUTED_VALUE"""),1.0)</f>
        <v>1</v>
      </c>
      <c r="K106" s="130">
        <f>IFERROR(__xludf.DUMMYFUNCTION("""COMPUTED_VALUE"""),1.0)</f>
        <v>1</v>
      </c>
      <c r="L106" s="129">
        <f>IFERROR(__xludf.DUMMYFUNCTION("""COMPUTED_VALUE"""),1.0)</f>
        <v>1</v>
      </c>
      <c r="M106" s="130">
        <f>IFERROR(__xludf.DUMMYFUNCTION("""COMPUTED_VALUE"""),1.0)</f>
        <v>1</v>
      </c>
      <c r="N106" s="130">
        <f>IFERROR(__xludf.DUMMYFUNCTION("""COMPUTED_VALUE"""),0.0)</f>
        <v>0</v>
      </c>
      <c r="O106" s="130">
        <f>IFERROR(__xludf.DUMMYFUNCTION("""COMPUTED_VALUE"""),0.0)</f>
        <v>0</v>
      </c>
      <c r="P106" s="130">
        <f>IFERROR(__xludf.DUMMYFUNCTION("""COMPUTED_VALUE"""),0.0)</f>
        <v>0</v>
      </c>
      <c r="Q106" s="129">
        <f>IFERROR(__xludf.DUMMYFUNCTION("""COMPUTED_VALUE"""),0.0)</f>
        <v>0</v>
      </c>
      <c r="R106" s="129">
        <f>IFERROR(__xludf.DUMMYFUNCTION("""COMPUTED_VALUE"""),0.0)</f>
        <v>0</v>
      </c>
      <c r="S106" s="129">
        <f>IFERROR(__xludf.DUMMYFUNCTION("""COMPUTED_VALUE"""),0.0)</f>
        <v>0</v>
      </c>
      <c r="T106" s="129">
        <f>IFERROR(__xludf.DUMMYFUNCTION("""COMPUTED_VALUE"""),0.0)</f>
        <v>0</v>
      </c>
      <c r="U106" s="129">
        <f>IFERROR(__xludf.DUMMYFUNCTION("""COMPUTED_VALUE"""),0.0)</f>
        <v>0</v>
      </c>
      <c r="V106" s="126">
        <f>IFERROR(__xludf.DUMMYFUNCTION("""COMPUTED_VALUE"""),0.0)</f>
        <v>0</v>
      </c>
      <c r="W106" s="126" t="str">
        <f>IFERROR(__xludf.DUMMYFUNCTION("""COMPUTED_VALUE"""),"Yes")</f>
        <v>Yes</v>
      </c>
      <c r="X106" s="126" t="str">
        <f>IFERROR(__xludf.DUMMYFUNCTION("""COMPUTED_VALUE"""),"Yes")</f>
        <v>Yes</v>
      </c>
      <c r="Y106" s="126" t="str">
        <f>IFERROR(__xludf.DUMMYFUNCTION("""COMPUTED_VALUE"""),"C")</f>
        <v>C</v>
      </c>
      <c r="Z106" s="126" t="str">
        <f>IFERROR(__xludf.DUMMYFUNCTION("""COMPUTED_VALUE"""),"cloud simulation")</f>
        <v>cloud simulation</v>
      </c>
      <c r="AA106" s="126"/>
      <c r="AB106" s="126"/>
      <c r="AC106" s="126"/>
      <c r="AD106" s="126"/>
      <c r="AE106" s="126"/>
      <c r="AF106" s="126"/>
      <c r="AG106" s="126"/>
      <c r="AH106" s="126"/>
      <c r="AI106" s="126"/>
      <c r="AJ106" s="126"/>
    </row>
    <row r="107">
      <c r="A107" s="126">
        <f>IFERROR(__xludf.DUMMYFUNCTION("""COMPUTED_VALUE"""),305.0)</f>
        <v>305</v>
      </c>
      <c r="B107" s="126" t="str">
        <f>IFERROR(__xludf.DUMMYFUNCTION("""COMPUTED_VALUE"""),"New six-phase on-line resource management process for energy and sla efficient consolidation in cloud data centers.")</f>
        <v>New six-phase on-line resource management process for energy and sla efficient consolidation in cloud data centers.</v>
      </c>
      <c r="C107" s="127" t="str">
        <f>IFERROR(__xludf.DUMMYFUNCTION("""COMPUTED_VALUE"""),"https://pdfs.semanticscholar.org/c99b/2673db1e4879ded860a78e5cea1b40af7cab.pdf")</f>
        <v>https://pdfs.semanticscholar.org/c99b/2673db1e4879ded860a78e5cea1b40af7cab.pdf</v>
      </c>
      <c r="D107" s="131" t="str">
        <f>IFERROR(__xludf.DUMMYFUNCTION("""COMPUTED_VALUE"""),"E Arianyan, H Taheri, S Sharifian…")</f>
        <v>E Arianyan, H Taheri, S Sharifian…</v>
      </c>
      <c r="E107" s="131" t="str">
        <f>IFERROR(__xludf.DUMMYFUNCTION("""COMPUTED_VALUE"""),"International Arab Journal of Information Technology")</f>
        <v>International Arab Journal of Information Technology</v>
      </c>
      <c r="F107" s="126" t="str">
        <f>IFERROR(__xludf.DUMMYFUNCTION("""COMPUTED_VALUE"""),"IAJIT")</f>
        <v>IAJIT</v>
      </c>
      <c r="G107" s="128" t="str">
        <f>IFERROR(__xludf.DUMMYFUNCTION("""COMPUTED_VALUE"""),"J")</f>
        <v>J</v>
      </c>
      <c r="H107" s="130">
        <f>IFERROR(__xludf.DUMMYFUNCTION("""COMPUTED_VALUE"""),2018.0)</f>
        <v>2018</v>
      </c>
      <c r="I107" s="130">
        <f>IFERROR(__xludf.DUMMYFUNCTION("""COMPUTED_VALUE"""),1.0)</f>
        <v>1</v>
      </c>
      <c r="J107" s="130">
        <f>IFERROR(__xludf.DUMMYFUNCTION("""COMPUTED_VALUE"""),1.0)</f>
        <v>1</v>
      </c>
      <c r="K107" s="130">
        <f>IFERROR(__xludf.DUMMYFUNCTION("""COMPUTED_VALUE"""),1.0)</f>
        <v>1</v>
      </c>
      <c r="L107" s="130">
        <f>IFERROR(__xludf.DUMMYFUNCTION("""COMPUTED_VALUE"""),1.0)</f>
        <v>1</v>
      </c>
      <c r="M107" s="130">
        <f>IFERROR(__xludf.DUMMYFUNCTION("""COMPUTED_VALUE"""),1.0)</f>
        <v>1</v>
      </c>
      <c r="N107" s="129">
        <f>IFERROR(__xludf.DUMMYFUNCTION("""COMPUTED_VALUE"""),0.0)</f>
        <v>0</v>
      </c>
      <c r="O107" s="130">
        <f>IFERROR(__xludf.DUMMYFUNCTION("""COMPUTED_VALUE"""),0.0)</f>
        <v>0</v>
      </c>
      <c r="P107" s="130">
        <f>IFERROR(__xludf.DUMMYFUNCTION("""COMPUTED_VALUE"""),0.0)</f>
        <v>0</v>
      </c>
      <c r="Q107" s="129">
        <f>IFERROR(__xludf.DUMMYFUNCTION("""COMPUTED_VALUE"""),0.0)</f>
        <v>0</v>
      </c>
      <c r="R107" s="129">
        <f>IFERROR(__xludf.DUMMYFUNCTION("""COMPUTED_VALUE"""),0.0)</f>
        <v>0</v>
      </c>
      <c r="S107" s="129">
        <f>IFERROR(__xludf.DUMMYFUNCTION("""COMPUTED_VALUE"""),0.0)</f>
        <v>0</v>
      </c>
      <c r="T107" s="129">
        <f>IFERROR(__xludf.DUMMYFUNCTION("""COMPUTED_VALUE"""),0.0)</f>
        <v>0</v>
      </c>
      <c r="U107" s="129">
        <f>IFERROR(__xludf.DUMMYFUNCTION("""COMPUTED_VALUE"""),0.0)</f>
        <v>0</v>
      </c>
      <c r="V107" s="126">
        <f>IFERROR(__xludf.DUMMYFUNCTION("""COMPUTED_VALUE"""),0.0)</f>
        <v>0</v>
      </c>
      <c r="W107" s="126" t="str">
        <f>IFERROR(__xludf.DUMMYFUNCTION("""COMPUTED_VALUE"""),"Yes")</f>
        <v>Yes</v>
      </c>
      <c r="X107" s="126" t="str">
        <f>IFERROR(__xludf.DUMMYFUNCTION("""COMPUTED_VALUE"""),"Yes")</f>
        <v>Yes</v>
      </c>
      <c r="Y107" s="126" t="str">
        <f>IFERROR(__xludf.DUMMYFUNCTION("""COMPUTED_VALUE"""),"C")</f>
        <v>C</v>
      </c>
      <c r="Z107" s="126" t="str">
        <f>IFERROR(__xludf.DUMMYFUNCTION("""COMPUTED_VALUE"""),"resource management")</f>
        <v>resource management</v>
      </c>
      <c r="AA107" s="126"/>
      <c r="AB107" s="126"/>
      <c r="AC107" s="126"/>
      <c r="AD107" s="126"/>
      <c r="AE107" s="126"/>
      <c r="AF107" s="126"/>
      <c r="AG107" s="126"/>
      <c r="AH107" s="126"/>
      <c r="AI107" s="126"/>
      <c r="AJ107" s="126"/>
    </row>
    <row r="108">
      <c r="A108" s="126">
        <f>IFERROR(__xludf.DUMMYFUNCTION("""COMPUTED_VALUE"""),314.0)</f>
        <v>314</v>
      </c>
      <c r="B108" s="126" t="str">
        <f>IFERROR(__xludf.DUMMYFUNCTION("""COMPUTED_VALUE"""),"EnLoB: Energy and load balancing-driven container placement strategy for data centers")</f>
        <v>EnLoB: Energy and load balancing-driven container placement strategy for data centers</v>
      </c>
      <c r="C108" s="127" t="str">
        <f>IFERROR(__xludf.DUMMYFUNCTION("""COMPUTED_VALUE"""),"https://ieeexplore.ieee.org/abstract/document/9024592/")</f>
        <v>https://ieeexplore.ieee.org/abstract/document/9024592/</v>
      </c>
      <c r="D108" s="126" t="str">
        <f>IFERROR(__xludf.DUMMYFUNCTION("""COMPUTED_VALUE"""),"K Kaur, S Garg, G Kaddoum, F Gagnon…")</f>
        <v>K Kaur, S Garg, G Kaddoum, F Gagnon…</v>
      </c>
      <c r="E108" s="126" t="str">
        <f>IFERROR(__xludf.DUMMYFUNCTION("""COMPUTED_VALUE"""),"Institute of Electrical and Electronics Engineers")</f>
        <v>Institute of Electrical and Electronics Engineers</v>
      </c>
      <c r="F108" s="126" t="str">
        <f>IFERROR(__xludf.DUMMYFUNCTION("""COMPUTED_VALUE"""),"IEEE Xplore")</f>
        <v>IEEE Xplore</v>
      </c>
      <c r="G108" s="128"/>
      <c r="H108" s="130">
        <f>IFERROR(__xludf.DUMMYFUNCTION("""COMPUTED_VALUE"""),2019.0)</f>
        <v>2019</v>
      </c>
      <c r="I108" s="130">
        <f>IFERROR(__xludf.DUMMYFUNCTION("""COMPUTED_VALUE"""),1.0)</f>
        <v>1</v>
      </c>
      <c r="J108" s="130">
        <f>IFERROR(__xludf.DUMMYFUNCTION("""COMPUTED_VALUE"""),1.0)</f>
        <v>1</v>
      </c>
      <c r="K108" s="130">
        <f>IFERROR(__xludf.DUMMYFUNCTION("""COMPUTED_VALUE"""),1.0)</f>
        <v>1</v>
      </c>
      <c r="L108" s="129">
        <f>IFERROR(__xludf.DUMMYFUNCTION("""COMPUTED_VALUE"""),1.0)</f>
        <v>1</v>
      </c>
      <c r="M108" s="130">
        <f>IFERROR(__xludf.DUMMYFUNCTION("""COMPUTED_VALUE"""),1.0)</f>
        <v>1</v>
      </c>
      <c r="N108" s="130">
        <f>IFERROR(__xludf.DUMMYFUNCTION("""COMPUTED_VALUE"""),0.0)</f>
        <v>0</v>
      </c>
      <c r="O108" s="130">
        <f>IFERROR(__xludf.DUMMYFUNCTION("""COMPUTED_VALUE"""),0.0)</f>
        <v>0</v>
      </c>
      <c r="P108" s="130">
        <f>IFERROR(__xludf.DUMMYFUNCTION("""COMPUTED_VALUE"""),0.0)</f>
        <v>0</v>
      </c>
      <c r="Q108" s="129">
        <f>IFERROR(__xludf.DUMMYFUNCTION("""COMPUTED_VALUE"""),0.0)</f>
        <v>0</v>
      </c>
      <c r="R108" s="129">
        <f>IFERROR(__xludf.DUMMYFUNCTION("""COMPUTED_VALUE"""),0.0)</f>
        <v>0</v>
      </c>
      <c r="S108" s="129">
        <f>IFERROR(__xludf.DUMMYFUNCTION("""COMPUTED_VALUE"""),0.0)</f>
        <v>0</v>
      </c>
      <c r="T108" s="129">
        <f>IFERROR(__xludf.DUMMYFUNCTION("""COMPUTED_VALUE"""),0.0)</f>
        <v>0</v>
      </c>
      <c r="U108" s="129">
        <f>IFERROR(__xludf.DUMMYFUNCTION("""COMPUTED_VALUE"""),0.0)</f>
        <v>0</v>
      </c>
      <c r="V108" s="126">
        <f>IFERROR(__xludf.DUMMYFUNCTION("""COMPUTED_VALUE"""),0.0)</f>
        <v>0</v>
      </c>
      <c r="W108" s="126" t="str">
        <f>IFERROR(__xludf.DUMMYFUNCTION("""COMPUTED_VALUE"""),"Yes")</f>
        <v>Yes</v>
      </c>
      <c r="X108" s="126" t="str">
        <f>IFERROR(__xludf.DUMMYFUNCTION("""COMPUTED_VALUE"""),"Yes")</f>
        <v>Yes</v>
      </c>
      <c r="Y108" s="126" t="str">
        <f>IFERROR(__xludf.DUMMYFUNCTION("""COMPUTED_VALUE"""),"C")</f>
        <v>C</v>
      </c>
      <c r="Z108" s="126" t="str">
        <f>IFERROR(__xludf.DUMMYFUNCTION("""COMPUTED_VALUE"""),"container placement")</f>
        <v>container placement</v>
      </c>
      <c r="AA108" s="126"/>
      <c r="AB108" s="126"/>
      <c r="AC108" s="126"/>
      <c r="AD108" s="126"/>
      <c r="AE108" s="126"/>
      <c r="AF108" s="126"/>
      <c r="AG108" s="126"/>
      <c r="AH108" s="126"/>
      <c r="AI108" s="126"/>
      <c r="AJ108" s="126"/>
    </row>
    <row r="109">
      <c r="A109" s="126">
        <f>IFERROR(__xludf.DUMMYFUNCTION("""COMPUTED_VALUE"""),316.0)</f>
        <v>316</v>
      </c>
      <c r="B109" s="126" t="str">
        <f>IFERROR(__xludf.DUMMYFUNCTION("""COMPUTED_VALUE"""),"Energy aware virtual machine scheduling in data centers")</f>
        <v>Energy aware virtual machine scheduling in data centers</v>
      </c>
      <c r="C109" s="127" t="str">
        <f>IFERROR(__xludf.DUMMYFUNCTION("""COMPUTED_VALUE"""),"https://www.mdpi.com/1996-1073/12/4/646")</f>
        <v>https://www.mdpi.com/1996-1073/12/4/646</v>
      </c>
      <c r="D109" s="126" t="str">
        <f>IFERROR(__xludf.DUMMYFUNCTION("""COMPUTED_VALUE"""),"Y Qiu, C Jiang, Y Wang, D Ou, Y Li, J Wan")</f>
        <v>Y Qiu, C Jiang, Y Wang, D Ou, Y Li, J Wan</v>
      </c>
      <c r="E109" s="126" t="str">
        <f>IFERROR(__xludf.DUMMYFUNCTION("""COMPUTED_VALUE"""),"Multidisciplinary Digital Publishing Institute")</f>
        <v>Multidisciplinary Digital Publishing Institute</v>
      </c>
      <c r="F109" s="126" t="str">
        <f>IFERROR(__xludf.DUMMYFUNCTION("""COMPUTED_VALUE"""),"MDPI")</f>
        <v>MDPI</v>
      </c>
      <c r="G109" s="128" t="str">
        <f>IFERROR(__xludf.DUMMYFUNCTION("""COMPUTED_VALUE"""),"J")</f>
        <v>J</v>
      </c>
      <c r="H109" s="130">
        <f>IFERROR(__xludf.DUMMYFUNCTION("""COMPUTED_VALUE"""),2019.0)</f>
        <v>2019</v>
      </c>
      <c r="I109" s="129">
        <f>IFERROR(__xludf.DUMMYFUNCTION("""COMPUTED_VALUE"""),1.0)</f>
        <v>1</v>
      </c>
      <c r="J109" s="130">
        <f>IFERROR(__xludf.DUMMYFUNCTION("""COMPUTED_VALUE"""),1.0)</f>
        <v>1</v>
      </c>
      <c r="K109" s="130">
        <f>IFERROR(__xludf.DUMMYFUNCTION("""COMPUTED_VALUE"""),1.0)</f>
        <v>1</v>
      </c>
      <c r="L109" s="130">
        <f>IFERROR(__xludf.DUMMYFUNCTION("""COMPUTED_VALUE"""),1.0)</f>
        <v>1</v>
      </c>
      <c r="M109" s="130">
        <f>IFERROR(__xludf.DUMMYFUNCTION("""COMPUTED_VALUE"""),1.0)</f>
        <v>1</v>
      </c>
      <c r="N109" s="130">
        <f>IFERROR(__xludf.DUMMYFUNCTION("""COMPUTED_VALUE"""),0.0)</f>
        <v>0</v>
      </c>
      <c r="O109" s="130">
        <f>IFERROR(__xludf.DUMMYFUNCTION("""COMPUTED_VALUE"""),0.0)</f>
        <v>0</v>
      </c>
      <c r="P109" s="130">
        <f>IFERROR(__xludf.DUMMYFUNCTION("""COMPUTED_VALUE"""),0.0)</f>
        <v>0</v>
      </c>
      <c r="Q109" s="129">
        <f>IFERROR(__xludf.DUMMYFUNCTION("""COMPUTED_VALUE"""),0.0)</f>
        <v>0</v>
      </c>
      <c r="R109" s="129">
        <f>IFERROR(__xludf.DUMMYFUNCTION("""COMPUTED_VALUE"""),0.0)</f>
        <v>0</v>
      </c>
      <c r="S109" s="129">
        <f>IFERROR(__xludf.DUMMYFUNCTION("""COMPUTED_VALUE"""),0.0)</f>
        <v>0</v>
      </c>
      <c r="T109" s="129">
        <f>IFERROR(__xludf.DUMMYFUNCTION("""COMPUTED_VALUE"""),0.0)</f>
        <v>0</v>
      </c>
      <c r="U109" s="129">
        <f>IFERROR(__xludf.DUMMYFUNCTION("""COMPUTED_VALUE"""),0.0)</f>
        <v>0</v>
      </c>
      <c r="V109" s="126">
        <f>IFERROR(__xludf.DUMMYFUNCTION("""COMPUTED_VALUE"""),0.0)</f>
        <v>0</v>
      </c>
      <c r="W109" s="126" t="str">
        <f>IFERROR(__xludf.DUMMYFUNCTION("""COMPUTED_VALUE"""),"Yes")</f>
        <v>Yes</v>
      </c>
      <c r="X109" s="126" t="str">
        <f>IFERROR(__xludf.DUMMYFUNCTION("""COMPUTED_VALUE"""),"Yes")</f>
        <v>Yes</v>
      </c>
      <c r="Y109" s="126" t="str">
        <f>IFERROR(__xludf.DUMMYFUNCTION("""COMPUTED_VALUE"""),"C")</f>
        <v>C</v>
      </c>
      <c r="Z109" s="126" t="str">
        <f>IFERROR(__xludf.DUMMYFUNCTION("""COMPUTED_VALUE"""),"VM scheduling")</f>
        <v>VM scheduling</v>
      </c>
      <c r="AA109" s="126"/>
      <c r="AB109" s="126"/>
      <c r="AC109" s="126"/>
      <c r="AD109" s="126"/>
      <c r="AE109" s="126"/>
      <c r="AF109" s="126"/>
      <c r="AG109" s="126"/>
      <c r="AH109" s="126"/>
      <c r="AI109" s="126"/>
      <c r="AJ109" s="126"/>
    </row>
    <row r="110">
      <c r="A110" s="126">
        <f>IFERROR(__xludf.DUMMYFUNCTION("""COMPUTED_VALUE"""),320.0)</f>
        <v>320</v>
      </c>
      <c r="B110" s="126" t="str">
        <f>IFERROR(__xludf.DUMMYFUNCTION("""COMPUTED_VALUE"""),"Energy-Efficient Resource Allocation in Data Centers Using a Hybrid Evolutionary Algorithm")</f>
        <v>Energy-Efficient Resource Allocation in Data Centers Using a Hybrid Evolutionary Algorithm</v>
      </c>
      <c r="C110" s="127" t="str">
        <f>IFERROR(__xludf.DUMMYFUNCTION("""COMPUTED_VALUE"""),"https://link.springer.com/chapter/10.1007/978-981-15-3689-2_4")</f>
        <v>https://link.springer.com/chapter/10.1007/978-981-15-3689-2_4</v>
      </c>
      <c r="D110" s="131" t="str">
        <f>IFERROR(__xludf.DUMMYFUNCTION("""COMPUTED_VALUE"""),"VD Reddy, GR Gangadharan, G Rao…")</f>
        <v>VD Reddy, GR Gangadharan, G Rao…</v>
      </c>
      <c r="E110" s="131" t="str">
        <f>IFERROR(__xludf.DUMMYFUNCTION("""COMPUTED_VALUE"""),"Springer")</f>
        <v>Springer</v>
      </c>
      <c r="F110" s="126" t="str">
        <f>IFERROR(__xludf.DUMMYFUNCTION("""COMPUTED_VALUE"""),"Springer")</f>
        <v>Springer</v>
      </c>
      <c r="G110" s="132"/>
      <c r="H110" s="130">
        <f>IFERROR(__xludf.DUMMYFUNCTION("""COMPUTED_VALUE"""),2020.0)</f>
        <v>2020</v>
      </c>
      <c r="I110" s="130">
        <f>IFERROR(__xludf.DUMMYFUNCTION("""COMPUTED_VALUE"""),1.0)</f>
        <v>1</v>
      </c>
      <c r="J110" s="130">
        <f>IFERROR(__xludf.DUMMYFUNCTION("""COMPUTED_VALUE"""),1.0)</f>
        <v>1</v>
      </c>
      <c r="K110" s="130">
        <f>IFERROR(__xludf.DUMMYFUNCTION("""COMPUTED_VALUE"""),1.0)</f>
        <v>1</v>
      </c>
      <c r="L110" s="129">
        <f>IFERROR(__xludf.DUMMYFUNCTION("""COMPUTED_VALUE"""),1.0)</f>
        <v>1</v>
      </c>
      <c r="M110" s="130">
        <f>IFERROR(__xludf.DUMMYFUNCTION("""COMPUTED_VALUE"""),1.0)</f>
        <v>1</v>
      </c>
      <c r="N110" s="130">
        <f>IFERROR(__xludf.DUMMYFUNCTION("""COMPUTED_VALUE"""),0.0)</f>
        <v>0</v>
      </c>
      <c r="O110" s="130">
        <f>IFERROR(__xludf.DUMMYFUNCTION("""COMPUTED_VALUE"""),0.0)</f>
        <v>0</v>
      </c>
      <c r="P110" s="130">
        <f>IFERROR(__xludf.DUMMYFUNCTION("""COMPUTED_VALUE"""),0.0)</f>
        <v>0</v>
      </c>
      <c r="Q110" s="129">
        <f>IFERROR(__xludf.DUMMYFUNCTION("""COMPUTED_VALUE"""),0.0)</f>
        <v>0</v>
      </c>
      <c r="R110" s="129">
        <f>IFERROR(__xludf.DUMMYFUNCTION("""COMPUTED_VALUE"""),0.0)</f>
        <v>0</v>
      </c>
      <c r="S110" s="129">
        <f>IFERROR(__xludf.DUMMYFUNCTION("""COMPUTED_VALUE"""),0.0)</f>
        <v>0</v>
      </c>
      <c r="T110" s="129">
        <f>IFERROR(__xludf.DUMMYFUNCTION("""COMPUTED_VALUE"""),0.0)</f>
        <v>0</v>
      </c>
      <c r="U110" s="129">
        <f>IFERROR(__xludf.DUMMYFUNCTION("""COMPUTED_VALUE"""),0.0)</f>
        <v>0</v>
      </c>
      <c r="V110" s="126">
        <f>IFERROR(__xludf.DUMMYFUNCTION("""COMPUTED_VALUE"""),0.0)</f>
        <v>0</v>
      </c>
      <c r="W110" s="126" t="str">
        <f>IFERROR(__xludf.DUMMYFUNCTION("""COMPUTED_VALUE"""),"Yes")</f>
        <v>Yes</v>
      </c>
      <c r="X110" s="126" t="str">
        <f>IFERROR(__xludf.DUMMYFUNCTION("""COMPUTED_VALUE"""),"Yes")</f>
        <v>Yes</v>
      </c>
      <c r="Y110" s="126" t="str">
        <f>IFERROR(__xludf.DUMMYFUNCTION("""COMPUTED_VALUE"""),"C")</f>
        <v>C</v>
      </c>
      <c r="Z110" s="126" t="str">
        <f>IFERROR(__xludf.DUMMYFUNCTION("""COMPUTED_VALUE"""),"resource allocation")</f>
        <v>resource allocation</v>
      </c>
      <c r="AA110" s="126"/>
      <c r="AB110" s="126"/>
      <c r="AC110" s="126"/>
      <c r="AD110" s="126"/>
      <c r="AE110" s="126"/>
      <c r="AF110" s="126"/>
      <c r="AG110" s="126"/>
      <c r="AH110" s="126"/>
      <c r="AI110" s="126"/>
      <c r="AJ110" s="126"/>
    </row>
    <row r="111">
      <c r="A111" s="126">
        <f>IFERROR(__xludf.DUMMYFUNCTION("""COMPUTED_VALUE"""),323.0)</f>
        <v>323</v>
      </c>
      <c r="B111" s="126" t="str">
        <f>IFERROR(__xludf.DUMMYFUNCTION("""COMPUTED_VALUE"""),"Energy efficient scheduling of servers with multi-sleep modes for cloud data center")</f>
        <v>Energy efficient scheduling of servers with multi-sleep modes for cloud data center</v>
      </c>
      <c r="C111" s="127" t="str">
        <f>IFERROR(__xludf.DUMMYFUNCTION("""COMPUTED_VALUE"""),"https://ieeexplore.ieee.org/abstract/document/8356052/")</f>
        <v>https://ieeexplore.ieee.org/abstract/document/8356052/</v>
      </c>
      <c r="D111" s="126" t="str">
        <f>IFERROR(__xludf.DUMMYFUNCTION("""COMPUTED_VALUE"""),"C Gu, Z Li, H Huang, X Jia")</f>
        <v>C Gu, Z Li, H Huang, X Jia</v>
      </c>
      <c r="E111" s="126" t="str">
        <f>IFERROR(__xludf.DUMMYFUNCTION("""COMPUTED_VALUE"""),"Institute of Electrical and Electronics Engineers")</f>
        <v>Institute of Electrical and Electronics Engineers</v>
      </c>
      <c r="F111" s="126" t="str">
        <f>IFERROR(__xludf.DUMMYFUNCTION("""COMPUTED_VALUE"""),"IEEE Xplore")</f>
        <v>IEEE Xplore</v>
      </c>
      <c r="G111" s="128"/>
      <c r="H111" s="129">
        <f>IFERROR(__xludf.DUMMYFUNCTION("""COMPUTED_VALUE"""),2018.0)</f>
        <v>2018</v>
      </c>
      <c r="I111" s="129">
        <f>IFERROR(__xludf.DUMMYFUNCTION("""COMPUTED_VALUE"""),1.0)</f>
        <v>1</v>
      </c>
      <c r="J111" s="129">
        <f>IFERROR(__xludf.DUMMYFUNCTION("""COMPUTED_VALUE"""),1.0)</f>
        <v>1</v>
      </c>
      <c r="K111" s="130">
        <f>IFERROR(__xludf.DUMMYFUNCTION("""COMPUTED_VALUE"""),1.0)</f>
        <v>1</v>
      </c>
      <c r="L111" s="129">
        <f>IFERROR(__xludf.DUMMYFUNCTION("""COMPUTED_VALUE"""),1.0)</f>
        <v>1</v>
      </c>
      <c r="M111" s="130">
        <f>IFERROR(__xludf.DUMMYFUNCTION("""COMPUTED_VALUE"""),1.0)</f>
        <v>1</v>
      </c>
      <c r="N111" s="130">
        <f>IFERROR(__xludf.DUMMYFUNCTION("""COMPUTED_VALUE"""),0.0)</f>
        <v>0</v>
      </c>
      <c r="O111" s="130">
        <f>IFERROR(__xludf.DUMMYFUNCTION("""COMPUTED_VALUE"""),0.0)</f>
        <v>0</v>
      </c>
      <c r="P111" s="130">
        <f>IFERROR(__xludf.DUMMYFUNCTION("""COMPUTED_VALUE"""),0.0)</f>
        <v>0</v>
      </c>
      <c r="Q111" s="130">
        <f>IFERROR(__xludf.DUMMYFUNCTION("""COMPUTED_VALUE"""),0.0)</f>
        <v>0</v>
      </c>
      <c r="R111" s="130">
        <f>IFERROR(__xludf.DUMMYFUNCTION("""COMPUTED_VALUE"""),0.0)</f>
        <v>0</v>
      </c>
      <c r="S111" s="130">
        <f>IFERROR(__xludf.DUMMYFUNCTION("""COMPUTED_VALUE"""),0.0)</f>
        <v>0</v>
      </c>
      <c r="T111" s="130">
        <f>IFERROR(__xludf.DUMMYFUNCTION("""COMPUTED_VALUE"""),0.0)</f>
        <v>0</v>
      </c>
      <c r="U111" s="130">
        <f>IFERROR(__xludf.DUMMYFUNCTION("""COMPUTED_VALUE"""),0.0)</f>
        <v>0</v>
      </c>
      <c r="V111" s="131">
        <f>IFERROR(__xludf.DUMMYFUNCTION("""COMPUTED_VALUE"""),0.0)</f>
        <v>0</v>
      </c>
      <c r="W111" s="131" t="str">
        <f>IFERROR(__xludf.DUMMYFUNCTION("""COMPUTED_VALUE"""),"Yes")</f>
        <v>Yes</v>
      </c>
      <c r="X111" s="131" t="str">
        <f>IFERROR(__xludf.DUMMYFUNCTION("""COMPUTED_VALUE"""),"Yes")</f>
        <v>Yes</v>
      </c>
      <c r="Y111" s="131" t="str">
        <f>IFERROR(__xludf.DUMMYFUNCTION("""COMPUTED_VALUE"""),"C")</f>
        <v>C</v>
      </c>
      <c r="Z111" s="131" t="str">
        <f>IFERROR(__xludf.DUMMYFUNCTION("""COMPUTED_VALUE"""),"scheduling servers")</f>
        <v>scheduling servers</v>
      </c>
      <c r="AA111" s="131"/>
      <c r="AB111" s="131"/>
      <c r="AC111" s="131"/>
      <c r="AD111" s="131"/>
      <c r="AE111" s="131"/>
      <c r="AF111" s="131"/>
      <c r="AG111" s="131"/>
      <c r="AH111" s="131"/>
      <c r="AI111" s="131"/>
      <c r="AJ111" s="131"/>
    </row>
    <row r="112">
      <c r="A112" s="126">
        <f>IFERROR(__xludf.DUMMYFUNCTION("""COMPUTED_VALUE"""),325.0)</f>
        <v>325</v>
      </c>
      <c r="B112" s="126" t="str">
        <f>IFERROR(__xludf.DUMMYFUNCTION("""COMPUTED_VALUE"""),"Availability-aware and Energy-efficient Virtual Cluster Allocation Based on Multi-objective Optimization in Cloud Datacenters")</f>
        <v>Availability-aware and Energy-efficient Virtual Cluster Allocation Based on Multi-objective Optimization in Cloud Datacenters</v>
      </c>
      <c r="C112" s="127" t="str">
        <f>IFERROR(__xludf.DUMMYFUNCTION("""COMPUTED_VALUE"""),"https://ieeexplore.ieee.org/abstract/document/9006914/")</f>
        <v>https://ieeexplore.ieee.org/abstract/document/9006914/</v>
      </c>
      <c r="D112" s="126" t="str">
        <f>IFERROR(__xludf.DUMMYFUNCTION("""COMPUTED_VALUE"""),"X Liu, B Cheng, S Wang")</f>
        <v>X Liu, B Cheng, S Wang</v>
      </c>
      <c r="E112" s="126" t="str">
        <f>IFERROR(__xludf.DUMMYFUNCTION("""COMPUTED_VALUE"""),"Institute of Electrical and Electronics Engineers")</f>
        <v>Institute of Electrical and Electronics Engineers</v>
      </c>
      <c r="F112" s="126" t="str">
        <f>IFERROR(__xludf.DUMMYFUNCTION("""COMPUTED_VALUE"""),"IEEE Xplore")</f>
        <v>IEEE Xplore</v>
      </c>
      <c r="G112" s="128"/>
      <c r="H112" s="130">
        <f>IFERROR(__xludf.DUMMYFUNCTION("""COMPUTED_VALUE"""),2020.0)</f>
        <v>2020</v>
      </c>
      <c r="I112" s="130">
        <f>IFERROR(__xludf.DUMMYFUNCTION("""COMPUTED_VALUE"""),1.0)</f>
        <v>1</v>
      </c>
      <c r="J112" s="130">
        <f>IFERROR(__xludf.DUMMYFUNCTION("""COMPUTED_VALUE"""),1.0)</f>
        <v>1</v>
      </c>
      <c r="K112" s="130">
        <f>IFERROR(__xludf.DUMMYFUNCTION("""COMPUTED_VALUE"""),1.0)</f>
        <v>1</v>
      </c>
      <c r="L112" s="129">
        <f>IFERROR(__xludf.DUMMYFUNCTION("""COMPUTED_VALUE"""),1.0)</f>
        <v>1</v>
      </c>
      <c r="M112" s="130">
        <f>IFERROR(__xludf.DUMMYFUNCTION("""COMPUTED_VALUE"""),1.0)</f>
        <v>1</v>
      </c>
      <c r="N112" s="130">
        <f>IFERROR(__xludf.DUMMYFUNCTION("""COMPUTED_VALUE"""),0.0)</f>
        <v>0</v>
      </c>
      <c r="O112" s="130">
        <f>IFERROR(__xludf.DUMMYFUNCTION("""COMPUTED_VALUE"""),0.0)</f>
        <v>0</v>
      </c>
      <c r="P112" s="130">
        <f>IFERROR(__xludf.DUMMYFUNCTION("""COMPUTED_VALUE"""),0.0)</f>
        <v>0</v>
      </c>
      <c r="Q112" s="130">
        <f>IFERROR(__xludf.DUMMYFUNCTION("""COMPUTED_VALUE"""),0.0)</f>
        <v>0</v>
      </c>
      <c r="R112" s="130">
        <f>IFERROR(__xludf.DUMMYFUNCTION("""COMPUTED_VALUE"""),0.0)</f>
        <v>0</v>
      </c>
      <c r="S112" s="130">
        <f>IFERROR(__xludf.DUMMYFUNCTION("""COMPUTED_VALUE"""),0.0)</f>
        <v>0</v>
      </c>
      <c r="T112" s="130">
        <f>IFERROR(__xludf.DUMMYFUNCTION("""COMPUTED_VALUE"""),0.0)</f>
        <v>0</v>
      </c>
      <c r="U112" s="130">
        <f>IFERROR(__xludf.DUMMYFUNCTION("""COMPUTED_VALUE"""),0.0)</f>
        <v>0</v>
      </c>
      <c r="V112" s="131">
        <f>IFERROR(__xludf.DUMMYFUNCTION("""COMPUTED_VALUE"""),0.0)</f>
        <v>0</v>
      </c>
      <c r="W112" s="131" t="str">
        <f>IFERROR(__xludf.DUMMYFUNCTION("""COMPUTED_VALUE"""),"Yes")</f>
        <v>Yes</v>
      </c>
      <c r="X112" s="131" t="str">
        <f>IFERROR(__xludf.DUMMYFUNCTION("""COMPUTED_VALUE"""),"Yes")</f>
        <v>Yes</v>
      </c>
      <c r="Y112" s="131" t="str">
        <f>IFERROR(__xludf.DUMMYFUNCTION("""COMPUTED_VALUE"""),"C")</f>
        <v>C</v>
      </c>
      <c r="Z112" s="131" t="str">
        <f>IFERROR(__xludf.DUMMYFUNCTION("""COMPUTED_VALUE"""),"cluster allocation")</f>
        <v>cluster allocation</v>
      </c>
      <c r="AA112" s="131"/>
      <c r="AB112" s="131"/>
      <c r="AC112" s="131"/>
      <c r="AD112" s="131"/>
      <c r="AE112" s="131"/>
      <c r="AF112" s="131"/>
      <c r="AG112" s="131"/>
      <c r="AH112" s="131"/>
      <c r="AI112" s="131"/>
      <c r="AJ112" s="131"/>
    </row>
    <row r="113">
      <c r="A113" s="126">
        <f>IFERROR(__xludf.DUMMYFUNCTION("""COMPUTED_VALUE"""),326.0)</f>
        <v>326</v>
      </c>
      <c r="B113" s="126" t="str">
        <f>IFERROR(__xludf.DUMMYFUNCTION("""COMPUTED_VALUE"""),"Simultaneous application assignment and virtual machine placement via ant colony optimization for energy-efficient enterprise data centers")</f>
        <v>Simultaneous application assignment and virtual machine placement via ant colony optimization for energy-efficient enterprise data centers</v>
      </c>
      <c r="C113" s="127" t="str">
        <f>IFERROR(__xludf.DUMMYFUNCTION("""COMPUTED_VALUE"""),"https://link.springer.com/article/10.1007/s10586-020-03186-z")</f>
        <v>https://link.springer.com/article/10.1007/s10586-020-03186-z</v>
      </c>
      <c r="D113" s="131" t="str">
        <f>IFERROR(__xludf.DUMMYFUNCTION("""COMPUTED_VALUE"""),"F Alharbi, YC Tian, M Tang, MH Ferdaus, WZ Zhang…")</f>
        <v>F Alharbi, YC Tian, M Tang, MH Ferdaus, WZ Zhang…</v>
      </c>
      <c r="E113" s="131" t="str">
        <f>IFERROR(__xludf.DUMMYFUNCTION("""COMPUTED_VALUE"""),"Springer")</f>
        <v>Springer</v>
      </c>
      <c r="F113" s="126" t="str">
        <f>IFERROR(__xludf.DUMMYFUNCTION("""COMPUTED_VALUE"""),"Springer")</f>
        <v>Springer</v>
      </c>
      <c r="G113" s="128" t="str">
        <f>IFERROR(__xludf.DUMMYFUNCTION("""COMPUTED_VALUE"""),"J")</f>
        <v>J</v>
      </c>
      <c r="H113" s="130">
        <f>IFERROR(__xludf.DUMMYFUNCTION("""COMPUTED_VALUE"""),2020.0)</f>
        <v>2020</v>
      </c>
      <c r="I113" s="130"/>
      <c r="J113" s="130">
        <f>IFERROR(__xludf.DUMMYFUNCTION("""COMPUTED_VALUE"""),1.0)</f>
        <v>1</v>
      </c>
      <c r="K113" s="130">
        <f>IFERROR(__xludf.DUMMYFUNCTION("""COMPUTED_VALUE"""),1.0)</f>
        <v>1</v>
      </c>
      <c r="L113" s="129"/>
      <c r="M113" s="130">
        <f>IFERROR(__xludf.DUMMYFUNCTION("""COMPUTED_VALUE"""),1.0)</f>
        <v>1</v>
      </c>
      <c r="N113" s="130">
        <f>IFERROR(__xludf.DUMMYFUNCTION("""COMPUTED_VALUE"""),0.0)</f>
        <v>0</v>
      </c>
      <c r="O113" s="130">
        <f>IFERROR(__xludf.DUMMYFUNCTION("""COMPUTED_VALUE"""),0.0)</f>
        <v>0</v>
      </c>
      <c r="P113" s="130">
        <f>IFERROR(__xludf.DUMMYFUNCTION("""COMPUTED_VALUE"""),0.0)</f>
        <v>0</v>
      </c>
      <c r="Q113" s="130">
        <f>IFERROR(__xludf.DUMMYFUNCTION("""COMPUTED_VALUE"""),0.0)</f>
        <v>0</v>
      </c>
      <c r="R113" s="130">
        <f>IFERROR(__xludf.DUMMYFUNCTION("""COMPUTED_VALUE"""),0.0)</f>
        <v>0</v>
      </c>
      <c r="S113" s="130">
        <f>IFERROR(__xludf.DUMMYFUNCTION("""COMPUTED_VALUE"""),0.0)</f>
        <v>0</v>
      </c>
      <c r="T113" s="130">
        <f>IFERROR(__xludf.DUMMYFUNCTION("""COMPUTED_VALUE"""),0.0)</f>
        <v>0</v>
      </c>
      <c r="U113" s="130">
        <f>IFERROR(__xludf.DUMMYFUNCTION("""COMPUTED_VALUE"""),0.0)</f>
        <v>0</v>
      </c>
      <c r="V113" s="131">
        <f>IFERROR(__xludf.DUMMYFUNCTION("""COMPUTED_VALUE"""),0.0)</f>
        <v>0</v>
      </c>
      <c r="W113" s="131" t="str">
        <f>IFERROR(__xludf.DUMMYFUNCTION("""COMPUTED_VALUE"""),"Yes")</f>
        <v>Yes</v>
      </c>
      <c r="X113" s="131" t="str">
        <f>IFERROR(__xludf.DUMMYFUNCTION("""COMPUTED_VALUE"""),"Yes")</f>
        <v>Yes</v>
      </c>
      <c r="Y113" s="131" t="str">
        <f>IFERROR(__xludf.DUMMYFUNCTION("""COMPUTED_VALUE"""),"C")</f>
        <v>C</v>
      </c>
      <c r="Z113" s="131" t="str">
        <f>IFERROR(__xludf.DUMMYFUNCTION("""COMPUTED_VALUE"""),"ant colony optimization")</f>
        <v>ant colony optimization</v>
      </c>
      <c r="AA113" s="131"/>
      <c r="AB113" s="131"/>
      <c r="AC113" s="131"/>
      <c r="AD113" s="131"/>
      <c r="AE113" s="131"/>
      <c r="AF113" s="131"/>
      <c r="AG113" s="131"/>
      <c r="AH113" s="131"/>
      <c r="AI113" s="131"/>
      <c r="AJ113" s="131"/>
    </row>
    <row r="114">
      <c r="A114" s="126">
        <f>IFERROR(__xludf.DUMMYFUNCTION("""COMPUTED_VALUE"""),327.0)</f>
        <v>327</v>
      </c>
      <c r="B114" s="126" t="str">
        <f>IFERROR(__xludf.DUMMYFUNCTION("""COMPUTED_VALUE"""),"Green IT scheduling for data center powered with renewable energy")</f>
        <v>Green IT scheduling for data center powered with renewable energy</v>
      </c>
      <c r="C114" s="127" t="str">
        <f>IFERROR(__xludf.DUMMYFUNCTION("""COMPUTED_VALUE"""),"https://www.sciencedirect.com/science/article/pii/S0167739X17300092")</f>
        <v>https://www.sciencedirect.com/science/article/pii/S0167739X17300092</v>
      </c>
      <c r="D114" s="126" t="str">
        <f>IFERROR(__xludf.DUMMYFUNCTION("""COMPUTED_VALUE"""),"L Grange, G Da Costa, P Stolf")</f>
        <v>L Grange, G Da Costa, P Stolf</v>
      </c>
      <c r="E114" s="126" t="str">
        <f>IFERROR(__xludf.DUMMYFUNCTION("""COMPUTED_VALUE"""),"Elsevier")</f>
        <v>Elsevier</v>
      </c>
      <c r="F114" s="126" t="str">
        <f>IFERROR(__xludf.DUMMYFUNCTION("""COMPUTED_VALUE"""),"Elsevier")</f>
        <v>Elsevier</v>
      </c>
      <c r="G114" s="132" t="str">
        <f>IFERROR(__xludf.DUMMYFUNCTION("""COMPUTED_VALUE"""),"J")</f>
        <v>J</v>
      </c>
      <c r="H114" s="129">
        <f>IFERROR(__xludf.DUMMYFUNCTION("""COMPUTED_VALUE"""),2018.0)</f>
        <v>2018</v>
      </c>
      <c r="I114" s="129">
        <f>IFERROR(__xludf.DUMMYFUNCTION("""COMPUTED_VALUE"""),1.0)</f>
        <v>1</v>
      </c>
      <c r="J114" s="129">
        <f>IFERROR(__xludf.DUMMYFUNCTION("""COMPUTED_VALUE"""),1.0)</f>
        <v>1</v>
      </c>
      <c r="K114" s="130">
        <f>IFERROR(__xludf.DUMMYFUNCTION("""COMPUTED_VALUE"""),1.0)</f>
        <v>1</v>
      </c>
      <c r="L114" s="130">
        <f>IFERROR(__xludf.DUMMYFUNCTION("""COMPUTED_VALUE"""),1.0)</f>
        <v>1</v>
      </c>
      <c r="M114" s="130">
        <f>IFERROR(__xludf.DUMMYFUNCTION("""COMPUTED_VALUE"""),1.0)</f>
        <v>1</v>
      </c>
      <c r="N114" s="130">
        <f>IFERROR(__xludf.DUMMYFUNCTION("""COMPUTED_VALUE"""),0.0)</f>
        <v>0</v>
      </c>
      <c r="O114" s="130">
        <f>IFERROR(__xludf.DUMMYFUNCTION("""COMPUTED_VALUE"""),0.0)</f>
        <v>0</v>
      </c>
      <c r="P114" s="129">
        <f>IFERROR(__xludf.DUMMYFUNCTION("""COMPUTED_VALUE"""),0.0)</f>
        <v>0</v>
      </c>
      <c r="Q114" s="129">
        <f>IFERROR(__xludf.DUMMYFUNCTION("""COMPUTED_VALUE"""),0.0)</f>
        <v>0</v>
      </c>
      <c r="R114" s="129">
        <f>IFERROR(__xludf.DUMMYFUNCTION("""COMPUTED_VALUE"""),0.0)</f>
        <v>0</v>
      </c>
      <c r="S114" s="129">
        <f>IFERROR(__xludf.DUMMYFUNCTION("""COMPUTED_VALUE"""),0.0)</f>
        <v>0</v>
      </c>
      <c r="T114" s="129">
        <f>IFERROR(__xludf.DUMMYFUNCTION("""COMPUTED_VALUE"""),0.0)</f>
        <v>0</v>
      </c>
      <c r="U114" s="129">
        <f>IFERROR(__xludf.DUMMYFUNCTION("""COMPUTED_VALUE"""),0.0)</f>
        <v>0</v>
      </c>
      <c r="V114" s="126">
        <f>IFERROR(__xludf.DUMMYFUNCTION("""COMPUTED_VALUE"""),0.0)</f>
        <v>0</v>
      </c>
      <c r="W114" s="126" t="str">
        <f>IFERROR(__xludf.DUMMYFUNCTION("""COMPUTED_VALUE"""),"Yes")</f>
        <v>Yes</v>
      </c>
      <c r="X114" s="126" t="str">
        <f>IFERROR(__xludf.DUMMYFUNCTION("""COMPUTED_VALUE"""),"Yes")</f>
        <v>Yes</v>
      </c>
      <c r="Y114" s="126" t="str">
        <f>IFERROR(__xludf.DUMMYFUNCTION("""COMPUTED_VALUE"""),"C")</f>
        <v>C</v>
      </c>
      <c r="Z114" s="126" t="str">
        <f>IFERROR(__xludf.DUMMYFUNCTION("""COMPUTED_VALUE"""),"energy availability aware schduling")</f>
        <v>energy availability aware schduling</v>
      </c>
      <c r="AA114" s="126"/>
      <c r="AB114" s="126"/>
      <c r="AC114" s="126"/>
      <c r="AD114" s="126"/>
      <c r="AE114" s="126"/>
      <c r="AF114" s="126"/>
      <c r="AG114" s="126"/>
      <c r="AH114" s="126"/>
      <c r="AI114" s="126"/>
      <c r="AJ114" s="126"/>
    </row>
    <row r="115">
      <c r="A115" s="126">
        <f>IFERROR(__xludf.DUMMYFUNCTION("""COMPUTED_VALUE"""),330.0)</f>
        <v>330</v>
      </c>
      <c r="B115" s="126" t="str">
        <f>IFERROR(__xludf.DUMMYFUNCTION("""COMPUTED_VALUE"""),"SLA-Aware and Energy-Efficient VM Consolidation in Cloud Data Centers Using Host State Binary Decision Tree Prediction Model")</f>
        <v>SLA-Aware and Energy-Efficient VM Consolidation in Cloud Data Centers Using Host State Binary Decision Tree Prediction Model</v>
      </c>
      <c r="C115" s="127" t="str">
        <f>IFERROR(__xludf.DUMMYFUNCTION("""COMPUTED_VALUE"""),"https://www.jstage.jst.go.jp/article/transinf/E102.D/10/E102.D_2018EDP7441/_article/-char/ja/")</f>
        <v>https://www.jstage.jst.go.jp/article/transinf/E102.D/10/E102.D_2018EDP7441/_article/-char/ja/</v>
      </c>
      <c r="D115" s="126" t="str">
        <f>IFERROR(__xludf.DUMMYFUNCTION("""COMPUTED_VALUE"""),"L Li, J Dong, D Zuo, Y Zhao, T Li")</f>
        <v>L Li, J Dong, D Zuo, Y Zhao, T Li</v>
      </c>
      <c r="E115" s="127" t="str">
        <f>IFERROR(__xludf.DUMMYFUNCTION("""COMPUTED_VALUE"""),"jstage.jst.go.jp")</f>
        <v>jstage.jst.go.jp</v>
      </c>
      <c r="F115" s="127" t="str">
        <f>IFERROR(__xludf.DUMMYFUNCTION("""COMPUTED_VALUE"""),"jstage.jst.go.jp")</f>
        <v>jstage.jst.go.jp</v>
      </c>
      <c r="G115" s="128"/>
      <c r="H115" s="130">
        <f>IFERROR(__xludf.DUMMYFUNCTION("""COMPUTED_VALUE"""),2019.0)</f>
        <v>2019</v>
      </c>
      <c r="I115" s="130">
        <f>IFERROR(__xludf.DUMMYFUNCTION("""COMPUTED_VALUE"""),1.0)</f>
        <v>1</v>
      </c>
      <c r="J115" s="130">
        <f>IFERROR(__xludf.DUMMYFUNCTION("""COMPUTED_VALUE"""),1.0)</f>
        <v>1</v>
      </c>
      <c r="K115" s="130">
        <f>IFERROR(__xludf.DUMMYFUNCTION("""COMPUTED_VALUE"""),1.0)</f>
        <v>1</v>
      </c>
      <c r="L115" s="129">
        <f>IFERROR(__xludf.DUMMYFUNCTION("""COMPUTED_VALUE"""),1.0)</f>
        <v>1</v>
      </c>
      <c r="M115" s="130">
        <f>IFERROR(__xludf.DUMMYFUNCTION("""COMPUTED_VALUE"""),1.0)</f>
        <v>1</v>
      </c>
      <c r="N115" s="130">
        <f>IFERROR(__xludf.DUMMYFUNCTION("""COMPUTED_VALUE"""),0.0)</f>
        <v>0</v>
      </c>
      <c r="O115" s="130">
        <f>IFERROR(__xludf.DUMMYFUNCTION("""COMPUTED_VALUE"""),0.0)</f>
        <v>0</v>
      </c>
      <c r="P115" s="130">
        <f>IFERROR(__xludf.DUMMYFUNCTION("""COMPUTED_VALUE"""),0.0)</f>
        <v>0</v>
      </c>
      <c r="Q115" s="129">
        <f>IFERROR(__xludf.DUMMYFUNCTION("""COMPUTED_VALUE"""),0.0)</f>
        <v>0</v>
      </c>
      <c r="R115" s="129">
        <f>IFERROR(__xludf.DUMMYFUNCTION("""COMPUTED_VALUE"""),0.0)</f>
        <v>0</v>
      </c>
      <c r="S115" s="129">
        <f>IFERROR(__xludf.DUMMYFUNCTION("""COMPUTED_VALUE"""),0.0)</f>
        <v>0</v>
      </c>
      <c r="T115" s="129">
        <f>IFERROR(__xludf.DUMMYFUNCTION("""COMPUTED_VALUE"""),0.0)</f>
        <v>0</v>
      </c>
      <c r="U115" s="129">
        <f>IFERROR(__xludf.DUMMYFUNCTION("""COMPUTED_VALUE"""),0.0)</f>
        <v>0</v>
      </c>
      <c r="V115" s="126">
        <f>IFERROR(__xludf.DUMMYFUNCTION("""COMPUTED_VALUE"""),0.0)</f>
        <v>0</v>
      </c>
      <c r="W115" s="126" t="str">
        <f>IFERROR(__xludf.DUMMYFUNCTION("""COMPUTED_VALUE"""),"Yes")</f>
        <v>Yes</v>
      </c>
      <c r="X115" s="126" t="str">
        <f>IFERROR(__xludf.DUMMYFUNCTION("""COMPUTED_VALUE"""),"Yes")</f>
        <v>Yes</v>
      </c>
      <c r="Y115" s="126" t="str">
        <f>IFERROR(__xludf.DUMMYFUNCTION("""COMPUTED_VALUE"""),"C")</f>
        <v>C</v>
      </c>
      <c r="Z115" s="126" t="str">
        <f>IFERROR(__xludf.DUMMYFUNCTION("""COMPUTED_VALUE"""),"vm consolidation")</f>
        <v>vm consolidation</v>
      </c>
      <c r="AA115" s="126"/>
      <c r="AB115" s="126"/>
      <c r="AC115" s="126"/>
      <c r="AD115" s="126"/>
      <c r="AE115" s="126"/>
      <c r="AF115" s="126"/>
      <c r="AG115" s="126"/>
      <c r="AH115" s="126"/>
      <c r="AI115" s="126"/>
      <c r="AJ115" s="126"/>
    </row>
    <row r="116">
      <c r="A116" s="126">
        <f>IFERROR(__xludf.DUMMYFUNCTION("""COMPUTED_VALUE"""),334.0)</f>
        <v>334</v>
      </c>
      <c r="B116" s="126" t="str">
        <f>IFERROR(__xludf.DUMMYFUNCTION("""COMPUTED_VALUE"""),"Prediction Method of Energy Consumption Based on Multiple Energy-Related Features in Data Center")</f>
        <v>Prediction Method of Energy Consumption Based on Multiple Energy-Related Features in Data Center</v>
      </c>
      <c r="C116" s="127" t="str">
        <f>IFERROR(__xludf.DUMMYFUNCTION("""COMPUTED_VALUE"""),"https://ieeexplore.ieee.org/abstract/document/9047328/")</f>
        <v>https://ieeexplore.ieee.org/abstract/document/9047328/</v>
      </c>
      <c r="D116" s="126" t="str">
        <f>IFERROR(__xludf.DUMMYFUNCTION("""COMPUTED_VALUE"""),"Y Liang, Z Hu")</f>
        <v>Y Liang, Z Hu</v>
      </c>
      <c r="E116" s="126" t="str">
        <f>IFERROR(__xludf.DUMMYFUNCTION("""COMPUTED_VALUE"""),"Institute of Electrical and Electronics Engineers")</f>
        <v>Institute of Electrical and Electronics Engineers</v>
      </c>
      <c r="F116" s="126" t="str">
        <f>IFERROR(__xludf.DUMMYFUNCTION("""COMPUTED_VALUE"""),"IEEE Xplore")</f>
        <v>IEEE Xplore</v>
      </c>
      <c r="G116" s="128"/>
      <c r="H116" s="130">
        <f>IFERROR(__xludf.DUMMYFUNCTION("""COMPUTED_VALUE"""),2019.0)</f>
        <v>2019</v>
      </c>
      <c r="I116" s="130">
        <f>IFERROR(__xludf.DUMMYFUNCTION("""COMPUTED_VALUE"""),1.0)</f>
        <v>1</v>
      </c>
      <c r="J116" s="130">
        <f>IFERROR(__xludf.DUMMYFUNCTION("""COMPUTED_VALUE"""),1.0)</f>
        <v>1</v>
      </c>
      <c r="K116" s="130">
        <f>IFERROR(__xludf.DUMMYFUNCTION("""COMPUTED_VALUE"""),1.0)</f>
        <v>1</v>
      </c>
      <c r="L116" s="129">
        <f>IFERROR(__xludf.DUMMYFUNCTION("""COMPUTED_VALUE"""),1.0)</f>
        <v>1</v>
      </c>
      <c r="M116" s="130">
        <f>IFERROR(__xludf.DUMMYFUNCTION("""COMPUTED_VALUE"""),1.0)</f>
        <v>1</v>
      </c>
      <c r="N116" s="130">
        <f>IFERROR(__xludf.DUMMYFUNCTION("""COMPUTED_VALUE"""),0.0)</f>
        <v>0</v>
      </c>
      <c r="O116" s="130">
        <f>IFERROR(__xludf.DUMMYFUNCTION("""COMPUTED_VALUE"""),0.0)</f>
        <v>0</v>
      </c>
      <c r="P116" s="130">
        <f>IFERROR(__xludf.DUMMYFUNCTION("""COMPUTED_VALUE"""),0.0)</f>
        <v>0</v>
      </c>
      <c r="Q116" s="130">
        <f>IFERROR(__xludf.DUMMYFUNCTION("""COMPUTED_VALUE"""),0.0)</f>
        <v>0</v>
      </c>
      <c r="R116" s="130">
        <f>IFERROR(__xludf.DUMMYFUNCTION("""COMPUTED_VALUE"""),0.0)</f>
        <v>0</v>
      </c>
      <c r="S116" s="130">
        <f>IFERROR(__xludf.DUMMYFUNCTION("""COMPUTED_VALUE"""),0.0)</f>
        <v>0</v>
      </c>
      <c r="T116" s="130">
        <f>IFERROR(__xludf.DUMMYFUNCTION("""COMPUTED_VALUE"""),0.0)</f>
        <v>0</v>
      </c>
      <c r="U116" s="130">
        <f>IFERROR(__xludf.DUMMYFUNCTION("""COMPUTED_VALUE"""),0.0)</f>
        <v>0</v>
      </c>
      <c r="V116" s="131">
        <f>IFERROR(__xludf.DUMMYFUNCTION("""COMPUTED_VALUE"""),0.0)</f>
        <v>0</v>
      </c>
      <c r="W116" s="131" t="str">
        <f>IFERROR(__xludf.DUMMYFUNCTION("""COMPUTED_VALUE"""),"Yes")</f>
        <v>Yes</v>
      </c>
      <c r="X116" s="131" t="str">
        <f>IFERROR(__xludf.DUMMYFUNCTION("""COMPUTED_VALUE"""),"Yes")</f>
        <v>Yes</v>
      </c>
      <c r="Y116" s="131" t="str">
        <f>IFERROR(__xludf.DUMMYFUNCTION("""COMPUTED_VALUE"""),"C")</f>
        <v>C</v>
      </c>
      <c r="Z116" s="131" t="str">
        <f>IFERROR(__xludf.DUMMYFUNCTION("""COMPUTED_VALUE"""),"energy prediction model")</f>
        <v>energy prediction model</v>
      </c>
      <c r="AA116" s="131"/>
      <c r="AB116" s="131"/>
      <c r="AC116" s="131"/>
      <c r="AD116" s="131"/>
      <c r="AE116" s="131"/>
      <c r="AF116" s="131"/>
      <c r="AG116" s="131"/>
      <c r="AH116" s="131"/>
      <c r="AI116" s="131"/>
      <c r="AJ116" s="131"/>
    </row>
    <row r="117">
      <c r="A117" s="126">
        <f>IFERROR(__xludf.DUMMYFUNCTION("""COMPUTED_VALUE"""),335.0)</f>
        <v>335</v>
      </c>
      <c r="B117" s="126" t="str">
        <f>IFERROR(__xludf.DUMMYFUNCTION("""COMPUTED_VALUE"""),"Energy-Saving Resource Allocation in Cloud Data Centers")</f>
        <v>Energy-Saving Resource Allocation in Cloud Data Centers</v>
      </c>
      <c r="C117" s="127" t="str">
        <f>IFERROR(__xludf.DUMMYFUNCTION("""COMPUTED_VALUE"""),"https://ieeexplore.ieee.org/abstract/document/9022819/")</f>
        <v>https://ieeexplore.ieee.org/abstract/document/9022819/</v>
      </c>
      <c r="D117" s="126" t="str">
        <f>IFERROR(__xludf.DUMMYFUNCTION("""COMPUTED_VALUE"""),"MM Than, T Thein")</f>
        <v>MM Than, T Thein</v>
      </c>
      <c r="E117" s="126" t="str">
        <f>IFERROR(__xludf.DUMMYFUNCTION("""COMPUTED_VALUE"""),"Institute of Electrical and Electronics Engineers")</f>
        <v>Institute of Electrical and Electronics Engineers</v>
      </c>
      <c r="F117" s="126" t="str">
        <f>IFERROR(__xludf.DUMMYFUNCTION("""COMPUTED_VALUE"""),"IEEE Xplore")</f>
        <v>IEEE Xplore</v>
      </c>
      <c r="G117" s="128" t="str">
        <f>IFERROR(__xludf.DUMMYFUNCTION("""COMPUTED_VALUE"""),"C")</f>
        <v>C</v>
      </c>
      <c r="H117" s="130">
        <f>IFERROR(__xludf.DUMMYFUNCTION("""COMPUTED_VALUE"""),2020.0)</f>
        <v>2020</v>
      </c>
      <c r="I117" s="130">
        <f>IFERROR(__xludf.DUMMYFUNCTION("""COMPUTED_VALUE"""),1.0)</f>
        <v>1</v>
      </c>
      <c r="J117" s="130">
        <f>IFERROR(__xludf.DUMMYFUNCTION("""COMPUTED_VALUE"""),1.0)</f>
        <v>1</v>
      </c>
      <c r="K117" s="130">
        <f>IFERROR(__xludf.DUMMYFUNCTION("""COMPUTED_VALUE"""),1.0)</f>
        <v>1</v>
      </c>
      <c r="L117" s="129">
        <f>IFERROR(__xludf.DUMMYFUNCTION("""COMPUTED_VALUE"""),1.0)</f>
        <v>1</v>
      </c>
      <c r="M117" s="130">
        <f>IFERROR(__xludf.DUMMYFUNCTION("""COMPUTED_VALUE"""),1.0)</f>
        <v>1</v>
      </c>
      <c r="N117" s="130">
        <f>IFERROR(__xludf.DUMMYFUNCTION("""COMPUTED_VALUE"""),0.0)</f>
        <v>0</v>
      </c>
      <c r="O117" s="130">
        <f>IFERROR(__xludf.DUMMYFUNCTION("""COMPUTED_VALUE"""),0.0)</f>
        <v>0</v>
      </c>
      <c r="P117" s="130">
        <f>IFERROR(__xludf.DUMMYFUNCTION("""COMPUTED_VALUE"""),0.0)</f>
        <v>0</v>
      </c>
      <c r="Q117" s="130">
        <f>IFERROR(__xludf.DUMMYFUNCTION("""COMPUTED_VALUE"""),0.0)</f>
        <v>0</v>
      </c>
      <c r="R117" s="130">
        <f>IFERROR(__xludf.DUMMYFUNCTION("""COMPUTED_VALUE"""),0.0)</f>
        <v>0</v>
      </c>
      <c r="S117" s="130">
        <f>IFERROR(__xludf.DUMMYFUNCTION("""COMPUTED_VALUE"""),0.0)</f>
        <v>0</v>
      </c>
      <c r="T117" s="130">
        <f>IFERROR(__xludf.DUMMYFUNCTION("""COMPUTED_VALUE"""),0.0)</f>
        <v>0</v>
      </c>
      <c r="U117" s="130">
        <f>IFERROR(__xludf.DUMMYFUNCTION("""COMPUTED_VALUE"""),0.0)</f>
        <v>0</v>
      </c>
      <c r="V117" s="131">
        <f>IFERROR(__xludf.DUMMYFUNCTION("""COMPUTED_VALUE"""),0.0)</f>
        <v>0</v>
      </c>
      <c r="W117" s="131" t="str">
        <f>IFERROR(__xludf.DUMMYFUNCTION("""COMPUTED_VALUE"""),"Yes")</f>
        <v>Yes</v>
      </c>
      <c r="X117" s="131" t="str">
        <f>IFERROR(__xludf.DUMMYFUNCTION("""COMPUTED_VALUE"""),"Yes")</f>
        <v>Yes</v>
      </c>
      <c r="Y117" s="131" t="str">
        <f>IFERROR(__xludf.DUMMYFUNCTION("""COMPUTED_VALUE"""),"C")</f>
        <v>C</v>
      </c>
      <c r="Z117" s="131" t="str">
        <f>IFERROR(__xludf.DUMMYFUNCTION("""COMPUTED_VALUE"""),"resource allocation")</f>
        <v>resource allocation</v>
      </c>
      <c r="AA117" s="131"/>
      <c r="AB117" s="131"/>
      <c r="AC117" s="131"/>
      <c r="AD117" s="131"/>
      <c r="AE117" s="131"/>
      <c r="AF117" s="131"/>
      <c r="AG117" s="131"/>
      <c r="AH117" s="131"/>
      <c r="AI117" s="131"/>
      <c r="AJ117" s="131"/>
    </row>
    <row r="118">
      <c r="A118" s="126">
        <f>IFERROR(__xludf.DUMMYFUNCTION("""COMPUTED_VALUE"""),340.0)</f>
        <v>340</v>
      </c>
      <c r="B118" s="126" t="str">
        <f>IFERROR(__xludf.DUMMYFUNCTION("""COMPUTED_VALUE"""),"Energy-Efficient Resource Allocation Technique Using Flower Pollination Algorithm for Cloud Datacenters")</f>
        <v>Energy-Efficient Resource Allocation Technique Using Flower Pollination Algorithm for Cloud Datacenters</v>
      </c>
      <c r="C118" s="127" t="str">
        <f>IFERROR(__xludf.DUMMYFUNCTION("""COMPUTED_VALUE"""),"https://link.springer.com/chapter/10.1007/978-3-319-99007-1_2")</f>
        <v>https://link.springer.com/chapter/10.1007/978-3-319-99007-1_2</v>
      </c>
      <c r="D118" s="131" t="str">
        <f>IFERROR(__xludf.DUMMYFUNCTION("""COMPUTED_VALUE"""),"MJ Usman, AS Ismail, AY Gital, A Aliyu…")</f>
        <v>MJ Usman, AS Ismail, AY Gital, A Aliyu…</v>
      </c>
      <c r="E118" s="131" t="str">
        <f>IFERROR(__xludf.DUMMYFUNCTION("""COMPUTED_VALUE"""),"Springer")</f>
        <v>Springer</v>
      </c>
      <c r="F118" s="126" t="str">
        <f>IFERROR(__xludf.DUMMYFUNCTION("""COMPUTED_VALUE"""),"Springer")</f>
        <v>Springer</v>
      </c>
      <c r="G118" s="128" t="str">
        <f>IFERROR(__xludf.DUMMYFUNCTION("""COMPUTED_VALUE"""),"C")</f>
        <v>C</v>
      </c>
      <c r="H118" s="130">
        <f>IFERROR(__xludf.DUMMYFUNCTION("""COMPUTED_VALUE"""),2018.0)</f>
        <v>2018</v>
      </c>
      <c r="I118" s="129">
        <f>IFERROR(__xludf.DUMMYFUNCTION("""COMPUTED_VALUE"""),1.0)</f>
        <v>1</v>
      </c>
      <c r="J118" s="130">
        <f>IFERROR(__xludf.DUMMYFUNCTION("""COMPUTED_VALUE"""),1.0)</f>
        <v>1</v>
      </c>
      <c r="K118" s="130">
        <f>IFERROR(__xludf.DUMMYFUNCTION("""COMPUTED_VALUE"""),1.0)</f>
        <v>1</v>
      </c>
      <c r="L118" s="129">
        <f>IFERROR(__xludf.DUMMYFUNCTION("""COMPUTED_VALUE"""),1.0)</f>
        <v>1</v>
      </c>
      <c r="M118" s="130">
        <f>IFERROR(__xludf.DUMMYFUNCTION("""COMPUTED_VALUE"""),1.0)</f>
        <v>1</v>
      </c>
      <c r="N118" s="130">
        <f>IFERROR(__xludf.DUMMYFUNCTION("""COMPUTED_VALUE"""),0.0)</f>
        <v>0</v>
      </c>
      <c r="O118" s="130">
        <f>IFERROR(__xludf.DUMMYFUNCTION("""COMPUTED_VALUE"""),0.0)</f>
        <v>0</v>
      </c>
      <c r="P118" s="130">
        <f>IFERROR(__xludf.DUMMYFUNCTION("""COMPUTED_VALUE"""),0.0)</f>
        <v>0</v>
      </c>
      <c r="Q118" s="129">
        <f>IFERROR(__xludf.DUMMYFUNCTION("""COMPUTED_VALUE"""),0.0)</f>
        <v>0</v>
      </c>
      <c r="R118" s="129">
        <f>IFERROR(__xludf.DUMMYFUNCTION("""COMPUTED_VALUE"""),0.0)</f>
        <v>0</v>
      </c>
      <c r="S118" s="129">
        <f>IFERROR(__xludf.DUMMYFUNCTION("""COMPUTED_VALUE"""),0.0)</f>
        <v>0</v>
      </c>
      <c r="T118" s="129">
        <f>IFERROR(__xludf.DUMMYFUNCTION("""COMPUTED_VALUE"""),0.0)</f>
        <v>0</v>
      </c>
      <c r="U118" s="129">
        <f>IFERROR(__xludf.DUMMYFUNCTION("""COMPUTED_VALUE"""),0.0)</f>
        <v>0</v>
      </c>
      <c r="V118" s="126">
        <f>IFERROR(__xludf.DUMMYFUNCTION("""COMPUTED_VALUE"""),0.0)</f>
        <v>0</v>
      </c>
      <c r="W118" s="126" t="str">
        <f>IFERROR(__xludf.DUMMYFUNCTION("""COMPUTED_VALUE"""),"Yes")</f>
        <v>Yes</v>
      </c>
      <c r="X118" s="126" t="str">
        <f>IFERROR(__xludf.DUMMYFUNCTION("""COMPUTED_VALUE"""),"Yes")</f>
        <v>Yes</v>
      </c>
      <c r="Y118" s="126" t="str">
        <f>IFERROR(__xludf.DUMMYFUNCTION("""COMPUTED_VALUE"""),"C")</f>
        <v>C</v>
      </c>
      <c r="Z118" s="126" t="str">
        <f>IFERROR(__xludf.DUMMYFUNCTION("""COMPUTED_VALUE"""),"resource allocation")</f>
        <v>resource allocation</v>
      </c>
      <c r="AA118" s="126"/>
      <c r="AB118" s="126"/>
      <c r="AC118" s="126"/>
      <c r="AD118" s="126"/>
      <c r="AE118" s="126"/>
      <c r="AF118" s="126"/>
      <c r="AG118" s="126"/>
      <c r="AH118" s="126"/>
      <c r="AI118" s="126"/>
      <c r="AJ118" s="126"/>
    </row>
    <row r="119">
      <c r="A119" s="126">
        <f>IFERROR(__xludf.DUMMYFUNCTION("""COMPUTED_VALUE"""),350.0)</f>
        <v>350</v>
      </c>
      <c r="B119" s="126" t="str">
        <f>IFERROR(__xludf.DUMMYFUNCTION("""COMPUTED_VALUE"""),"Adaptive Multi-Threshold Energy-Aware Virtual Machine Consolidation in Cloud Data Center")</f>
        <v>Adaptive Multi-Threshold Energy-Aware Virtual Machine Consolidation in Cloud Data Center</v>
      </c>
      <c r="C119" s="127" t="str">
        <f>IFERROR(__xludf.DUMMYFUNCTION("""COMPUTED_VALUE"""),"https://ieeexplore.ieee.org/abstract/document/8963569/")</f>
        <v>https://ieeexplore.ieee.org/abstract/document/8963569/</v>
      </c>
      <c r="D119" s="126" t="str">
        <f>IFERROR(__xludf.DUMMYFUNCTION("""COMPUTED_VALUE"""),"Y Hu, D Ding, K Kang, T Li")</f>
        <v>Y Hu, D Ding, K Kang, T Li</v>
      </c>
      <c r="E119" s="126" t="str">
        <f>IFERROR(__xludf.DUMMYFUNCTION("""COMPUTED_VALUE"""),"Institute of Electrical and Electronics Engineers")</f>
        <v>Institute of Electrical and Electronics Engineers</v>
      </c>
      <c r="F119" s="126" t="str">
        <f>IFERROR(__xludf.DUMMYFUNCTION("""COMPUTED_VALUE"""),"IEEE Xplore")</f>
        <v>IEEE Xplore</v>
      </c>
      <c r="G119" s="132" t="str">
        <f>IFERROR(__xludf.DUMMYFUNCTION("""COMPUTED_VALUE"""),"C")</f>
        <v>C</v>
      </c>
      <c r="H119" s="129">
        <f>IFERROR(__xludf.DUMMYFUNCTION("""COMPUTED_VALUE"""),2019.0)</f>
        <v>2019</v>
      </c>
      <c r="I119" s="129">
        <f>IFERROR(__xludf.DUMMYFUNCTION("""COMPUTED_VALUE"""),1.0)</f>
        <v>1</v>
      </c>
      <c r="J119" s="129">
        <f>IFERROR(__xludf.DUMMYFUNCTION("""COMPUTED_VALUE"""),1.0)</f>
        <v>1</v>
      </c>
      <c r="K119" s="130">
        <f>IFERROR(__xludf.DUMMYFUNCTION("""COMPUTED_VALUE"""),1.0)</f>
        <v>1</v>
      </c>
      <c r="L119" s="130">
        <f>IFERROR(__xludf.DUMMYFUNCTION("""COMPUTED_VALUE"""),1.0)</f>
        <v>1</v>
      </c>
      <c r="M119" s="130">
        <f>IFERROR(__xludf.DUMMYFUNCTION("""COMPUTED_VALUE"""),1.0)</f>
        <v>1</v>
      </c>
      <c r="N119" s="130">
        <f>IFERROR(__xludf.DUMMYFUNCTION("""COMPUTED_VALUE"""),0.0)</f>
        <v>0</v>
      </c>
      <c r="O119" s="130">
        <f>IFERROR(__xludf.DUMMYFUNCTION("""COMPUTED_VALUE"""),0.0)</f>
        <v>0</v>
      </c>
      <c r="P119" s="129">
        <f>IFERROR(__xludf.DUMMYFUNCTION("""COMPUTED_VALUE"""),0.0)</f>
        <v>0</v>
      </c>
      <c r="Q119" s="129">
        <f>IFERROR(__xludf.DUMMYFUNCTION("""COMPUTED_VALUE"""),0.0)</f>
        <v>0</v>
      </c>
      <c r="R119" s="129">
        <f>IFERROR(__xludf.DUMMYFUNCTION("""COMPUTED_VALUE"""),0.0)</f>
        <v>0</v>
      </c>
      <c r="S119" s="129">
        <f>IFERROR(__xludf.DUMMYFUNCTION("""COMPUTED_VALUE"""),0.0)</f>
        <v>0</v>
      </c>
      <c r="T119" s="129">
        <f>IFERROR(__xludf.DUMMYFUNCTION("""COMPUTED_VALUE"""),0.0)</f>
        <v>0</v>
      </c>
      <c r="U119" s="129">
        <f>IFERROR(__xludf.DUMMYFUNCTION("""COMPUTED_VALUE"""),0.0)</f>
        <v>0</v>
      </c>
      <c r="V119" s="126">
        <f>IFERROR(__xludf.DUMMYFUNCTION("""COMPUTED_VALUE"""),0.0)</f>
        <v>0</v>
      </c>
      <c r="W119" s="126" t="str">
        <f>IFERROR(__xludf.DUMMYFUNCTION("""COMPUTED_VALUE"""),"Yes")</f>
        <v>Yes</v>
      </c>
      <c r="X119" s="126" t="str">
        <f>IFERROR(__xludf.DUMMYFUNCTION("""COMPUTED_VALUE"""),"Yes")</f>
        <v>Yes</v>
      </c>
      <c r="Y119" s="126" t="str">
        <f>IFERROR(__xludf.DUMMYFUNCTION("""COMPUTED_VALUE"""),"C")</f>
        <v>C</v>
      </c>
      <c r="Z119" s="126" t="str">
        <f>IFERROR(__xludf.DUMMYFUNCTION("""COMPUTED_VALUE"""),"vm consolidation")</f>
        <v>vm consolidation</v>
      </c>
      <c r="AA119" s="126"/>
      <c r="AB119" s="126"/>
      <c r="AC119" s="126"/>
      <c r="AD119" s="126"/>
      <c r="AE119" s="126"/>
      <c r="AF119" s="126"/>
      <c r="AG119" s="126"/>
      <c r="AH119" s="126"/>
      <c r="AI119" s="126"/>
      <c r="AJ119" s="126"/>
    </row>
    <row r="120">
      <c r="A120" s="126">
        <f>IFERROR(__xludf.DUMMYFUNCTION("""COMPUTED_VALUE"""),351.0)</f>
        <v>351</v>
      </c>
      <c r="B120" s="126" t="str">
        <f>IFERROR(__xludf.DUMMYFUNCTION("""COMPUTED_VALUE"""),"Energy-efficient VM-placement in cloud data center")</f>
        <v>Energy-efficient VM-placement in cloud data center</v>
      </c>
      <c r="C120" s="127" t="str">
        <f>IFERROR(__xludf.DUMMYFUNCTION("""COMPUTED_VALUE"""),"https://www.sciencedirect.com/science/article/pii/S2210537917302536")</f>
        <v>https://www.sciencedirect.com/science/article/pii/S2210537917302536</v>
      </c>
      <c r="D120" s="126" t="str">
        <f>IFERROR(__xludf.DUMMYFUNCTION("""COMPUTED_VALUE"""),"SK Mishra, D Puthal, B Sahoo, PP Jayaraman…")</f>
        <v>SK Mishra, D Puthal, B Sahoo, PP Jayaraman…</v>
      </c>
      <c r="E120" s="126" t="str">
        <f>IFERROR(__xludf.DUMMYFUNCTION("""COMPUTED_VALUE"""),"Elsevier")</f>
        <v>Elsevier</v>
      </c>
      <c r="F120" s="126" t="str">
        <f>IFERROR(__xludf.DUMMYFUNCTION("""COMPUTED_VALUE"""),"Elsevier")</f>
        <v>Elsevier</v>
      </c>
      <c r="G120" s="132" t="str">
        <f>IFERROR(__xludf.DUMMYFUNCTION("""COMPUTED_VALUE"""),"J")</f>
        <v>J</v>
      </c>
      <c r="H120" s="129">
        <f>IFERROR(__xludf.DUMMYFUNCTION("""COMPUTED_VALUE"""),2018.0)</f>
        <v>2018</v>
      </c>
      <c r="I120" s="129">
        <f>IFERROR(__xludf.DUMMYFUNCTION("""COMPUTED_VALUE"""),1.0)</f>
        <v>1</v>
      </c>
      <c r="J120" s="129">
        <f>IFERROR(__xludf.DUMMYFUNCTION("""COMPUTED_VALUE"""),1.0)</f>
        <v>1</v>
      </c>
      <c r="K120" s="130">
        <f>IFERROR(__xludf.DUMMYFUNCTION("""COMPUTED_VALUE"""),1.0)</f>
        <v>1</v>
      </c>
      <c r="L120" s="130">
        <f>IFERROR(__xludf.DUMMYFUNCTION("""COMPUTED_VALUE"""),1.0)</f>
        <v>1</v>
      </c>
      <c r="M120" s="130">
        <f>IFERROR(__xludf.DUMMYFUNCTION("""COMPUTED_VALUE"""),1.0)</f>
        <v>1</v>
      </c>
      <c r="N120" s="130">
        <f>IFERROR(__xludf.DUMMYFUNCTION("""COMPUTED_VALUE"""),0.0)</f>
        <v>0</v>
      </c>
      <c r="O120" s="130">
        <f>IFERROR(__xludf.DUMMYFUNCTION("""COMPUTED_VALUE"""),0.0)</f>
        <v>0</v>
      </c>
      <c r="P120" s="129">
        <f>IFERROR(__xludf.DUMMYFUNCTION("""COMPUTED_VALUE"""),0.0)</f>
        <v>0</v>
      </c>
      <c r="Q120" s="129">
        <f>IFERROR(__xludf.DUMMYFUNCTION("""COMPUTED_VALUE"""),0.0)</f>
        <v>0</v>
      </c>
      <c r="R120" s="129">
        <f>IFERROR(__xludf.DUMMYFUNCTION("""COMPUTED_VALUE"""),0.0)</f>
        <v>0</v>
      </c>
      <c r="S120" s="129">
        <f>IFERROR(__xludf.DUMMYFUNCTION("""COMPUTED_VALUE"""),0.0)</f>
        <v>0</v>
      </c>
      <c r="T120" s="129">
        <f>IFERROR(__xludf.DUMMYFUNCTION("""COMPUTED_VALUE"""),0.0)</f>
        <v>0</v>
      </c>
      <c r="U120" s="129">
        <f>IFERROR(__xludf.DUMMYFUNCTION("""COMPUTED_VALUE"""),0.0)</f>
        <v>0</v>
      </c>
      <c r="V120" s="126">
        <f>IFERROR(__xludf.DUMMYFUNCTION("""COMPUTED_VALUE"""),0.0)</f>
        <v>0</v>
      </c>
      <c r="W120" s="126" t="str">
        <f>IFERROR(__xludf.DUMMYFUNCTION("""COMPUTED_VALUE"""),"Yes")</f>
        <v>Yes</v>
      </c>
      <c r="X120" s="126" t="str">
        <f>IFERROR(__xludf.DUMMYFUNCTION("""COMPUTED_VALUE"""),"Yes")</f>
        <v>Yes</v>
      </c>
      <c r="Y120" s="126" t="str">
        <f>IFERROR(__xludf.DUMMYFUNCTION("""COMPUTED_VALUE"""),"C")</f>
        <v>C</v>
      </c>
      <c r="Z120" s="126" t="str">
        <f>IFERROR(__xludf.DUMMYFUNCTION("""COMPUTED_VALUE"""),"vm placement")</f>
        <v>vm placement</v>
      </c>
      <c r="AA120" s="126"/>
      <c r="AB120" s="126"/>
      <c r="AC120" s="126"/>
      <c r="AD120" s="126"/>
      <c r="AE120" s="126"/>
      <c r="AF120" s="126"/>
      <c r="AG120" s="126"/>
      <c r="AH120" s="126"/>
      <c r="AI120" s="126"/>
      <c r="AJ120" s="126"/>
    </row>
    <row r="121">
      <c r="A121" s="126">
        <f>IFERROR(__xludf.DUMMYFUNCTION("""COMPUTED_VALUE"""),359.0)</f>
        <v>359</v>
      </c>
      <c r="B121" s="126" t="str">
        <f>IFERROR(__xludf.DUMMYFUNCTION("""COMPUTED_VALUE"""),"Prediction-Based Joint Energy Optimization for Virtualized Data Centers")</f>
        <v>Prediction-Based Joint Energy Optimization for Virtualized Data Centers</v>
      </c>
      <c r="C121" s="127" t="str">
        <f>IFERROR(__xludf.DUMMYFUNCTION("""COMPUTED_VALUE"""),"https://dl.acm.org/doi/abs/10.1145/3374135.3385279")</f>
        <v>https://dl.acm.org/doi/abs/10.1145/3374135.3385279</v>
      </c>
      <c r="D121" s="131" t="str">
        <f>IFERROR(__xludf.DUMMYFUNCTION("""COMPUTED_VALUE"""),"M Al-Tarazi, JM Chang")</f>
        <v>M Al-Tarazi, JM Chang</v>
      </c>
      <c r="E121" s="131" t="str">
        <f>IFERROR(__xludf.DUMMYFUNCTION("""COMPUTED_VALUE"""),"Association for Computing Machinery")</f>
        <v>Association for Computing Machinery</v>
      </c>
      <c r="F121" s="126" t="str">
        <f>IFERROR(__xludf.DUMMYFUNCTION("""COMPUTED_VALUE"""),"ACM")</f>
        <v>ACM</v>
      </c>
      <c r="G121" s="132"/>
      <c r="H121" s="130">
        <f>IFERROR(__xludf.DUMMYFUNCTION("""COMPUTED_VALUE"""),2020.0)</f>
        <v>2020</v>
      </c>
      <c r="I121" s="130">
        <f>IFERROR(__xludf.DUMMYFUNCTION("""COMPUTED_VALUE"""),1.0)</f>
        <v>1</v>
      </c>
      <c r="J121" s="130">
        <f>IFERROR(__xludf.DUMMYFUNCTION("""COMPUTED_VALUE"""),1.0)</f>
        <v>1</v>
      </c>
      <c r="K121" s="130">
        <f>IFERROR(__xludf.DUMMYFUNCTION("""COMPUTED_VALUE"""),1.0)</f>
        <v>1</v>
      </c>
      <c r="L121" s="130">
        <f>IFERROR(__xludf.DUMMYFUNCTION("""COMPUTED_VALUE"""),1.0)</f>
        <v>1</v>
      </c>
      <c r="M121" s="130">
        <f>IFERROR(__xludf.DUMMYFUNCTION("""COMPUTED_VALUE"""),1.0)</f>
        <v>1</v>
      </c>
      <c r="N121" s="130">
        <f>IFERROR(__xludf.DUMMYFUNCTION("""COMPUTED_VALUE"""),0.0)</f>
        <v>0</v>
      </c>
      <c r="O121" s="130">
        <f>IFERROR(__xludf.DUMMYFUNCTION("""COMPUTED_VALUE"""),0.0)</f>
        <v>0</v>
      </c>
      <c r="P121" s="130">
        <f>IFERROR(__xludf.DUMMYFUNCTION("""COMPUTED_VALUE"""),0.0)</f>
        <v>0</v>
      </c>
      <c r="Q121" s="129">
        <f>IFERROR(__xludf.DUMMYFUNCTION("""COMPUTED_VALUE"""),0.0)</f>
        <v>0</v>
      </c>
      <c r="R121" s="129">
        <f>IFERROR(__xludf.DUMMYFUNCTION("""COMPUTED_VALUE"""),0.0)</f>
        <v>0</v>
      </c>
      <c r="S121" s="129">
        <f>IFERROR(__xludf.DUMMYFUNCTION("""COMPUTED_VALUE"""),0.0)</f>
        <v>0</v>
      </c>
      <c r="T121" s="129">
        <f>IFERROR(__xludf.DUMMYFUNCTION("""COMPUTED_VALUE"""),0.0)</f>
        <v>0</v>
      </c>
      <c r="U121" s="129">
        <f>IFERROR(__xludf.DUMMYFUNCTION("""COMPUTED_VALUE"""),0.0)</f>
        <v>0</v>
      </c>
      <c r="V121" s="126">
        <f>IFERROR(__xludf.DUMMYFUNCTION("""COMPUTED_VALUE"""),0.0)</f>
        <v>0</v>
      </c>
      <c r="W121" s="126" t="str">
        <f>IFERROR(__xludf.DUMMYFUNCTION("""COMPUTED_VALUE"""),"Yes")</f>
        <v>Yes</v>
      </c>
      <c r="X121" s="126" t="str">
        <f>IFERROR(__xludf.DUMMYFUNCTION("""COMPUTED_VALUE"""),"Yes")</f>
        <v>Yes</v>
      </c>
      <c r="Y121" s="126" t="str">
        <f>IFERROR(__xludf.DUMMYFUNCTION("""COMPUTED_VALUE"""),"C")</f>
        <v>C</v>
      </c>
      <c r="Z121" s="126" t="str">
        <f>IFERROR(__xludf.DUMMYFUNCTION("""COMPUTED_VALUE"""),"vm consolidation")</f>
        <v>vm consolidation</v>
      </c>
      <c r="AA121" s="126"/>
      <c r="AB121" s="126"/>
      <c r="AC121" s="126"/>
      <c r="AD121" s="126"/>
      <c r="AE121" s="126"/>
      <c r="AF121" s="126"/>
      <c r="AG121" s="126"/>
      <c r="AH121" s="126"/>
      <c r="AI121" s="126"/>
      <c r="AJ121" s="126"/>
    </row>
    <row r="122">
      <c r="A122" s="126">
        <f>IFERROR(__xludf.DUMMYFUNCTION("""COMPUTED_VALUE"""),362.0)</f>
        <v>362</v>
      </c>
      <c r="B122" s="126" t="str">
        <f>IFERROR(__xludf.DUMMYFUNCTION("""COMPUTED_VALUE"""),"Renewable energy-aware big data analytics in geo-distributed data centers with reinforcement learning")</f>
        <v>Renewable energy-aware big data analytics in geo-distributed data centers with reinforcement learning</v>
      </c>
      <c r="C122" s="127" t="str">
        <f>IFERROR(__xludf.DUMMYFUNCTION("""COMPUTED_VALUE"""),"https://ieeexplore.ieee.org/abstract/document/8309283/")</f>
        <v>https://ieeexplore.ieee.org/abstract/document/8309283/</v>
      </c>
      <c r="D122" s="126" t="str">
        <f>IFERROR(__xludf.DUMMYFUNCTION("""COMPUTED_VALUE"""),"C Xu, K Wang, P Li, R Xia, S Guo…")</f>
        <v>C Xu, K Wang, P Li, R Xia, S Guo…</v>
      </c>
      <c r="E122" s="126" t="str">
        <f>IFERROR(__xludf.DUMMYFUNCTION("""COMPUTED_VALUE"""),"Institute of Electrical and Electronics Engineers")</f>
        <v>Institute of Electrical and Electronics Engineers</v>
      </c>
      <c r="F122" s="126" t="str">
        <f>IFERROR(__xludf.DUMMYFUNCTION("""COMPUTED_VALUE"""),"IEEE Xplore")</f>
        <v>IEEE Xplore</v>
      </c>
      <c r="G122" s="128"/>
      <c r="H122" s="130">
        <f>IFERROR(__xludf.DUMMYFUNCTION("""COMPUTED_VALUE"""),2018.0)</f>
        <v>2018</v>
      </c>
      <c r="I122" s="129">
        <f>IFERROR(__xludf.DUMMYFUNCTION("""COMPUTED_VALUE"""),1.0)</f>
        <v>1</v>
      </c>
      <c r="J122" s="130">
        <f>IFERROR(__xludf.DUMMYFUNCTION("""COMPUTED_VALUE"""),1.0)</f>
        <v>1</v>
      </c>
      <c r="K122" s="130">
        <f>IFERROR(__xludf.DUMMYFUNCTION("""COMPUTED_VALUE"""),1.0)</f>
        <v>1</v>
      </c>
      <c r="L122" s="130">
        <f>IFERROR(__xludf.DUMMYFUNCTION("""COMPUTED_VALUE"""),1.0)</f>
        <v>1</v>
      </c>
      <c r="M122" s="130">
        <f>IFERROR(__xludf.DUMMYFUNCTION("""COMPUTED_VALUE"""),1.0)</f>
        <v>1</v>
      </c>
      <c r="N122" s="130">
        <f>IFERROR(__xludf.DUMMYFUNCTION("""COMPUTED_VALUE"""),0.0)</f>
        <v>0</v>
      </c>
      <c r="O122" s="130">
        <f>IFERROR(__xludf.DUMMYFUNCTION("""COMPUTED_VALUE"""),0.0)</f>
        <v>0</v>
      </c>
      <c r="P122" s="130">
        <f>IFERROR(__xludf.DUMMYFUNCTION("""COMPUTED_VALUE"""),0.0)</f>
        <v>0</v>
      </c>
      <c r="Q122" s="130">
        <f>IFERROR(__xludf.DUMMYFUNCTION("""COMPUTED_VALUE"""),0.0)</f>
        <v>0</v>
      </c>
      <c r="R122" s="130">
        <f>IFERROR(__xludf.DUMMYFUNCTION("""COMPUTED_VALUE"""),0.0)</f>
        <v>0</v>
      </c>
      <c r="S122" s="130">
        <f>IFERROR(__xludf.DUMMYFUNCTION("""COMPUTED_VALUE"""),0.0)</f>
        <v>0</v>
      </c>
      <c r="T122" s="130">
        <f>IFERROR(__xludf.DUMMYFUNCTION("""COMPUTED_VALUE"""),0.0)</f>
        <v>0</v>
      </c>
      <c r="U122" s="130">
        <f>IFERROR(__xludf.DUMMYFUNCTION("""COMPUTED_VALUE"""),0.0)</f>
        <v>0</v>
      </c>
      <c r="V122" s="131">
        <f>IFERROR(__xludf.DUMMYFUNCTION("""COMPUTED_VALUE"""),0.0)</f>
        <v>0</v>
      </c>
      <c r="W122" s="131" t="str">
        <f>IFERROR(__xludf.DUMMYFUNCTION("""COMPUTED_VALUE"""),"Yes")</f>
        <v>Yes</v>
      </c>
      <c r="X122" s="131" t="str">
        <f>IFERROR(__xludf.DUMMYFUNCTION("""COMPUTED_VALUE"""),"Yes")</f>
        <v>Yes</v>
      </c>
      <c r="Y122" s="131" t="str">
        <f>IFERROR(__xludf.DUMMYFUNCTION("""COMPUTED_VALUE"""),"C")</f>
        <v>C</v>
      </c>
      <c r="Z122" s="131" t="str">
        <f>IFERROR(__xludf.DUMMYFUNCTION("""COMPUTED_VALUE"""),"job scheduling")</f>
        <v>job scheduling</v>
      </c>
      <c r="AA122" s="131"/>
      <c r="AB122" s="131"/>
      <c r="AC122" s="131"/>
      <c r="AD122" s="131"/>
      <c r="AE122" s="131"/>
      <c r="AF122" s="131"/>
      <c r="AG122" s="131"/>
      <c r="AH122" s="131"/>
      <c r="AI122" s="131"/>
      <c r="AJ122" s="131"/>
    </row>
    <row r="123">
      <c r="A123" s="126">
        <f>IFERROR(__xludf.DUMMYFUNCTION("""COMPUTED_VALUE"""),371.0)</f>
        <v>371</v>
      </c>
      <c r="B123" s="126" t="str">
        <f>IFERROR(__xludf.DUMMYFUNCTION("""COMPUTED_VALUE"""),"Classification-based and energy-efficient dynamic task scheduling scheme for virtualized cloud data center")</f>
        <v>Classification-based and energy-efficient dynamic task scheduling scheme for virtualized cloud data center</v>
      </c>
      <c r="C123" s="127" t="str">
        <f>IFERROR(__xludf.DUMMYFUNCTION("""COMPUTED_VALUE"""),"https://ieeexplore.ieee.org/abstract/document/8721126/")</f>
        <v>https://ieeexplore.ieee.org/abstract/document/8721126/</v>
      </c>
      <c r="D123" s="126" t="str">
        <f>IFERROR(__xludf.DUMMYFUNCTION("""COMPUTED_VALUE"""),"A Marahatta, S Pirbhulal, F Zhang…")</f>
        <v>A Marahatta, S Pirbhulal, F Zhang…</v>
      </c>
      <c r="E123" s="126" t="str">
        <f>IFERROR(__xludf.DUMMYFUNCTION("""COMPUTED_VALUE"""),"Institute of Electrical and Electronics Engineers")</f>
        <v>Institute of Electrical and Electronics Engineers</v>
      </c>
      <c r="F123" s="126" t="str">
        <f>IFERROR(__xludf.DUMMYFUNCTION("""COMPUTED_VALUE"""),"IEEE Xplore")</f>
        <v>IEEE Xplore</v>
      </c>
      <c r="G123" s="128"/>
      <c r="H123" s="130">
        <f>IFERROR(__xludf.DUMMYFUNCTION("""COMPUTED_VALUE"""),2019.0)</f>
        <v>2019</v>
      </c>
      <c r="I123" s="129">
        <f>IFERROR(__xludf.DUMMYFUNCTION("""COMPUTED_VALUE"""),1.0)</f>
        <v>1</v>
      </c>
      <c r="J123" s="129">
        <f>IFERROR(__xludf.DUMMYFUNCTION("""COMPUTED_VALUE"""),1.0)</f>
        <v>1</v>
      </c>
      <c r="K123" s="130">
        <f>IFERROR(__xludf.DUMMYFUNCTION("""COMPUTED_VALUE"""),1.0)</f>
        <v>1</v>
      </c>
      <c r="L123" s="130">
        <f>IFERROR(__xludf.DUMMYFUNCTION("""COMPUTED_VALUE"""),1.0)</f>
        <v>1</v>
      </c>
      <c r="M123" s="130">
        <f>IFERROR(__xludf.DUMMYFUNCTION("""COMPUTED_VALUE"""),1.0)</f>
        <v>1</v>
      </c>
      <c r="N123" s="130">
        <f>IFERROR(__xludf.DUMMYFUNCTION("""COMPUTED_VALUE"""),0.0)</f>
        <v>0</v>
      </c>
      <c r="O123" s="130">
        <f>IFERROR(__xludf.DUMMYFUNCTION("""COMPUTED_VALUE"""),0.0)</f>
        <v>0</v>
      </c>
      <c r="P123" s="130">
        <f>IFERROR(__xludf.DUMMYFUNCTION("""COMPUTED_VALUE"""),0.0)</f>
        <v>0</v>
      </c>
      <c r="Q123" s="129">
        <f>IFERROR(__xludf.DUMMYFUNCTION("""COMPUTED_VALUE"""),0.0)</f>
        <v>0</v>
      </c>
      <c r="R123" s="129">
        <f>IFERROR(__xludf.DUMMYFUNCTION("""COMPUTED_VALUE"""),0.0)</f>
        <v>0</v>
      </c>
      <c r="S123" s="129">
        <f>IFERROR(__xludf.DUMMYFUNCTION("""COMPUTED_VALUE"""),0.0)</f>
        <v>0</v>
      </c>
      <c r="T123" s="129">
        <f>IFERROR(__xludf.DUMMYFUNCTION("""COMPUTED_VALUE"""),0.0)</f>
        <v>0</v>
      </c>
      <c r="U123" s="129">
        <f>IFERROR(__xludf.DUMMYFUNCTION("""COMPUTED_VALUE"""),0.0)</f>
        <v>0</v>
      </c>
      <c r="V123" s="126">
        <f>IFERROR(__xludf.DUMMYFUNCTION("""COMPUTED_VALUE"""),0.0)</f>
        <v>0</v>
      </c>
      <c r="W123" s="126" t="str">
        <f>IFERROR(__xludf.DUMMYFUNCTION("""COMPUTED_VALUE"""),"Yes")</f>
        <v>Yes</v>
      </c>
      <c r="X123" s="126" t="str">
        <f>IFERROR(__xludf.DUMMYFUNCTION("""COMPUTED_VALUE"""),"Yes")</f>
        <v>Yes</v>
      </c>
      <c r="Y123" s="126" t="str">
        <f>IFERROR(__xludf.DUMMYFUNCTION("""COMPUTED_VALUE"""),"C")</f>
        <v>C</v>
      </c>
      <c r="Z123" s="126" t="str">
        <f>IFERROR(__xludf.DUMMYFUNCTION("""COMPUTED_VALUE"""),"task scheduling")</f>
        <v>task scheduling</v>
      </c>
      <c r="AA123" s="126"/>
      <c r="AB123" s="126"/>
      <c r="AC123" s="126"/>
      <c r="AD123" s="126"/>
      <c r="AE123" s="126"/>
      <c r="AF123" s="126"/>
      <c r="AG123" s="126"/>
      <c r="AH123" s="126"/>
      <c r="AI123" s="126"/>
      <c r="AJ123" s="126"/>
    </row>
    <row r="124">
      <c r="A124" s="126">
        <f>IFERROR(__xludf.DUMMYFUNCTION("""COMPUTED_VALUE"""),373.0)</f>
        <v>373</v>
      </c>
      <c r="B124" s="126" t="str">
        <f>IFERROR(__xludf.DUMMYFUNCTION("""COMPUTED_VALUE"""),"Delayed Best-Fit Task Scheduling to Reduce Energy Consumption in Cloud Data Centers")</f>
        <v>Delayed Best-Fit Task Scheduling to Reduce Energy Consumption in Cloud Data Centers</v>
      </c>
      <c r="C124" s="127" t="str">
        <f>IFERROR(__xludf.DUMMYFUNCTION("""COMPUTED_VALUE"""),"https://ieeexplore.ieee.org/abstract/document/8875333/")</f>
        <v>https://ieeexplore.ieee.org/abstract/document/8875333/</v>
      </c>
      <c r="D124" s="126" t="str">
        <f>IFERROR(__xludf.DUMMYFUNCTION("""COMPUTED_VALUE"""),"Z Dong, W Zhuang…")</f>
        <v>Z Dong, W Zhuang…</v>
      </c>
      <c r="E124" s="126" t="str">
        <f>IFERROR(__xludf.DUMMYFUNCTION("""COMPUTED_VALUE"""),"Institute of Electrical and Electronics Engineers")</f>
        <v>Institute of Electrical and Electronics Engineers</v>
      </c>
      <c r="F124" s="126" t="str">
        <f>IFERROR(__xludf.DUMMYFUNCTION("""COMPUTED_VALUE"""),"IEEE Xplore")</f>
        <v>IEEE Xplore</v>
      </c>
      <c r="G124" s="128" t="str">
        <f>IFERROR(__xludf.DUMMYFUNCTION("""COMPUTED_VALUE"""),"C")</f>
        <v>C</v>
      </c>
      <c r="H124" s="130">
        <f>IFERROR(__xludf.DUMMYFUNCTION("""COMPUTED_VALUE"""),2019.0)</f>
        <v>2019</v>
      </c>
      <c r="I124" s="129">
        <f>IFERROR(__xludf.DUMMYFUNCTION("""COMPUTED_VALUE"""),1.0)</f>
        <v>1</v>
      </c>
      <c r="J124" s="129">
        <f>IFERROR(__xludf.DUMMYFUNCTION("""COMPUTED_VALUE"""),1.0)</f>
        <v>1</v>
      </c>
      <c r="K124" s="129">
        <f>IFERROR(__xludf.DUMMYFUNCTION("""COMPUTED_VALUE"""),1.0)</f>
        <v>1</v>
      </c>
      <c r="L124" s="130">
        <f>IFERROR(__xludf.DUMMYFUNCTION("""COMPUTED_VALUE"""),1.0)</f>
        <v>1</v>
      </c>
      <c r="M124" s="130">
        <f>IFERROR(__xludf.DUMMYFUNCTION("""COMPUTED_VALUE"""),1.0)</f>
        <v>1</v>
      </c>
      <c r="N124" s="130">
        <f>IFERROR(__xludf.DUMMYFUNCTION("""COMPUTED_VALUE"""),0.0)</f>
        <v>0</v>
      </c>
      <c r="O124" s="130">
        <f>IFERROR(__xludf.DUMMYFUNCTION("""COMPUTED_VALUE"""),0.0)</f>
        <v>0</v>
      </c>
      <c r="P124" s="130">
        <f>IFERROR(__xludf.DUMMYFUNCTION("""COMPUTED_VALUE"""),0.0)</f>
        <v>0</v>
      </c>
      <c r="Q124" s="130">
        <f>IFERROR(__xludf.DUMMYFUNCTION("""COMPUTED_VALUE"""),0.0)</f>
        <v>0</v>
      </c>
      <c r="R124" s="130">
        <f>IFERROR(__xludf.DUMMYFUNCTION("""COMPUTED_VALUE"""),0.0)</f>
        <v>0</v>
      </c>
      <c r="S124" s="130">
        <f>IFERROR(__xludf.DUMMYFUNCTION("""COMPUTED_VALUE"""),0.0)</f>
        <v>0</v>
      </c>
      <c r="T124" s="130">
        <f>IFERROR(__xludf.DUMMYFUNCTION("""COMPUTED_VALUE"""),0.0)</f>
        <v>0</v>
      </c>
      <c r="U124" s="130">
        <f>IFERROR(__xludf.DUMMYFUNCTION("""COMPUTED_VALUE"""),0.0)</f>
        <v>0</v>
      </c>
      <c r="V124" s="131">
        <f>IFERROR(__xludf.DUMMYFUNCTION("""COMPUTED_VALUE"""),0.0)</f>
        <v>0</v>
      </c>
      <c r="W124" s="131" t="str">
        <f>IFERROR(__xludf.DUMMYFUNCTION("""COMPUTED_VALUE"""),"Yes")</f>
        <v>Yes</v>
      </c>
      <c r="X124" s="131" t="str">
        <f>IFERROR(__xludf.DUMMYFUNCTION("""COMPUTED_VALUE"""),"Yes")</f>
        <v>Yes</v>
      </c>
      <c r="Y124" s="131" t="str">
        <f>IFERROR(__xludf.DUMMYFUNCTION("""COMPUTED_VALUE"""),"C")</f>
        <v>C</v>
      </c>
      <c r="Z124" s="131" t="str">
        <f>IFERROR(__xludf.DUMMYFUNCTION("""COMPUTED_VALUE"""),"task scheduling")</f>
        <v>task scheduling</v>
      </c>
      <c r="AA124" s="131"/>
      <c r="AB124" s="131"/>
      <c r="AC124" s="131"/>
      <c r="AD124" s="131"/>
      <c r="AE124" s="131"/>
      <c r="AF124" s="131"/>
      <c r="AG124" s="131"/>
      <c r="AH124" s="131"/>
      <c r="AI124" s="131"/>
      <c r="AJ124" s="131"/>
    </row>
    <row r="125">
      <c r="A125" s="126">
        <f>IFERROR(__xludf.DUMMYFUNCTION("""COMPUTED_VALUE"""),376.0)</f>
        <v>376</v>
      </c>
      <c r="B125" s="126" t="str">
        <f>IFERROR(__xludf.DUMMYFUNCTION("""COMPUTED_VALUE"""),"Energy Efficiency MapReduce Job Scheduling of Shuffle and Reduce Phases in Data Center")</f>
        <v>Energy Efficiency MapReduce Job Scheduling of Shuffle and Reduce Phases in Data Center</v>
      </c>
      <c r="C125" s="127" t="str">
        <f>IFERROR(__xludf.DUMMYFUNCTION("""COMPUTED_VALUE"""),"https://link.springer.com/chapter/10.1007/978-3-030-15127-0_22")</f>
        <v>https://link.springer.com/chapter/10.1007/978-3-030-15127-0_22</v>
      </c>
      <c r="D125" s="126" t="str">
        <f>IFERROR(__xludf.DUMMYFUNCTION("""COMPUTED_VALUE"""),"J Wang, X Li, X Zhu")</f>
        <v>J Wang, X Li, X Zhu</v>
      </c>
      <c r="E125" s="126" t="str">
        <f>IFERROR(__xludf.DUMMYFUNCTION("""COMPUTED_VALUE"""),"Springer")</f>
        <v>Springer</v>
      </c>
      <c r="F125" s="126" t="str">
        <f>IFERROR(__xludf.DUMMYFUNCTION("""COMPUTED_VALUE"""),"Springer")</f>
        <v>Springer</v>
      </c>
      <c r="G125" s="128" t="str">
        <f>IFERROR(__xludf.DUMMYFUNCTION("""COMPUTED_VALUE"""),"C")</f>
        <v>C</v>
      </c>
      <c r="H125" s="130">
        <f>IFERROR(__xludf.DUMMYFUNCTION("""COMPUTED_VALUE"""),2018.0)</f>
        <v>2018</v>
      </c>
      <c r="I125" s="130">
        <f>IFERROR(__xludf.DUMMYFUNCTION("""COMPUTED_VALUE"""),1.0)</f>
        <v>1</v>
      </c>
      <c r="J125" s="130">
        <f>IFERROR(__xludf.DUMMYFUNCTION("""COMPUTED_VALUE"""),1.0)</f>
        <v>1</v>
      </c>
      <c r="K125" s="130">
        <f>IFERROR(__xludf.DUMMYFUNCTION("""COMPUTED_VALUE"""),1.0)</f>
        <v>1</v>
      </c>
      <c r="L125" s="129">
        <f>IFERROR(__xludf.DUMMYFUNCTION("""COMPUTED_VALUE"""),1.0)</f>
        <v>1</v>
      </c>
      <c r="M125" s="130">
        <f>IFERROR(__xludf.DUMMYFUNCTION("""COMPUTED_VALUE"""),1.0)</f>
        <v>1</v>
      </c>
      <c r="N125" s="130">
        <f>IFERROR(__xludf.DUMMYFUNCTION("""COMPUTED_VALUE"""),0.0)</f>
        <v>0</v>
      </c>
      <c r="O125" s="130">
        <f>IFERROR(__xludf.DUMMYFUNCTION("""COMPUTED_VALUE"""),0.0)</f>
        <v>0</v>
      </c>
      <c r="P125" s="130">
        <f>IFERROR(__xludf.DUMMYFUNCTION("""COMPUTED_VALUE"""),0.0)</f>
        <v>0</v>
      </c>
      <c r="Q125" s="130">
        <f>IFERROR(__xludf.DUMMYFUNCTION("""COMPUTED_VALUE"""),0.0)</f>
        <v>0</v>
      </c>
      <c r="R125" s="130">
        <f>IFERROR(__xludf.DUMMYFUNCTION("""COMPUTED_VALUE"""),0.0)</f>
        <v>0</v>
      </c>
      <c r="S125" s="130">
        <f>IFERROR(__xludf.DUMMYFUNCTION("""COMPUTED_VALUE"""),0.0)</f>
        <v>0</v>
      </c>
      <c r="T125" s="130">
        <f>IFERROR(__xludf.DUMMYFUNCTION("""COMPUTED_VALUE"""),0.0)</f>
        <v>0</v>
      </c>
      <c r="U125" s="130">
        <f>IFERROR(__xludf.DUMMYFUNCTION("""COMPUTED_VALUE"""),0.0)</f>
        <v>0</v>
      </c>
      <c r="V125" s="131">
        <f>IFERROR(__xludf.DUMMYFUNCTION("""COMPUTED_VALUE"""),0.0)</f>
        <v>0</v>
      </c>
      <c r="W125" s="131" t="str">
        <f>IFERROR(__xludf.DUMMYFUNCTION("""COMPUTED_VALUE"""),"Yes")</f>
        <v>Yes</v>
      </c>
      <c r="X125" s="131" t="str">
        <f>IFERROR(__xludf.DUMMYFUNCTION("""COMPUTED_VALUE"""),"Yes")</f>
        <v>Yes</v>
      </c>
      <c r="Y125" s="131" t="str">
        <f>IFERROR(__xludf.DUMMYFUNCTION("""COMPUTED_VALUE"""),"C")</f>
        <v>C</v>
      </c>
      <c r="Z125" s="131" t="str">
        <f>IFERROR(__xludf.DUMMYFUNCTION("""COMPUTED_VALUE"""),"job scheduling")</f>
        <v>job scheduling</v>
      </c>
      <c r="AA125" s="131"/>
      <c r="AB125" s="131"/>
      <c r="AC125" s="131"/>
      <c r="AD125" s="131"/>
      <c r="AE125" s="131"/>
      <c r="AF125" s="131"/>
      <c r="AG125" s="131"/>
      <c r="AH125" s="131"/>
      <c r="AI125" s="131"/>
      <c r="AJ125" s="131"/>
    </row>
    <row r="126">
      <c r="A126" s="126">
        <f>IFERROR(__xludf.DUMMYFUNCTION("""COMPUTED_VALUE"""),377.0)</f>
        <v>377</v>
      </c>
      <c r="B126" s="126" t="str">
        <f>IFERROR(__xludf.DUMMYFUNCTION("""COMPUTED_VALUE"""),"MEnSuS: An efficient scheme for energy management with sustainability of cloud data centers in edge–cloud environment")</f>
        <v>MEnSuS: An efficient scheme for energy management with sustainability of cloud data centers in edge–cloud environment</v>
      </c>
      <c r="C126" s="127" t="str">
        <f>IFERROR(__xludf.DUMMYFUNCTION("""COMPUTED_VALUE"""),"https://www.sciencedirect.com/science/article/pii/S0167739X17321581")</f>
        <v>https://www.sciencedirect.com/science/article/pii/S0167739X17321581</v>
      </c>
      <c r="D126" s="126" t="str">
        <f>IFERROR(__xludf.DUMMYFUNCTION("""COMPUTED_VALUE"""),"GS Aujla, N Kumar")</f>
        <v>GS Aujla, N Kumar</v>
      </c>
      <c r="E126" s="126" t="str">
        <f>IFERROR(__xludf.DUMMYFUNCTION("""COMPUTED_VALUE"""),"Elsevier")</f>
        <v>Elsevier</v>
      </c>
      <c r="F126" s="126" t="str">
        <f>IFERROR(__xludf.DUMMYFUNCTION("""COMPUTED_VALUE"""),"Elsevier")</f>
        <v>Elsevier</v>
      </c>
      <c r="G126" s="128"/>
      <c r="H126" s="130">
        <f>IFERROR(__xludf.DUMMYFUNCTION("""COMPUTED_VALUE"""),2018.0)</f>
        <v>2018</v>
      </c>
      <c r="I126" s="129">
        <f>IFERROR(__xludf.DUMMYFUNCTION("""COMPUTED_VALUE"""),1.0)</f>
        <v>1</v>
      </c>
      <c r="J126" s="130">
        <f>IFERROR(__xludf.DUMMYFUNCTION("""COMPUTED_VALUE"""),1.0)</f>
        <v>1</v>
      </c>
      <c r="K126" s="130">
        <f>IFERROR(__xludf.DUMMYFUNCTION("""COMPUTED_VALUE"""),1.0)</f>
        <v>1</v>
      </c>
      <c r="L126" s="129">
        <f>IFERROR(__xludf.DUMMYFUNCTION("""COMPUTED_VALUE"""),1.0)</f>
        <v>1</v>
      </c>
      <c r="M126" s="130">
        <f>IFERROR(__xludf.DUMMYFUNCTION("""COMPUTED_VALUE"""),1.0)</f>
        <v>1</v>
      </c>
      <c r="N126" s="130">
        <f>IFERROR(__xludf.DUMMYFUNCTION("""COMPUTED_VALUE"""),0.0)</f>
        <v>0</v>
      </c>
      <c r="O126" s="130">
        <f>IFERROR(__xludf.DUMMYFUNCTION("""COMPUTED_VALUE"""),0.0)</f>
        <v>0</v>
      </c>
      <c r="P126" s="130">
        <f>IFERROR(__xludf.DUMMYFUNCTION("""COMPUTED_VALUE"""),0.0)</f>
        <v>0</v>
      </c>
      <c r="Q126" s="129">
        <f>IFERROR(__xludf.DUMMYFUNCTION("""COMPUTED_VALUE"""),0.0)</f>
        <v>0</v>
      </c>
      <c r="R126" s="129">
        <f>IFERROR(__xludf.DUMMYFUNCTION("""COMPUTED_VALUE"""),0.0)</f>
        <v>0</v>
      </c>
      <c r="S126" s="129">
        <f>IFERROR(__xludf.DUMMYFUNCTION("""COMPUTED_VALUE"""),0.0)</f>
        <v>0</v>
      </c>
      <c r="T126" s="129">
        <f>IFERROR(__xludf.DUMMYFUNCTION("""COMPUTED_VALUE"""),0.0)</f>
        <v>0</v>
      </c>
      <c r="U126" s="129">
        <f>IFERROR(__xludf.DUMMYFUNCTION("""COMPUTED_VALUE"""),0.0)</f>
        <v>0</v>
      </c>
      <c r="V126" s="126">
        <f>IFERROR(__xludf.DUMMYFUNCTION("""COMPUTED_VALUE"""),0.0)</f>
        <v>0</v>
      </c>
      <c r="W126" s="126" t="str">
        <f>IFERROR(__xludf.DUMMYFUNCTION("""COMPUTED_VALUE"""),"Yes")</f>
        <v>Yes</v>
      </c>
      <c r="X126" s="126" t="str">
        <f>IFERROR(__xludf.DUMMYFUNCTION("""COMPUTED_VALUE"""),"Yes")</f>
        <v>Yes</v>
      </c>
      <c r="Y126" s="126" t="str">
        <f>IFERROR(__xludf.DUMMYFUNCTION("""COMPUTED_VALUE"""),"C")</f>
        <v>C</v>
      </c>
      <c r="Z126" s="126" t="str">
        <f>IFERROR(__xludf.DUMMYFUNCTION("""COMPUTED_VALUE"""),"energy management")</f>
        <v>energy management</v>
      </c>
      <c r="AA126" s="126"/>
      <c r="AB126" s="126"/>
      <c r="AC126" s="126"/>
      <c r="AD126" s="126"/>
      <c r="AE126" s="126"/>
      <c r="AF126" s="126"/>
      <c r="AG126" s="126"/>
      <c r="AH126" s="126"/>
      <c r="AI126" s="126"/>
      <c r="AJ126" s="126"/>
    </row>
    <row r="127">
      <c r="A127" s="126">
        <f>IFERROR(__xludf.DUMMYFUNCTION("""COMPUTED_VALUE"""),378.0)</f>
        <v>378</v>
      </c>
      <c r="B127" s="126" t="str">
        <f>IFERROR(__xludf.DUMMYFUNCTION("""COMPUTED_VALUE"""),"Energy-aware virtual machines allocation by krill herd algorithm in cloud data centers")</f>
        <v>Energy-aware virtual machines allocation by krill herd algorithm in cloud data centers</v>
      </c>
      <c r="C127" s="127" t="str">
        <f>IFERROR(__xludf.DUMMYFUNCTION("""COMPUTED_VALUE"""),"https://www.sciencedirect.com/science/article/pii/S2405844019357263")</f>
        <v>https://www.sciencedirect.com/science/article/pii/S2405844019357263</v>
      </c>
      <c r="D127" s="126" t="str">
        <f>IFERROR(__xludf.DUMMYFUNCTION("""COMPUTED_VALUE"""),"M Soltanshahi, R Asemi, N Shafiei")</f>
        <v>M Soltanshahi, R Asemi, N Shafiei</v>
      </c>
      <c r="E127" s="126" t="str">
        <f>IFERROR(__xludf.DUMMYFUNCTION("""COMPUTED_VALUE"""),"Elsevier")</f>
        <v>Elsevier</v>
      </c>
      <c r="F127" s="126" t="str">
        <f>IFERROR(__xludf.DUMMYFUNCTION("""COMPUTED_VALUE"""),"Elsevier")</f>
        <v>Elsevier</v>
      </c>
      <c r="G127" s="132" t="str">
        <f>IFERROR(__xludf.DUMMYFUNCTION("""COMPUTED_VALUE"""),"J")</f>
        <v>J</v>
      </c>
      <c r="H127" s="129">
        <f>IFERROR(__xludf.DUMMYFUNCTION("""COMPUTED_VALUE"""),2019.0)</f>
        <v>2019</v>
      </c>
      <c r="I127" s="129">
        <f>IFERROR(__xludf.DUMMYFUNCTION("""COMPUTED_VALUE"""),1.0)</f>
        <v>1</v>
      </c>
      <c r="J127" s="129">
        <f>IFERROR(__xludf.DUMMYFUNCTION("""COMPUTED_VALUE"""),1.0)</f>
        <v>1</v>
      </c>
      <c r="K127" s="130">
        <f>IFERROR(__xludf.DUMMYFUNCTION("""COMPUTED_VALUE"""),1.0)</f>
        <v>1</v>
      </c>
      <c r="L127" s="130">
        <f>IFERROR(__xludf.DUMMYFUNCTION("""COMPUTED_VALUE"""),1.0)</f>
        <v>1</v>
      </c>
      <c r="M127" s="130">
        <f>IFERROR(__xludf.DUMMYFUNCTION("""COMPUTED_VALUE"""),1.0)</f>
        <v>1</v>
      </c>
      <c r="N127" s="130">
        <f>IFERROR(__xludf.DUMMYFUNCTION("""COMPUTED_VALUE"""),0.0)</f>
        <v>0</v>
      </c>
      <c r="O127" s="130">
        <f>IFERROR(__xludf.DUMMYFUNCTION("""COMPUTED_VALUE"""),0.0)</f>
        <v>0</v>
      </c>
      <c r="P127" s="129">
        <f>IFERROR(__xludf.DUMMYFUNCTION("""COMPUTED_VALUE"""),0.0)</f>
        <v>0</v>
      </c>
      <c r="Q127" s="129">
        <f>IFERROR(__xludf.DUMMYFUNCTION("""COMPUTED_VALUE"""),0.0)</f>
        <v>0</v>
      </c>
      <c r="R127" s="129">
        <f>IFERROR(__xludf.DUMMYFUNCTION("""COMPUTED_VALUE"""),0.0)</f>
        <v>0</v>
      </c>
      <c r="S127" s="129">
        <f>IFERROR(__xludf.DUMMYFUNCTION("""COMPUTED_VALUE"""),0.0)</f>
        <v>0</v>
      </c>
      <c r="T127" s="129">
        <f>IFERROR(__xludf.DUMMYFUNCTION("""COMPUTED_VALUE"""),0.0)</f>
        <v>0</v>
      </c>
      <c r="U127" s="129">
        <f>IFERROR(__xludf.DUMMYFUNCTION("""COMPUTED_VALUE"""),0.0)</f>
        <v>0</v>
      </c>
      <c r="V127" s="126">
        <f>IFERROR(__xludf.DUMMYFUNCTION("""COMPUTED_VALUE"""),0.0)</f>
        <v>0</v>
      </c>
      <c r="W127" s="126" t="str">
        <f>IFERROR(__xludf.DUMMYFUNCTION("""COMPUTED_VALUE"""),"Yes")</f>
        <v>Yes</v>
      </c>
      <c r="X127" s="126" t="str">
        <f>IFERROR(__xludf.DUMMYFUNCTION("""COMPUTED_VALUE"""),"Yes")</f>
        <v>Yes</v>
      </c>
      <c r="Y127" s="126" t="str">
        <f>IFERROR(__xludf.DUMMYFUNCTION("""COMPUTED_VALUE"""),"C")</f>
        <v>C</v>
      </c>
      <c r="Z127" s="126" t="str">
        <f>IFERROR(__xludf.DUMMYFUNCTION("""COMPUTED_VALUE"""),"vm allocation")</f>
        <v>vm allocation</v>
      </c>
      <c r="AA127" s="126"/>
      <c r="AB127" s="126"/>
      <c r="AC127" s="126"/>
      <c r="AD127" s="126"/>
      <c r="AE127" s="126"/>
      <c r="AF127" s="126"/>
      <c r="AG127" s="126"/>
      <c r="AH127" s="126"/>
      <c r="AI127" s="126"/>
      <c r="AJ127" s="126"/>
    </row>
    <row r="128">
      <c r="A128" s="126">
        <f>IFERROR(__xludf.DUMMYFUNCTION("""COMPUTED_VALUE"""),382.0)</f>
        <v>382</v>
      </c>
      <c r="B128" s="126" t="str">
        <f>IFERROR(__xludf.DUMMYFUNCTION("""COMPUTED_VALUE"""),"Energy-Efficient Algorithm for Load Balancing and VMs Reassignment in Data Centers")</f>
        <v>Energy-Efficient Algorithm for Load Balancing and VMs Reassignment in Data Centers</v>
      </c>
      <c r="C128" s="127" t="str">
        <f>IFERROR(__xludf.DUMMYFUNCTION("""COMPUTED_VALUE"""),"https://ieeexplore.ieee.org/abstract/document/8488203/")</f>
        <v>https://ieeexplore.ieee.org/abstract/document/8488203/</v>
      </c>
      <c r="D128" s="126" t="str">
        <f>IFERROR(__xludf.DUMMYFUNCTION("""COMPUTED_VALUE"""),"N Djennane, R Aoudjit…")</f>
        <v>N Djennane, R Aoudjit…</v>
      </c>
      <c r="E128" s="126" t="str">
        <f>IFERROR(__xludf.DUMMYFUNCTION("""COMPUTED_VALUE"""),"Institute of Electrical and Electronics Engineers")</f>
        <v>Institute of Electrical and Electronics Engineers</v>
      </c>
      <c r="F128" s="126" t="str">
        <f>IFERROR(__xludf.DUMMYFUNCTION("""COMPUTED_VALUE"""),"IEEE Xplore")</f>
        <v>IEEE Xplore</v>
      </c>
      <c r="G128" s="128" t="str">
        <f>IFERROR(__xludf.DUMMYFUNCTION("""COMPUTED_VALUE"""),"C")</f>
        <v>C</v>
      </c>
      <c r="H128" s="130">
        <f>IFERROR(__xludf.DUMMYFUNCTION("""COMPUTED_VALUE"""),2018.0)</f>
        <v>2018</v>
      </c>
      <c r="I128" s="130">
        <f>IFERROR(__xludf.DUMMYFUNCTION("""COMPUTED_VALUE"""),1.0)</f>
        <v>1</v>
      </c>
      <c r="J128" s="130">
        <f>IFERROR(__xludf.DUMMYFUNCTION("""COMPUTED_VALUE"""),1.0)</f>
        <v>1</v>
      </c>
      <c r="K128" s="130">
        <f>IFERROR(__xludf.DUMMYFUNCTION("""COMPUTED_VALUE"""),1.0)</f>
        <v>1</v>
      </c>
      <c r="L128" s="129">
        <f>IFERROR(__xludf.DUMMYFUNCTION("""COMPUTED_VALUE"""),1.0)</f>
        <v>1</v>
      </c>
      <c r="M128" s="130">
        <f>IFERROR(__xludf.DUMMYFUNCTION("""COMPUTED_VALUE"""),1.0)</f>
        <v>1</v>
      </c>
      <c r="N128" s="130">
        <f>IFERROR(__xludf.DUMMYFUNCTION("""COMPUTED_VALUE"""),0.0)</f>
        <v>0</v>
      </c>
      <c r="O128" s="130">
        <f>IFERROR(__xludf.DUMMYFUNCTION("""COMPUTED_VALUE"""),0.0)</f>
        <v>0</v>
      </c>
      <c r="P128" s="130">
        <f>IFERROR(__xludf.DUMMYFUNCTION("""COMPUTED_VALUE"""),0.0)</f>
        <v>0</v>
      </c>
      <c r="Q128" s="129">
        <f>IFERROR(__xludf.DUMMYFUNCTION("""COMPUTED_VALUE"""),0.0)</f>
        <v>0</v>
      </c>
      <c r="R128" s="129">
        <f>IFERROR(__xludf.DUMMYFUNCTION("""COMPUTED_VALUE"""),0.0)</f>
        <v>0</v>
      </c>
      <c r="S128" s="129">
        <f>IFERROR(__xludf.DUMMYFUNCTION("""COMPUTED_VALUE"""),0.0)</f>
        <v>0</v>
      </c>
      <c r="T128" s="129">
        <f>IFERROR(__xludf.DUMMYFUNCTION("""COMPUTED_VALUE"""),0.0)</f>
        <v>0</v>
      </c>
      <c r="U128" s="129">
        <f>IFERROR(__xludf.DUMMYFUNCTION("""COMPUTED_VALUE"""),0.0)</f>
        <v>0</v>
      </c>
      <c r="V128" s="126">
        <f>IFERROR(__xludf.DUMMYFUNCTION("""COMPUTED_VALUE"""),0.0)</f>
        <v>0</v>
      </c>
      <c r="W128" s="126" t="str">
        <f>IFERROR(__xludf.DUMMYFUNCTION("""COMPUTED_VALUE"""),"Yes")</f>
        <v>Yes</v>
      </c>
      <c r="X128" s="126" t="str">
        <f>IFERROR(__xludf.DUMMYFUNCTION("""COMPUTED_VALUE"""),"Yes")</f>
        <v>Yes</v>
      </c>
      <c r="Y128" s="126" t="str">
        <f>IFERROR(__xludf.DUMMYFUNCTION("""COMPUTED_VALUE"""),"C")</f>
        <v>C</v>
      </c>
      <c r="Z128" s="126"/>
      <c r="AA128" s="126"/>
      <c r="AB128" s="126"/>
      <c r="AC128" s="126"/>
      <c r="AD128" s="126"/>
      <c r="AE128" s="126"/>
      <c r="AF128" s="126"/>
      <c r="AG128" s="126"/>
      <c r="AH128" s="126"/>
      <c r="AI128" s="126"/>
      <c r="AJ128" s="126"/>
    </row>
    <row r="129">
      <c r="A129" s="126">
        <f>IFERROR(__xludf.DUMMYFUNCTION("""COMPUTED_VALUE"""),384.0)</f>
        <v>384</v>
      </c>
      <c r="B129" s="126" t="str">
        <f>IFERROR(__xludf.DUMMYFUNCTION("""COMPUTED_VALUE"""),"Efficient techniques for energy saving in data center networks")</f>
        <v>Efficient techniques for energy saving in data center networks</v>
      </c>
      <c r="C129" s="127" t="str">
        <f>IFERROR(__xludf.DUMMYFUNCTION("""COMPUTED_VALUE"""),"https://www.sciencedirect.com/science/article/pii/S014036641830121X")</f>
        <v>https://www.sciencedirect.com/science/article/pii/S014036641830121X</v>
      </c>
      <c r="D129" s="131" t="str">
        <f>IFERROR(__xludf.DUMMYFUNCTION("""COMPUTED_VALUE"""),"Z Chkirbene, A Gouissem, R Hadjidj, S Foufou…")</f>
        <v>Z Chkirbene, A Gouissem, R Hadjidj, S Foufou…</v>
      </c>
      <c r="E129" s="131" t="str">
        <f>IFERROR(__xludf.DUMMYFUNCTION("""COMPUTED_VALUE"""),"Elsevier")</f>
        <v>Elsevier</v>
      </c>
      <c r="F129" s="126" t="str">
        <f>IFERROR(__xludf.DUMMYFUNCTION("""COMPUTED_VALUE"""),"Elsevier")</f>
        <v>Elsevier</v>
      </c>
      <c r="G129" s="128"/>
      <c r="H129" s="129">
        <f>IFERROR(__xludf.DUMMYFUNCTION("""COMPUTED_VALUE"""),2018.0)</f>
        <v>2018</v>
      </c>
      <c r="I129" s="129">
        <f>IFERROR(__xludf.DUMMYFUNCTION("""COMPUTED_VALUE"""),1.0)</f>
        <v>1</v>
      </c>
      <c r="J129" s="130">
        <f>IFERROR(__xludf.DUMMYFUNCTION("""COMPUTED_VALUE"""),1.0)</f>
        <v>1</v>
      </c>
      <c r="K129" s="130">
        <f>IFERROR(__xludf.DUMMYFUNCTION("""COMPUTED_VALUE"""),1.0)</f>
        <v>1</v>
      </c>
      <c r="L129" s="129">
        <f>IFERROR(__xludf.DUMMYFUNCTION("""COMPUTED_VALUE"""),1.0)</f>
        <v>1</v>
      </c>
      <c r="M129" s="130">
        <f>IFERROR(__xludf.DUMMYFUNCTION("""COMPUTED_VALUE"""),1.0)</f>
        <v>1</v>
      </c>
      <c r="N129" s="130">
        <f>IFERROR(__xludf.DUMMYFUNCTION("""COMPUTED_VALUE"""),0.0)</f>
        <v>0</v>
      </c>
      <c r="O129" s="130">
        <f>IFERROR(__xludf.DUMMYFUNCTION("""COMPUTED_VALUE"""),0.0)</f>
        <v>0</v>
      </c>
      <c r="P129" s="130">
        <f>IFERROR(__xludf.DUMMYFUNCTION("""COMPUTED_VALUE"""),0.0)</f>
        <v>0</v>
      </c>
      <c r="Q129" s="130">
        <f>IFERROR(__xludf.DUMMYFUNCTION("""COMPUTED_VALUE"""),0.0)</f>
        <v>0</v>
      </c>
      <c r="R129" s="130">
        <f>IFERROR(__xludf.DUMMYFUNCTION("""COMPUTED_VALUE"""),0.0)</f>
        <v>0</v>
      </c>
      <c r="S129" s="130">
        <f>IFERROR(__xludf.DUMMYFUNCTION("""COMPUTED_VALUE"""),0.0)</f>
        <v>0</v>
      </c>
      <c r="T129" s="130">
        <f>IFERROR(__xludf.DUMMYFUNCTION("""COMPUTED_VALUE"""),0.0)</f>
        <v>0</v>
      </c>
      <c r="U129" s="130">
        <f>IFERROR(__xludf.DUMMYFUNCTION("""COMPUTED_VALUE"""),0.0)</f>
        <v>0</v>
      </c>
      <c r="V129" s="131">
        <f>IFERROR(__xludf.DUMMYFUNCTION("""COMPUTED_VALUE"""),0.0)</f>
        <v>0</v>
      </c>
      <c r="W129" s="131" t="str">
        <f>IFERROR(__xludf.DUMMYFUNCTION("""COMPUTED_VALUE"""),"Yes")</f>
        <v>Yes</v>
      </c>
      <c r="X129" s="131" t="str">
        <f>IFERROR(__xludf.DUMMYFUNCTION("""COMPUTED_VALUE"""),"Yes")</f>
        <v>Yes</v>
      </c>
      <c r="Y129" s="131" t="str">
        <f>IFERROR(__xludf.DUMMYFUNCTION("""COMPUTED_VALUE"""),"C")</f>
        <v>C</v>
      </c>
      <c r="Z129" s="131" t="str">
        <f>IFERROR(__xludf.DUMMYFUNCTION("""COMPUTED_VALUE"""),"network efficiency")</f>
        <v>network efficiency</v>
      </c>
      <c r="AA129" s="131"/>
      <c r="AB129" s="131"/>
      <c r="AC129" s="131"/>
      <c r="AD129" s="131"/>
      <c r="AE129" s="131"/>
      <c r="AF129" s="131"/>
      <c r="AG129" s="131"/>
      <c r="AH129" s="131"/>
      <c r="AI129" s="131"/>
      <c r="AJ129" s="131"/>
    </row>
    <row r="130">
      <c r="A130" s="126">
        <f>IFERROR(__xludf.DUMMYFUNCTION("""COMPUTED_VALUE"""),385.0)</f>
        <v>385</v>
      </c>
      <c r="B130" s="126" t="str">
        <f>IFERROR(__xludf.DUMMYFUNCTION("""COMPUTED_VALUE"""),"Slow Replica and Shared Protection: Energy-Efficient and Reliable Task Assignment in Cloud Data Centers")</f>
        <v>Slow Replica and Shared Protection: Energy-Efficient and Reliable Task Assignment in Cloud Data Centers</v>
      </c>
      <c r="C130" s="127" t="str">
        <f>IFERROR(__xludf.DUMMYFUNCTION("""COMPUTED_VALUE"""),"https://ieeexplore.ieee.org/abstract/document/8759087/")</f>
        <v>https://ieeexplore.ieee.org/abstract/document/8759087/</v>
      </c>
      <c r="D130" s="126" t="str">
        <f>IFERROR(__xludf.DUMMYFUNCTION("""COMPUTED_VALUE"""),"Y Fan, C Wang, W Wu, T Znati…")</f>
        <v>Y Fan, C Wang, W Wu, T Znati…</v>
      </c>
      <c r="E130" s="126" t="str">
        <f>IFERROR(__xludf.DUMMYFUNCTION("""COMPUTED_VALUE"""),"Institute of Electrical and Electronics Engineers")</f>
        <v>Institute of Electrical and Electronics Engineers</v>
      </c>
      <c r="F130" s="126" t="str">
        <f>IFERROR(__xludf.DUMMYFUNCTION("""COMPUTED_VALUE"""),"IEEE Xplore")</f>
        <v>IEEE Xplore</v>
      </c>
      <c r="G130" s="128" t="str">
        <f>IFERROR(__xludf.DUMMYFUNCTION("""COMPUTED_VALUE"""),"J")</f>
        <v>J</v>
      </c>
      <c r="H130" s="130">
        <f>IFERROR(__xludf.DUMMYFUNCTION("""COMPUTED_VALUE"""),2019.0)</f>
        <v>2019</v>
      </c>
      <c r="I130" s="129">
        <f>IFERROR(__xludf.DUMMYFUNCTION("""COMPUTED_VALUE"""),1.0)</f>
        <v>1</v>
      </c>
      <c r="J130" s="130">
        <f>IFERROR(__xludf.DUMMYFUNCTION("""COMPUTED_VALUE"""),1.0)</f>
        <v>1</v>
      </c>
      <c r="K130" s="130">
        <f>IFERROR(__xludf.DUMMYFUNCTION("""COMPUTED_VALUE"""),1.0)</f>
        <v>1</v>
      </c>
      <c r="L130" s="130">
        <f>IFERROR(__xludf.DUMMYFUNCTION("""COMPUTED_VALUE"""),1.0)</f>
        <v>1</v>
      </c>
      <c r="M130" s="130">
        <f>IFERROR(__xludf.DUMMYFUNCTION("""COMPUTED_VALUE"""),1.0)</f>
        <v>1</v>
      </c>
      <c r="N130" s="130">
        <f>IFERROR(__xludf.DUMMYFUNCTION("""COMPUTED_VALUE"""),0.0)</f>
        <v>0</v>
      </c>
      <c r="O130" s="130">
        <f>IFERROR(__xludf.DUMMYFUNCTION("""COMPUTED_VALUE"""),0.0)</f>
        <v>0</v>
      </c>
      <c r="P130" s="130">
        <f>IFERROR(__xludf.DUMMYFUNCTION("""COMPUTED_VALUE"""),0.0)</f>
        <v>0</v>
      </c>
      <c r="Q130" s="130">
        <f>IFERROR(__xludf.DUMMYFUNCTION("""COMPUTED_VALUE"""),0.0)</f>
        <v>0</v>
      </c>
      <c r="R130" s="130">
        <f>IFERROR(__xludf.DUMMYFUNCTION("""COMPUTED_VALUE"""),0.0)</f>
        <v>0</v>
      </c>
      <c r="S130" s="130">
        <f>IFERROR(__xludf.DUMMYFUNCTION("""COMPUTED_VALUE"""),0.0)</f>
        <v>0</v>
      </c>
      <c r="T130" s="130">
        <f>IFERROR(__xludf.DUMMYFUNCTION("""COMPUTED_VALUE"""),0.0)</f>
        <v>0</v>
      </c>
      <c r="U130" s="130">
        <f>IFERROR(__xludf.DUMMYFUNCTION("""COMPUTED_VALUE"""),0.0)</f>
        <v>0</v>
      </c>
      <c r="V130" s="131">
        <f>IFERROR(__xludf.DUMMYFUNCTION("""COMPUTED_VALUE"""),0.0)</f>
        <v>0</v>
      </c>
      <c r="W130" s="131" t="str">
        <f>IFERROR(__xludf.DUMMYFUNCTION("""COMPUTED_VALUE"""),"Yes")</f>
        <v>Yes</v>
      </c>
      <c r="X130" s="131" t="str">
        <f>IFERROR(__xludf.DUMMYFUNCTION("""COMPUTED_VALUE"""),"Yes")</f>
        <v>Yes</v>
      </c>
      <c r="Y130" s="131" t="str">
        <f>IFERROR(__xludf.DUMMYFUNCTION("""COMPUTED_VALUE"""),"C")</f>
        <v>C</v>
      </c>
      <c r="Z130" s="131" t="str">
        <f>IFERROR(__xludf.DUMMYFUNCTION("""COMPUTED_VALUE"""),"task assignment")</f>
        <v>task assignment</v>
      </c>
      <c r="AA130" s="131"/>
      <c r="AB130" s="131"/>
      <c r="AC130" s="131"/>
      <c r="AD130" s="131"/>
      <c r="AE130" s="131"/>
      <c r="AF130" s="131"/>
      <c r="AG130" s="131"/>
      <c r="AH130" s="131"/>
      <c r="AI130" s="131"/>
      <c r="AJ130" s="131"/>
    </row>
    <row r="131">
      <c r="A131" s="126">
        <f>IFERROR(__xludf.DUMMYFUNCTION("""COMPUTED_VALUE"""),395.0)</f>
        <v>395</v>
      </c>
      <c r="B131" s="126" t="str">
        <f>IFERROR(__xludf.DUMMYFUNCTION("""COMPUTED_VALUE"""),"A novel scheduling approach to improve the energy efficiency in cloud computing data centers")</f>
        <v>A novel scheduling approach to improve the energy efficiency in cloud computing data centers</v>
      </c>
      <c r="C131" s="127" t="str">
        <f>IFERROR(__xludf.DUMMYFUNCTION("""COMPUTED_VALUE"""),"https://link.springer.com/article/10.1007/s12652-020-02283-6")</f>
        <v>https://link.springer.com/article/10.1007/s12652-020-02283-6</v>
      </c>
      <c r="D131" s="126" t="str">
        <f>IFERROR(__xludf.DUMMYFUNCTION("""COMPUTED_VALUE"""),"JK Jeevitha, G Athisha")</f>
        <v>JK Jeevitha, G Athisha</v>
      </c>
      <c r="E131" s="126" t="str">
        <f>IFERROR(__xludf.DUMMYFUNCTION("""COMPUTED_VALUE"""),"Springer")</f>
        <v>Springer</v>
      </c>
      <c r="F131" s="126" t="str">
        <f>IFERROR(__xludf.DUMMYFUNCTION("""COMPUTED_VALUE"""),"Springer")</f>
        <v>Springer</v>
      </c>
      <c r="G131" s="128"/>
      <c r="H131" s="130">
        <f>IFERROR(__xludf.DUMMYFUNCTION("""COMPUTED_VALUE"""),2020.0)</f>
        <v>2020</v>
      </c>
      <c r="I131" s="130">
        <f>IFERROR(__xludf.DUMMYFUNCTION("""COMPUTED_VALUE"""),1.0)</f>
        <v>1</v>
      </c>
      <c r="J131" s="130">
        <f>IFERROR(__xludf.DUMMYFUNCTION("""COMPUTED_VALUE"""),1.0)</f>
        <v>1</v>
      </c>
      <c r="K131" s="129">
        <f>IFERROR(__xludf.DUMMYFUNCTION("""COMPUTED_VALUE"""),1.0)</f>
        <v>1</v>
      </c>
      <c r="L131" s="129">
        <f>IFERROR(__xludf.DUMMYFUNCTION("""COMPUTED_VALUE"""),1.0)</f>
        <v>1</v>
      </c>
      <c r="M131" s="130">
        <f>IFERROR(__xludf.DUMMYFUNCTION("""COMPUTED_VALUE"""),1.0)</f>
        <v>1</v>
      </c>
      <c r="N131" s="130">
        <f>IFERROR(__xludf.DUMMYFUNCTION("""COMPUTED_VALUE"""),0.0)</f>
        <v>0</v>
      </c>
      <c r="O131" s="130">
        <f>IFERROR(__xludf.DUMMYFUNCTION("""COMPUTED_VALUE"""),0.0)</f>
        <v>0</v>
      </c>
      <c r="P131" s="130">
        <f>IFERROR(__xludf.DUMMYFUNCTION("""COMPUTED_VALUE"""),0.0)</f>
        <v>0</v>
      </c>
      <c r="Q131" s="130">
        <f>IFERROR(__xludf.DUMMYFUNCTION("""COMPUTED_VALUE"""),0.0)</f>
        <v>0</v>
      </c>
      <c r="R131" s="130">
        <f>IFERROR(__xludf.DUMMYFUNCTION("""COMPUTED_VALUE"""),0.0)</f>
        <v>0</v>
      </c>
      <c r="S131" s="130">
        <f>IFERROR(__xludf.DUMMYFUNCTION("""COMPUTED_VALUE"""),0.0)</f>
        <v>0</v>
      </c>
      <c r="T131" s="130">
        <f>IFERROR(__xludf.DUMMYFUNCTION("""COMPUTED_VALUE"""),0.0)</f>
        <v>0</v>
      </c>
      <c r="U131" s="130">
        <f>IFERROR(__xludf.DUMMYFUNCTION("""COMPUTED_VALUE"""),0.0)</f>
        <v>0</v>
      </c>
      <c r="V131" s="131">
        <f>IFERROR(__xludf.DUMMYFUNCTION("""COMPUTED_VALUE"""),0.0)</f>
        <v>0</v>
      </c>
      <c r="W131" s="131" t="str">
        <f>IFERROR(__xludf.DUMMYFUNCTION("""COMPUTED_VALUE"""),"Yes")</f>
        <v>Yes</v>
      </c>
      <c r="X131" s="131" t="str">
        <f>IFERROR(__xludf.DUMMYFUNCTION("""COMPUTED_VALUE"""),"Yes")</f>
        <v>Yes</v>
      </c>
      <c r="Y131" s="131" t="str">
        <f>IFERROR(__xludf.DUMMYFUNCTION("""COMPUTED_VALUE"""),"C")</f>
        <v>C</v>
      </c>
      <c r="Z131" s="131" t="str">
        <f>IFERROR(__xludf.DUMMYFUNCTION("""COMPUTED_VALUE"""),"vm scheduling")</f>
        <v>vm scheduling</v>
      </c>
      <c r="AA131" s="131"/>
      <c r="AB131" s="131"/>
      <c r="AC131" s="131"/>
      <c r="AD131" s="131"/>
      <c r="AE131" s="131"/>
      <c r="AF131" s="131"/>
      <c r="AG131" s="131"/>
      <c r="AH131" s="131"/>
      <c r="AI131" s="131"/>
      <c r="AJ131" s="131"/>
    </row>
    <row r="132">
      <c r="A132" s="126">
        <f>IFERROR(__xludf.DUMMYFUNCTION("""COMPUTED_VALUE"""),401.0)</f>
        <v>401</v>
      </c>
      <c r="B132" s="126" t="str">
        <f>IFERROR(__xludf.DUMMYFUNCTION("""COMPUTED_VALUE"""),"An on-line virtual machine consolidation strategy for dual improvement in performance and energy conservation of server clusters in cloud data centers")</f>
        <v>An on-line virtual machine consolidation strategy for dual improvement in performance and energy conservation of server clusters in cloud data centers</v>
      </c>
      <c r="C132" s="127" t="str">
        <f>IFERROR(__xludf.DUMMYFUNCTION("""COMPUTED_VALUE"""),"https://ieeexplore.ieee.org/abstract/document/8937836/")</f>
        <v>https://ieeexplore.ieee.org/abstract/document/8937836/</v>
      </c>
      <c r="D132" s="126" t="str">
        <f>IFERROR(__xludf.DUMMYFUNCTION("""COMPUTED_VALUE"""),"W Lin, W Wu, L He")</f>
        <v>W Lin, W Wu, L He</v>
      </c>
      <c r="E132" s="126" t="str">
        <f>IFERROR(__xludf.DUMMYFUNCTION("""COMPUTED_VALUE"""),"Institute of Electrical and Electronics Engineers")</f>
        <v>Institute of Electrical and Electronics Engineers</v>
      </c>
      <c r="F132" s="126" t="str">
        <f>IFERROR(__xludf.DUMMYFUNCTION("""COMPUTED_VALUE"""),"IEEE Xplore")</f>
        <v>IEEE Xplore</v>
      </c>
      <c r="G132" s="128"/>
      <c r="H132" s="130">
        <f>IFERROR(__xludf.DUMMYFUNCTION("""COMPUTED_VALUE"""),2019.0)</f>
        <v>2019</v>
      </c>
      <c r="I132" s="130">
        <f>IFERROR(__xludf.DUMMYFUNCTION("""COMPUTED_VALUE"""),1.0)</f>
        <v>1</v>
      </c>
      <c r="J132" s="130">
        <f>IFERROR(__xludf.DUMMYFUNCTION("""COMPUTED_VALUE"""),1.0)</f>
        <v>1</v>
      </c>
      <c r="K132" s="130">
        <f>IFERROR(__xludf.DUMMYFUNCTION("""COMPUTED_VALUE"""),1.0)</f>
        <v>1</v>
      </c>
      <c r="L132" s="130">
        <f>IFERROR(__xludf.DUMMYFUNCTION("""COMPUTED_VALUE"""),1.0)</f>
        <v>1</v>
      </c>
      <c r="M132" s="130">
        <f>IFERROR(__xludf.DUMMYFUNCTION("""COMPUTED_VALUE"""),1.0)</f>
        <v>1</v>
      </c>
      <c r="N132" s="129">
        <f>IFERROR(__xludf.DUMMYFUNCTION("""COMPUTED_VALUE"""),0.0)</f>
        <v>0</v>
      </c>
      <c r="O132" s="130">
        <f>IFERROR(__xludf.DUMMYFUNCTION("""COMPUTED_VALUE"""),0.0)</f>
        <v>0</v>
      </c>
      <c r="P132" s="130">
        <f>IFERROR(__xludf.DUMMYFUNCTION("""COMPUTED_VALUE"""),0.0)</f>
        <v>0</v>
      </c>
      <c r="Q132" s="129">
        <f>IFERROR(__xludf.DUMMYFUNCTION("""COMPUTED_VALUE"""),0.0)</f>
        <v>0</v>
      </c>
      <c r="R132" s="129">
        <f>IFERROR(__xludf.DUMMYFUNCTION("""COMPUTED_VALUE"""),0.0)</f>
        <v>0</v>
      </c>
      <c r="S132" s="129">
        <f>IFERROR(__xludf.DUMMYFUNCTION("""COMPUTED_VALUE"""),0.0)</f>
        <v>0</v>
      </c>
      <c r="T132" s="129">
        <f>IFERROR(__xludf.DUMMYFUNCTION("""COMPUTED_VALUE"""),0.0)</f>
        <v>0</v>
      </c>
      <c r="U132" s="129">
        <f>IFERROR(__xludf.DUMMYFUNCTION("""COMPUTED_VALUE"""),0.0)</f>
        <v>0</v>
      </c>
      <c r="V132" s="126">
        <f>IFERROR(__xludf.DUMMYFUNCTION("""COMPUTED_VALUE"""),0.0)</f>
        <v>0</v>
      </c>
      <c r="W132" s="126" t="str">
        <f>IFERROR(__xludf.DUMMYFUNCTION("""COMPUTED_VALUE"""),"Yes")</f>
        <v>Yes</v>
      </c>
      <c r="X132" s="126" t="str">
        <f>IFERROR(__xludf.DUMMYFUNCTION("""COMPUTED_VALUE"""),"Yes")</f>
        <v>Yes</v>
      </c>
      <c r="Y132" s="126" t="str">
        <f>IFERROR(__xludf.DUMMYFUNCTION("""COMPUTED_VALUE"""),"C")</f>
        <v>C</v>
      </c>
      <c r="Z132" s="126" t="str">
        <f>IFERROR(__xludf.DUMMYFUNCTION("""COMPUTED_VALUE"""),"vm consolidation")</f>
        <v>vm consolidation</v>
      </c>
      <c r="AA132" s="126"/>
      <c r="AB132" s="126"/>
      <c r="AC132" s="126"/>
      <c r="AD132" s="126"/>
      <c r="AE132" s="126"/>
      <c r="AF132" s="126"/>
      <c r="AG132" s="126"/>
      <c r="AH132" s="126"/>
      <c r="AI132" s="126"/>
      <c r="AJ132" s="126"/>
    </row>
    <row r="133">
      <c r="A133" s="126">
        <f>IFERROR(__xludf.DUMMYFUNCTION("""COMPUTED_VALUE"""),406.0)</f>
        <v>406</v>
      </c>
      <c r="B133" s="126" t="str">
        <f>IFERROR(__xludf.DUMMYFUNCTION("""COMPUTED_VALUE"""),"Joint Energy Optimization of Cooling Systems and Virtual Machine Consolidation in Data Centers")</f>
        <v>Joint Energy Optimization of Cooling Systems and Virtual Machine Consolidation in Data Centers</v>
      </c>
      <c r="C133" s="127" t="str">
        <f>IFERROR(__xludf.DUMMYFUNCTION("""COMPUTED_VALUE"""),"https://ieeexplore.ieee.org/abstract/document/9209712/")</f>
        <v>https://ieeexplore.ieee.org/abstract/document/9209712/</v>
      </c>
      <c r="D133" s="131" t="str">
        <f>IFERROR(__xludf.DUMMYFUNCTION("""COMPUTED_VALUE"""),"H Liu, WK Wong, S Ye…")</f>
        <v>H Liu, WK Wong, S Ye…</v>
      </c>
      <c r="E133" s="131" t="str">
        <f>IFERROR(__xludf.DUMMYFUNCTION("""COMPUTED_VALUE"""),"Institute of Electrical and Electronics Engineers")</f>
        <v>Institute of Electrical and Electronics Engineers</v>
      </c>
      <c r="F133" s="126" t="str">
        <f>IFERROR(__xludf.DUMMYFUNCTION("""COMPUTED_VALUE"""),"IEEE Xplore")</f>
        <v>IEEE Xplore</v>
      </c>
      <c r="G133" s="128"/>
      <c r="H133" s="129">
        <f>IFERROR(__xludf.DUMMYFUNCTION("""COMPUTED_VALUE"""),2020.0)</f>
        <v>2020</v>
      </c>
      <c r="I133" s="129">
        <f>IFERROR(__xludf.DUMMYFUNCTION("""COMPUTED_VALUE"""),1.0)</f>
        <v>1</v>
      </c>
      <c r="J133" s="130">
        <f>IFERROR(__xludf.DUMMYFUNCTION("""COMPUTED_VALUE"""),1.0)</f>
        <v>1</v>
      </c>
      <c r="K133" s="130">
        <f>IFERROR(__xludf.DUMMYFUNCTION("""COMPUTED_VALUE"""),1.0)</f>
        <v>1</v>
      </c>
      <c r="L133" s="129">
        <f>IFERROR(__xludf.DUMMYFUNCTION("""COMPUTED_VALUE"""),1.0)</f>
        <v>1</v>
      </c>
      <c r="M133" s="130">
        <f>IFERROR(__xludf.DUMMYFUNCTION("""COMPUTED_VALUE"""),1.0)</f>
        <v>1</v>
      </c>
      <c r="N133" s="130">
        <f>IFERROR(__xludf.DUMMYFUNCTION("""COMPUTED_VALUE"""),0.0)</f>
        <v>0</v>
      </c>
      <c r="O133" s="130">
        <f>IFERROR(__xludf.DUMMYFUNCTION("""COMPUTED_VALUE"""),0.0)</f>
        <v>0</v>
      </c>
      <c r="P133" s="130">
        <f>IFERROR(__xludf.DUMMYFUNCTION("""COMPUTED_VALUE"""),0.0)</f>
        <v>0</v>
      </c>
      <c r="Q133" s="129">
        <f>IFERROR(__xludf.DUMMYFUNCTION("""COMPUTED_VALUE"""),0.0)</f>
        <v>0</v>
      </c>
      <c r="R133" s="129">
        <f>IFERROR(__xludf.DUMMYFUNCTION("""COMPUTED_VALUE"""),0.0)</f>
        <v>0</v>
      </c>
      <c r="S133" s="129">
        <f>IFERROR(__xludf.DUMMYFUNCTION("""COMPUTED_VALUE"""),0.0)</f>
        <v>0</v>
      </c>
      <c r="T133" s="129">
        <f>IFERROR(__xludf.DUMMYFUNCTION("""COMPUTED_VALUE"""),0.0)</f>
        <v>0</v>
      </c>
      <c r="U133" s="129">
        <f>IFERROR(__xludf.DUMMYFUNCTION("""COMPUTED_VALUE"""),0.0)</f>
        <v>0</v>
      </c>
      <c r="V133" s="126">
        <f>IFERROR(__xludf.DUMMYFUNCTION("""COMPUTED_VALUE"""),0.0)</f>
        <v>0</v>
      </c>
      <c r="W133" s="126" t="str">
        <f>IFERROR(__xludf.DUMMYFUNCTION("""COMPUTED_VALUE"""),"Yes")</f>
        <v>Yes</v>
      </c>
      <c r="X133" s="126" t="str">
        <f>IFERROR(__xludf.DUMMYFUNCTION("""COMPUTED_VALUE"""),"Yes")</f>
        <v>Yes</v>
      </c>
      <c r="Y133" s="126" t="str">
        <f>IFERROR(__xludf.DUMMYFUNCTION("""COMPUTED_VALUE"""),"C")</f>
        <v>C</v>
      </c>
      <c r="Z133" s="126" t="str">
        <f>IFERROR(__xludf.DUMMYFUNCTION("""COMPUTED_VALUE"""),"cooling aware vm consolidation")</f>
        <v>cooling aware vm consolidation</v>
      </c>
      <c r="AA133" s="126"/>
      <c r="AB133" s="126"/>
      <c r="AC133" s="126"/>
      <c r="AD133" s="126"/>
      <c r="AE133" s="126"/>
      <c r="AF133" s="126"/>
      <c r="AG133" s="126"/>
      <c r="AH133" s="126"/>
      <c r="AI133" s="126"/>
      <c r="AJ133" s="126"/>
    </row>
    <row r="134">
      <c r="A134" s="126">
        <f>IFERROR(__xludf.DUMMYFUNCTION("""COMPUTED_VALUE"""),408.0)</f>
        <v>408</v>
      </c>
      <c r="B134" s="126" t="str">
        <f>IFERROR(__xludf.DUMMYFUNCTION("""COMPUTED_VALUE"""),"Reinforcement learning based methodology for energy-efficient resource allocation in cloud data centers")</f>
        <v>Reinforcement learning based methodology for energy-efficient resource allocation in cloud data centers</v>
      </c>
      <c r="C134" s="127" t="str">
        <f>IFERROR(__xludf.DUMMYFUNCTION("""COMPUTED_VALUE"""),"https://www.sciencedirect.com/science/article/pii/S1319157818306554")</f>
        <v>https://www.sciencedirect.com/science/article/pii/S1319157818306554</v>
      </c>
      <c r="D134" s="126" t="str">
        <f>IFERROR(__xludf.DUMMYFUNCTION("""COMPUTED_VALUE"""),"T Thein, MM Myo, S Parvin, A Gawanmeh")</f>
        <v>T Thein, MM Myo, S Parvin, A Gawanmeh</v>
      </c>
      <c r="E134" s="126" t="str">
        <f>IFERROR(__xludf.DUMMYFUNCTION("""COMPUTED_VALUE"""),"Elsevier")</f>
        <v>Elsevier</v>
      </c>
      <c r="F134" s="126" t="str">
        <f>IFERROR(__xludf.DUMMYFUNCTION("""COMPUTED_VALUE"""),"Elsevier")</f>
        <v>Elsevier</v>
      </c>
      <c r="G134" s="128"/>
      <c r="H134" s="130">
        <f>IFERROR(__xludf.DUMMYFUNCTION("""COMPUTED_VALUE"""),2018.0)</f>
        <v>2018</v>
      </c>
      <c r="I134" s="130">
        <f>IFERROR(__xludf.DUMMYFUNCTION("""COMPUTED_VALUE"""),1.0)</f>
        <v>1</v>
      </c>
      <c r="J134" s="130">
        <f>IFERROR(__xludf.DUMMYFUNCTION("""COMPUTED_VALUE"""),1.0)</f>
        <v>1</v>
      </c>
      <c r="K134" s="129">
        <f>IFERROR(__xludf.DUMMYFUNCTION("""COMPUTED_VALUE"""),1.0)</f>
        <v>1</v>
      </c>
      <c r="L134" s="129">
        <f>IFERROR(__xludf.DUMMYFUNCTION("""COMPUTED_VALUE"""),1.0)</f>
        <v>1</v>
      </c>
      <c r="M134" s="130">
        <f>IFERROR(__xludf.DUMMYFUNCTION("""COMPUTED_VALUE"""),1.0)</f>
        <v>1</v>
      </c>
      <c r="N134" s="130">
        <f>IFERROR(__xludf.DUMMYFUNCTION("""COMPUTED_VALUE"""),0.0)</f>
        <v>0</v>
      </c>
      <c r="O134" s="130">
        <f>IFERROR(__xludf.DUMMYFUNCTION("""COMPUTED_VALUE"""),0.0)</f>
        <v>0</v>
      </c>
      <c r="P134" s="130">
        <f>IFERROR(__xludf.DUMMYFUNCTION("""COMPUTED_VALUE"""),0.0)</f>
        <v>0</v>
      </c>
      <c r="Q134" s="130">
        <f>IFERROR(__xludf.DUMMYFUNCTION("""COMPUTED_VALUE"""),0.0)</f>
        <v>0</v>
      </c>
      <c r="R134" s="130">
        <f>IFERROR(__xludf.DUMMYFUNCTION("""COMPUTED_VALUE"""),0.0)</f>
        <v>0</v>
      </c>
      <c r="S134" s="130">
        <f>IFERROR(__xludf.DUMMYFUNCTION("""COMPUTED_VALUE"""),0.0)</f>
        <v>0</v>
      </c>
      <c r="T134" s="130">
        <f>IFERROR(__xludf.DUMMYFUNCTION("""COMPUTED_VALUE"""),0.0)</f>
        <v>0</v>
      </c>
      <c r="U134" s="130">
        <f>IFERROR(__xludf.DUMMYFUNCTION("""COMPUTED_VALUE"""),0.0)</f>
        <v>0</v>
      </c>
      <c r="V134" s="131">
        <f>IFERROR(__xludf.DUMMYFUNCTION("""COMPUTED_VALUE"""),0.0)</f>
        <v>0</v>
      </c>
      <c r="W134" s="131" t="str">
        <f>IFERROR(__xludf.DUMMYFUNCTION("""COMPUTED_VALUE"""),"Yes")</f>
        <v>Yes</v>
      </c>
      <c r="X134" s="131" t="str">
        <f>IFERROR(__xludf.DUMMYFUNCTION("""COMPUTED_VALUE"""),"Yes")</f>
        <v>Yes</v>
      </c>
      <c r="Y134" s="131" t="str">
        <f>IFERROR(__xludf.DUMMYFUNCTION("""COMPUTED_VALUE"""),"C")</f>
        <v>C</v>
      </c>
      <c r="Z134" s="131" t="str">
        <f>IFERROR(__xludf.DUMMYFUNCTION("""COMPUTED_VALUE"""),"resource allocation")</f>
        <v>resource allocation</v>
      </c>
      <c r="AA134" s="131"/>
      <c r="AB134" s="131"/>
      <c r="AC134" s="131"/>
      <c r="AD134" s="131"/>
      <c r="AE134" s="131"/>
      <c r="AF134" s="131"/>
      <c r="AG134" s="131"/>
      <c r="AH134" s="131"/>
      <c r="AI134" s="131"/>
      <c r="AJ134" s="131"/>
    </row>
    <row r="135">
      <c r="A135" s="126">
        <f>IFERROR(__xludf.DUMMYFUNCTION("""COMPUTED_VALUE"""),410.0)</f>
        <v>410</v>
      </c>
      <c r="B135" s="126" t="str">
        <f>IFERROR(__xludf.DUMMYFUNCTION("""COMPUTED_VALUE"""),"An integer linear programming model and adaptive genetic algorithm approach to minimize energy consumption of cloud computing data centers")</f>
        <v>An integer linear programming model and adaptive genetic algorithm approach to minimize energy consumption of cloud computing data centers</v>
      </c>
      <c r="C135" s="127" t="str">
        <f>IFERROR(__xludf.DUMMYFUNCTION("""COMPUTED_VALUE"""),"https://www.sciencedirect.com/science/article/pii/S0045790617319808")</f>
        <v>https://www.sciencedirect.com/science/article/pii/S0045790617319808</v>
      </c>
      <c r="D135" s="131" t="str">
        <f>IFERROR(__xludf.DUMMYFUNCTION("""COMPUTED_VALUE"""),"H Ibrahim, RO Aburukba, K El-Fakih")</f>
        <v>H Ibrahim, RO Aburukba, K El-Fakih</v>
      </c>
      <c r="E135" s="131" t="str">
        <f>IFERROR(__xludf.DUMMYFUNCTION("""COMPUTED_VALUE"""),"Elsevier")</f>
        <v>Elsevier</v>
      </c>
      <c r="F135" s="126" t="str">
        <f>IFERROR(__xludf.DUMMYFUNCTION("""COMPUTED_VALUE"""),"Elsevier")</f>
        <v>Elsevier</v>
      </c>
      <c r="G135" s="128"/>
      <c r="H135" s="130">
        <f>IFERROR(__xludf.DUMMYFUNCTION("""COMPUTED_VALUE"""),2018.0)</f>
        <v>2018</v>
      </c>
      <c r="I135" s="129">
        <f>IFERROR(__xludf.DUMMYFUNCTION("""COMPUTED_VALUE"""),1.0)</f>
        <v>1</v>
      </c>
      <c r="J135" s="129">
        <f>IFERROR(__xludf.DUMMYFUNCTION("""COMPUTED_VALUE"""),1.0)</f>
        <v>1</v>
      </c>
      <c r="K135" s="130">
        <f>IFERROR(__xludf.DUMMYFUNCTION("""COMPUTED_VALUE"""),1.0)</f>
        <v>1</v>
      </c>
      <c r="L135" s="130">
        <f>IFERROR(__xludf.DUMMYFUNCTION("""COMPUTED_VALUE"""),1.0)</f>
        <v>1</v>
      </c>
      <c r="M135" s="130">
        <f>IFERROR(__xludf.DUMMYFUNCTION("""COMPUTED_VALUE"""),1.0)</f>
        <v>1</v>
      </c>
      <c r="N135" s="130">
        <f>IFERROR(__xludf.DUMMYFUNCTION("""COMPUTED_VALUE"""),0.0)</f>
        <v>0</v>
      </c>
      <c r="O135" s="130">
        <f>IFERROR(__xludf.DUMMYFUNCTION("""COMPUTED_VALUE"""),0.0)</f>
        <v>0</v>
      </c>
      <c r="P135" s="130">
        <f>IFERROR(__xludf.DUMMYFUNCTION("""COMPUTED_VALUE"""),0.0)</f>
        <v>0</v>
      </c>
      <c r="Q135" s="130">
        <f>IFERROR(__xludf.DUMMYFUNCTION("""COMPUTED_VALUE"""),0.0)</f>
        <v>0</v>
      </c>
      <c r="R135" s="130">
        <f>IFERROR(__xludf.DUMMYFUNCTION("""COMPUTED_VALUE"""),0.0)</f>
        <v>0</v>
      </c>
      <c r="S135" s="130">
        <f>IFERROR(__xludf.DUMMYFUNCTION("""COMPUTED_VALUE"""),0.0)</f>
        <v>0</v>
      </c>
      <c r="T135" s="130">
        <f>IFERROR(__xludf.DUMMYFUNCTION("""COMPUTED_VALUE"""),0.0)</f>
        <v>0</v>
      </c>
      <c r="U135" s="130">
        <f>IFERROR(__xludf.DUMMYFUNCTION("""COMPUTED_VALUE"""),0.0)</f>
        <v>0</v>
      </c>
      <c r="V135" s="131">
        <f>IFERROR(__xludf.DUMMYFUNCTION("""COMPUTED_VALUE"""),0.0)</f>
        <v>0</v>
      </c>
      <c r="W135" s="131" t="str">
        <f>IFERROR(__xludf.DUMMYFUNCTION("""COMPUTED_VALUE"""),"Yes")</f>
        <v>Yes</v>
      </c>
      <c r="X135" s="131" t="str">
        <f>IFERROR(__xludf.DUMMYFUNCTION("""COMPUTED_VALUE"""),"Yes")</f>
        <v>Yes</v>
      </c>
      <c r="Y135" s="131" t="str">
        <f>IFERROR(__xludf.DUMMYFUNCTION("""COMPUTED_VALUE"""),"C")</f>
        <v>C</v>
      </c>
      <c r="Z135" s="131" t="str">
        <f>IFERROR(__xludf.DUMMYFUNCTION("""COMPUTED_VALUE"""),"dynamic task scheduling")</f>
        <v>dynamic task scheduling</v>
      </c>
      <c r="AA135" s="131"/>
      <c r="AB135" s="131"/>
      <c r="AC135" s="131"/>
      <c r="AD135" s="131"/>
      <c r="AE135" s="131"/>
      <c r="AF135" s="131"/>
      <c r="AG135" s="131"/>
      <c r="AH135" s="131"/>
      <c r="AI135" s="131"/>
      <c r="AJ135" s="131"/>
    </row>
    <row r="136">
      <c r="A136" s="126">
        <f>IFERROR(__xludf.DUMMYFUNCTION("""COMPUTED_VALUE"""),414.0)</f>
        <v>414</v>
      </c>
      <c r="B136" s="126" t="str">
        <f>IFERROR(__xludf.DUMMYFUNCTION("""COMPUTED_VALUE"""),"Embedding individualized machine learning prediction models for energy efficient VM consolidation within Cloud data centers")</f>
        <v>Embedding individualized machine learning prediction models for energy efficient VM consolidation within Cloud data centers</v>
      </c>
      <c r="C136" s="127" t="str">
        <f>IFERROR(__xludf.DUMMYFUNCTION("""COMPUTED_VALUE"""),"https://www.sciencedirect.com/science/article/pii/S0167739X19308969")</f>
        <v>https://www.sciencedirect.com/science/article/pii/S0167739X19308969</v>
      </c>
      <c r="D136" s="126" t="str">
        <f>IFERROR(__xludf.DUMMYFUNCTION("""COMPUTED_VALUE"""),"SM Moghaddam, M O'Sullivan, C Walker…")</f>
        <v>SM Moghaddam, M O'Sullivan, C Walker…</v>
      </c>
      <c r="E136" s="126" t="str">
        <f>IFERROR(__xludf.DUMMYFUNCTION("""COMPUTED_VALUE"""),"Elsevier")</f>
        <v>Elsevier</v>
      </c>
      <c r="F136" s="126" t="str">
        <f>IFERROR(__xludf.DUMMYFUNCTION("""COMPUTED_VALUE"""),"Elsevier")</f>
        <v>Elsevier</v>
      </c>
      <c r="G136" s="126"/>
      <c r="H136" s="129">
        <f>IFERROR(__xludf.DUMMYFUNCTION("""COMPUTED_VALUE"""),2020.0)</f>
        <v>2020</v>
      </c>
      <c r="I136" s="129">
        <f>IFERROR(__xludf.DUMMYFUNCTION("""COMPUTED_VALUE"""),1.0)</f>
        <v>1</v>
      </c>
      <c r="J136" s="129">
        <f>IFERROR(__xludf.DUMMYFUNCTION("""COMPUTED_VALUE"""),1.0)</f>
        <v>1</v>
      </c>
      <c r="K136" s="129">
        <f>IFERROR(__xludf.DUMMYFUNCTION("""COMPUTED_VALUE"""),1.0)</f>
        <v>1</v>
      </c>
      <c r="L136" s="129">
        <f>IFERROR(__xludf.DUMMYFUNCTION("""COMPUTED_VALUE"""),1.0)</f>
        <v>1</v>
      </c>
      <c r="M136" s="129">
        <f>IFERROR(__xludf.DUMMYFUNCTION("""COMPUTED_VALUE"""),1.0)</f>
        <v>1</v>
      </c>
      <c r="N136" s="129">
        <f>IFERROR(__xludf.DUMMYFUNCTION("""COMPUTED_VALUE"""),0.0)</f>
        <v>0</v>
      </c>
      <c r="O136" s="129">
        <f>IFERROR(__xludf.DUMMYFUNCTION("""COMPUTED_VALUE"""),0.0)</f>
        <v>0</v>
      </c>
      <c r="P136" s="129">
        <f>IFERROR(__xludf.DUMMYFUNCTION("""COMPUTED_VALUE"""),0.0)</f>
        <v>0</v>
      </c>
      <c r="Q136" s="129">
        <f>IFERROR(__xludf.DUMMYFUNCTION("""COMPUTED_VALUE"""),0.0)</f>
        <v>0</v>
      </c>
      <c r="R136" s="129">
        <f>IFERROR(__xludf.DUMMYFUNCTION("""COMPUTED_VALUE"""),0.0)</f>
        <v>0</v>
      </c>
      <c r="S136" s="129">
        <f>IFERROR(__xludf.DUMMYFUNCTION("""COMPUTED_VALUE"""),0.0)</f>
        <v>0</v>
      </c>
      <c r="T136" s="129">
        <f>IFERROR(__xludf.DUMMYFUNCTION("""COMPUTED_VALUE"""),0.0)</f>
        <v>0</v>
      </c>
      <c r="U136" s="129">
        <f>IFERROR(__xludf.DUMMYFUNCTION("""COMPUTED_VALUE"""),0.0)</f>
        <v>0</v>
      </c>
      <c r="V136" s="126">
        <f>IFERROR(__xludf.DUMMYFUNCTION("""COMPUTED_VALUE"""),0.0)</f>
        <v>0</v>
      </c>
      <c r="W136" s="126" t="str">
        <f>IFERROR(__xludf.DUMMYFUNCTION("""COMPUTED_VALUE"""),"Yes")</f>
        <v>Yes</v>
      </c>
      <c r="X136" s="126" t="str">
        <f>IFERROR(__xludf.DUMMYFUNCTION("""COMPUTED_VALUE"""),"Yes")</f>
        <v>Yes</v>
      </c>
      <c r="Y136" s="126" t="str">
        <f>IFERROR(__xludf.DUMMYFUNCTION("""COMPUTED_VALUE"""),"C")</f>
        <v>C</v>
      </c>
      <c r="Z136" s="126" t="str">
        <f>IFERROR(__xludf.DUMMYFUNCTION("""COMPUTED_VALUE"""),"vm consolidation")</f>
        <v>vm consolidation</v>
      </c>
      <c r="AA136" s="126"/>
      <c r="AB136" s="126"/>
      <c r="AC136" s="126"/>
      <c r="AD136" s="126"/>
      <c r="AE136" s="126"/>
      <c r="AF136" s="126"/>
      <c r="AG136" s="126"/>
      <c r="AH136" s="126"/>
      <c r="AI136" s="126"/>
      <c r="AJ136" s="126"/>
    </row>
    <row r="137">
      <c r="A137" s="126">
        <f>IFERROR(__xludf.DUMMYFUNCTION("""COMPUTED_VALUE"""),415.0)</f>
        <v>415</v>
      </c>
      <c r="B137" s="126" t="str">
        <f>IFERROR(__xludf.DUMMYFUNCTION("""COMPUTED_VALUE"""),"Energy Efficient Cloud Data Center Using Dynamic Virtual Machine Consolidation Algorithm")</f>
        <v>Energy Efficient Cloud Data Center Using Dynamic Virtual Machine Consolidation Algorithm</v>
      </c>
      <c r="C137" s="127" t="str">
        <f>IFERROR(__xludf.DUMMYFUNCTION("""COMPUTED_VALUE"""),"https://link.springer.com/chapter/10.1007/978-3-030-20485-3_40")</f>
        <v>https://link.springer.com/chapter/10.1007/978-3-030-20485-3_40</v>
      </c>
      <c r="D137" s="131" t="str">
        <f>IFERROR(__xludf.DUMMYFUNCTION("""COMPUTED_VALUE"""),"C Thiam, F Thiam")</f>
        <v>C Thiam, F Thiam</v>
      </c>
      <c r="E137" s="131" t="str">
        <f>IFERROR(__xludf.DUMMYFUNCTION("""COMPUTED_VALUE"""),"Springer")</f>
        <v>Springer</v>
      </c>
      <c r="F137" s="126" t="str">
        <f>IFERROR(__xludf.DUMMYFUNCTION("""COMPUTED_VALUE"""),"Springer")</f>
        <v>Springer</v>
      </c>
      <c r="G137" s="128"/>
      <c r="H137" s="130">
        <f>IFERROR(__xludf.DUMMYFUNCTION("""COMPUTED_VALUE"""),2019.0)</f>
        <v>2019</v>
      </c>
      <c r="I137" s="130">
        <f>IFERROR(__xludf.DUMMYFUNCTION("""COMPUTED_VALUE"""),1.0)</f>
        <v>1</v>
      </c>
      <c r="J137" s="130">
        <f>IFERROR(__xludf.DUMMYFUNCTION("""COMPUTED_VALUE"""),1.0)</f>
        <v>1</v>
      </c>
      <c r="K137" s="130">
        <f>IFERROR(__xludf.DUMMYFUNCTION("""COMPUTED_VALUE"""),1.0)</f>
        <v>1</v>
      </c>
      <c r="L137" s="129">
        <f>IFERROR(__xludf.DUMMYFUNCTION("""COMPUTED_VALUE"""),1.0)</f>
        <v>1</v>
      </c>
      <c r="M137" s="130">
        <f>IFERROR(__xludf.DUMMYFUNCTION("""COMPUTED_VALUE"""),1.0)</f>
        <v>1</v>
      </c>
      <c r="N137" s="130">
        <f>IFERROR(__xludf.DUMMYFUNCTION("""COMPUTED_VALUE"""),0.0)</f>
        <v>0</v>
      </c>
      <c r="O137" s="130">
        <f>IFERROR(__xludf.DUMMYFUNCTION("""COMPUTED_VALUE"""),0.0)</f>
        <v>0</v>
      </c>
      <c r="P137" s="130">
        <f>IFERROR(__xludf.DUMMYFUNCTION("""COMPUTED_VALUE"""),0.0)</f>
        <v>0</v>
      </c>
      <c r="Q137" s="129">
        <f>IFERROR(__xludf.DUMMYFUNCTION("""COMPUTED_VALUE"""),0.0)</f>
        <v>0</v>
      </c>
      <c r="R137" s="129">
        <f>IFERROR(__xludf.DUMMYFUNCTION("""COMPUTED_VALUE"""),0.0)</f>
        <v>0</v>
      </c>
      <c r="S137" s="129">
        <f>IFERROR(__xludf.DUMMYFUNCTION("""COMPUTED_VALUE"""),0.0)</f>
        <v>0</v>
      </c>
      <c r="T137" s="129">
        <f>IFERROR(__xludf.DUMMYFUNCTION("""COMPUTED_VALUE"""),0.0)</f>
        <v>0</v>
      </c>
      <c r="U137" s="129">
        <f>IFERROR(__xludf.DUMMYFUNCTION("""COMPUTED_VALUE"""),0.0)</f>
        <v>0</v>
      </c>
      <c r="V137" s="126">
        <f>IFERROR(__xludf.DUMMYFUNCTION("""COMPUTED_VALUE"""),0.0)</f>
        <v>0</v>
      </c>
      <c r="W137" s="126" t="str">
        <f>IFERROR(__xludf.DUMMYFUNCTION("""COMPUTED_VALUE"""),"Yes")</f>
        <v>Yes</v>
      </c>
      <c r="X137" s="126" t="str">
        <f>IFERROR(__xludf.DUMMYFUNCTION("""COMPUTED_VALUE"""),"Yes")</f>
        <v>Yes</v>
      </c>
      <c r="Y137" s="126" t="str">
        <f>IFERROR(__xludf.DUMMYFUNCTION("""COMPUTED_VALUE"""),"C")</f>
        <v>C</v>
      </c>
      <c r="Z137" s="126" t="str">
        <f>IFERROR(__xludf.DUMMYFUNCTION("""COMPUTED_VALUE"""),"vm consolidation")</f>
        <v>vm consolidation</v>
      </c>
      <c r="AA137" s="126"/>
      <c r="AB137" s="126"/>
      <c r="AC137" s="126"/>
      <c r="AD137" s="126"/>
      <c r="AE137" s="126"/>
      <c r="AF137" s="126"/>
      <c r="AG137" s="126"/>
      <c r="AH137" s="126"/>
      <c r="AI137" s="126"/>
      <c r="AJ137" s="126"/>
    </row>
    <row r="138">
      <c r="A138" s="126">
        <f>IFERROR(__xludf.DUMMYFUNCTION("""COMPUTED_VALUE"""),418.0)</f>
        <v>418</v>
      </c>
      <c r="B138" s="126" t="str">
        <f>IFERROR(__xludf.DUMMYFUNCTION("""COMPUTED_VALUE"""),"Bridging Server and Cooling: Toward Effective Energy Management in Data Centers")</f>
        <v>Bridging Server and Cooling: Toward Effective Energy Management in Data Centers</v>
      </c>
      <c r="C138" s="127" t="str">
        <f>IFERROR(__xludf.DUMMYFUNCTION("""COMPUTED_VALUE"""),"https://ieeexplore.ieee.org/abstract/document/8975843/")</f>
        <v>https://ieeexplore.ieee.org/abstract/document/8975843/</v>
      </c>
      <c r="D138" s="126" t="str">
        <f>IFERROR(__xludf.DUMMYFUNCTION("""COMPUTED_VALUE"""),"B Zhou, X Song, X Shi, Y Lu…")</f>
        <v>B Zhou, X Song, X Shi, Y Lu…</v>
      </c>
      <c r="E138" s="126" t="str">
        <f>IFERROR(__xludf.DUMMYFUNCTION("""COMPUTED_VALUE"""),"Institute of Electrical and Electronics Engineers")</f>
        <v>Institute of Electrical and Electronics Engineers</v>
      </c>
      <c r="F138" s="126" t="str">
        <f>IFERROR(__xludf.DUMMYFUNCTION("""COMPUTED_VALUE"""),"IEEE Xplore")</f>
        <v>IEEE Xplore</v>
      </c>
      <c r="G138" s="126"/>
      <c r="H138" s="129">
        <f>IFERROR(__xludf.DUMMYFUNCTION("""COMPUTED_VALUE"""),2019.0)</f>
        <v>2019</v>
      </c>
      <c r="I138" s="129">
        <f>IFERROR(__xludf.DUMMYFUNCTION("""COMPUTED_VALUE"""),1.0)</f>
        <v>1</v>
      </c>
      <c r="J138" s="129">
        <f>IFERROR(__xludf.DUMMYFUNCTION("""COMPUTED_VALUE"""),1.0)</f>
        <v>1</v>
      </c>
      <c r="K138" s="129">
        <f>IFERROR(__xludf.DUMMYFUNCTION("""COMPUTED_VALUE"""),1.0)</f>
        <v>1</v>
      </c>
      <c r="L138" s="129">
        <f>IFERROR(__xludf.DUMMYFUNCTION("""COMPUTED_VALUE"""),1.0)</f>
        <v>1</v>
      </c>
      <c r="M138" s="129">
        <f>IFERROR(__xludf.DUMMYFUNCTION("""COMPUTED_VALUE"""),1.0)</f>
        <v>1</v>
      </c>
      <c r="N138" s="129">
        <f>IFERROR(__xludf.DUMMYFUNCTION("""COMPUTED_VALUE"""),0.0)</f>
        <v>0</v>
      </c>
      <c r="O138" s="129">
        <f>IFERROR(__xludf.DUMMYFUNCTION("""COMPUTED_VALUE"""),0.0)</f>
        <v>0</v>
      </c>
      <c r="P138" s="129">
        <f>IFERROR(__xludf.DUMMYFUNCTION("""COMPUTED_VALUE"""),0.0)</f>
        <v>0</v>
      </c>
      <c r="Q138" s="129">
        <f>IFERROR(__xludf.DUMMYFUNCTION("""COMPUTED_VALUE"""),0.0)</f>
        <v>0</v>
      </c>
      <c r="R138" s="129">
        <f>IFERROR(__xludf.DUMMYFUNCTION("""COMPUTED_VALUE"""),0.0)</f>
        <v>0</v>
      </c>
      <c r="S138" s="129">
        <f>IFERROR(__xludf.DUMMYFUNCTION("""COMPUTED_VALUE"""),0.0)</f>
        <v>0</v>
      </c>
      <c r="T138" s="129">
        <f>IFERROR(__xludf.DUMMYFUNCTION("""COMPUTED_VALUE"""),0.0)</f>
        <v>0</v>
      </c>
      <c r="U138" s="129">
        <f>IFERROR(__xludf.DUMMYFUNCTION("""COMPUTED_VALUE"""),0.0)</f>
        <v>0</v>
      </c>
      <c r="V138" s="126">
        <f>IFERROR(__xludf.DUMMYFUNCTION("""COMPUTED_VALUE"""),0.0)</f>
        <v>0</v>
      </c>
      <c r="W138" s="126" t="str">
        <f>IFERROR(__xludf.DUMMYFUNCTION("""COMPUTED_VALUE"""),"Yes")</f>
        <v>Yes</v>
      </c>
      <c r="X138" s="126" t="str">
        <f>IFERROR(__xludf.DUMMYFUNCTION("""COMPUTED_VALUE"""),"Yes")</f>
        <v>Yes</v>
      </c>
      <c r="Y138" s="126" t="str">
        <f>IFERROR(__xludf.DUMMYFUNCTION("""COMPUTED_VALUE"""),"C")</f>
        <v>C</v>
      </c>
      <c r="Z138" s="126" t="str">
        <f>IFERROR(__xludf.DUMMYFUNCTION("""COMPUTED_VALUE"""),"cooling aware energy efficiency")</f>
        <v>cooling aware energy efficiency</v>
      </c>
      <c r="AA138" s="126"/>
      <c r="AB138" s="126"/>
      <c r="AC138" s="126"/>
      <c r="AD138" s="126"/>
      <c r="AE138" s="126"/>
      <c r="AF138" s="126"/>
      <c r="AG138" s="126"/>
      <c r="AH138" s="126"/>
      <c r="AI138" s="126"/>
      <c r="AJ138" s="126"/>
    </row>
    <row r="139">
      <c r="A139" s="126">
        <f>IFERROR(__xludf.DUMMYFUNCTION("""COMPUTED_VALUE"""),419.0)</f>
        <v>419</v>
      </c>
      <c r="B139" s="126" t="str">
        <f>IFERROR(__xludf.DUMMYFUNCTION("""COMPUTED_VALUE"""),"An Energy-Efficient Task Scheduling Mechanism with Switching On/Sleep Mode of Servers in Virtualized Cloud Data Centers")</f>
        <v>An Energy-Efficient Task Scheduling Mechanism with Switching On/Sleep Mode of Servers in Virtualized Cloud Data Centers</v>
      </c>
      <c r="C139" s="127" t="str">
        <f>IFERROR(__xludf.DUMMYFUNCTION("""COMPUTED_VALUE"""),"https://www.hindawi.com/journals/mpe/2020/4176308/")</f>
        <v>https://www.hindawi.com/journals/mpe/2020/4176308/</v>
      </c>
      <c r="D139" s="131" t="str">
        <f>IFERROR(__xludf.DUMMYFUNCTION("""COMPUTED_VALUE"""),"C Yin, J Liu, S Jin")</f>
        <v>C Yin, J Liu, S Jin</v>
      </c>
      <c r="E139" s="133" t="str">
        <f>IFERROR(__xludf.DUMMYFUNCTION("""COMPUTED_VALUE"""),"hindawi.com")</f>
        <v>hindawi.com</v>
      </c>
      <c r="F139" s="127" t="str">
        <f>IFERROR(__xludf.DUMMYFUNCTION("""COMPUTED_VALUE"""),"hindawi.com")</f>
        <v>hindawi.com</v>
      </c>
      <c r="G139" s="128"/>
      <c r="H139" s="130">
        <f>IFERROR(__xludf.DUMMYFUNCTION("""COMPUTED_VALUE"""),2020.0)</f>
        <v>2020</v>
      </c>
      <c r="I139" s="130">
        <f>IFERROR(__xludf.DUMMYFUNCTION("""COMPUTED_VALUE"""),1.0)</f>
        <v>1</v>
      </c>
      <c r="J139" s="130">
        <f>IFERROR(__xludf.DUMMYFUNCTION("""COMPUTED_VALUE"""),1.0)</f>
        <v>1</v>
      </c>
      <c r="K139" s="130">
        <f>IFERROR(__xludf.DUMMYFUNCTION("""COMPUTED_VALUE"""),1.0)</f>
        <v>1</v>
      </c>
      <c r="L139" s="129">
        <f>IFERROR(__xludf.DUMMYFUNCTION("""COMPUTED_VALUE"""),1.0)</f>
        <v>1</v>
      </c>
      <c r="M139" s="130">
        <f>IFERROR(__xludf.DUMMYFUNCTION("""COMPUTED_VALUE"""),1.0)</f>
        <v>1</v>
      </c>
      <c r="N139" s="130">
        <f>IFERROR(__xludf.DUMMYFUNCTION("""COMPUTED_VALUE"""),0.0)</f>
        <v>0</v>
      </c>
      <c r="O139" s="130">
        <f>IFERROR(__xludf.DUMMYFUNCTION("""COMPUTED_VALUE"""),0.0)</f>
        <v>0</v>
      </c>
      <c r="P139" s="130">
        <f>IFERROR(__xludf.DUMMYFUNCTION("""COMPUTED_VALUE"""),0.0)</f>
        <v>0</v>
      </c>
      <c r="Q139" s="130">
        <f>IFERROR(__xludf.DUMMYFUNCTION("""COMPUTED_VALUE"""),0.0)</f>
        <v>0</v>
      </c>
      <c r="R139" s="130">
        <f>IFERROR(__xludf.DUMMYFUNCTION("""COMPUTED_VALUE"""),0.0)</f>
        <v>0</v>
      </c>
      <c r="S139" s="130">
        <f>IFERROR(__xludf.DUMMYFUNCTION("""COMPUTED_VALUE"""),0.0)</f>
        <v>0</v>
      </c>
      <c r="T139" s="130">
        <f>IFERROR(__xludf.DUMMYFUNCTION("""COMPUTED_VALUE"""),0.0)</f>
        <v>0</v>
      </c>
      <c r="U139" s="130">
        <f>IFERROR(__xludf.DUMMYFUNCTION("""COMPUTED_VALUE"""),0.0)</f>
        <v>0</v>
      </c>
      <c r="V139" s="131">
        <f>IFERROR(__xludf.DUMMYFUNCTION("""COMPUTED_VALUE"""),0.0)</f>
        <v>0</v>
      </c>
      <c r="W139" s="131" t="str">
        <f>IFERROR(__xludf.DUMMYFUNCTION("""COMPUTED_VALUE"""),"Yes")</f>
        <v>Yes</v>
      </c>
      <c r="X139" s="131" t="str">
        <f>IFERROR(__xludf.DUMMYFUNCTION("""COMPUTED_VALUE"""),"Yes")</f>
        <v>Yes</v>
      </c>
      <c r="Y139" s="131" t="str">
        <f>IFERROR(__xludf.DUMMYFUNCTION("""COMPUTED_VALUE"""),"C")</f>
        <v>C</v>
      </c>
      <c r="Z139" s="131" t="str">
        <f>IFERROR(__xludf.DUMMYFUNCTION("""COMPUTED_VALUE"""),"task scheduling")</f>
        <v>task scheduling</v>
      </c>
      <c r="AA139" s="131"/>
      <c r="AB139" s="131"/>
      <c r="AC139" s="131"/>
      <c r="AD139" s="131"/>
      <c r="AE139" s="131"/>
      <c r="AF139" s="131"/>
      <c r="AG139" s="131"/>
      <c r="AH139" s="131"/>
      <c r="AI139" s="131"/>
      <c r="AJ139" s="131"/>
    </row>
    <row r="140">
      <c r="A140" s="126">
        <f>IFERROR(__xludf.DUMMYFUNCTION("""COMPUTED_VALUE"""),420.0)</f>
        <v>420</v>
      </c>
      <c r="B140" s="126" t="str">
        <f>IFERROR(__xludf.DUMMYFUNCTION("""COMPUTED_VALUE"""),"Exact algorithms for energy-efficient virtual machine placement in data centers")</f>
        <v>Exact algorithms for energy-efficient virtual machine placement in data centers</v>
      </c>
      <c r="C140" s="127" t="str">
        <f>IFERROR(__xludf.DUMMYFUNCTION("""COMPUTED_VALUE"""),"https://www.sciencedirect.com/science/article/pii/S0167739X19319594")</f>
        <v>https://www.sciencedirect.com/science/article/pii/S0167739X19319594</v>
      </c>
      <c r="D140" s="126" t="str">
        <f>IFERROR(__xludf.DUMMYFUNCTION("""COMPUTED_VALUE"""),"C Wei, ZH Hu, YG Wang")</f>
        <v>C Wei, ZH Hu, YG Wang</v>
      </c>
      <c r="E140" s="126" t="str">
        <f>IFERROR(__xludf.DUMMYFUNCTION("""COMPUTED_VALUE"""),"Elsevier")</f>
        <v>Elsevier</v>
      </c>
      <c r="F140" s="126" t="str">
        <f>IFERROR(__xludf.DUMMYFUNCTION("""COMPUTED_VALUE"""),"Elsevier")</f>
        <v>Elsevier</v>
      </c>
      <c r="G140" s="128"/>
      <c r="H140" s="130">
        <f>IFERROR(__xludf.DUMMYFUNCTION("""COMPUTED_VALUE"""),2020.0)</f>
        <v>2020</v>
      </c>
      <c r="I140" s="129">
        <f>IFERROR(__xludf.DUMMYFUNCTION("""COMPUTED_VALUE"""),1.0)</f>
        <v>1</v>
      </c>
      <c r="J140" s="130">
        <f>IFERROR(__xludf.DUMMYFUNCTION("""COMPUTED_VALUE"""),1.0)</f>
        <v>1</v>
      </c>
      <c r="K140" s="129">
        <f>IFERROR(__xludf.DUMMYFUNCTION("""COMPUTED_VALUE"""),1.0)</f>
        <v>1</v>
      </c>
      <c r="L140" s="130">
        <f>IFERROR(__xludf.DUMMYFUNCTION("""COMPUTED_VALUE"""),1.0)</f>
        <v>1</v>
      </c>
      <c r="M140" s="130">
        <f>IFERROR(__xludf.DUMMYFUNCTION("""COMPUTED_VALUE"""),1.0)</f>
        <v>1</v>
      </c>
      <c r="N140" s="130">
        <f>IFERROR(__xludf.DUMMYFUNCTION("""COMPUTED_VALUE"""),0.0)</f>
        <v>0</v>
      </c>
      <c r="O140" s="130">
        <f>IFERROR(__xludf.DUMMYFUNCTION("""COMPUTED_VALUE"""),0.0)</f>
        <v>0</v>
      </c>
      <c r="P140" s="130">
        <f>IFERROR(__xludf.DUMMYFUNCTION("""COMPUTED_VALUE"""),0.0)</f>
        <v>0</v>
      </c>
      <c r="Q140" s="130">
        <f>IFERROR(__xludf.DUMMYFUNCTION("""COMPUTED_VALUE"""),0.0)</f>
        <v>0</v>
      </c>
      <c r="R140" s="130">
        <f>IFERROR(__xludf.DUMMYFUNCTION("""COMPUTED_VALUE"""),0.0)</f>
        <v>0</v>
      </c>
      <c r="S140" s="130">
        <f>IFERROR(__xludf.DUMMYFUNCTION("""COMPUTED_VALUE"""),0.0)</f>
        <v>0</v>
      </c>
      <c r="T140" s="130">
        <f>IFERROR(__xludf.DUMMYFUNCTION("""COMPUTED_VALUE"""),0.0)</f>
        <v>0</v>
      </c>
      <c r="U140" s="130">
        <f>IFERROR(__xludf.DUMMYFUNCTION("""COMPUTED_VALUE"""),0.0)</f>
        <v>0</v>
      </c>
      <c r="V140" s="131">
        <f>IFERROR(__xludf.DUMMYFUNCTION("""COMPUTED_VALUE"""),0.0)</f>
        <v>0</v>
      </c>
      <c r="W140" s="131" t="str">
        <f>IFERROR(__xludf.DUMMYFUNCTION("""COMPUTED_VALUE"""),"Yes")</f>
        <v>Yes</v>
      </c>
      <c r="X140" s="131" t="str">
        <f>IFERROR(__xludf.DUMMYFUNCTION("""COMPUTED_VALUE"""),"Yes")</f>
        <v>Yes</v>
      </c>
      <c r="Y140" s="131" t="str">
        <f>IFERROR(__xludf.DUMMYFUNCTION("""COMPUTED_VALUE"""),"C")</f>
        <v>C</v>
      </c>
      <c r="Z140" s="131" t="str">
        <f>IFERROR(__xludf.DUMMYFUNCTION("""COMPUTED_VALUE"""),"vm placement")</f>
        <v>vm placement</v>
      </c>
      <c r="AA140" s="131"/>
      <c r="AB140" s="131"/>
      <c r="AC140" s="131"/>
      <c r="AD140" s="131"/>
      <c r="AE140" s="131"/>
      <c r="AF140" s="131"/>
      <c r="AG140" s="131"/>
      <c r="AH140" s="131"/>
      <c r="AI140" s="131"/>
      <c r="AJ140" s="131"/>
    </row>
    <row r="141">
      <c r="A141" s="126">
        <f>IFERROR(__xludf.DUMMYFUNCTION("""COMPUTED_VALUE"""),422.0)</f>
        <v>422</v>
      </c>
      <c r="B141" s="126" t="str">
        <f>IFERROR(__xludf.DUMMYFUNCTION("""COMPUTED_VALUE"""),"SLA-Aware and Energy-Efficient VM Consolidation in Cloud Data Centers Using Host States Naive Bayesian Prediction Model")</f>
        <v>SLA-Aware and Energy-Efficient VM Consolidation in Cloud Data Centers Using Host States Naive Bayesian Prediction Model</v>
      </c>
      <c r="C141" s="127" t="str">
        <f>IFERROR(__xludf.DUMMYFUNCTION("""COMPUTED_VALUE"""),"https://ieeexplore.ieee.org/abstract/document/8672350/")</f>
        <v>https://ieeexplore.ieee.org/abstract/document/8672350/</v>
      </c>
      <c r="D141" s="126" t="str">
        <f>IFERROR(__xludf.DUMMYFUNCTION("""COMPUTED_VALUE"""),"L Li, J Dong, D Zuo, JI Liu")</f>
        <v>L Li, J Dong, D Zuo, JI Liu</v>
      </c>
      <c r="E141" s="126" t="str">
        <f>IFERROR(__xludf.DUMMYFUNCTION("""COMPUTED_VALUE"""),"Institute of Electrical and Electronics Engineers")</f>
        <v>Institute of Electrical and Electronics Engineers</v>
      </c>
      <c r="F141" s="126" t="str">
        <f>IFERROR(__xludf.DUMMYFUNCTION("""COMPUTED_VALUE"""),"IEEE Xplore")</f>
        <v>IEEE Xplore</v>
      </c>
      <c r="G141" s="132" t="str">
        <f>IFERROR(__xludf.DUMMYFUNCTION("""COMPUTED_VALUE"""),"C")</f>
        <v>C</v>
      </c>
      <c r="H141" s="129">
        <f>IFERROR(__xludf.DUMMYFUNCTION("""COMPUTED_VALUE"""),2018.0)</f>
        <v>2018</v>
      </c>
      <c r="I141" s="129">
        <f>IFERROR(__xludf.DUMMYFUNCTION("""COMPUTED_VALUE"""),1.0)</f>
        <v>1</v>
      </c>
      <c r="J141" s="129">
        <f>IFERROR(__xludf.DUMMYFUNCTION("""COMPUTED_VALUE"""),1.0)</f>
        <v>1</v>
      </c>
      <c r="K141" s="130">
        <f>IFERROR(__xludf.DUMMYFUNCTION("""COMPUTED_VALUE"""),1.0)</f>
        <v>1</v>
      </c>
      <c r="L141" s="130">
        <f>IFERROR(__xludf.DUMMYFUNCTION("""COMPUTED_VALUE"""),1.0)</f>
        <v>1</v>
      </c>
      <c r="M141" s="130">
        <f>IFERROR(__xludf.DUMMYFUNCTION("""COMPUTED_VALUE"""),1.0)</f>
        <v>1</v>
      </c>
      <c r="N141" s="130">
        <f>IFERROR(__xludf.DUMMYFUNCTION("""COMPUTED_VALUE"""),0.0)</f>
        <v>0</v>
      </c>
      <c r="O141" s="130">
        <f>IFERROR(__xludf.DUMMYFUNCTION("""COMPUTED_VALUE"""),0.0)</f>
        <v>0</v>
      </c>
      <c r="P141" s="129">
        <f>IFERROR(__xludf.DUMMYFUNCTION("""COMPUTED_VALUE"""),0.0)</f>
        <v>0</v>
      </c>
      <c r="Q141" s="129">
        <f>IFERROR(__xludf.DUMMYFUNCTION("""COMPUTED_VALUE"""),0.0)</f>
        <v>0</v>
      </c>
      <c r="R141" s="129">
        <f>IFERROR(__xludf.DUMMYFUNCTION("""COMPUTED_VALUE"""),0.0)</f>
        <v>0</v>
      </c>
      <c r="S141" s="129">
        <f>IFERROR(__xludf.DUMMYFUNCTION("""COMPUTED_VALUE"""),0.0)</f>
        <v>0</v>
      </c>
      <c r="T141" s="129">
        <f>IFERROR(__xludf.DUMMYFUNCTION("""COMPUTED_VALUE"""),0.0)</f>
        <v>0</v>
      </c>
      <c r="U141" s="129">
        <f>IFERROR(__xludf.DUMMYFUNCTION("""COMPUTED_VALUE"""),0.0)</f>
        <v>0</v>
      </c>
      <c r="V141" s="126">
        <f>IFERROR(__xludf.DUMMYFUNCTION("""COMPUTED_VALUE"""),0.0)</f>
        <v>0</v>
      </c>
      <c r="W141" s="126" t="str">
        <f>IFERROR(__xludf.DUMMYFUNCTION("""COMPUTED_VALUE"""),"Yes")</f>
        <v>Yes</v>
      </c>
      <c r="X141" s="126" t="str">
        <f>IFERROR(__xludf.DUMMYFUNCTION("""COMPUTED_VALUE"""),"Yes")</f>
        <v>Yes</v>
      </c>
      <c r="Y141" s="126" t="str">
        <f>IFERROR(__xludf.DUMMYFUNCTION("""COMPUTED_VALUE"""),"F")</f>
        <v>F</v>
      </c>
      <c r="Z141" s="126" t="str">
        <f>IFERROR(__xludf.DUMMYFUNCTION("""COMPUTED_VALUE"""),"VM consolidation, reduce E-costs")</f>
        <v>VM consolidation, reduce E-costs</v>
      </c>
      <c r="AA141" s="126"/>
      <c r="AB141" s="126"/>
      <c r="AC141" s="126"/>
      <c r="AD141" s="126"/>
      <c r="AE141" s="126"/>
      <c r="AF141" s="126"/>
      <c r="AG141" s="126"/>
      <c r="AH141" s="126"/>
      <c r="AI141" s="126"/>
      <c r="AJ141" s="126"/>
    </row>
    <row r="142">
      <c r="A142" s="126">
        <f>IFERROR(__xludf.DUMMYFUNCTION("""COMPUTED_VALUE"""),426.0)</f>
        <v>426</v>
      </c>
      <c r="B142" s="126" t="str">
        <f>IFERROR(__xludf.DUMMYFUNCTION("""COMPUTED_VALUE"""),"An empirical evaluation of energy-aware load balancing technique for cloud data center")</f>
        <v>An empirical evaluation of energy-aware load balancing technique for cloud data center</v>
      </c>
      <c r="C142" s="127" t="str">
        <f>IFERROR(__xludf.DUMMYFUNCTION("""COMPUTED_VALUE"""),"https://link.springer.com/content/pdf/10.1007/s10586-017-1166-z.pdf")</f>
        <v>https://link.springer.com/content/pdf/10.1007/s10586-017-1166-z.pdf</v>
      </c>
      <c r="D142" s="131" t="str">
        <f>IFERROR(__xludf.DUMMYFUNCTION("""COMPUTED_VALUE"""),"NJ Kansal, I Chana")</f>
        <v>NJ Kansal, I Chana</v>
      </c>
      <c r="E142" s="131" t="str">
        <f>IFERROR(__xludf.DUMMYFUNCTION("""COMPUTED_VALUE"""),"Springer")</f>
        <v>Springer</v>
      </c>
      <c r="F142" s="126" t="str">
        <f>IFERROR(__xludf.DUMMYFUNCTION("""COMPUTED_VALUE"""),"Springer")</f>
        <v>Springer</v>
      </c>
      <c r="G142" s="132" t="str">
        <f>IFERROR(__xludf.DUMMYFUNCTION("""COMPUTED_VALUE"""),"J")</f>
        <v>J</v>
      </c>
      <c r="H142" s="130">
        <f>IFERROR(__xludf.DUMMYFUNCTION("""COMPUTED_VALUE"""),2018.0)</f>
        <v>2018</v>
      </c>
      <c r="I142" s="130">
        <f>IFERROR(__xludf.DUMMYFUNCTION("""COMPUTED_VALUE"""),1.0)</f>
        <v>1</v>
      </c>
      <c r="J142" s="130">
        <f>IFERROR(__xludf.DUMMYFUNCTION("""COMPUTED_VALUE"""),1.0)</f>
        <v>1</v>
      </c>
      <c r="K142" s="130">
        <f>IFERROR(__xludf.DUMMYFUNCTION("""COMPUTED_VALUE"""),1.0)</f>
        <v>1</v>
      </c>
      <c r="L142" s="129">
        <f>IFERROR(__xludf.DUMMYFUNCTION("""COMPUTED_VALUE"""),1.0)</f>
        <v>1</v>
      </c>
      <c r="M142" s="130">
        <f>IFERROR(__xludf.DUMMYFUNCTION("""COMPUTED_VALUE"""),1.0)</f>
        <v>1</v>
      </c>
      <c r="N142" s="130">
        <f>IFERROR(__xludf.DUMMYFUNCTION("""COMPUTED_VALUE"""),0.0)</f>
        <v>0</v>
      </c>
      <c r="O142" s="129">
        <f>IFERROR(__xludf.DUMMYFUNCTION("""COMPUTED_VALUE"""),0.0)</f>
        <v>0</v>
      </c>
      <c r="P142" s="130">
        <f>IFERROR(__xludf.DUMMYFUNCTION("""COMPUTED_VALUE"""),0.0)</f>
        <v>0</v>
      </c>
      <c r="Q142" s="129">
        <f>IFERROR(__xludf.DUMMYFUNCTION("""COMPUTED_VALUE"""),0.0)</f>
        <v>0</v>
      </c>
      <c r="R142" s="129">
        <f>IFERROR(__xludf.DUMMYFUNCTION("""COMPUTED_VALUE"""),0.0)</f>
        <v>0</v>
      </c>
      <c r="S142" s="129">
        <f>IFERROR(__xludf.DUMMYFUNCTION("""COMPUTED_VALUE"""),0.0)</f>
        <v>0</v>
      </c>
      <c r="T142" s="129">
        <f>IFERROR(__xludf.DUMMYFUNCTION("""COMPUTED_VALUE"""),0.0)</f>
        <v>0</v>
      </c>
      <c r="U142" s="129">
        <f>IFERROR(__xludf.DUMMYFUNCTION("""COMPUTED_VALUE"""),0.0)</f>
        <v>0</v>
      </c>
      <c r="V142" s="126">
        <f>IFERROR(__xludf.DUMMYFUNCTION("""COMPUTED_VALUE"""),0.0)</f>
        <v>0</v>
      </c>
      <c r="W142" s="126" t="str">
        <f>IFERROR(__xludf.DUMMYFUNCTION("""COMPUTED_VALUE"""),"Yes")</f>
        <v>Yes</v>
      </c>
      <c r="X142" s="126" t="str">
        <f>IFERROR(__xludf.DUMMYFUNCTION("""COMPUTED_VALUE"""),"Yes")</f>
        <v>Yes</v>
      </c>
      <c r="Y142" s="126" t="str">
        <f>IFERROR(__xludf.DUMMYFUNCTION("""COMPUTED_VALUE"""),"F")</f>
        <v>F</v>
      </c>
      <c r="Z142" s="126" t="str">
        <f>IFERROR(__xludf.DUMMYFUNCTION("""COMPUTED_VALUE"""),"load balancing technique")</f>
        <v>load balancing technique</v>
      </c>
      <c r="AA142" s="126"/>
      <c r="AB142" s="126"/>
      <c r="AC142" s="126"/>
      <c r="AD142" s="126"/>
      <c r="AE142" s="126"/>
      <c r="AF142" s="126"/>
      <c r="AG142" s="126"/>
      <c r="AH142" s="126"/>
      <c r="AI142" s="126"/>
      <c r="AJ142" s="126"/>
    </row>
    <row r="143">
      <c r="A143" s="126">
        <f>IFERROR(__xludf.DUMMYFUNCTION("""COMPUTED_VALUE"""),427.0)</f>
        <v>427</v>
      </c>
      <c r="B143" s="126" t="str">
        <f>IFERROR(__xludf.DUMMYFUNCTION("""COMPUTED_VALUE"""),"Energy-aware virtual machine allocation and selection in cloud data centers")</f>
        <v>Energy-aware virtual machine allocation and selection in cloud data centers</v>
      </c>
      <c r="C143" s="127" t="str">
        <f>IFERROR(__xludf.DUMMYFUNCTION("""COMPUTED_VALUE"""),"https://link.springer.com/article/10.1007/s00500-017-2905-z")</f>
        <v>https://link.springer.com/article/10.1007/s00500-017-2905-z</v>
      </c>
      <c r="D143" s="131" t="str">
        <f>IFERROR(__xludf.DUMMYFUNCTION("""COMPUTED_VALUE"""),"VD Reddy, GR Gangadharan, GSVRK Rao")</f>
        <v>VD Reddy, GR Gangadharan, GSVRK Rao</v>
      </c>
      <c r="E143" s="131" t="str">
        <f>IFERROR(__xludf.DUMMYFUNCTION("""COMPUTED_VALUE"""),"Springer")</f>
        <v>Springer</v>
      </c>
      <c r="F143" s="126" t="str">
        <f>IFERROR(__xludf.DUMMYFUNCTION("""COMPUTED_VALUE"""),"Springer")</f>
        <v>Springer</v>
      </c>
      <c r="G143" s="128" t="str">
        <f>IFERROR(__xludf.DUMMYFUNCTION("""COMPUTED_VALUE"""),"J")</f>
        <v>J</v>
      </c>
      <c r="H143" s="129">
        <f>IFERROR(__xludf.DUMMYFUNCTION("""COMPUTED_VALUE"""),2019.0)</f>
        <v>2019</v>
      </c>
      <c r="I143" s="129">
        <f>IFERROR(__xludf.DUMMYFUNCTION("""COMPUTED_VALUE"""),1.0)</f>
        <v>1</v>
      </c>
      <c r="J143" s="129">
        <f>IFERROR(__xludf.DUMMYFUNCTION("""COMPUTED_VALUE"""),1.0)</f>
        <v>1</v>
      </c>
      <c r="K143" s="130">
        <f>IFERROR(__xludf.DUMMYFUNCTION("""COMPUTED_VALUE"""),1.0)</f>
        <v>1</v>
      </c>
      <c r="L143" s="130">
        <f>IFERROR(__xludf.DUMMYFUNCTION("""COMPUTED_VALUE"""),1.0)</f>
        <v>1</v>
      </c>
      <c r="M143" s="130">
        <f>IFERROR(__xludf.DUMMYFUNCTION("""COMPUTED_VALUE"""),1.0)</f>
        <v>1</v>
      </c>
      <c r="N143" s="130">
        <f>IFERROR(__xludf.DUMMYFUNCTION("""COMPUTED_VALUE"""),0.0)</f>
        <v>0</v>
      </c>
      <c r="O143" s="130">
        <f>IFERROR(__xludf.DUMMYFUNCTION("""COMPUTED_VALUE"""),0.0)</f>
        <v>0</v>
      </c>
      <c r="P143" s="129">
        <f>IFERROR(__xludf.DUMMYFUNCTION("""COMPUTED_VALUE"""),0.0)</f>
        <v>0</v>
      </c>
      <c r="Q143" s="129">
        <f>IFERROR(__xludf.DUMMYFUNCTION("""COMPUTED_VALUE"""),0.0)</f>
        <v>0</v>
      </c>
      <c r="R143" s="129">
        <f>IFERROR(__xludf.DUMMYFUNCTION("""COMPUTED_VALUE"""),0.0)</f>
        <v>0</v>
      </c>
      <c r="S143" s="129">
        <f>IFERROR(__xludf.DUMMYFUNCTION("""COMPUTED_VALUE"""),0.0)</f>
        <v>0</v>
      </c>
      <c r="T143" s="129">
        <f>IFERROR(__xludf.DUMMYFUNCTION("""COMPUTED_VALUE"""),0.0)</f>
        <v>0</v>
      </c>
      <c r="U143" s="129">
        <f>IFERROR(__xludf.DUMMYFUNCTION("""COMPUTED_VALUE"""),0.0)</f>
        <v>0</v>
      </c>
      <c r="V143" s="126">
        <f>IFERROR(__xludf.DUMMYFUNCTION("""COMPUTED_VALUE"""),0.0)</f>
        <v>0</v>
      </c>
      <c r="W143" s="126" t="str">
        <f>IFERROR(__xludf.DUMMYFUNCTION("""COMPUTED_VALUE"""),"Yes")</f>
        <v>Yes</v>
      </c>
      <c r="X143" s="126" t="str">
        <f>IFERROR(__xludf.DUMMYFUNCTION("""COMPUTED_VALUE"""),"Yes")</f>
        <v>Yes</v>
      </c>
      <c r="Y143" s="126" t="str">
        <f>IFERROR(__xludf.DUMMYFUNCTION("""COMPUTED_VALUE"""),"F")</f>
        <v>F</v>
      </c>
      <c r="Z143" s="126" t="str">
        <f>IFERROR(__xludf.DUMMYFUNCTION("""COMPUTED_VALUE"""),"VM selection and allocation")</f>
        <v>VM selection and allocation</v>
      </c>
      <c r="AA143" s="126"/>
      <c r="AB143" s="126"/>
      <c r="AC143" s="126"/>
      <c r="AD143" s="126"/>
      <c r="AE143" s="126"/>
      <c r="AF143" s="126"/>
      <c r="AG143" s="126"/>
      <c r="AH143" s="126"/>
      <c r="AI143" s="126"/>
      <c r="AJ143" s="126"/>
    </row>
    <row r="144">
      <c r="A144" s="126">
        <f>IFERROR(__xludf.DUMMYFUNCTION("""COMPUTED_VALUE"""),428.0)</f>
        <v>428</v>
      </c>
      <c r="B144" s="126" t="str">
        <f>IFERROR(__xludf.DUMMYFUNCTION("""COMPUTED_VALUE"""),"Energy-efficient and sla-aware virtual machine selection algorithm for dynamic resource allocation in cloud data centers")</f>
        <v>Energy-efficient and sla-aware virtual machine selection algorithm for dynamic resource allocation in cloud data centers</v>
      </c>
      <c r="C144" s="127" t="str">
        <f>IFERROR(__xludf.DUMMYFUNCTION("""COMPUTED_VALUE"""),"https://ieeexplore.ieee.org/abstract/document/8603157/")</f>
        <v>https://ieeexplore.ieee.org/abstract/document/8603157/</v>
      </c>
      <c r="D144" s="126" t="str">
        <f>IFERROR(__xludf.DUMMYFUNCTION("""COMPUTED_VALUE"""),"SM Moghaddam, SF Piraghaj, M OS'ullivan, C Walker, C Unsworth")</f>
        <v>SM Moghaddam, SF Piraghaj, M OS'ullivan, C Walker, C Unsworth</v>
      </c>
      <c r="E144" s="126" t="str">
        <f>IFERROR(__xludf.DUMMYFUNCTION("""COMPUTED_VALUE"""),"Institute of Electrical and Electronics Engineers")</f>
        <v>Institute of Electrical and Electronics Engineers</v>
      </c>
      <c r="F144" s="126" t="str">
        <f>IFERROR(__xludf.DUMMYFUNCTION("""COMPUTED_VALUE"""),"IEEE Xplore")</f>
        <v>IEEE Xplore</v>
      </c>
      <c r="G144" s="128" t="str">
        <f>IFERROR(__xludf.DUMMYFUNCTION("""COMPUTED_VALUE"""),"C")</f>
        <v>C</v>
      </c>
      <c r="H144" s="129">
        <f>IFERROR(__xludf.DUMMYFUNCTION("""COMPUTED_VALUE"""),2018.0)</f>
        <v>2018</v>
      </c>
      <c r="I144" s="130">
        <f>IFERROR(__xludf.DUMMYFUNCTION("""COMPUTED_VALUE"""),1.0)</f>
        <v>1</v>
      </c>
      <c r="J144" s="130">
        <f>IFERROR(__xludf.DUMMYFUNCTION("""COMPUTED_VALUE"""),1.0)</f>
        <v>1</v>
      </c>
      <c r="K144" s="130">
        <f>IFERROR(__xludf.DUMMYFUNCTION("""COMPUTED_VALUE"""),1.0)</f>
        <v>1</v>
      </c>
      <c r="L144" s="130">
        <f>IFERROR(__xludf.DUMMYFUNCTION("""COMPUTED_VALUE"""),1.0)</f>
        <v>1</v>
      </c>
      <c r="M144" s="130">
        <f>IFERROR(__xludf.DUMMYFUNCTION("""COMPUTED_VALUE"""),1.0)</f>
        <v>1</v>
      </c>
      <c r="N144" s="130">
        <f>IFERROR(__xludf.DUMMYFUNCTION("""COMPUTED_VALUE"""),0.0)</f>
        <v>0</v>
      </c>
      <c r="O144" s="130">
        <f>IFERROR(__xludf.DUMMYFUNCTION("""COMPUTED_VALUE"""),0.0)</f>
        <v>0</v>
      </c>
      <c r="P144" s="130">
        <f>IFERROR(__xludf.DUMMYFUNCTION("""COMPUTED_VALUE"""),0.0)</f>
        <v>0</v>
      </c>
      <c r="Q144" s="129">
        <f>IFERROR(__xludf.DUMMYFUNCTION("""COMPUTED_VALUE"""),0.0)</f>
        <v>0</v>
      </c>
      <c r="R144" s="129">
        <f>IFERROR(__xludf.DUMMYFUNCTION("""COMPUTED_VALUE"""),0.0)</f>
        <v>0</v>
      </c>
      <c r="S144" s="129">
        <f>IFERROR(__xludf.DUMMYFUNCTION("""COMPUTED_VALUE"""),0.0)</f>
        <v>0</v>
      </c>
      <c r="T144" s="129">
        <f>IFERROR(__xludf.DUMMYFUNCTION("""COMPUTED_VALUE"""),0.0)</f>
        <v>0</v>
      </c>
      <c r="U144" s="129">
        <f>IFERROR(__xludf.DUMMYFUNCTION("""COMPUTED_VALUE"""),0.0)</f>
        <v>0</v>
      </c>
      <c r="V144" s="126">
        <f>IFERROR(__xludf.DUMMYFUNCTION("""COMPUTED_VALUE"""),0.0)</f>
        <v>0</v>
      </c>
      <c r="W144" s="126" t="str">
        <f>IFERROR(__xludf.DUMMYFUNCTION("""COMPUTED_VALUE"""),"Yes")</f>
        <v>Yes</v>
      </c>
      <c r="X144" s="126" t="str">
        <f>IFERROR(__xludf.DUMMYFUNCTION("""COMPUTED_VALUE"""),"Yes")</f>
        <v>Yes</v>
      </c>
      <c r="Y144" s="126" t="str">
        <f>IFERROR(__xludf.DUMMYFUNCTION("""COMPUTED_VALUE"""),"F")</f>
        <v>F</v>
      </c>
      <c r="Z144" s="126" t="str">
        <f>IFERROR(__xludf.DUMMYFUNCTION("""COMPUTED_VALUE"""),"VM allocation, load balancing")</f>
        <v>VM allocation, load balancing</v>
      </c>
      <c r="AA144" s="126"/>
      <c r="AB144" s="126"/>
      <c r="AC144" s="126"/>
      <c r="AD144" s="126"/>
      <c r="AE144" s="126"/>
      <c r="AF144" s="126"/>
      <c r="AG144" s="126"/>
      <c r="AH144" s="126"/>
      <c r="AI144" s="126"/>
      <c r="AJ144" s="126"/>
    </row>
    <row r="145">
      <c r="A145" s="126">
        <f>IFERROR(__xludf.DUMMYFUNCTION("""COMPUTED_VALUE"""),429.0)</f>
        <v>429</v>
      </c>
      <c r="B145" s="126" t="str">
        <f>IFERROR(__xludf.DUMMYFUNCTION("""COMPUTED_VALUE"""),"EnLoc: Data locality-aware energy-efficient scheduling scheme for cloud data centers")</f>
        <v>EnLoc: Data locality-aware energy-efficient scheduling scheme for cloud data centers</v>
      </c>
      <c r="C145" s="127" t="str">
        <f>IFERROR(__xludf.DUMMYFUNCTION("""COMPUTED_VALUE"""),"https://ieeexplore.ieee.org/abstract/document/8422225/")</f>
        <v>https://ieeexplore.ieee.org/abstract/document/8422225/</v>
      </c>
      <c r="D145" s="126" t="str">
        <f>IFERROR(__xludf.DUMMYFUNCTION("""COMPUTED_VALUE"""),"K Kaur, N Kumar, S Garg, JJPC Rodrigues")</f>
        <v>K Kaur, N Kumar, S Garg, JJPC Rodrigues</v>
      </c>
      <c r="E145" s="126" t="str">
        <f>IFERROR(__xludf.DUMMYFUNCTION("""COMPUTED_VALUE"""),"Institute of Electrical and Electronics Engineers")</f>
        <v>Institute of Electrical and Electronics Engineers</v>
      </c>
      <c r="F145" s="126" t="str">
        <f>IFERROR(__xludf.DUMMYFUNCTION("""COMPUTED_VALUE"""),"IEEE Xplore")</f>
        <v>IEEE Xplore</v>
      </c>
      <c r="G145" s="128" t="str">
        <f>IFERROR(__xludf.DUMMYFUNCTION("""COMPUTED_VALUE"""),"C")</f>
        <v>C</v>
      </c>
      <c r="H145" s="130">
        <f>IFERROR(__xludf.DUMMYFUNCTION("""COMPUTED_VALUE"""),2018.0)</f>
        <v>2018</v>
      </c>
      <c r="I145" s="130">
        <f>IFERROR(__xludf.DUMMYFUNCTION("""COMPUTED_VALUE"""),1.0)</f>
        <v>1</v>
      </c>
      <c r="J145" s="130">
        <f>IFERROR(__xludf.DUMMYFUNCTION("""COMPUTED_VALUE"""),1.0)</f>
        <v>1</v>
      </c>
      <c r="K145" s="130">
        <f>IFERROR(__xludf.DUMMYFUNCTION("""COMPUTED_VALUE"""),1.0)</f>
        <v>1</v>
      </c>
      <c r="L145" s="130">
        <f>IFERROR(__xludf.DUMMYFUNCTION("""COMPUTED_VALUE"""),1.0)</f>
        <v>1</v>
      </c>
      <c r="M145" s="130">
        <f>IFERROR(__xludf.DUMMYFUNCTION("""COMPUTED_VALUE"""),1.0)</f>
        <v>1</v>
      </c>
      <c r="N145" s="130">
        <f>IFERROR(__xludf.DUMMYFUNCTION("""COMPUTED_VALUE"""),0.0)</f>
        <v>0</v>
      </c>
      <c r="O145" s="130">
        <f>IFERROR(__xludf.DUMMYFUNCTION("""COMPUTED_VALUE"""),0.0)</f>
        <v>0</v>
      </c>
      <c r="P145" s="130">
        <f>IFERROR(__xludf.DUMMYFUNCTION("""COMPUTED_VALUE"""),0.0)</f>
        <v>0</v>
      </c>
      <c r="Q145" s="129">
        <f>IFERROR(__xludf.DUMMYFUNCTION("""COMPUTED_VALUE"""),0.0)</f>
        <v>0</v>
      </c>
      <c r="R145" s="129">
        <f>IFERROR(__xludf.DUMMYFUNCTION("""COMPUTED_VALUE"""),0.0)</f>
        <v>0</v>
      </c>
      <c r="S145" s="129">
        <f>IFERROR(__xludf.DUMMYFUNCTION("""COMPUTED_VALUE"""),0.0)</f>
        <v>0</v>
      </c>
      <c r="T145" s="129">
        <f>IFERROR(__xludf.DUMMYFUNCTION("""COMPUTED_VALUE"""),0.0)</f>
        <v>0</v>
      </c>
      <c r="U145" s="129">
        <f>IFERROR(__xludf.DUMMYFUNCTION("""COMPUTED_VALUE"""),0.0)</f>
        <v>0</v>
      </c>
      <c r="V145" s="126">
        <f>IFERROR(__xludf.DUMMYFUNCTION("""COMPUTED_VALUE"""),0.0)</f>
        <v>0</v>
      </c>
      <c r="W145" s="126" t="str">
        <f>IFERROR(__xludf.DUMMYFUNCTION("""COMPUTED_VALUE"""),"Yes")</f>
        <v>Yes</v>
      </c>
      <c r="X145" s="126" t="str">
        <f>IFERROR(__xludf.DUMMYFUNCTION("""COMPUTED_VALUE"""),"Yes")</f>
        <v>Yes</v>
      </c>
      <c r="Y145" s="126" t="str">
        <f>IFERROR(__xludf.DUMMYFUNCTION("""COMPUTED_VALUE"""),"F")</f>
        <v>F</v>
      </c>
      <c r="Z145" s="126" t="str">
        <f>IFERROR(__xludf.DUMMYFUNCTION("""COMPUTED_VALUE"""),"task scheduling")</f>
        <v>task scheduling</v>
      </c>
      <c r="AA145" s="126"/>
      <c r="AB145" s="126"/>
      <c r="AC145" s="126"/>
      <c r="AD145" s="126"/>
      <c r="AE145" s="126"/>
      <c r="AF145" s="126"/>
      <c r="AG145" s="126"/>
      <c r="AH145" s="126"/>
      <c r="AI145" s="126"/>
      <c r="AJ145" s="126"/>
    </row>
    <row r="146">
      <c r="A146" s="126">
        <f>IFERROR(__xludf.DUMMYFUNCTION("""COMPUTED_VALUE"""),431.0)</f>
        <v>431</v>
      </c>
      <c r="B146" s="126" t="str">
        <f>IFERROR(__xludf.DUMMYFUNCTION("""COMPUTED_VALUE"""),"Energy Efficient and Multi-Parameters Based VM Selection for Cloud Data Centers")</f>
        <v>Energy Efficient and Multi-Parameters Based VM Selection for Cloud Data Centers</v>
      </c>
      <c r="C146" s="127" t="str">
        <f>IFERROR(__xludf.DUMMYFUNCTION("""COMPUTED_VALUE"""),"https://papers.ssrn.com/sol3/papers.cfm?abstract_id=3394044")</f>
        <v>https://papers.ssrn.com/sol3/papers.cfm?abstract_id=3394044</v>
      </c>
      <c r="D146" s="126" t="str">
        <f>IFERROR(__xludf.DUMMYFUNCTION("""COMPUTED_VALUE"""),"S Singh, MS Aswal")</f>
        <v>S Singh, MS Aswal</v>
      </c>
      <c r="E146" s="126" t="str">
        <f>IFERROR(__xludf.DUMMYFUNCTION("""COMPUTED_VALUE"""),"International Conference on Advances in Engineering Science Management &amp; Technology")</f>
        <v>International Conference on Advances in Engineering Science Management &amp; Technology</v>
      </c>
      <c r="F146" s="126" t="str">
        <f>IFERROR(__xludf.DUMMYFUNCTION("""COMPUTED_VALUE"""),"ICAESMT")</f>
        <v>ICAESMT</v>
      </c>
      <c r="G146" s="128" t="str">
        <f>IFERROR(__xludf.DUMMYFUNCTION("""COMPUTED_VALUE"""),"C")</f>
        <v>C</v>
      </c>
      <c r="H146" s="130">
        <f>IFERROR(__xludf.DUMMYFUNCTION("""COMPUTED_VALUE"""),2019.0)</f>
        <v>2019</v>
      </c>
      <c r="I146" s="129">
        <f>IFERROR(__xludf.DUMMYFUNCTION("""COMPUTED_VALUE"""),1.0)</f>
        <v>1</v>
      </c>
      <c r="J146" s="130">
        <f>IFERROR(__xludf.DUMMYFUNCTION("""COMPUTED_VALUE"""),1.0)</f>
        <v>1</v>
      </c>
      <c r="K146" s="130">
        <f>IFERROR(__xludf.DUMMYFUNCTION("""COMPUTED_VALUE"""),1.0)</f>
        <v>1</v>
      </c>
      <c r="L146" s="129">
        <f>IFERROR(__xludf.DUMMYFUNCTION("""COMPUTED_VALUE"""),1.0)</f>
        <v>1</v>
      </c>
      <c r="M146" s="130">
        <f>IFERROR(__xludf.DUMMYFUNCTION("""COMPUTED_VALUE"""),1.0)</f>
        <v>1</v>
      </c>
      <c r="N146" s="130">
        <f>IFERROR(__xludf.DUMMYFUNCTION("""COMPUTED_VALUE"""),0.0)</f>
        <v>0</v>
      </c>
      <c r="O146" s="130">
        <f>IFERROR(__xludf.DUMMYFUNCTION("""COMPUTED_VALUE"""),0.0)</f>
        <v>0</v>
      </c>
      <c r="P146" s="130">
        <f>IFERROR(__xludf.DUMMYFUNCTION("""COMPUTED_VALUE"""),0.0)</f>
        <v>0</v>
      </c>
      <c r="Q146" s="130">
        <f>IFERROR(__xludf.DUMMYFUNCTION("""COMPUTED_VALUE"""),0.0)</f>
        <v>0</v>
      </c>
      <c r="R146" s="130">
        <f>IFERROR(__xludf.DUMMYFUNCTION("""COMPUTED_VALUE"""),0.0)</f>
        <v>0</v>
      </c>
      <c r="S146" s="130">
        <f>IFERROR(__xludf.DUMMYFUNCTION("""COMPUTED_VALUE"""),0.0)</f>
        <v>0</v>
      </c>
      <c r="T146" s="130">
        <f>IFERROR(__xludf.DUMMYFUNCTION("""COMPUTED_VALUE"""),0.0)</f>
        <v>0</v>
      </c>
      <c r="U146" s="130">
        <f>IFERROR(__xludf.DUMMYFUNCTION("""COMPUTED_VALUE"""),0.0)</f>
        <v>0</v>
      </c>
      <c r="V146" s="131">
        <f>IFERROR(__xludf.DUMMYFUNCTION("""COMPUTED_VALUE"""),0.0)</f>
        <v>0</v>
      </c>
      <c r="W146" s="131" t="str">
        <f>IFERROR(__xludf.DUMMYFUNCTION("""COMPUTED_VALUE"""),"Yes")</f>
        <v>Yes</v>
      </c>
      <c r="X146" s="131" t="str">
        <f>IFERROR(__xludf.DUMMYFUNCTION("""COMPUTED_VALUE"""),"Yes")</f>
        <v>Yes</v>
      </c>
      <c r="Y146" s="131" t="str">
        <f>IFERROR(__xludf.DUMMYFUNCTION("""COMPUTED_VALUE"""),"F")</f>
        <v>F</v>
      </c>
      <c r="Z146" s="131" t="str">
        <f>IFERROR(__xludf.DUMMYFUNCTION("""COMPUTED_VALUE"""),"VM selection")</f>
        <v>VM selection</v>
      </c>
      <c r="AA146" s="131"/>
      <c r="AB146" s="131"/>
      <c r="AC146" s="131"/>
      <c r="AD146" s="131"/>
      <c r="AE146" s="131"/>
      <c r="AF146" s="131"/>
      <c r="AG146" s="131"/>
      <c r="AH146" s="131"/>
      <c r="AI146" s="131"/>
      <c r="AJ146" s="131"/>
    </row>
    <row r="147">
      <c r="A147" s="126">
        <f>IFERROR(__xludf.DUMMYFUNCTION("""COMPUTED_VALUE"""),433.0)</f>
        <v>433</v>
      </c>
      <c r="B147" s="126" t="str">
        <f>IFERROR(__xludf.DUMMYFUNCTION("""COMPUTED_VALUE"""),"Energy-aware fault-tolerant dynamic task scheduling scheme for virtualized cloud data centers")</f>
        <v>Energy-aware fault-tolerant dynamic task scheduling scheme for virtualized cloud data centers</v>
      </c>
      <c r="C147" s="127" t="str">
        <f>IFERROR(__xludf.DUMMYFUNCTION("""COMPUTED_VALUE"""),"https://link.springer.com/article/10.1007/s11036-018-1062-7")</f>
        <v>https://link.springer.com/article/10.1007/s11036-018-1062-7</v>
      </c>
      <c r="D147" s="126" t="str">
        <f>IFERROR(__xludf.DUMMYFUNCTION("""COMPUTED_VALUE"""),"A Marahatta, Y Wang, F Zhang, AK Sangaiah,  SKS Tyagi, Z Liu")</f>
        <v>A Marahatta, Y Wang, F Zhang, AK Sangaiah,  SKS Tyagi, Z Liu</v>
      </c>
      <c r="E147" s="126" t="str">
        <f>IFERROR(__xludf.DUMMYFUNCTION("""COMPUTED_VALUE"""),"Springer")</f>
        <v>Springer</v>
      </c>
      <c r="F147" s="126" t="str">
        <f>IFERROR(__xludf.DUMMYFUNCTION("""COMPUTED_VALUE"""),"Springer")</f>
        <v>Springer</v>
      </c>
      <c r="G147" s="128" t="str">
        <f>IFERROR(__xludf.DUMMYFUNCTION("""COMPUTED_VALUE"""),"J")</f>
        <v>J</v>
      </c>
      <c r="H147" s="130">
        <f>IFERROR(__xludf.DUMMYFUNCTION("""COMPUTED_VALUE"""),2019.0)</f>
        <v>2019</v>
      </c>
      <c r="I147" s="129">
        <f>IFERROR(__xludf.DUMMYFUNCTION("""COMPUTED_VALUE"""),1.0)</f>
        <v>1</v>
      </c>
      <c r="J147" s="130">
        <f>IFERROR(__xludf.DUMMYFUNCTION("""COMPUTED_VALUE"""),1.0)</f>
        <v>1</v>
      </c>
      <c r="K147" s="130">
        <f>IFERROR(__xludf.DUMMYFUNCTION("""COMPUTED_VALUE"""),1.0)</f>
        <v>1</v>
      </c>
      <c r="L147" s="130">
        <f>IFERROR(__xludf.DUMMYFUNCTION("""COMPUTED_VALUE"""),1.0)</f>
        <v>1</v>
      </c>
      <c r="M147" s="130">
        <f>IFERROR(__xludf.DUMMYFUNCTION("""COMPUTED_VALUE"""),1.0)</f>
        <v>1</v>
      </c>
      <c r="N147" s="130">
        <f>IFERROR(__xludf.DUMMYFUNCTION("""COMPUTED_VALUE"""),0.0)</f>
        <v>0</v>
      </c>
      <c r="O147" s="130">
        <f>IFERROR(__xludf.DUMMYFUNCTION("""COMPUTED_VALUE"""),0.0)</f>
        <v>0</v>
      </c>
      <c r="P147" s="130">
        <f>IFERROR(__xludf.DUMMYFUNCTION("""COMPUTED_VALUE"""),0.0)</f>
        <v>0</v>
      </c>
      <c r="Q147" s="129">
        <f>IFERROR(__xludf.DUMMYFUNCTION("""COMPUTED_VALUE"""),0.0)</f>
        <v>0</v>
      </c>
      <c r="R147" s="129">
        <f>IFERROR(__xludf.DUMMYFUNCTION("""COMPUTED_VALUE"""),0.0)</f>
        <v>0</v>
      </c>
      <c r="S147" s="129">
        <f>IFERROR(__xludf.DUMMYFUNCTION("""COMPUTED_VALUE"""),0.0)</f>
        <v>0</v>
      </c>
      <c r="T147" s="129">
        <f>IFERROR(__xludf.DUMMYFUNCTION("""COMPUTED_VALUE"""),0.0)</f>
        <v>0</v>
      </c>
      <c r="U147" s="129">
        <f>IFERROR(__xludf.DUMMYFUNCTION("""COMPUTED_VALUE"""),0.0)</f>
        <v>0</v>
      </c>
      <c r="V147" s="126">
        <f>IFERROR(__xludf.DUMMYFUNCTION("""COMPUTED_VALUE"""),0.0)</f>
        <v>0</v>
      </c>
      <c r="W147" s="126" t="str">
        <f>IFERROR(__xludf.DUMMYFUNCTION("""COMPUTED_VALUE"""),"Yes")</f>
        <v>Yes</v>
      </c>
      <c r="X147" s="126" t="str">
        <f>IFERROR(__xludf.DUMMYFUNCTION("""COMPUTED_VALUE"""),"Yes")</f>
        <v>Yes</v>
      </c>
      <c r="Y147" s="126" t="str">
        <f>IFERROR(__xludf.DUMMYFUNCTION("""COMPUTED_VALUE"""),"F")</f>
        <v>F</v>
      </c>
      <c r="Z147" s="126" t="str">
        <f>IFERROR(__xludf.DUMMYFUNCTION("""COMPUTED_VALUE"""),"task scheduling scheme")</f>
        <v>task scheduling scheme</v>
      </c>
      <c r="AA147" s="126"/>
      <c r="AB147" s="126"/>
      <c r="AC147" s="126"/>
      <c r="AD147" s="126"/>
      <c r="AE147" s="126"/>
      <c r="AF147" s="126"/>
      <c r="AG147" s="126"/>
      <c r="AH147" s="126"/>
      <c r="AI147" s="126"/>
      <c r="AJ147" s="126"/>
    </row>
    <row r="148">
      <c r="A148" s="126">
        <f>IFERROR(__xludf.DUMMYFUNCTION("""COMPUTED_VALUE"""),436.0)</f>
        <v>436</v>
      </c>
      <c r="B148" s="126" t="str">
        <f>IFERROR(__xludf.DUMMYFUNCTION("""COMPUTED_VALUE"""),"An Energy Prediction Model for Cloud Data Centers Through Performance Counter.")</f>
        <v>An Energy Prediction Model for Cloud Data Centers Through Performance Counter.</v>
      </c>
      <c r="C148" s="127" t="str">
        <f>IFERROR(__xludf.DUMMYFUNCTION("""COMPUTED_VALUE"""),"http://search.ebscohost.com/login.aspx?direct=true&amp;profile=ehost&amp;scope=site&amp;authtype=crawler&amp;jrnl=09731318&amp;AN=141016261&amp;h=qwZ%2BpYdlfk%2BzvtM7AVtTzVM%2Frs4veDzSUV5je6ybbkKWBm%2BeTA2vKShbEJm7FRybBjeDPxz80LJa8UdNAVljOA%3D%3D&amp;crl=c")</f>
        <v>http://search.ebscohost.com/login.aspx?direct=true&amp;profile=ehost&amp;scope=site&amp;authtype=crawler&amp;jrnl=09731318&amp;AN=141016261&amp;h=qwZ%2BpYdlfk%2BzvtM7AVtTzVM%2Frs4veDzSUV5je6ybbkKWBm%2BeTA2vKShbEJm7FRybBjeDPxz80LJa8UdNAVljOA%3D%3D&amp;crl=c</v>
      </c>
      <c r="D148" s="126" t="str">
        <f>IFERROR(__xludf.DUMMYFUNCTION("""COMPUTED_VALUE"""),"S Meng, P Sun, J Luo, H Xu")</f>
        <v>S Meng, P Sun, J Luo, H Xu</v>
      </c>
      <c r="E148" s="126" t="str">
        <f>IFERROR(__xludf.DUMMYFUNCTION("""COMPUTED_VALUE"""),"International Journal of Performability Engineering")</f>
        <v>International Journal of Performability Engineering</v>
      </c>
      <c r="F148" s="126" t="str">
        <f>IFERROR(__xludf.DUMMYFUNCTION("""COMPUTED_VALUE"""),"IJPE")</f>
        <v>IJPE</v>
      </c>
      <c r="G148" s="128" t="str">
        <f>IFERROR(__xludf.DUMMYFUNCTION("""COMPUTED_VALUE"""),"J")</f>
        <v>J</v>
      </c>
      <c r="H148" s="130">
        <f>IFERROR(__xludf.DUMMYFUNCTION("""COMPUTED_VALUE"""),2019.0)</f>
        <v>2019</v>
      </c>
      <c r="I148" s="130">
        <f>IFERROR(__xludf.DUMMYFUNCTION("""COMPUTED_VALUE"""),1.0)</f>
        <v>1</v>
      </c>
      <c r="J148" s="130">
        <f>IFERROR(__xludf.DUMMYFUNCTION("""COMPUTED_VALUE"""),1.0)</f>
        <v>1</v>
      </c>
      <c r="K148" s="130">
        <f>IFERROR(__xludf.DUMMYFUNCTION("""COMPUTED_VALUE"""),1.0)</f>
        <v>1</v>
      </c>
      <c r="L148" s="130">
        <f>IFERROR(__xludf.DUMMYFUNCTION("""COMPUTED_VALUE"""),1.0)</f>
        <v>1</v>
      </c>
      <c r="M148" s="130">
        <f>IFERROR(__xludf.DUMMYFUNCTION("""COMPUTED_VALUE"""),1.0)</f>
        <v>1</v>
      </c>
      <c r="N148" s="130">
        <f>IFERROR(__xludf.DUMMYFUNCTION("""COMPUTED_VALUE"""),0.0)</f>
        <v>0</v>
      </c>
      <c r="O148" s="130">
        <f>IFERROR(__xludf.DUMMYFUNCTION("""COMPUTED_VALUE"""),0.0)</f>
        <v>0</v>
      </c>
      <c r="P148" s="130">
        <f>IFERROR(__xludf.DUMMYFUNCTION("""COMPUTED_VALUE"""),0.0)</f>
        <v>0</v>
      </c>
      <c r="Q148" s="129">
        <f>IFERROR(__xludf.DUMMYFUNCTION("""COMPUTED_VALUE"""),0.0)</f>
        <v>0</v>
      </c>
      <c r="R148" s="129">
        <f>IFERROR(__xludf.DUMMYFUNCTION("""COMPUTED_VALUE"""),0.0)</f>
        <v>0</v>
      </c>
      <c r="S148" s="129">
        <f>IFERROR(__xludf.DUMMYFUNCTION("""COMPUTED_VALUE"""),0.0)</f>
        <v>0</v>
      </c>
      <c r="T148" s="129">
        <f>IFERROR(__xludf.DUMMYFUNCTION("""COMPUTED_VALUE"""),0.0)</f>
        <v>0</v>
      </c>
      <c r="U148" s="129">
        <f>IFERROR(__xludf.DUMMYFUNCTION("""COMPUTED_VALUE"""),0.0)</f>
        <v>0</v>
      </c>
      <c r="V148" s="126">
        <f>IFERROR(__xludf.DUMMYFUNCTION("""COMPUTED_VALUE"""),0.0)</f>
        <v>0</v>
      </c>
      <c r="W148" s="126" t="str">
        <f>IFERROR(__xludf.DUMMYFUNCTION("""COMPUTED_VALUE"""),"Yes")</f>
        <v>Yes</v>
      </c>
      <c r="X148" s="126" t="str">
        <f>IFERROR(__xludf.DUMMYFUNCTION("""COMPUTED_VALUE"""),"Yes")</f>
        <v>Yes</v>
      </c>
      <c r="Y148" s="126" t="str">
        <f>IFERROR(__xludf.DUMMYFUNCTION("""COMPUTED_VALUE"""),"F")</f>
        <v>F</v>
      </c>
      <c r="Z148" s="126" t="str">
        <f>IFERROR(__xludf.DUMMYFUNCTION("""COMPUTED_VALUE"""),"energy prediction model")</f>
        <v>energy prediction model</v>
      </c>
      <c r="AA148" s="126"/>
      <c r="AB148" s="126"/>
      <c r="AC148" s="126"/>
      <c r="AD148" s="126"/>
      <c r="AE148" s="126"/>
      <c r="AF148" s="126"/>
      <c r="AG148" s="126"/>
      <c r="AH148" s="126"/>
      <c r="AI148" s="126"/>
      <c r="AJ148" s="126"/>
    </row>
    <row r="149">
      <c r="A149" s="126">
        <f>IFERROR(__xludf.DUMMYFUNCTION("""COMPUTED_VALUE"""),437.0)</f>
        <v>437</v>
      </c>
      <c r="B149" s="126" t="str">
        <f>IFERROR(__xludf.DUMMYFUNCTION("""COMPUTED_VALUE"""),"A learning automata-based algorithm for energy and SLA efficient consolidation of virtual machines in cloud data centers")</f>
        <v>A learning automata-based algorithm for energy and SLA efficient consolidation of virtual machines in cloud data centers</v>
      </c>
      <c r="C149" s="127" t="str">
        <f>IFERROR(__xludf.DUMMYFUNCTION("""COMPUTED_VALUE"""),"https://www.sciencedirect.com/science/article/pii/S074373151730285X")</f>
        <v>https://www.sciencedirect.com/science/article/pii/S074373151730285X</v>
      </c>
      <c r="D149" s="131" t="str">
        <f>IFERROR(__xludf.DUMMYFUNCTION("""COMPUTED_VALUE"""),"M Ranjbari, JA Torkestani")</f>
        <v>M Ranjbari, JA Torkestani</v>
      </c>
      <c r="E149" s="131" t="str">
        <f>IFERROR(__xludf.DUMMYFUNCTION("""COMPUTED_VALUE"""),"Elsevier")</f>
        <v>Elsevier</v>
      </c>
      <c r="F149" s="126" t="str">
        <f>IFERROR(__xludf.DUMMYFUNCTION("""COMPUTED_VALUE"""),"Elsevier")</f>
        <v>Elsevier</v>
      </c>
      <c r="G149" s="128" t="str">
        <f>IFERROR(__xludf.DUMMYFUNCTION("""COMPUTED_VALUE"""),"J")</f>
        <v>J</v>
      </c>
      <c r="H149" s="130">
        <f>IFERROR(__xludf.DUMMYFUNCTION("""COMPUTED_VALUE"""),2018.0)</f>
        <v>2018</v>
      </c>
      <c r="I149" s="129">
        <f>IFERROR(__xludf.DUMMYFUNCTION("""COMPUTED_VALUE"""),1.0)</f>
        <v>1</v>
      </c>
      <c r="J149" s="130">
        <f>IFERROR(__xludf.DUMMYFUNCTION("""COMPUTED_VALUE"""),1.0)</f>
        <v>1</v>
      </c>
      <c r="K149" s="130">
        <f>IFERROR(__xludf.DUMMYFUNCTION("""COMPUTED_VALUE"""),1.0)</f>
        <v>1</v>
      </c>
      <c r="L149" s="129">
        <f>IFERROR(__xludf.DUMMYFUNCTION("""COMPUTED_VALUE"""),1.0)</f>
        <v>1</v>
      </c>
      <c r="M149" s="130">
        <f>IFERROR(__xludf.DUMMYFUNCTION("""COMPUTED_VALUE"""),1.0)</f>
        <v>1</v>
      </c>
      <c r="N149" s="130">
        <f>IFERROR(__xludf.DUMMYFUNCTION("""COMPUTED_VALUE"""),0.0)</f>
        <v>0</v>
      </c>
      <c r="O149" s="130">
        <f>IFERROR(__xludf.DUMMYFUNCTION("""COMPUTED_VALUE"""),0.0)</f>
        <v>0</v>
      </c>
      <c r="P149" s="130">
        <f>IFERROR(__xludf.DUMMYFUNCTION("""COMPUTED_VALUE"""),0.0)</f>
        <v>0</v>
      </c>
      <c r="Q149" s="129">
        <f>IFERROR(__xludf.DUMMYFUNCTION("""COMPUTED_VALUE"""),0.0)</f>
        <v>0</v>
      </c>
      <c r="R149" s="129">
        <f>IFERROR(__xludf.DUMMYFUNCTION("""COMPUTED_VALUE"""),0.0)</f>
        <v>0</v>
      </c>
      <c r="S149" s="129">
        <f>IFERROR(__xludf.DUMMYFUNCTION("""COMPUTED_VALUE"""),0.0)</f>
        <v>0</v>
      </c>
      <c r="T149" s="129">
        <f>IFERROR(__xludf.DUMMYFUNCTION("""COMPUTED_VALUE"""),0.0)</f>
        <v>0</v>
      </c>
      <c r="U149" s="129">
        <f>IFERROR(__xludf.DUMMYFUNCTION("""COMPUTED_VALUE"""),0.0)</f>
        <v>0</v>
      </c>
      <c r="V149" s="126">
        <f>IFERROR(__xludf.DUMMYFUNCTION("""COMPUTED_VALUE"""),0.0)</f>
        <v>0</v>
      </c>
      <c r="W149" s="126" t="str">
        <f>IFERROR(__xludf.DUMMYFUNCTION("""COMPUTED_VALUE"""),"Yes")</f>
        <v>Yes</v>
      </c>
      <c r="X149" s="126" t="str">
        <f>IFERROR(__xludf.DUMMYFUNCTION("""COMPUTED_VALUE"""),"Yes")</f>
        <v>Yes</v>
      </c>
      <c r="Y149" s="126" t="str">
        <f>IFERROR(__xludf.DUMMYFUNCTION("""COMPUTED_VALUE"""),"F")</f>
        <v>F</v>
      </c>
      <c r="Z149" s="126" t="str">
        <f>IFERROR(__xludf.DUMMYFUNCTION("""COMPUTED_VALUE"""),"VM consolidation learning autom.")</f>
        <v>VM consolidation learning autom.</v>
      </c>
      <c r="AA149" s="126"/>
      <c r="AB149" s="126"/>
      <c r="AC149" s="126"/>
      <c r="AD149" s="126"/>
      <c r="AE149" s="126"/>
      <c r="AF149" s="126"/>
      <c r="AG149" s="126"/>
      <c r="AH149" s="126"/>
      <c r="AI149" s="126"/>
      <c r="AJ149" s="126"/>
    </row>
    <row r="150">
      <c r="A150" s="126">
        <f>IFERROR(__xludf.DUMMYFUNCTION("""COMPUTED_VALUE"""),446.0)</f>
        <v>446</v>
      </c>
      <c r="B150" s="126" t="str">
        <f>IFERROR(__xludf.DUMMYFUNCTION("""COMPUTED_VALUE"""),"Reallocation of Virtual Machines to Cloud Data Centers to Reduce Service Level Agreement Violation and Energy Consumption Using the FMT Method")</f>
        <v>Reallocation of Virtual Machines to Cloud Data Centers to Reduce Service Level Agreement Violation and Energy Consumption Using the FMT Method</v>
      </c>
      <c r="C150" s="127" t="str">
        <f>IFERROR(__xludf.DUMMYFUNCTION("""COMPUTED_VALUE"""),"https://www.sid.ir/FileServer/JE/5055520192805")</f>
        <v>https://www.sid.ir/FileServer/JE/5055520192805</v>
      </c>
      <c r="D150" s="126" t="str">
        <f>IFERROR(__xludf.DUMMYFUNCTION("""COMPUTED_VALUE"""),"HF Farimani, SRK Tabbakh, D Bahrepour, R Ghaemi")</f>
        <v>HF Farimani, SRK Tabbakh, D Bahrepour, R Ghaemi</v>
      </c>
      <c r="E150" s="126" t="str">
        <f>IFERROR(__xludf.DUMMYFUNCTION("""COMPUTED_VALUE"""),"Journal of Information Systems and Telecommunication")</f>
        <v>Journal of Information Systems and Telecommunication</v>
      </c>
      <c r="F150" s="126" t="str">
        <f>IFERROR(__xludf.DUMMYFUNCTION("""COMPUTED_VALUE"""),"JIST")</f>
        <v>JIST</v>
      </c>
      <c r="G150" s="128" t="str">
        <f>IFERROR(__xludf.DUMMYFUNCTION("""COMPUTED_VALUE"""),"J")</f>
        <v>J</v>
      </c>
      <c r="H150" s="130">
        <f>IFERROR(__xludf.DUMMYFUNCTION("""COMPUTED_VALUE"""),2019.0)</f>
        <v>2019</v>
      </c>
      <c r="I150" s="130">
        <f>IFERROR(__xludf.DUMMYFUNCTION("""COMPUTED_VALUE"""),1.0)</f>
        <v>1</v>
      </c>
      <c r="J150" s="130">
        <f>IFERROR(__xludf.DUMMYFUNCTION("""COMPUTED_VALUE"""),1.0)</f>
        <v>1</v>
      </c>
      <c r="K150" s="130">
        <f>IFERROR(__xludf.DUMMYFUNCTION("""COMPUTED_VALUE"""),1.0)</f>
        <v>1</v>
      </c>
      <c r="L150" s="129">
        <f>IFERROR(__xludf.DUMMYFUNCTION("""COMPUTED_VALUE"""),1.0)</f>
        <v>1</v>
      </c>
      <c r="M150" s="130">
        <f>IFERROR(__xludf.DUMMYFUNCTION("""COMPUTED_VALUE"""),1.0)</f>
        <v>1</v>
      </c>
      <c r="N150" s="130">
        <f>IFERROR(__xludf.DUMMYFUNCTION("""COMPUTED_VALUE"""),0.0)</f>
        <v>0</v>
      </c>
      <c r="O150" s="130">
        <f>IFERROR(__xludf.DUMMYFUNCTION("""COMPUTED_VALUE"""),0.0)</f>
        <v>0</v>
      </c>
      <c r="P150" s="130">
        <f>IFERROR(__xludf.DUMMYFUNCTION("""COMPUTED_VALUE"""),0.0)</f>
        <v>0</v>
      </c>
      <c r="Q150" s="130">
        <f>IFERROR(__xludf.DUMMYFUNCTION("""COMPUTED_VALUE"""),0.0)</f>
        <v>0</v>
      </c>
      <c r="R150" s="130">
        <f>IFERROR(__xludf.DUMMYFUNCTION("""COMPUTED_VALUE"""),0.0)</f>
        <v>0</v>
      </c>
      <c r="S150" s="130">
        <f>IFERROR(__xludf.DUMMYFUNCTION("""COMPUTED_VALUE"""),0.0)</f>
        <v>0</v>
      </c>
      <c r="T150" s="130">
        <f>IFERROR(__xludf.DUMMYFUNCTION("""COMPUTED_VALUE"""),0.0)</f>
        <v>0</v>
      </c>
      <c r="U150" s="130">
        <f>IFERROR(__xludf.DUMMYFUNCTION("""COMPUTED_VALUE"""),0.0)</f>
        <v>0</v>
      </c>
      <c r="V150" s="131">
        <f>IFERROR(__xludf.DUMMYFUNCTION("""COMPUTED_VALUE"""),0.0)</f>
        <v>0</v>
      </c>
      <c r="W150" s="131" t="str">
        <f>IFERROR(__xludf.DUMMYFUNCTION("""COMPUTED_VALUE"""),"Yes")</f>
        <v>Yes</v>
      </c>
      <c r="X150" s="131" t="str">
        <f>IFERROR(__xludf.DUMMYFUNCTION("""COMPUTED_VALUE"""),"Yes")</f>
        <v>Yes</v>
      </c>
      <c r="Y150" s="131" t="str">
        <f>IFERROR(__xludf.DUMMYFUNCTION("""COMPUTED_VALUE"""),"F")</f>
        <v>F</v>
      </c>
      <c r="Z150" s="131" t="str">
        <f>IFERROR(__xludf.DUMMYFUNCTION("""COMPUTED_VALUE"""),"VM allocation")</f>
        <v>VM allocation</v>
      </c>
      <c r="AA150" s="131"/>
      <c r="AB150" s="131"/>
      <c r="AC150" s="131"/>
      <c r="AD150" s="131"/>
      <c r="AE150" s="131"/>
      <c r="AF150" s="131"/>
      <c r="AG150" s="131"/>
      <c r="AH150" s="131"/>
      <c r="AI150" s="131"/>
      <c r="AJ150" s="131"/>
    </row>
    <row r="151">
      <c r="A151" s="126">
        <f>IFERROR(__xludf.DUMMYFUNCTION("""COMPUTED_VALUE"""),448.0)</f>
        <v>448</v>
      </c>
      <c r="B151" s="126" t="str">
        <f>IFERROR(__xludf.DUMMYFUNCTION("""COMPUTED_VALUE"""),"Energy Consumption of IT System in Cloud Data Center: Architecture, Factors and Prediction")</f>
        <v>Energy Consumption of IT System in Cloud Data Center: Architecture, Factors and Prediction</v>
      </c>
      <c r="C151" s="127" t="str">
        <f>IFERROR(__xludf.DUMMYFUNCTION("""COMPUTED_VALUE"""),"https://link.springer.com/chapter/10.1007/978-3-030-30709-7_25")</f>
        <v>https://link.springer.com/chapter/10.1007/978-3-030-30709-7_25</v>
      </c>
      <c r="D151" s="131" t="str">
        <f>IFERROR(__xludf.DUMMYFUNCTION("""COMPUTED_VALUE"""),"H Lin, X Xu, X Wang")</f>
        <v>H Lin, X Xu, X Wang</v>
      </c>
      <c r="E151" s="131" t="str">
        <f>IFERROR(__xludf.DUMMYFUNCTION("""COMPUTED_VALUE"""),"Springer")</f>
        <v>Springer</v>
      </c>
      <c r="F151" s="126" t="str">
        <f>IFERROR(__xludf.DUMMYFUNCTION("""COMPUTED_VALUE"""),"Springer")</f>
        <v>Springer</v>
      </c>
      <c r="G151" s="128" t="str">
        <f>IFERROR(__xludf.DUMMYFUNCTION("""COMPUTED_VALUE"""),"C")</f>
        <v>C</v>
      </c>
      <c r="H151" s="130">
        <f>IFERROR(__xludf.DUMMYFUNCTION("""COMPUTED_VALUE"""),2019.0)</f>
        <v>2019</v>
      </c>
      <c r="I151" s="130">
        <f>IFERROR(__xludf.DUMMYFUNCTION("""COMPUTED_VALUE"""),1.0)</f>
        <v>1</v>
      </c>
      <c r="J151" s="130">
        <f>IFERROR(__xludf.DUMMYFUNCTION("""COMPUTED_VALUE"""),1.0)</f>
        <v>1</v>
      </c>
      <c r="K151" s="130">
        <f>IFERROR(__xludf.DUMMYFUNCTION("""COMPUTED_VALUE"""),1.0)</f>
        <v>1</v>
      </c>
      <c r="L151" s="129">
        <f>IFERROR(__xludf.DUMMYFUNCTION("""COMPUTED_VALUE"""),1.0)</f>
        <v>1</v>
      </c>
      <c r="M151" s="130">
        <f>IFERROR(__xludf.DUMMYFUNCTION("""COMPUTED_VALUE"""),1.0)</f>
        <v>1</v>
      </c>
      <c r="N151" s="130">
        <f>IFERROR(__xludf.DUMMYFUNCTION("""COMPUTED_VALUE"""),0.0)</f>
        <v>0</v>
      </c>
      <c r="O151" s="130">
        <f>IFERROR(__xludf.DUMMYFUNCTION("""COMPUTED_VALUE"""),0.0)</f>
        <v>0</v>
      </c>
      <c r="P151" s="130">
        <f>IFERROR(__xludf.DUMMYFUNCTION("""COMPUTED_VALUE"""),0.0)</f>
        <v>0</v>
      </c>
      <c r="Q151" s="130">
        <f>IFERROR(__xludf.DUMMYFUNCTION("""COMPUTED_VALUE"""),0.0)</f>
        <v>0</v>
      </c>
      <c r="R151" s="130">
        <f>IFERROR(__xludf.DUMMYFUNCTION("""COMPUTED_VALUE"""),0.0)</f>
        <v>0</v>
      </c>
      <c r="S151" s="130">
        <f>IFERROR(__xludf.DUMMYFUNCTION("""COMPUTED_VALUE"""),0.0)</f>
        <v>0</v>
      </c>
      <c r="T151" s="130">
        <f>IFERROR(__xludf.DUMMYFUNCTION("""COMPUTED_VALUE"""),0.0)</f>
        <v>0</v>
      </c>
      <c r="U151" s="130">
        <f>IFERROR(__xludf.DUMMYFUNCTION("""COMPUTED_VALUE"""),0.0)</f>
        <v>0</v>
      </c>
      <c r="V151" s="131">
        <f>IFERROR(__xludf.DUMMYFUNCTION("""COMPUTED_VALUE"""),0.0)</f>
        <v>0</v>
      </c>
      <c r="W151" s="131" t="str">
        <f>IFERROR(__xludf.DUMMYFUNCTION("""COMPUTED_VALUE"""),"Yes")</f>
        <v>Yes</v>
      </c>
      <c r="X151" s="131" t="str">
        <f>IFERROR(__xludf.DUMMYFUNCTION("""COMPUTED_VALUE"""),"Yes")</f>
        <v>Yes</v>
      </c>
      <c r="Y151" s="131" t="str">
        <f>IFERROR(__xludf.DUMMYFUNCTION("""COMPUTED_VALUE"""),"F")</f>
        <v>F</v>
      </c>
      <c r="Z151" s="131" t="str">
        <f>IFERROR(__xludf.DUMMYFUNCTION("""COMPUTED_VALUE"""),"EC prediction framework")</f>
        <v>EC prediction framework</v>
      </c>
      <c r="AA151" s="131"/>
      <c r="AB151" s="131"/>
      <c r="AC151" s="131"/>
      <c r="AD151" s="131"/>
      <c r="AE151" s="131"/>
      <c r="AF151" s="131"/>
      <c r="AG151" s="131"/>
      <c r="AH151" s="131"/>
      <c r="AI151" s="131"/>
      <c r="AJ151" s="131"/>
    </row>
    <row r="152">
      <c r="A152" s="126">
        <f>IFERROR(__xludf.DUMMYFUNCTION("""COMPUTED_VALUE"""),450.0)</f>
        <v>450</v>
      </c>
      <c r="B152" s="126" t="str">
        <f>IFERROR(__xludf.DUMMYFUNCTION("""COMPUTED_VALUE"""),"Measurement, Analysis, and Enhancement of Multipath TCP Energy Efficiency for Datacenters")</f>
        <v>Measurement, Analysis, and Enhancement of Multipath TCP Energy Efficiency for Datacenters</v>
      </c>
      <c r="C152" s="127" t="str">
        <f>IFERROR(__xludf.DUMMYFUNCTION("""COMPUTED_VALUE"""),"https://ieeexplore.ieee.org/abstract/document/8932384/")</f>
        <v>https://ieeexplore.ieee.org/abstract/document/8932384/</v>
      </c>
      <c r="D152" s="126" t="str">
        <f>IFERROR(__xludf.DUMMYFUNCTION("""COMPUTED_VALUE"""),"J Zhao, J Liu, H Wang, C Xu, W Gong, C Xu")</f>
        <v>J Zhao, J Liu, H Wang, C Xu, W Gong, C Xu</v>
      </c>
      <c r="E152" s="126" t="str">
        <f>IFERROR(__xludf.DUMMYFUNCTION("""COMPUTED_VALUE"""),"Institute of Electrical and Electronics Engineers")</f>
        <v>Institute of Electrical and Electronics Engineers</v>
      </c>
      <c r="F152" s="126" t="str">
        <f>IFERROR(__xludf.DUMMYFUNCTION("""COMPUTED_VALUE"""),"IEEE Xplore")</f>
        <v>IEEE Xplore</v>
      </c>
      <c r="G152" s="128" t="str">
        <f>IFERROR(__xludf.DUMMYFUNCTION("""COMPUTED_VALUE"""),"J")</f>
        <v>J</v>
      </c>
      <c r="H152" s="130">
        <f>IFERROR(__xludf.DUMMYFUNCTION("""COMPUTED_VALUE"""),2019.0)</f>
        <v>2019</v>
      </c>
      <c r="I152" s="129">
        <f>IFERROR(__xludf.DUMMYFUNCTION("""COMPUTED_VALUE"""),1.0)</f>
        <v>1</v>
      </c>
      <c r="J152" s="129">
        <f>IFERROR(__xludf.DUMMYFUNCTION("""COMPUTED_VALUE"""),1.0)</f>
        <v>1</v>
      </c>
      <c r="K152" s="130">
        <f>IFERROR(__xludf.DUMMYFUNCTION("""COMPUTED_VALUE"""),1.0)</f>
        <v>1</v>
      </c>
      <c r="L152" s="130">
        <f>IFERROR(__xludf.DUMMYFUNCTION("""COMPUTED_VALUE"""),1.0)</f>
        <v>1</v>
      </c>
      <c r="M152" s="130">
        <f>IFERROR(__xludf.DUMMYFUNCTION("""COMPUTED_VALUE"""),1.0)</f>
        <v>1</v>
      </c>
      <c r="N152" s="130">
        <f>IFERROR(__xludf.DUMMYFUNCTION("""COMPUTED_VALUE"""),0.0)</f>
        <v>0</v>
      </c>
      <c r="O152" s="130">
        <f>IFERROR(__xludf.DUMMYFUNCTION("""COMPUTED_VALUE"""),0.0)</f>
        <v>0</v>
      </c>
      <c r="P152" s="130">
        <f>IFERROR(__xludf.DUMMYFUNCTION("""COMPUTED_VALUE"""),0.0)</f>
        <v>0</v>
      </c>
      <c r="Q152" s="130">
        <f>IFERROR(__xludf.DUMMYFUNCTION("""COMPUTED_VALUE"""),0.0)</f>
        <v>0</v>
      </c>
      <c r="R152" s="130">
        <f>IFERROR(__xludf.DUMMYFUNCTION("""COMPUTED_VALUE"""),0.0)</f>
        <v>0</v>
      </c>
      <c r="S152" s="130">
        <f>IFERROR(__xludf.DUMMYFUNCTION("""COMPUTED_VALUE"""),0.0)</f>
        <v>0</v>
      </c>
      <c r="T152" s="130">
        <f>IFERROR(__xludf.DUMMYFUNCTION("""COMPUTED_VALUE"""),0.0)</f>
        <v>0</v>
      </c>
      <c r="U152" s="130">
        <f>IFERROR(__xludf.DUMMYFUNCTION("""COMPUTED_VALUE"""),0.0)</f>
        <v>0</v>
      </c>
      <c r="V152" s="131">
        <f>IFERROR(__xludf.DUMMYFUNCTION("""COMPUTED_VALUE"""),0.0)</f>
        <v>0</v>
      </c>
      <c r="W152" s="131" t="str">
        <f>IFERROR(__xludf.DUMMYFUNCTION("""COMPUTED_VALUE"""),"Yes")</f>
        <v>Yes</v>
      </c>
      <c r="X152" s="131" t="str">
        <f>IFERROR(__xludf.DUMMYFUNCTION("""COMPUTED_VALUE"""),"Yes")</f>
        <v>Yes</v>
      </c>
      <c r="Y152" s="131" t="str">
        <f>IFERROR(__xludf.DUMMYFUNCTION("""COMPUTED_VALUE"""),"F")</f>
        <v>F</v>
      </c>
      <c r="Z152" s="131" t="str">
        <f>IFERROR(__xludf.DUMMYFUNCTION("""COMPUTED_VALUE"""),"mutipath TCP EE enhancement")</f>
        <v>mutipath TCP EE enhancement</v>
      </c>
      <c r="AA152" s="131"/>
      <c r="AB152" s="131"/>
      <c r="AC152" s="131"/>
      <c r="AD152" s="131"/>
      <c r="AE152" s="131"/>
      <c r="AF152" s="131"/>
      <c r="AG152" s="131"/>
      <c r="AH152" s="131"/>
      <c r="AI152" s="131"/>
      <c r="AJ152" s="131"/>
    </row>
    <row r="153">
      <c r="A153" s="126">
        <f>IFERROR(__xludf.DUMMYFUNCTION("""COMPUTED_VALUE"""),455.0)</f>
        <v>455</v>
      </c>
      <c r="B153" s="126" t="str">
        <f>IFERROR(__xludf.DUMMYFUNCTION("""COMPUTED_VALUE"""),"LACE: A locust-inspired scheduling algorithm to reduce energy consumption in cloud datacenters")</f>
        <v>LACE: A locust-inspired scheduling algorithm to reduce energy consumption in cloud datacenters</v>
      </c>
      <c r="C153" s="127" t="str">
        <f>IFERROR(__xludf.DUMMYFUNCTION("""COMPUTED_VALUE"""),"https://ieeexplore.ieee.org/abstract/document/8401956/")</f>
        <v>https://ieeexplore.ieee.org/abstract/document/8401956/</v>
      </c>
      <c r="D153" s="126" t="str">
        <f>IFERROR(__xludf.DUMMYFUNCTION("""COMPUTED_VALUE"""),"HA Kurdi, SM Alismail, MM Hassan")</f>
        <v>HA Kurdi, SM Alismail, MM Hassan</v>
      </c>
      <c r="E153" s="126" t="str">
        <f>IFERROR(__xludf.DUMMYFUNCTION("""COMPUTED_VALUE"""),"Institute of Electrical and Electronics Engineers")</f>
        <v>Institute of Electrical and Electronics Engineers</v>
      </c>
      <c r="F153" s="126" t="str">
        <f>IFERROR(__xludf.DUMMYFUNCTION("""COMPUTED_VALUE"""),"IEEE Xplore")</f>
        <v>IEEE Xplore</v>
      </c>
      <c r="G153" s="128" t="str">
        <f>IFERROR(__xludf.DUMMYFUNCTION("""COMPUTED_VALUE"""),"J")</f>
        <v>J</v>
      </c>
      <c r="H153" s="130">
        <f>IFERROR(__xludf.DUMMYFUNCTION("""COMPUTED_VALUE"""),2018.0)</f>
        <v>2018</v>
      </c>
      <c r="I153" s="130">
        <f>IFERROR(__xludf.DUMMYFUNCTION("""COMPUTED_VALUE"""),1.0)</f>
        <v>1</v>
      </c>
      <c r="J153" s="129">
        <f>IFERROR(__xludf.DUMMYFUNCTION("""COMPUTED_VALUE"""),1.0)</f>
        <v>1</v>
      </c>
      <c r="K153" s="130">
        <f>IFERROR(__xludf.DUMMYFUNCTION("""COMPUTED_VALUE"""),1.0)</f>
        <v>1</v>
      </c>
      <c r="L153" s="130">
        <f>IFERROR(__xludf.DUMMYFUNCTION("""COMPUTED_VALUE"""),1.0)</f>
        <v>1</v>
      </c>
      <c r="M153" s="130">
        <f>IFERROR(__xludf.DUMMYFUNCTION("""COMPUTED_VALUE"""),1.0)</f>
        <v>1</v>
      </c>
      <c r="N153" s="130">
        <f>IFERROR(__xludf.DUMMYFUNCTION("""COMPUTED_VALUE"""),0.0)</f>
        <v>0</v>
      </c>
      <c r="O153" s="130">
        <f>IFERROR(__xludf.DUMMYFUNCTION("""COMPUTED_VALUE"""),0.0)</f>
        <v>0</v>
      </c>
      <c r="P153" s="130">
        <f>IFERROR(__xludf.DUMMYFUNCTION("""COMPUTED_VALUE"""),0.0)</f>
        <v>0</v>
      </c>
      <c r="Q153" s="129">
        <f>IFERROR(__xludf.DUMMYFUNCTION("""COMPUTED_VALUE"""),0.0)</f>
        <v>0</v>
      </c>
      <c r="R153" s="129">
        <f>IFERROR(__xludf.DUMMYFUNCTION("""COMPUTED_VALUE"""),0.0)</f>
        <v>0</v>
      </c>
      <c r="S153" s="129">
        <f>IFERROR(__xludf.DUMMYFUNCTION("""COMPUTED_VALUE"""),0.0)</f>
        <v>0</v>
      </c>
      <c r="T153" s="129">
        <f>IFERROR(__xludf.DUMMYFUNCTION("""COMPUTED_VALUE"""),0.0)</f>
        <v>0</v>
      </c>
      <c r="U153" s="129">
        <f>IFERROR(__xludf.DUMMYFUNCTION("""COMPUTED_VALUE"""),0.0)</f>
        <v>0</v>
      </c>
      <c r="V153" s="126">
        <f>IFERROR(__xludf.DUMMYFUNCTION("""COMPUTED_VALUE"""),0.0)</f>
        <v>0</v>
      </c>
      <c r="W153" s="126" t="str">
        <f>IFERROR(__xludf.DUMMYFUNCTION("""COMPUTED_VALUE"""),"Yes")</f>
        <v>Yes</v>
      </c>
      <c r="X153" s="126" t="str">
        <f>IFERROR(__xludf.DUMMYFUNCTION("""COMPUTED_VALUE"""),"Yes")</f>
        <v>Yes</v>
      </c>
      <c r="Y153" s="126" t="str">
        <f>IFERROR(__xludf.DUMMYFUNCTION("""COMPUTED_VALUE"""),"F")</f>
        <v>F</v>
      </c>
      <c r="Z153" s="126" t="str">
        <f>IFERROR(__xludf.DUMMYFUNCTION("""COMPUTED_VALUE"""),"green cloud scheduling algorithm")</f>
        <v>green cloud scheduling algorithm</v>
      </c>
      <c r="AA153" s="126"/>
      <c r="AB153" s="126"/>
      <c r="AC153" s="126"/>
      <c r="AD153" s="126"/>
      <c r="AE153" s="126"/>
      <c r="AF153" s="126"/>
      <c r="AG153" s="126"/>
      <c r="AH153" s="126"/>
      <c r="AI153" s="126"/>
      <c r="AJ153" s="126"/>
    </row>
    <row r="154">
      <c r="A154" s="126">
        <f>IFERROR(__xludf.DUMMYFUNCTION("""COMPUTED_VALUE"""),456.0)</f>
        <v>456</v>
      </c>
      <c r="B154" s="126" t="str">
        <f>IFERROR(__xludf.DUMMYFUNCTION("""COMPUTED_VALUE"""),"Virtual machine consolidation framework for energy and performance efficient cloud data centers")</f>
        <v>Virtual machine consolidation framework for energy and performance efficient cloud data centers</v>
      </c>
      <c r="C154" s="127" t="str">
        <f>IFERROR(__xludf.DUMMYFUNCTION("""COMPUTED_VALUE"""),"https://ieeexplore.ieee.org/abstract/document/8878805/")</f>
        <v>https://ieeexplore.ieee.org/abstract/document/8878805/</v>
      </c>
      <c r="D154" s="126" t="str">
        <f>IFERROR(__xludf.DUMMYFUNCTION("""COMPUTED_VALUE"""),"RA Arockia, S Arun")</f>
        <v>RA Arockia, S Arun</v>
      </c>
      <c r="E154" s="126" t="str">
        <f>IFERROR(__xludf.DUMMYFUNCTION("""COMPUTED_VALUE"""),"Institute of Electrical and Electronics Engineers")</f>
        <v>Institute of Electrical and Electronics Engineers</v>
      </c>
      <c r="F154" s="126" t="str">
        <f>IFERROR(__xludf.DUMMYFUNCTION("""COMPUTED_VALUE"""),"IEEE Xplore")</f>
        <v>IEEE Xplore</v>
      </c>
      <c r="G154" s="128" t="str">
        <f>IFERROR(__xludf.DUMMYFUNCTION("""COMPUTED_VALUE"""),"C")</f>
        <v>C</v>
      </c>
      <c r="H154" s="130">
        <f>IFERROR(__xludf.DUMMYFUNCTION("""COMPUTED_VALUE"""),2019.0)</f>
        <v>2019</v>
      </c>
      <c r="I154" s="130">
        <f>IFERROR(__xludf.DUMMYFUNCTION("""COMPUTED_VALUE"""),1.0)</f>
        <v>1</v>
      </c>
      <c r="J154" s="130">
        <f>IFERROR(__xludf.DUMMYFUNCTION("""COMPUTED_VALUE"""),1.0)</f>
        <v>1</v>
      </c>
      <c r="K154" s="130">
        <f>IFERROR(__xludf.DUMMYFUNCTION("""COMPUTED_VALUE"""),1.0)</f>
        <v>1</v>
      </c>
      <c r="L154" s="129">
        <f>IFERROR(__xludf.DUMMYFUNCTION("""COMPUTED_VALUE"""),1.0)</f>
        <v>1</v>
      </c>
      <c r="M154" s="130">
        <f>IFERROR(__xludf.DUMMYFUNCTION("""COMPUTED_VALUE"""),1.0)</f>
        <v>1</v>
      </c>
      <c r="N154" s="129">
        <f>IFERROR(__xludf.DUMMYFUNCTION("""COMPUTED_VALUE"""),0.0)</f>
        <v>0</v>
      </c>
      <c r="O154" s="130">
        <f>IFERROR(__xludf.DUMMYFUNCTION("""COMPUTED_VALUE"""),0.0)</f>
        <v>0</v>
      </c>
      <c r="P154" s="130">
        <f>IFERROR(__xludf.DUMMYFUNCTION("""COMPUTED_VALUE"""),0.0)</f>
        <v>0</v>
      </c>
      <c r="Q154" s="129">
        <f>IFERROR(__xludf.DUMMYFUNCTION("""COMPUTED_VALUE"""),0.0)</f>
        <v>0</v>
      </c>
      <c r="R154" s="129">
        <f>IFERROR(__xludf.DUMMYFUNCTION("""COMPUTED_VALUE"""),0.0)</f>
        <v>0</v>
      </c>
      <c r="S154" s="129">
        <f>IFERROR(__xludf.DUMMYFUNCTION("""COMPUTED_VALUE"""),0.0)</f>
        <v>0</v>
      </c>
      <c r="T154" s="129">
        <f>IFERROR(__xludf.DUMMYFUNCTION("""COMPUTED_VALUE"""),0.0)</f>
        <v>0</v>
      </c>
      <c r="U154" s="129">
        <f>IFERROR(__xludf.DUMMYFUNCTION("""COMPUTED_VALUE"""),0.0)</f>
        <v>0</v>
      </c>
      <c r="V154" s="126">
        <f>IFERROR(__xludf.DUMMYFUNCTION("""COMPUTED_VALUE"""),0.0)</f>
        <v>0</v>
      </c>
      <c r="W154" s="126" t="str">
        <f>IFERROR(__xludf.DUMMYFUNCTION("""COMPUTED_VALUE"""),"Yes")</f>
        <v>Yes</v>
      </c>
      <c r="X154" s="126" t="str">
        <f>IFERROR(__xludf.DUMMYFUNCTION("""COMPUTED_VALUE"""),"Yes")</f>
        <v>Yes</v>
      </c>
      <c r="Y154" s="126" t="str">
        <f>IFERROR(__xludf.DUMMYFUNCTION("""COMPUTED_VALUE"""),"F")</f>
        <v>F</v>
      </c>
      <c r="Z154" s="126" t="str">
        <f>IFERROR(__xludf.DUMMYFUNCTION("""COMPUTED_VALUE"""),"VM consolidation framework")</f>
        <v>VM consolidation framework</v>
      </c>
      <c r="AA154" s="126"/>
      <c r="AB154" s="126"/>
      <c r="AC154" s="126"/>
      <c r="AD154" s="126"/>
      <c r="AE154" s="126"/>
      <c r="AF154" s="126"/>
      <c r="AG154" s="126"/>
      <c r="AH154" s="126"/>
      <c r="AI154" s="126"/>
      <c r="AJ154" s="126"/>
    </row>
    <row r="155">
      <c r="A155" s="126">
        <f>IFERROR(__xludf.DUMMYFUNCTION("""COMPUTED_VALUE"""),459.0)</f>
        <v>459</v>
      </c>
      <c r="B155" s="126" t="str">
        <f>IFERROR(__xludf.DUMMYFUNCTION("""COMPUTED_VALUE"""),"PEFS: AI-driven Prediction based Energy-aware Fault-tolerant Scheduling Scheme for Cloud Data Center")</f>
        <v>PEFS: AI-driven Prediction based Energy-aware Fault-tolerant Scheduling Scheme for Cloud Data Center</v>
      </c>
      <c r="C155" s="127" t="str">
        <f>IFERROR(__xludf.DUMMYFUNCTION("""COMPUTED_VALUE"""),"https://ieeexplore.ieee.org/abstract/document/9165232/")</f>
        <v>https://ieeexplore.ieee.org/abstract/document/9165232/</v>
      </c>
      <c r="D155" s="126" t="str">
        <f>IFERROR(__xludf.DUMMYFUNCTION("""COMPUTED_VALUE"""),"A Marahatta, Q Xin, C Chi, F Zhang, Z Liu")</f>
        <v>A Marahatta, Q Xin, C Chi, F Zhang, Z Liu</v>
      </c>
      <c r="E155" s="126" t="str">
        <f>IFERROR(__xludf.DUMMYFUNCTION("""COMPUTED_VALUE"""),"Institute of Electrical and Electronics Engineers")</f>
        <v>Institute of Electrical and Electronics Engineers</v>
      </c>
      <c r="F155" s="126" t="str">
        <f>IFERROR(__xludf.DUMMYFUNCTION("""COMPUTED_VALUE"""),"IEEE Xplore")</f>
        <v>IEEE Xplore</v>
      </c>
      <c r="G155" s="128" t="str">
        <f>IFERROR(__xludf.DUMMYFUNCTION("""COMPUTED_VALUE"""),"J")</f>
        <v>J</v>
      </c>
      <c r="H155" s="130">
        <f>IFERROR(__xludf.DUMMYFUNCTION("""COMPUTED_VALUE"""),2020.0)</f>
        <v>2020</v>
      </c>
      <c r="I155" s="130">
        <f>IFERROR(__xludf.DUMMYFUNCTION("""COMPUTED_VALUE"""),1.0)</f>
        <v>1</v>
      </c>
      <c r="J155" s="129">
        <f>IFERROR(__xludf.DUMMYFUNCTION("""COMPUTED_VALUE"""),1.0)</f>
        <v>1</v>
      </c>
      <c r="K155" s="130">
        <f>IFERROR(__xludf.DUMMYFUNCTION("""COMPUTED_VALUE"""),1.0)</f>
        <v>1</v>
      </c>
      <c r="L155" s="130">
        <f>IFERROR(__xludf.DUMMYFUNCTION("""COMPUTED_VALUE"""),1.0)</f>
        <v>1</v>
      </c>
      <c r="M155" s="130">
        <f>IFERROR(__xludf.DUMMYFUNCTION("""COMPUTED_VALUE"""),1.0)</f>
        <v>1</v>
      </c>
      <c r="N155" s="130">
        <f>IFERROR(__xludf.DUMMYFUNCTION("""COMPUTED_VALUE"""),0.0)</f>
        <v>0</v>
      </c>
      <c r="O155" s="130">
        <f>IFERROR(__xludf.DUMMYFUNCTION("""COMPUTED_VALUE"""),0.0)</f>
        <v>0</v>
      </c>
      <c r="P155" s="130">
        <f>IFERROR(__xludf.DUMMYFUNCTION("""COMPUTED_VALUE"""),0.0)</f>
        <v>0</v>
      </c>
      <c r="Q155" s="129">
        <f>IFERROR(__xludf.DUMMYFUNCTION("""COMPUTED_VALUE"""),0.0)</f>
        <v>0</v>
      </c>
      <c r="R155" s="129">
        <f>IFERROR(__xludf.DUMMYFUNCTION("""COMPUTED_VALUE"""),0.0)</f>
        <v>0</v>
      </c>
      <c r="S155" s="129">
        <f>IFERROR(__xludf.DUMMYFUNCTION("""COMPUTED_VALUE"""),0.0)</f>
        <v>0</v>
      </c>
      <c r="T155" s="129">
        <f>IFERROR(__xludf.DUMMYFUNCTION("""COMPUTED_VALUE"""),0.0)</f>
        <v>0</v>
      </c>
      <c r="U155" s="129">
        <f>IFERROR(__xludf.DUMMYFUNCTION("""COMPUTED_VALUE"""),0.0)</f>
        <v>0</v>
      </c>
      <c r="V155" s="126">
        <f>IFERROR(__xludf.DUMMYFUNCTION("""COMPUTED_VALUE"""),0.0)</f>
        <v>0</v>
      </c>
      <c r="W155" s="126" t="str">
        <f>IFERROR(__xludf.DUMMYFUNCTION("""COMPUTED_VALUE"""),"Yes")</f>
        <v>Yes</v>
      </c>
      <c r="X155" s="126" t="str">
        <f>IFERROR(__xludf.DUMMYFUNCTION("""COMPUTED_VALUE"""),"Yes")</f>
        <v>Yes</v>
      </c>
      <c r="Y155" s="126" t="str">
        <f>IFERROR(__xludf.DUMMYFUNCTION("""COMPUTED_VALUE"""),"F")</f>
        <v>F</v>
      </c>
      <c r="Z155" s="126" t="str">
        <f>IFERROR(__xludf.DUMMYFUNCTION("""COMPUTED_VALUE"""),"prediction of task failures")</f>
        <v>prediction of task failures</v>
      </c>
      <c r="AA155" s="126"/>
      <c r="AB155" s="126"/>
      <c r="AC155" s="126"/>
      <c r="AD155" s="126"/>
      <c r="AE155" s="126"/>
      <c r="AF155" s="126"/>
      <c r="AG155" s="126"/>
      <c r="AH155" s="126"/>
      <c r="AI155" s="126"/>
      <c r="AJ155" s="126"/>
    </row>
    <row r="156">
      <c r="A156" s="126">
        <f>IFERROR(__xludf.DUMMYFUNCTION("""COMPUTED_VALUE"""),460.0)</f>
        <v>460</v>
      </c>
      <c r="B156" s="126" t="str">
        <f>IFERROR(__xludf.DUMMYFUNCTION("""COMPUTED_VALUE"""),"BiTE: a dynamic bi-level traffic engineering model for load balancing and energy efficiency in data center networks")</f>
        <v>BiTE: a dynamic bi-level traffic engineering model for load balancing and energy efficiency in data center networks</v>
      </c>
      <c r="C156" s="127" t="str">
        <f>IFERROR(__xludf.DUMMYFUNCTION("""COMPUTED_VALUE"""),"https://link.springer.com/article/10.1007/s10489-020-02003-9")</f>
        <v>https://link.springer.com/article/10.1007/s10489-020-02003-9</v>
      </c>
      <c r="D156" s="126" t="str">
        <f>IFERROR(__xludf.DUMMYFUNCTION("""COMPUTED_VALUE"""),"N Rikhtegar, M Keshtgari, O Bushehrian, G Pujolle")</f>
        <v>N Rikhtegar, M Keshtgari, O Bushehrian, G Pujolle</v>
      </c>
      <c r="E156" s="126" t="str">
        <f>IFERROR(__xludf.DUMMYFUNCTION("""COMPUTED_VALUE"""),"Springer")</f>
        <v>Springer</v>
      </c>
      <c r="F156" s="126" t="str">
        <f>IFERROR(__xludf.DUMMYFUNCTION("""COMPUTED_VALUE"""),"Springer")</f>
        <v>Springer</v>
      </c>
      <c r="G156" s="128" t="str">
        <f>IFERROR(__xludf.DUMMYFUNCTION("""COMPUTED_VALUE"""),"J")</f>
        <v>J</v>
      </c>
      <c r="H156" s="129">
        <f>IFERROR(__xludf.DUMMYFUNCTION("""COMPUTED_VALUE"""),2021.0)</f>
        <v>2021</v>
      </c>
      <c r="I156" s="129">
        <f>IFERROR(__xludf.DUMMYFUNCTION("""COMPUTED_VALUE"""),1.0)</f>
        <v>1</v>
      </c>
      <c r="J156" s="129">
        <f>IFERROR(__xludf.DUMMYFUNCTION("""COMPUTED_VALUE"""),1.0)</f>
        <v>1</v>
      </c>
      <c r="K156" s="130">
        <f>IFERROR(__xludf.DUMMYFUNCTION("""COMPUTED_VALUE"""),1.0)</f>
        <v>1</v>
      </c>
      <c r="L156" s="130">
        <f>IFERROR(__xludf.DUMMYFUNCTION("""COMPUTED_VALUE"""),1.0)</f>
        <v>1</v>
      </c>
      <c r="M156" s="130">
        <f>IFERROR(__xludf.DUMMYFUNCTION("""COMPUTED_VALUE"""),1.0)</f>
        <v>1</v>
      </c>
      <c r="N156" s="130">
        <f>IFERROR(__xludf.DUMMYFUNCTION("""COMPUTED_VALUE"""),0.0)</f>
        <v>0</v>
      </c>
      <c r="O156" s="130">
        <f>IFERROR(__xludf.DUMMYFUNCTION("""COMPUTED_VALUE"""),0.0)</f>
        <v>0</v>
      </c>
      <c r="P156" s="129">
        <f>IFERROR(__xludf.DUMMYFUNCTION("""COMPUTED_VALUE"""),0.0)</f>
        <v>0</v>
      </c>
      <c r="Q156" s="129">
        <f>IFERROR(__xludf.DUMMYFUNCTION("""COMPUTED_VALUE"""),0.0)</f>
        <v>0</v>
      </c>
      <c r="R156" s="129">
        <f>IFERROR(__xludf.DUMMYFUNCTION("""COMPUTED_VALUE"""),0.0)</f>
        <v>0</v>
      </c>
      <c r="S156" s="129">
        <f>IFERROR(__xludf.DUMMYFUNCTION("""COMPUTED_VALUE"""),0.0)</f>
        <v>0</v>
      </c>
      <c r="T156" s="129">
        <f>IFERROR(__xludf.DUMMYFUNCTION("""COMPUTED_VALUE"""),0.0)</f>
        <v>0</v>
      </c>
      <c r="U156" s="129">
        <f>IFERROR(__xludf.DUMMYFUNCTION("""COMPUTED_VALUE"""),0.0)</f>
        <v>0</v>
      </c>
      <c r="V156" s="126">
        <f>IFERROR(__xludf.DUMMYFUNCTION("""COMPUTED_VALUE"""),0.0)</f>
        <v>0</v>
      </c>
      <c r="W156" s="126" t="str">
        <f>IFERROR(__xludf.DUMMYFUNCTION("""COMPUTED_VALUE"""),"Yes")</f>
        <v>Yes</v>
      </c>
      <c r="X156" s="126" t="str">
        <f>IFERROR(__xludf.DUMMYFUNCTION("""COMPUTED_VALUE"""),"Yes")</f>
        <v>Yes</v>
      </c>
      <c r="Y156" s="126" t="str">
        <f>IFERROR(__xludf.DUMMYFUNCTION("""COMPUTED_VALUE"""),"F")</f>
        <v>F</v>
      </c>
      <c r="Z156" s="126" t="str">
        <f>IFERROR(__xludf.DUMMYFUNCTION("""COMPUTED_VALUE"""),"load balancing scheme")</f>
        <v>load balancing scheme</v>
      </c>
      <c r="AA156" s="126"/>
      <c r="AB156" s="126"/>
      <c r="AC156" s="126"/>
      <c r="AD156" s="126"/>
      <c r="AE156" s="126"/>
      <c r="AF156" s="126"/>
      <c r="AG156" s="126"/>
      <c r="AH156" s="126"/>
      <c r="AI156" s="126"/>
      <c r="AJ156" s="126"/>
    </row>
    <row r="157">
      <c r="A157" s="126">
        <f>IFERROR(__xludf.DUMMYFUNCTION("""COMPUTED_VALUE"""),461.0)</f>
        <v>461</v>
      </c>
      <c r="B157" s="126" t="str">
        <f>IFERROR(__xludf.DUMMYFUNCTION("""COMPUTED_VALUE"""),"J-OPT: A Joint Host and Network Optimization Algorithm for Energy-Efficient Workflow Scheduling in Cloud Data Centers")</f>
        <v>J-OPT: A Joint Host and Network Optimization Algorithm for Energy-Efficient Workflow Scheduling in Cloud Data Centers</v>
      </c>
      <c r="C157" s="127" t="str">
        <f>IFERROR(__xludf.DUMMYFUNCTION("""COMPUTED_VALUE"""),"https://dl.acm.org/doi/abs/10.1145/3344341.3368822")</f>
        <v>https://dl.acm.org/doi/abs/10.1145/3344341.3368822</v>
      </c>
      <c r="D157" s="126" t="str">
        <f>IFERROR(__xludf.DUMMYFUNCTION("""COMPUTED_VALUE"""),"A Jayanetti, R Buyya")</f>
        <v>A Jayanetti, R Buyya</v>
      </c>
      <c r="E157" s="126" t="str">
        <f>IFERROR(__xludf.DUMMYFUNCTION("""COMPUTED_VALUE"""),"Association for Computing Machinery")</f>
        <v>Association for Computing Machinery</v>
      </c>
      <c r="F157" s="126" t="str">
        <f>IFERROR(__xludf.DUMMYFUNCTION("""COMPUTED_VALUE"""),"ACM")</f>
        <v>ACM</v>
      </c>
      <c r="G157" s="128" t="str">
        <f>IFERROR(__xludf.DUMMYFUNCTION("""COMPUTED_VALUE"""),"C")</f>
        <v>C</v>
      </c>
      <c r="H157" s="129">
        <f>IFERROR(__xludf.DUMMYFUNCTION("""COMPUTED_VALUE"""),2019.0)</f>
        <v>2019</v>
      </c>
      <c r="I157" s="130">
        <f>IFERROR(__xludf.DUMMYFUNCTION("""COMPUTED_VALUE"""),1.0)</f>
        <v>1</v>
      </c>
      <c r="J157" s="130">
        <f>IFERROR(__xludf.DUMMYFUNCTION("""COMPUTED_VALUE"""),1.0)</f>
        <v>1</v>
      </c>
      <c r="K157" s="129">
        <f>IFERROR(__xludf.DUMMYFUNCTION("""COMPUTED_VALUE"""),1.0)</f>
        <v>1</v>
      </c>
      <c r="L157" s="129">
        <f>IFERROR(__xludf.DUMMYFUNCTION("""COMPUTED_VALUE"""),1.0)</f>
        <v>1</v>
      </c>
      <c r="M157" s="130">
        <f>IFERROR(__xludf.DUMMYFUNCTION("""COMPUTED_VALUE"""),1.0)</f>
        <v>1</v>
      </c>
      <c r="N157" s="130">
        <f>IFERROR(__xludf.DUMMYFUNCTION("""COMPUTED_VALUE"""),0.0)</f>
        <v>0</v>
      </c>
      <c r="O157" s="130">
        <f>IFERROR(__xludf.DUMMYFUNCTION("""COMPUTED_VALUE"""),0.0)</f>
        <v>0</v>
      </c>
      <c r="P157" s="130">
        <f>IFERROR(__xludf.DUMMYFUNCTION("""COMPUTED_VALUE"""),0.0)</f>
        <v>0</v>
      </c>
      <c r="Q157" s="130">
        <f>IFERROR(__xludf.DUMMYFUNCTION("""COMPUTED_VALUE"""),0.0)</f>
        <v>0</v>
      </c>
      <c r="R157" s="130">
        <f>IFERROR(__xludf.DUMMYFUNCTION("""COMPUTED_VALUE"""),0.0)</f>
        <v>0</v>
      </c>
      <c r="S157" s="130">
        <f>IFERROR(__xludf.DUMMYFUNCTION("""COMPUTED_VALUE"""),0.0)</f>
        <v>0</v>
      </c>
      <c r="T157" s="130">
        <f>IFERROR(__xludf.DUMMYFUNCTION("""COMPUTED_VALUE"""),0.0)</f>
        <v>0</v>
      </c>
      <c r="U157" s="130">
        <f>IFERROR(__xludf.DUMMYFUNCTION("""COMPUTED_VALUE"""),0.0)</f>
        <v>0</v>
      </c>
      <c r="V157" s="131">
        <f>IFERROR(__xludf.DUMMYFUNCTION("""COMPUTED_VALUE"""),0.0)</f>
        <v>0</v>
      </c>
      <c r="W157" s="131" t="str">
        <f>IFERROR(__xludf.DUMMYFUNCTION("""COMPUTED_VALUE"""),"Yes")</f>
        <v>Yes</v>
      </c>
      <c r="X157" s="131" t="str">
        <f>IFERROR(__xludf.DUMMYFUNCTION("""COMPUTED_VALUE"""),"Yes")</f>
        <v>Yes</v>
      </c>
      <c r="Y157" s="131" t="str">
        <f>IFERROR(__xludf.DUMMYFUNCTION("""COMPUTED_VALUE"""),"F")</f>
        <v>F</v>
      </c>
      <c r="Z157" s="131" t="str">
        <f>IFERROR(__xludf.DUMMYFUNCTION("""COMPUTED_VALUE"""),"workflow scheduling approach")</f>
        <v>workflow scheduling approach</v>
      </c>
      <c r="AA157" s="131"/>
      <c r="AB157" s="131"/>
      <c r="AC157" s="131"/>
      <c r="AD157" s="131"/>
      <c r="AE157" s="131"/>
      <c r="AF157" s="131"/>
      <c r="AG157" s="131"/>
      <c r="AH157" s="131"/>
      <c r="AI157" s="131"/>
      <c r="AJ157" s="131"/>
    </row>
    <row r="158">
      <c r="A158" s="126">
        <f>IFERROR(__xludf.DUMMYFUNCTION("""COMPUTED_VALUE"""),466.0)</f>
        <v>466</v>
      </c>
      <c r="B158" s="126" t="str">
        <f>IFERROR(__xludf.DUMMYFUNCTION("""COMPUTED_VALUE"""),"Energy performance of heuristics and meta-heuristics for real-time joint resource scaling and consolidation in virtualized networked data centers")</f>
        <v>Energy performance of heuristics and meta-heuristics for real-time joint resource scaling and consolidation in virtualized networked data centers</v>
      </c>
      <c r="C158" s="127" t="str">
        <f>IFERROR(__xludf.DUMMYFUNCTION("""COMPUTED_VALUE"""),"https://link.springer.com/article/10.1007/s11227-018-2244-6")</f>
        <v>https://link.springer.com/article/10.1007/s11227-018-2244-6</v>
      </c>
      <c r="D158" s="131" t="str">
        <f>IFERROR(__xludf.DUMMYFUNCTION("""COMPUTED_VALUE"""),"M Scarpiniti, E Baccarelli, PGV Naranjo, A Uncini ")</f>
        <v>M Scarpiniti, E Baccarelli, PGV Naranjo, A Uncini </v>
      </c>
      <c r="E158" s="131" t="str">
        <f>IFERROR(__xludf.DUMMYFUNCTION("""COMPUTED_VALUE"""),"Springer")</f>
        <v>Springer</v>
      </c>
      <c r="F158" s="126" t="str">
        <f>IFERROR(__xludf.DUMMYFUNCTION("""COMPUTED_VALUE"""),"Springer")</f>
        <v>Springer</v>
      </c>
      <c r="G158" s="128" t="str">
        <f>IFERROR(__xludf.DUMMYFUNCTION("""COMPUTED_VALUE"""),"J")</f>
        <v>J</v>
      </c>
      <c r="H158" s="130">
        <f>IFERROR(__xludf.DUMMYFUNCTION("""COMPUTED_VALUE"""),2018.0)</f>
        <v>2018</v>
      </c>
      <c r="I158" s="130">
        <f>IFERROR(__xludf.DUMMYFUNCTION("""COMPUTED_VALUE"""),1.0)</f>
        <v>1</v>
      </c>
      <c r="J158" s="130">
        <f>IFERROR(__xludf.DUMMYFUNCTION("""COMPUTED_VALUE"""),1.0)</f>
        <v>1</v>
      </c>
      <c r="K158" s="130">
        <f>IFERROR(__xludf.DUMMYFUNCTION("""COMPUTED_VALUE"""),1.0)</f>
        <v>1</v>
      </c>
      <c r="L158" s="129">
        <f>IFERROR(__xludf.DUMMYFUNCTION("""COMPUTED_VALUE"""),1.0)</f>
        <v>1</v>
      </c>
      <c r="M158" s="130">
        <f>IFERROR(__xludf.DUMMYFUNCTION("""COMPUTED_VALUE"""),1.0)</f>
        <v>1</v>
      </c>
      <c r="N158" s="130">
        <f>IFERROR(__xludf.DUMMYFUNCTION("""COMPUTED_VALUE"""),0.0)</f>
        <v>0</v>
      </c>
      <c r="O158" s="130">
        <f>IFERROR(__xludf.DUMMYFUNCTION("""COMPUTED_VALUE"""),0.0)</f>
        <v>0</v>
      </c>
      <c r="P158" s="130">
        <f>IFERROR(__xludf.DUMMYFUNCTION("""COMPUTED_VALUE"""),0.0)</f>
        <v>0</v>
      </c>
      <c r="Q158" s="129">
        <f>IFERROR(__xludf.DUMMYFUNCTION("""COMPUTED_VALUE"""),0.0)</f>
        <v>0</v>
      </c>
      <c r="R158" s="129">
        <f>IFERROR(__xludf.DUMMYFUNCTION("""COMPUTED_VALUE"""),0.0)</f>
        <v>0</v>
      </c>
      <c r="S158" s="129">
        <f>IFERROR(__xludf.DUMMYFUNCTION("""COMPUTED_VALUE"""),0.0)</f>
        <v>0</v>
      </c>
      <c r="T158" s="129">
        <f>IFERROR(__xludf.DUMMYFUNCTION("""COMPUTED_VALUE"""),0.0)</f>
        <v>0</v>
      </c>
      <c r="U158" s="129">
        <f>IFERROR(__xludf.DUMMYFUNCTION("""COMPUTED_VALUE"""),0.0)</f>
        <v>0</v>
      </c>
      <c r="V158" s="126">
        <f>IFERROR(__xludf.DUMMYFUNCTION("""COMPUTED_VALUE"""),0.0)</f>
        <v>0</v>
      </c>
      <c r="W158" s="126" t="str">
        <f>IFERROR(__xludf.DUMMYFUNCTION("""COMPUTED_VALUE"""),"Yes")</f>
        <v>Yes</v>
      </c>
      <c r="X158" s="126" t="str">
        <f>IFERROR(__xludf.DUMMYFUNCTION("""COMPUTED_VALUE"""),"Yes")</f>
        <v>Yes</v>
      </c>
      <c r="Y158" s="126" t="str">
        <f>IFERROR(__xludf.DUMMYFUNCTION("""COMPUTED_VALUE"""),"F")</f>
        <v>F</v>
      </c>
      <c r="Z158" s="126" t="str">
        <f>IFERROR(__xludf.DUMMYFUNCTION("""COMPUTED_VALUE"""),"meta-heuristic VM consolidation")</f>
        <v>meta-heuristic VM consolidation</v>
      </c>
      <c r="AA158" s="126"/>
      <c r="AB158" s="126"/>
      <c r="AC158" s="126"/>
      <c r="AD158" s="126"/>
      <c r="AE158" s="126"/>
      <c r="AF158" s="126"/>
      <c r="AG158" s="126"/>
      <c r="AH158" s="126"/>
      <c r="AI158" s="126"/>
      <c r="AJ158" s="126"/>
    </row>
    <row r="159">
      <c r="A159" s="126">
        <f>IFERROR(__xludf.DUMMYFUNCTION("""COMPUTED_VALUE"""),470.0)</f>
        <v>470</v>
      </c>
      <c r="B159" s="126" t="str">
        <f>IFERROR(__xludf.DUMMYFUNCTION("""COMPUTED_VALUE"""),"Energy consumption improvement and cost saving by cloud broker in cloud datacenters.")</f>
        <v>Energy consumption improvement and cost saving by cloud broker in cloud datacenters.</v>
      </c>
      <c r="C159" s="127" t="str">
        <f>IFERROR(__xludf.DUMMYFUNCTION("""COMPUTED_VALUE"""),"http://iajit.org/PDF/May%202018,%20No.%203/10882.pdf")</f>
        <v>http://iajit.org/PDF/May%202018,%20No.%203/10882.pdf</v>
      </c>
      <c r="D159" s="126" t="str">
        <f>IFERROR(__xludf.DUMMYFUNCTION("""COMPUTED_VALUE"""),"A Karamollahi, A Chalechale, M Ahmadi")</f>
        <v>A Karamollahi, A Chalechale, M Ahmadi</v>
      </c>
      <c r="E159" s="126" t="str">
        <f>IFERROR(__xludf.DUMMYFUNCTION("""COMPUTED_VALUE"""),"The International Arab Journal of Information Technology")</f>
        <v>The International Arab Journal of Information Technology</v>
      </c>
      <c r="F159" s="126" t="str">
        <f>IFERROR(__xludf.DUMMYFUNCTION("""COMPUTED_VALUE"""),"IAJIT")</f>
        <v>IAJIT</v>
      </c>
      <c r="G159" s="128" t="str">
        <f>IFERROR(__xludf.DUMMYFUNCTION("""COMPUTED_VALUE"""),"J")</f>
        <v>J</v>
      </c>
      <c r="H159" s="130">
        <f>IFERROR(__xludf.DUMMYFUNCTION("""COMPUTED_VALUE"""),2018.0)</f>
        <v>2018</v>
      </c>
      <c r="I159" s="130">
        <f>IFERROR(__xludf.DUMMYFUNCTION("""COMPUTED_VALUE"""),1.0)</f>
        <v>1</v>
      </c>
      <c r="J159" s="130">
        <f>IFERROR(__xludf.DUMMYFUNCTION("""COMPUTED_VALUE"""),1.0)</f>
        <v>1</v>
      </c>
      <c r="K159" s="130">
        <f>IFERROR(__xludf.DUMMYFUNCTION("""COMPUTED_VALUE"""),1.0)</f>
        <v>1</v>
      </c>
      <c r="L159" s="129">
        <f>IFERROR(__xludf.DUMMYFUNCTION("""COMPUTED_VALUE"""),1.0)</f>
        <v>1</v>
      </c>
      <c r="M159" s="130">
        <f>IFERROR(__xludf.DUMMYFUNCTION("""COMPUTED_VALUE"""),1.0)</f>
        <v>1</v>
      </c>
      <c r="N159" s="130">
        <f>IFERROR(__xludf.DUMMYFUNCTION("""COMPUTED_VALUE"""),0.0)</f>
        <v>0</v>
      </c>
      <c r="O159" s="130">
        <f>IFERROR(__xludf.DUMMYFUNCTION("""COMPUTED_VALUE"""),0.0)</f>
        <v>0</v>
      </c>
      <c r="P159" s="130">
        <f>IFERROR(__xludf.DUMMYFUNCTION("""COMPUTED_VALUE"""),0.0)</f>
        <v>0</v>
      </c>
      <c r="Q159" s="129">
        <f>IFERROR(__xludf.DUMMYFUNCTION("""COMPUTED_VALUE"""),0.0)</f>
        <v>0</v>
      </c>
      <c r="R159" s="129">
        <f>IFERROR(__xludf.DUMMYFUNCTION("""COMPUTED_VALUE"""),0.0)</f>
        <v>0</v>
      </c>
      <c r="S159" s="129">
        <f>IFERROR(__xludf.DUMMYFUNCTION("""COMPUTED_VALUE"""),0.0)</f>
        <v>0</v>
      </c>
      <c r="T159" s="129">
        <f>IFERROR(__xludf.DUMMYFUNCTION("""COMPUTED_VALUE"""),0.0)</f>
        <v>0</v>
      </c>
      <c r="U159" s="129">
        <f>IFERROR(__xludf.DUMMYFUNCTION("""COMPUTED_VALUE"""),0.0)</f>
        <v>0</v>
      </c>
      <c r="V159" s="126">
        <f>IFERROR(__xludf.DUMMYFUNCTION("""COMPUTED_VALUE"""),0.0)</f>
        <v>0</v>
      </c>
      <c r="W159" s="126" t="str">
        <f>IFERROR(__xludf.DUMMYFUNCTION("""COMPUTED_VALUE"""),"Yes")</f>
        <v>Yes</v>
      </c>
      <c r="X159" s="126" t="str">
        <f>IFERROR(__xludf.DUMMYFUNCTION("""COMPUTED_VALUE"""),"Yes")</f>
        <v>Yes</v>
      </c>
      <c r="Y159" s="126" t="str">
        <f>IFERROR(__xludf.DUMMYFUNCTION("""COMPUTED_VALUE"""),"F")</f>
        <v>F</v>
      </c>
      <c r="Z159" s="126" t="str">
        <f>IFERROR(__xludf.DUMMYFUNCTION("""COMPUTED_VALUE"""),"cloud broker' algorithm")</f>
        <v>cloud broker' algorithm</v>
      </c>
      <c r="AA159" s="126"/>
      <c r="AB159" s="126"/>
      <c r="AC159" s="126"/>
      <c r="AD159" s="126"/>
      <c r="AE159" s="126"/>
      <c r="AF159" s="126"/>
      <c r="AG159" s="126"/>
      <c r="AH159" s="126"/>
      <c r="AI159" s="126"/>
      <c r="AJ159" s="126"/>
    </row>
    <row r="160">
      <c r="A160" s="126">
        <f>IFERROR(__xludf.DUMMYFUNCTION("""COMPUTED_VALUE"""),473.0)</f>
        <v>473</v>
      </c>
      <c r="B160" s="126" t="str">
        <f>IFERROR(__xludf.DUMMYFUNCTION("""COMPUTED_VALUE"""),"Energy efficiency in virtual machines allocation for cloud data centers with lottery algorithm")</f>
        <v>Energy efficiency in virtual machines allocation for cloud data centers with lottery algorithm</v>
      </c>
      <c r="C160" s="127" t="str">
        <f>IFERROR(__xludf.DUMMYFUNCTION("""COMPUTED_VALUE"""),"http://search.proquest.com/openview/fbc5529f7cfcd78fae1b9de175c55a90/1?pq-origsite=gscholar&amp;cbl=1686344")</f>
        <v>http://search.proquest.com/openview/fbc5529f7cfcd78fae1b9de175c55a90/1?pq-origsite=gscholar&amp;cbl=1686344</v>
      </c>
      <c r="D160" s="126" t="str">
        <f>IFERROR(__xludf.DUMMYFUNCTION("""COMPUTED_VALUE"""),"M Tarahomi, M Izadi")</f>
        <v>M Tarahomi, M Izadi</v>
      </c>
      <c r="E160" s="126" t="str">
        <f>IFERROR(__xludf.DUMMYFUNCTION("""COMPUTED_VALUE"""),"International Journal of Electrical and Computer Engineering")</f>
        <v>International Journal of Electrical and Computer Engineering</v>
      </c>
      <c r="F160" s="126" t="str">
        <f>IFERROR(__xludf.DUMMYFUNCTION("""COMPUTED_VALUE"""),"IJECE")</f>
        <v>IJECE</v>
      </c>
      <c r="G160" s="128" t="str">
        <f>IFERROR(__xludf.DUMMYFUNCTION("""COMPUTED_VALUE"""),"J")</f>
        <v>J</v>
      </c>
      <c r="H160" s="129">
        <f>IFERROR(__xludf.DUMMYFUNCTION("""COMPUTED_VALUE"""),2019.0)</f>
        <v>2019</v>
      </c>
      <c r="I160" s="129">
        <f>IFERROR(__xludf.DUMMYFUNCTION("""COMPUTED_VALUE"""),1.0)</f>
        <v>1</v>
      </c>
      <c r="J160" s="129">
        <f>IFERROR(__xludf.DUMMYFUNCTION("""COMPUTED_VALUE"""),1.0)</f>
        <v>1</v>
      </c>
      <c r="K160" s="130">
        <f>IFERROR(__xludf.DUMMYFUNCTION("""COMPUTED_VALUE"""),1.0)</f>
        <v>1</v>
      </c>
      <c r="L160" s="130">
        <f>IFERROR(__xludf.DUMMYFUNCTION("""COMPUTED_VALUE"""),1.0)</f>
        <v>1</v>
      </c>
      <c r="M160" s="130">
        <f>IFERROR(__xludf.DUMMYFUNCTION("""COMPUTED_VALUE"""),1.0)</f>
        <v>1</v>
      </c>
      <c r="N160" s="130">
        <f>IFERROR(__xludf.DUMMYFUNCTION("""COMPUTED_VALUE"""),0.0)</f>
        <v>0</v>
      </c>
      <c r="O160" s="130">
        <f>IFERROR(__xludf.DUMMYFUNCTION("""COMPUTED_VALUE"""),0.0)</f>
        <v>0</v>
      </c>
      <c r="P160" s="129">
        <f>IFERROR(__xludf.DUMMYFUNCTION("""COMPUTED_VALUE"""),0.0)</f>
        <v>0</v>
      </c>
      <c r="Q160" s="130">
        <f>IFERROR(__xludf.DUMMYFUNCTION("""COMPUTED_VALUE"""),0.0)</f>
        <v>0</v>
      </c>
      <c r="R160" s="130">
        <f>IFERROR(__xludf.DUMMYFUNCTION("""COMPUTED_VALUE"""),0.0)</f>
        <v>0</v>
      </c>
      <c r="S160" s="130">
        <f>IFERROR(__xludf.DUMMYFUNCTION("""COMPUTED_VALUE"""),0.0)</f>
        <v>0</v>
      </c>
      <c r="T160" s="130">
        <f>IFERROR(__xludf.DUMMYFUNCTION("""COMPUTED_VALUE"""),0.0)</f>
        <v>0</v>
      </c>
      <c r="U160" s="130">
        <f>IFERROR(__xludf.DUMMYFUNCTION("""COMPUTED_VALUE"""),0.0)</f>
        <v>0</v>
      </c>
      <c r="V160" s="131">
        <f>IFERROR(__xludf.DUMMYFUNCTION("""COMPUTED_VALUE"""),0.0)</f>
        <v>0</v>
      </c>
      <c r="W160" s="131" t="str">
        <f>IFERROR(__xludf.DUMMYFUNCTION("""COMPUTED_VALUE"""),"Yes")</f>
        <v>Yes</v>
      </c>
      <c r="X160" s="131" t="str">
        <f>IFERROR(__xludf.DUMMYFUNCTION("""COMPUTED_VALUE"""),"Yes")</f>
        <v>Yes</v>
      </c>
      <c r="Y160" s="131" t="str">
        <f>IFERROR(__xludf.DUMMYFUNCTION("""COMPUTED_VALUE"""),"F")</f>
        <v>F</v>
      </c>
      <c r="Z160" s="131" t="str">
        <f>IFERROR(__xludf.DUMMYFUNCTION("""COMPUTED_VALUE"""),"VM allocation")</f>
        <v>VM allocation</v>
      </c>
      <c r="AA160" s="131"/>
      <c r="AB160" s="131"/>
      <c r="AC160" s="131"/>
      <c r="AD160" s="131"/>
      <c r="AE160" s="131"/>
      <c r="AF160" s="131"/>
      <c r="AG160" s="131"/>
      <c r="AH160" s="131"/>
      <c r="AI160" s="131"/>
      <c r="AJ160" s="131"/>
    </row>
    <row r="161">
      <c r="A161" s="126">
        <f>IFERROR(__xludf.DUMMYFUNCTION("""COMPUTED_VALUE"""),476.0)</f>
        <v>476</v>
      </c>
      <c r="B161" s="126" t="str">
        <f>IFERROR(__xludf.DUMMYFUNCTION("""COMPUTED_VALUE"""),"Energy-aware virtual data center embedding")</f>
        <v>Energy-aware virtual data center embedding</v>
      </c>
      <c r="C161" s="127" t="str">
        <f>IFERROR(__xludf.DUMMYFUNCTION("""COMPUTED_VALUE"""),"http://jips-k.org/full-text/398")</f>
        <v>http://jips-k.org/full-text/398</v>
      </c>
      <c r="D161" s="126" t="str">
        <f>IFERROR(__xludf.DUMMYFUNCTION("""COMPUTED_VALUE"""),"X Ma, Z Zhang, S Su")</f>
        <v>X Ma, Z Zhang, S Su</v>
      </c>
      <c r="E161" s="126" t="str">
        <f>IFERROR(__xludf.DUMMYFUNCTION("""COMPUTED_VALUE"""),"Journal of Information Processing Systems")</f>
        <v>Journal of Information Processing Systems</v>
      </c>
      <c r="F161" s="126" t="str">
        <f>IFERROR(__xludf.DUMMYFUNCTION("""COMPUTED_VALUE"""),"JIPS")</f>
        <v>JIPS</v>
      </c>
      <c r="G161" s="128" t="str">
        <f>IFERROR(__xludf.DUMMYFUNCTION("""COMPUTED_VALUE"""),"J")</f>
        <v>J</v>
      </c>
      <c r="H161" s="129">
        <f>IFERROR(__xludf.DUMMYFUNCTION("""COMPUTED_VALUE"""),2020.0)</f>
        <v>2020</v>
      </c>
      <c r="I161" s="130">
        <f>IFERROR(__xludf.DUMMYFUNCTION("""COMPUTED_VALUE"""),1.0)</f>
        <v>1</v>
      </c>
      <c r="J161" s="129">
        <f>IFERROR(__xludf.DUMMYFUNCTION("""COMPUTED_VALUE"""),1.0)</f>
        <v>1</v>
      </c>
      <c r="K161" s="130">
        <f>IFERROR(__xludf.DUMMYFUNCTION("""COMPUTED_VALUE"""),1.0)</f>
        <v>1</v>
      </c>
      <c r="L161" s="130">
        <f>IFERROR(__xludf.DUMMYFUNCTION("""COMPUTED_VALUE"""),1.0)</f>
        <v>1</v>
      </c>
      <c r="M161" s="130">
        <f>IFERROR(__xludf.DUMMYFUNCTION("""COMPUTED_VALUE"""),1.0)</f>
        <v>1</v>
      </c>
      <c r="N161" s="130">
        <f>IFERROR(__xludf.DUMMYFUNCTION("""COMPUTED_VALUE"""),0.0)</f>
        <v>0</v>
      </c>
      <c r="O161" s="130">
        <f>IFERROR(__xludf.DUMMYFUNCTION("""COMPUTED_VALUE"""),0.0)</f>
        <v>0</v>
      </c>
      <c r="P161" s="130">
        <f>IFERROR(__xludf.DUMMYFUNCTION("""COMPUTED_VALUE"""),0.0)</f>
        <v>0</v>
      </c>
      <c r="Q161" s="130">
        <f>IFERROR(__xludf.DUMMYFUNCTION("""COMPUTED_VALUE"""),0.0)</f>
        <v>0</v>
      </c>
      <c r="R161" s="130">
        <f>IFERROR(__xludf.DUMMYFUNCTION("""COMPUTED_VALUE"""),0.0)</f>
        <v>0</v>
      </c>
      <c r="S161" s="130">
        <f>IFERROR(__xludf.DUMMYFUNCTION("""COMPUTED_VALUE"""),0.0)</f>
        <v>0</v>
      </c>
      <c r="T161" s="130">
        <f>IFERROR(__xludf.DUMMYFUNCTION("""COMPUTED_VALUE"""),0.0)</f>
        <v>0</v>
      </c>
      <c r="U161" s="130">
        <f>IFERROR(__xludf.DUMMYFUNCTION("""COMPUTED_VALUE"""),0.0)</f>
        <v>0</v>
      </c>
      <c r="V161" s="131">
        <f>IFERROR(__xludf.DUMMYFUNCTION("""COMPUTED_VALUE"""),0.0)</f>
        <v>0</v>
      </c>
      <c r="W161" s="131" t="str">
        <f>IFERROR(__xludf.DUMMYFUNCTION("""COMPUTED_VALUE"""),"Yes")</f>
        <v>Yes</v>
      </c>
      <c r="X161" s="131" t="str">
        <f>IFERROR(__xludf.DUMMYFUNCTION("""COMPUTED_VALUE"""),"Yes")</f>
        <v>Yes</v>
      </c>
      <c r="Y161" s="131" t="str">
        <f>IFERROR(__xludf.DUMMYFUNCTION("""COMPUTED_VALUE"""),"F")</f>
        <v>F</v>
      </c>
      <c r="Z161" s="131" t="str">
        <f>IFERROR(__xludf.DUMMYFUNCTION("""COMPUTED_VALUE"""),"VDC embedding algorithm")</f>
        <v>VDC embedding algorithm</v>
      </c>
      <c r="AA161" s="131"/>
      <c r="AB161" s="131"/>
      <c r="AC161" s="131"/>
      <c r="AD161" s="131"/>
      <c r="AE161" s="131"/>
      <c r="AF161" s="131"/>
      <c r="AG161" s="131"/>
      <c r="AH161" s="131"/>
      <c r="AI161" s="131"/>
      <c r="AJ161" s="131"/>
    </row>
    <row r="162">
      <c r="A162" s="126">
        <f>IFERROR(__xludf.DUMMYFUNCTION("""COMPUTED_VALUE"""),477.0)</f>
        <v>477</v>
      </c>
      <c r="B162" s="126" t="str">
        <f>IFERROR(__xludf.DUMMYFUNCTION("""COMPUTED_VALUE"""),"Truthful Double Auction Based VM Allocation for Revenue-Energy Trade-Off in Cloud Data Centers")</f>
        <v>Truthful Double Auction Based VM Allocation for Revenue-Energy Trade-Off in Cloud Data Centers</v>
      </c>
      <c r="C162" s="127" t="str">
        <f>IFERROR(__xludf.DUMMYFUNCTION("""COMPUTED_VALUE"""),"https://ieeexplore.ieee.org/abstract/document/8732201/")</f>
        <v>https://ieeexplore.ieee.org/abstract/document/8732201/</v>
      </c>
      <c r="D162" s="126" t="str">
        <f>IFERROR(__xludf.DUMMYFUNCTION("""COMPUTED_VALUE"""),"YS Patel, A Nighojkar, R Misra")</f>
        <v>YS Patel, A Nighojkar, R Misra</v>
      </c>
      <c r="E162" s="126" t="str">
        <f>IFERROR(__xludf.DUMMYFUNCTION("""COMPUTED_VALUE"""),"Institute of Electrical and Electronics Engineers")</f>
        <v>Institute of Electrical and Electronics Engineers</v>
      </c>
      <c r="F162" s="126" t="str">
        <f>IFERROR(__xludf.DUMMYFUNCTION("""COMPUTED_VALUE"""),"IEEE Xplore")</f>
        <v>IEEE Xplore</v>
      </c>
      <c r="G162" s="128" t="str">
        <f>IFERROR(__xludf.DUMMYFUNCTION("""COMPUTED_VALUE"""),"C")</f>
        <v>C</v>
      </c>
      <c r="H162" s="129">
        <f>IFERROR(__xludf.DUMMYFUNCTION("""COMPUTED_VALUE"""),2019.0)</f>
        <v>2019</v>
      </c>
      <c r="I162" s="130">
        <f>IFERROR(__xludf.DUMMYFUNCTION("""COMPUTED_VALUE"""),1.0)</f>
        <v>1</v>
      </c>
      <c r="J162" s="129">
        <f>IFERROR(__xludf.DUMMYFUNCTION("""COMPUTED_VALUE"""),1.0)</f>
        <v>1</v>
      </c>
      <c r="K162" s="130">
        <f>IFERROR(__xludf.DUMMYFUNCTION("""COMPUTED_VALUE"""),1.0)</f>
        <v>1</v>
      </c>
      <c r="L162" s="130">
        <f>IFERROR(__xludf.DUMMYFUNCTION("""COMPUTED_VALUE"""),1.0)</f>
        <v>1</v>
      </c>
      <c r="M162" s="130">
        <f>IFERROR(__xludf.DUMMYFUNCTION("""COMPUTED_VALUE"""),1.0)</f>
        <v>1</v>
      </c>
      <c r="N162" s="130">
        <f>IFERROR(__xludf.DUMMYFUNCTION("""COMPUTED_VALUE"""),0.0)</f>
        <v>0</v>
      </c>
      <c r="O162" s="130">
        <f>IFERROR(__xludf.DUMMYFUNCTION("""COMPUTED_VALUE"""),0.0)</f>
        <v>0</v>
      </c>
      <c r="P162" s="130">
        <f>IFERROR(__xludf.DUMMYFUNCTION("""COMPUTED_VALUE"""),0.0)</f>
        <v>0</v>
      </c>
      <c r="Q162" s="130">
        <f>IFERROR(__xludf.DUMMYFUNCTION("""COMPUTED_VALUE"""),0.0)</f>
        <v>0</v>
      </c>
      <c r="R162" s="130">
        <f>IFERROR(__xludf.DUMMYFUNCTION("""COMPUTED_VALUE"""),0.0)</f>
        <v>0</v>
      </c>
      <c r="S162" s="130">
        <f>IFERROR(__xludf.DUMMYFUNCTION("""COMPUTED_VALUE"""),0.0)</f>
        <v>0</v>
      </c>
      <c r="T162" s="130">
        <f>IFERROR(__xludf.DUMMYFUNCTION("""COMPUTED_VALUE"""),0.0)</f>
        <v>0</v>
      </c>
      <c r="U162" s="130">
        <f>IFERROR(__xludf.DUMMYFUNCTION("""COMPUTED_VALUE"""),0.0)</f>
        <v>0</v>
      </c>
      <c r="V162" s="131">
        <f>IFERROR(__xludf.DUMMYFUNCTION("""COMPUTED_VALUE"""),0.0)</f>
        <v>0</v>
      </c>
      <c r="W162" s="131" t="str">
        <f>IFERROR(__xludf.DUMMYFUNCTION("""COMPUTED_VALUE"""),"Yes")</f>
        <v>Yes</v>
      </c>
      <c r="X162" s="131" t="str">
        <f>IFERROR(__xludf.DUMMYFUNCTION("""COMPUTED_VALUE"""),"Yes")</f>
        <v>Yes</v>
      </c>
      <c r="Y162" s="131" t="str">
        <f>IFERROR(__xludf.DUMMYFUNCTION("""COMPUTED_VALUE"""),"F")</f>
        <v>F</v>
      </c>
      <c r="Z162" s="131" t="str">
        <f>IFERROR(__xludf.DUMMYFUNCTION("""COMPUTED_VALUE"""),"VM allocation bidding algortihm")</f>
        <v>VM allocation bidding algortihm</v>
      </c>
      <c r="AA162" s="131"/>
      <c r="AB162" s="131"/>
      <c r="AC162" s="131"/>
      <c r="AD162" s="131"/>
      <c r="AE162" s="131"/>
      <c r="AF162" s="131"/>
      <c r="AG162" s="131"/>
      <c r="AH162" s="131"/>
      <c r="AI162" s="131"/>
      <c r="AJ162" s="131"/>
    </row>
    <row r="163">
      <c r="A163" s="126">
        <f>IFERROR(__xludf.DUMMYFUNCTION("""COMPUTED_VALUE"""),479.0)</f>
        <v>479</v>
      </c>
      <c r="B163" s="126" t="str">
        <f>IFERROR(__xludf.DUMMYFUNCTION("""COMPUTED_VALUE"""),"Energy policies for data-center monolithic schedulers")</f>
        <v>Energy policies for data-center monolithic schedulers</v>
      </c>
      <c r="C163" s="127" t="str">
        <f>IFERROR(__xludf.DUMMYFUNCTION("""COMPUTED_VALUE"""),"https://www.sciencedirect.com/science/article/pii/S0957417418303531")</f>
        <v>https://www.sciencedirect.com/science/article/pii/S0957417418303531</v>
      </c>
      <c r="D163" s="131" t="str">
        <f>IFERROR(__xludf.DUMMYFUNCTION("""COMPUTED_VALUE"""),"D Fernández-Cerero, A Fernández-Montes, JA Ortega")</f>
        <v>D Fernández-Cerero, A Fernández-Montes, JA Ortega</v>
      </c>
      <c r="E163" s="131" t="str">
        <f>IFERROR(__xludf.DUMMYFUNCTION("""COMPUTED_VALUE"""),"Elsevier")</f>
        <v>Elsevier</v>
      </c>
      <c r="F163" s="126" t="str">
        <f>IFERROR(__xludf.DUMMYFUNCTION("""COMPUTED_VALUE"""),"Elsevier")</f>
        <v>Elsevier</v>
      </c>
      <c r="G163" s="128" t="str">
        <f>IFERROR(__xludf.DUMMYFUNCTION("""COMPUTED_VALUE"""),"J")</f>
        <v>J</v>
      </c>
      <c r="H163" s="130">
        <f>IFERROR(__xludf.DUMMYFUNCTION("""COMPUTED_VALUE"""),2018.0)</f>
        <v>2018</v>
      </c>
      <c r="I163" s="130">
        <f>IFERROR(__xludf.DUMMYFUNCTION("""COMPUTED_VALUE"""),1.0)</f>
        <v>1</v>
      </c>
      <c r="J163" s="130">
        <f>IFERROR(__xludf.DUMMYFUNCTION("""COMPUTED_VALUE"""),1.0)</f>
        <v>1</v>
      </c>
      <c r="K163" s="130">
        <f>IFERROR(__xludf.DUMMYFUNCTION("""COMPUTED_VALUE"""),1.0)</f>
        <v>1</v>
      </c>
      <c r="L163" s="129">
        <f>IFERROR(__xludf.DUMMYFUNCTION("""COMPUTED_VALUE"""),1.0)</f>
        <v>1</v>
      </c>
      <c r="M163" s="130">
        <f>IFERROR(__xludf.DUMMYFUNCTION("""COMPUTED_VALUE"""),1.0)</f>
        <v>1</v>
      </c>
      <c r="N163" s="130">
        <f>IFERROR(__xludf.DUMMYFUNCTION("""COMPUTED_VALUE"""),0.0)</f>
        <v>0</v>
      </c>
      <c r="O163" s="130">
        <f>IFERROR(__xludf.DUMMYFUNCTION("""COMPUTED_VALUE"""),0.0)</f>
        <v>0</v>
      </c>
      <c r="P163" s="130">
        <f>IFERROR(__xludf.DUMMYFUNCTION("""COMPUTED_VALUE"""),0.0)</f>
        <v>0</v>
      </c>
      <c r="Q163" s="129">
        <f>IFERROR(__xludf.DUMMYFUNCTION("""COMPUTED_VALUE"""),0.0)</f>
        <v>0</v>
      </c>
      <c r="R163" s="129">
        <f>IFERROR(__xludf.DUMMYFUNCTION("""COMPUTED_VALUE"""),0.0)</f>
        <v>0</v>
      </c>
      <c r="S163" s="129">
        <f>IFERROR(__xludf.DUMMYFUNCTION("""COMPUTED_VALUE"""),0.0)</f>
        <v>0</v>
      </c>
      <c r="T163" s="129">
        <f>IFERROR(__xludf.DUMMYFUNCTION("""COMPUTED_VALUE"""),0.0)</f>
        <v>0</v>
      </c>
      <c r="U163" s="129">
        <f>IFERROR(__xludf.DUMMYFUNCTION("""COMPUTED_VALUE"""),0.0)</f>
        <v>0</v>
      </c>
      <c r="V163" s="126">
        <f>IFERROR(__xludf.DUMMYFUNCTION("""COMPUTED_VALUE"""),0.0)</f>
        <v>0</v>
      </c>
      <c r="W163" s="126" t="str">
        <f>IFERROR(__xludf.DUMMYFUNCTION("""COMPUTED_VALUE"""),"Yes")</f>
        <v>Yes</v>
      </c>
      <c r="X163" s="126" t="str">
        <f>IFERROR(__xludf.DUMMYFUNCTION("""COMPUTED_VALUE"""),"Yes")</f>
        <v>Yes</v>
      </c>
      <c r="Y163" s="126" t="str">
        <f>IFERROR(__xludf.DUMMYFUNCTION("""COMPUTED_VALUE"""),"F")</f>
        <v>F</v>
      </c>
      <c r="Z163" s="126" t="str">
        <f>IFERROR(__xludf.DUMMYFUNCTION("""COMPUTED_VALUE"""),"policies for maximizing EE")</f>
        <v>policies for maximizing EE</v>
      </c>
      <c r="AA163" s="126"/>
      <c r="AB163" s="126"/>
      <c r="AC163" s="126"/>
      <c r="AD163" s="126"/>
      <c r="AE163" s="126"/>
      <c r="AF163" s="126"/>
      <c r="AG163" s="126"/>
      <c r="AH163" s="126"/>
      <c r="AI163" s="126"/>
      <c r="AJ163" s="126"/>
    </row>
    <row r="164">
      <c r="A164" s="126">
        <f>IFERROR(__xludf.DUMMYFUNCTION("""COMPUTED_VALUE"""),480.0)</f>
        <v>480</v>
      </c>
      <c r="B164" s="126" t="str">
        <f>IFERROR(__xludf.DUMMYFUNCTION("""COMPUTED_VALUE"""),"Greening cloud data centers in an economical way by energy trading with power grid")</f>
        <v>Greening cloud data centers in an economical way by energy trading with power grid</v>
      </c>
      <c r="C164" s="127" t="str">
        <f>IFERROR(__xludf.DUMMYFUNCTION("""COMPUTED_VALUE"""),"https://www.sciencedirect.com/science/article/pii/S0167739X16308330")</f>
        <v>https://www.sciencedirect.com/science/article/pii/S0167739X16308330</v>
      </c>
      <c r="D164" s="131" t="str">
        <f>IFERROR(__xludf.DUMMYFUNCTION("""COMPUTED_VALUE"""),"C Gu, L Fan, W Wu, H Huang, X Jia")</f>
        <v>C Gu, L Fan, W Wu, H Huang, X Jia</v>
      </c>
      <c r="E164" s="131" t="str">
        <f>IFERROR(__xludf.DUMMYFUNCTION("""COMPUTED_VALUE"""),"Elsevier")</f>
        <v>Elsevier</v>
      </c>
      <c r="F164" s="126" t="str">
        <f>IFERROR(__xludf.DUMMYFUNCTION("""COMPUTED_VALUE"""),"Elsevier")</f>
        <v>Elsevier</v>
      </c>
      <c r="G164" s="128" t="str">
        <f>IFERROR(__xludf.DUMMYFUNCTION("""COMPUTED_VALUE"""),"J")</f>
        <v>J</v>
      </c>
      <c r="H164" s="130">
        <f>IFERROR(__xludf.DUMMYFUNCTION("""COMPUTED_VALUE"""),2018.0)</f>
        <v>2018</v>
      </c>
      <c r="I164" s="130">
        <f>IFERROR(__xludf.DUMMYFUNCTION("""COMPUTED_VALUE"""),1.0)</f>
        <v>1</v>
      </c>
      <c r="J164" s="130">
        <f>IFERROR(__xludf.DUMMYFUNCTION("""COMPUTED_VALUE"""),1.0)</f>
        <v>1</v>
      </c>
      <c r="K164" s="130">
        <f>IFERROR(__xludf.DUMMYFUNCTION("""COMPUTED_VALUE"""),1.0)</f>
        <v>1</v>
      </c>
      <c r="L164" s="129">
        <f>IFERROR(__xludf.DUMMYFUNCTION("""COMPUTED_VALUE"""),1.0)</f>
        <v>1</v>
      </c>
      <c r="M164" s="130">
        <f>IFERROR(__xludf.DUMMYFUNCTION("""COMPUTED_VALUE"""),1.0)</f>
        <v>1</v>
      </c>
      <c r="N164" s="130">
        <f>IFERROR(__xludf.DUMMYFUNCTION("""COMPUTED_VALUE"""),0.0)</f>
        <v>0</v>
      </c>
      <c r="O164" s="130">
        <f>IFERROR(__xludf.DUMMYFUNCTION("""COMPUTED_VALUE"""),0.0)</f>
        <v>0</v>
      </c>
      <c r="P164" s="130">
        <f>IFERROR(__xludf.DUMMYFUNCTION("""COMPUTED_VALUE"""),0.0)</f>
        <v>0</v>
      </c>
      <c r="Q164" s="130">
        <f>IFERROR(__xludf.DUMMYFUNCTION("""COMPUTED_VALUE"""),0.0)</f>
        <v>0</v>
      </c>
      <c r="R164" s="130">
        <f>IFERROR(__xludf.DUMMYFUNCTION("""COMPUTED_VALUE"""),0.0)</f>
        <v>0</v>
      </c>
      <c r="S164" s="130">
        <f>IFERROR(__xludf.DUMMYFUNCTION("""COMPUTED_VALUE"""),0.0)</f>
        <v>0</v>
      </c>
      <c r="T164" s="130">
        <f>IFERROR(__xludf.DUMMYFUNCTION("""COMPUTED_VALUE"""),0.0)</f>
        <v>0</v>
      </c>
      <c r="U164" s="130">
        <f>IFERROR(__xludf.DUMMYFUNCTION("""COMPUTED_VALUE"""),0.0)</f>
        <v>0</v>
      </c>
      <c r="V164" s="131">
        <f>IFERROR(__xludf.DUMMYFUNCTION("""COMPUTED_VALUE"""),0.0)</f>
        <v>0</v>
      </c>
      <c r="W164" s="131" t="str">
        <f>IFERROR(__xludf.DUMMYFUNCTION("""COMPUTED_VALUE"""),"Yes")</f>
        <v>Yes</v>
      </c>
      <c r="X164" s="131" t="str">
        <f>IFERROR(__xludf.DUMMYFUNCTION("""COMPUTED_VALUE"""),"Yes")</f>
        <v>Yes</v>
      </c>
      <c r="Y164" s="131" t="str">
        <f>IFERROR(__xludf.DUMMYFUNCTION("""COMPUTED_VALUE"""),"F")</f>
        <v>F</v>
      </c>
      <c r="Z164" s="131" t="str">
        <f>IFERROR(__xludf.DUMMYFUNCTION("""COMPUTED_VALUE"""),"energy trading with power grid")</f>
        <v>energy trading with power grid</v>
      </c>
      <c r="AA164" s="131"/>
      <c r="AB164" s="131"/>
      <c r="AC164" s="131"/>
      <c r="AD164" s="131"/>
      <c r="AE164" s="131"/>
      <c r="AF164" s="131"/>
      <c r="AG164" s="131"/>
      <c r="AH164" s="131"/>
      <c r="AI164" s="131"/>
      <c r="AJ164" s="131"/>
    </row>
    <row r="165">
      <c r="A165" s="126">
        <f>IFERROR(__xludf.DUMMYFUNCTION("""COMPUTED_VALUE"""),489.0)</f>
        <v>489</v>
      </c>
      <c r="B165" s="126" t="str">
        <f>IFERROR(__xludf.DUMMYFUNCTION("""COMPUTED_VALUE"""),"An Energy and SLA-Aware Resource Management Strategy in Cloud Data Centers")</f>
        <v>An Energy and SLA-Aware Resource Management Strategy in Cloud Data Centers</v>
      </c>
      <c r="C165" s="127" t="str">
        <f>IFERROR(__xludf.DUMMYFUNCTION("""COMPUTED_VALUE"""),"https://www.hindawi.com/journals/sp/2019/3204346/abs/")</f>
        <v>https://www.hindawi.com/journals/sp/2019/3204346/abs/</v>
      </c>
      <c r="D165" s="126" t="str">
        <f>IFERROR(__xludf.DUMMYFUNCTION("""COMPUTED_VALUE"""),"C Zhang, Y Wang, Y Lv, H Wu, H Guo")</f>
        <v>C Zhang, Y Wang, Y Lv, H Wu, H Guo</v>
      </c>
      <c r="E165" s="126" t="str">
        <f>IFERROR(__xludf.DUMMYFUNCTION("""COMPUTED_VALUE"""),"Hindawi Scientific Programming")</f>
        <v>Hindawi Scientific Programming</v>
      </c>
      <c r="F165" s="126" t="str">
        <f>IFERROR(__xludf.DUMMYFUNCTION("""COMPUTED_VALUE"""),"HSP")</f>
        <v>HSP</v>
      </c>
      <c r="G165" s="128" t="str">
        <f>IFERROR(__xludf.DUMMYFUNCTION("""COMPUTED_VALUE"""),"J")</f>
        <v>J</v>
      </c>
      <c r="H165" s="129">
        <f>IFERROR(__xludf.DUMMYFUNCTION("""COMPUTED_VALUE"""),2019.0)</f>
        <v>2019</v>
      </c>
      <c r="I165" s="130">
        <f>IFERROR(__xludf.DUMMYFUNCTION("""COMPUTED_VALUE"""),1.0)</f>
        <v>1</v>
      </c>
      <c r="J165" s="129">
        <f>IFERROR(__xludf.DUMMYFUNCTION("""COMPUTED_VALUE"""),1.0)</f>
        <v>1</v>
      </c>
      <c r="K165" s="130">
        <f>IFERROR(__xludf.DUMMYFUNCTION("""COMPUTED_VALUE"""),1.0)</f>
        <v>1</v>
      </c>
      <c r="L165" s="130">
        <f>IFERROR(__xludf.DUMMYFUNCTION("""COMPUTED_VALUE"""),1.0)</f>
        <v>1</v>
      </c>
      <c r="M165" s="130">
        <f>IFERROR(__xludf.DUMMYFUNCTION("""COMPUTED_VALUE"""),1.0)</f>
        <v>1</v>
      </c>
      <c r="N165" s="130">
        <f>IFERROR(__xludf.DUMMYFUNCTION("""COMPUTED_VALUE"""),0.0)</f>
        <v>0</v>
      </c>
      <c r="O165" s="130">
        <f>IFERROR(__xludf.DUMMYFUNCTION("""COMPUTED_VALUE"""),0.0)</f>
        <v>0</v>
      </c>
      <c r="P165" s="130">
        <f>IFERROR(__xludf.DUMMYFUNCTION("""COMPUTED_VALUE"""),0.0)</f>
        <v>0</v>
      </c>
      <c r="Q165" s="130">
        <f>IFERROR(__xludf.DUMMYFUNCTION("""COMPUTED_VALUE"""),0.0)</f>
        <v>0</v>
      </c>
      <c r="R165" s="130">
        <f>IFERROR(__xludf.DUMMYFUNCTION("""COMPUTED_VALUE"""),0.0)</f>
        <v>0</v>
      </c>
      <c r="S165" s="130">
        <f>IFERROR(__xludf.DUMMYFUNCTION("""COMPUTED_VALUE"""),0.0)</f>
        <v>0</v>
      </c>
      <c r="T165" s="130">
        <f>IFERROR(__xludf.DUMMYFUNCTION("""COMPUTED_VALUE"""),0.0)</f>
        <v>0</v>
      </c>
      <c r="U165" s="130">
        <f>IFERROR(__xludf.DUMMYFUNCTION("""COMPUTED_VALUE"""),0.0)</f>
        <v>0</v>
      </c>
      <c r="V165" s="131">
        <f>IFERROR(__xludf.DUMMYFUNCTION("""COMPUTED_VALUE"""),0.0)</f>
        <v>0</v>
      </c>
      <c r="W165" s="131" t="str">
        <f>IFERROR(__xludf.DUMMYFUNCTION("""COMPUTED_VALUE"""),"Yes")</f>
        <v>Yes</v>
      </c>
      <c r="X165" s="131" t="str">
        <f>IFERROR(__xludf.DUMMYFUNCTION("""COMPUTED_VALUE"""),"Yes")</f>
        <v>Yes</v>
      </c>
      <c r="Y165" s="131" t="str">
        <f>IFERROR(__xludf.DUMMYFUNCTION("""COMPUTED_VALUE"""),"F")</f>
        <v>F</v>
      </c>
      <c r="Z165" s="131" t="str">
        <f>IFERROR(__xludf.DUMMYFUNCTION("""COMPUTED_VALUE"""),"resource management strategy")</f>
        <v>resource management strategy</v>
      </c>
      <c r="AA165" s="131"/>
      <c r="AB165" s="131"/>
      <c r="AC165" s="131"/>
      <c r="AD165" s="131"/>
      <c r="AE165" s="131"/>
      <c r="AF165" s="131"/>
      <c r="AG165" s="131"/>
      <c r="AH165" s="131"/>
      <c r="AI165" s="131"/>
      <c r="AJ165" s="131"/>
    </row>
    <row r="166">
      <c r="A166" s="126">
        <f>IFERROR(__xludf.DUMMYFUNCTION("""COMPUTED_VALUE"""),493.0)</f>
        <v>493</v>
      </c>
      <c r="B166" s="126" t="str">
        <f>IFERROR(__xludf.DUMMYFUNCTION("""COMPUTED_VALUE"""),"Ts-batpro: Improving energy efficiency in data centers by leveraging temporal–spatial batching")</f>
        <v>Ts-batpro: Improving energy efficiency in data centers by leveraging temporal–spatial batching</v>
      </c>
      <c r="C166" s="127" t="str">
        <f>IFERROR(__xludf.DUMMYFUNCTION("""COMPUTED_VALUE"""),"https://ieeexplore.ieee.org/abstract/document/8468062/")</f>
        <v>https://ieeexplore.ieee.org/abstract/document/8468062/</v>
      </c>
      <c r="D166" s="126" t="str">
        <f>IFERROR(__xludf.DUMMYFUNCTION("""COMPUTED_VALUE"""),"F Yao, J Wu, G Venkataramani, S Subramaniam")</f>
        <v>F Yao, J Wu, G Venkataramani, S Subramaniam</v>
      </c>
      <c r="E166" s="126" t="str">
        <f>IFERROR(__xludf.DUMMYFUNCTION("""COMPUTED_VALUE"""),"Institute of Electrical and Electronics Engineers")</f>
        <v>Institute of Electrical and Electronics Engineers</v>
      </c>
      <c r="F166" s="126" t="str">
        <f>IFERROR(__xludf.DUMMYFUNCTION("""COMPUTED_VALUE"""),"IEEE Xplore")</f>
        <v>IEEE Xplore</v>
      </c>
      <c r="G166" s="128" t="str">
        <f>IFERROR(__xludf.DUMMYFUNCTION("""COMPUTED_VALUE"""),"J")</f>
        <v>J</v>
      </c>
      <c r="H166" s="129">
        <f>IFERROR(__xludf.DUMMYFUNCTION("""COMPUTED_VALUE"""),2018.0)</f>
        <v>2018</v>
      </c>
      <c r="I166" s="129">
        <f>IFERROR(__xludf.DUMMYFUNCTION("""COMPUTED_VALUE"""),1.0)</f>
        <v>1</v>
      </c>
      <c r="J166" s="130">
        <f>IFERROR(__xludf.DUMMYFUNCTION("""COMPUTED_VALUE"""),1.0)</f>
        <v>1</v>
      </c>
      <c r="K166" s="130">
        <f>IFERROR(__xludf.DUMMYFUNCTION("""COMPUTED_VALUE"""),1.0)</f>
        <v>1</v>
      </c>
      <c r="L166" s="130">
        <f>IFERROR(__xludf.DUMMYFUNCTION("""COMPUTED_VALUE"""),1.0)</f>
        <v>1</v>
      </c>
      <c r="M166" s="130">
        <f>IFERROR(__xludf.DUMMYFUNCTION("""COMPUTED_VALUE"""),1.0)</f>
        <v>1</v>
      </c>
      <c r="N166" s="130">
        <f>IFERROR(__xludf.DUMMYFUNCTION("""COMPUTED_VALUE"""),0.0)</f>
        <v>0</v>
      </c>
      <c r="O166" s="130">
        <f>IFERROR(__xludf.DUMMYFUNCTION("""COMPUTED_VALUE"""),0.0)</f>
        <v>0</v>
      </c>
      <c r="P166" s="130">
        <f>IFERROR(__xludf.DUMMYFUNCTION("""COMPUTED_VALUE"""),0.0)</f>
        <v>0</v>
      </c>
      <c r="Q166" s="129">
        <f>IFERROR(__xludf.DUMMYFUNCTION("""COMPUTED_VALUE"""),0.0)</f>
        <v>0</v>
      </c>
      <c r="R166" s="129">
        <f>IFERROR(__xludf.DUMMYFUNCTION("""COMPUTED_VALUE"""),0.0)</f>
        <v>0</v>
      </c>
      <c r="S166" s="129">
        <f>IFERROR(__xludf.DUMMYFUNCTION("""COMPUTED_VALUE"""),0.0)</f>
        <v>0</v>
      </c>
      <c r="T166" s="129">
        <f>IFERROR(__xludf.DUMMYFUNCTION("""COMPUTED_VALUE"""),0.0)</f>
        <v>0</v>
      </c>
      <c r="U166" s="129">
        <f>IFERROR(__xludf.DUMMYFUNCTION("""COMPUTED_VALUE"""),0.0)</f>
        <v>0</v>
      </c>
      <c r="V166" s="126">
        <f>IFERROR(__xludf.DUMMYFUNCTION("""COMPUTED_VALUE"""),0.0)</f>
        <v>0</v>
      </c>
      <c r="W166" s="126" t="str">
        <f>IFERROR(__xludf.DUMMYFUNCTION("""COMPUTED_VALUE"""),"Yes")</f>
        <v>Yes</v>
      </c>
      <c r="X166" s="126" t="str">
        <f>IFERROR(__xludf.DUMMYFUNCTION("""COMPUTED_VALUE"""),"Yes")</f>
        <v>Yes</v>
      </c>
      <c r="Y166" s="126" t="str">
        <f>IFERROR(__xludf.DUMMYFUNCTION("""COMPUTED_VALUE"""),"F")</f>
        <v>F</v>
      </c>
      <c r="Z166" s="126" t="str">
        <f>IFERROR(__xludf.DUMMYFUNCTION("""COMPUTED_VALUE"""),"job batching and scheduling")</f>
        <v>job batching and scheduling</v>
      </c>
      <c r="AA166" s="126"/>
      <c r="AB166" s="126"/>
      <c r="AC166" s="126"/>
      <c r="AD166" s="126"/>
      <c r="AE166" s="126"/>
      <c r="AF166" s="126"/>
      <c r="AG166" s="126"/>
      <c r="AH166" s="126"/>
      <c r="AI166" s="126"/>
      <c r="AJ166" s="126"/>
    </row>
    <row r="167">
      <c r="A167" s="126">
        <f>IFERROR(__xludf.DUMMYFUNCTION("""COMPUTED_VALUE"""),498.0)</f>
        <v>498</v>
      </c>
      <c r="B167" s="126" t="str">
        <f>IFERROR(__xludf.DUMMYFUNCTION("""COMPUTED_VALUE"""),"Intra-and Inter-Server Smart Task Scheduling for Profit and Energy Optimization of HPC Data Centers")</f>
        <v>Intra-and Inter-Server Smart Task Scheduling for Profit and Energy Optimization of HPC Data Centers</v>
      </c>
      <c r="C167" s="127" t="str">
        <f>IFERROR(__xludf.DUMMYFUNCTION("""COMPUTED_VALUE"""),"https://www.mdpi.com/2079-9268/10/4/32")</f>
        <v>https://www.mdpi.com/2079-9268/10/4/32</v>
      </c>
      <c r="D167" s="126" t="str">
        <f>IFERROR(__xludf.DUMMYFUNCTION("""COMPUTED_VALUE"""),"SA Mamun, A Gilday, AK Singh, A Ganguly, GV Merrett, X Wang, BM Al-Hashimi")</f>
        <v>SA Mamun, A Gilday, AK Singh, A Ganguly, GV Merrett, X Wang, BM Al-Hashimi</v>
      </c>
      <c r="E167" s="126" t="str">
        <f>IFERROR(__xludf.DUMMYFUNCTION("""COMPUTED_VALUE"""),"Multidisciplinary Digital Publishing Institute")</f>
        <v>Multidisciplinary Digital Publishing Institute</v>
      </c>
      <c r="F167" s="126" t="str">
        <f>IFERROR(__xludf.DUMMYFUNCTION("""COMPUTED_VALUE"""),"MDPI")</f>
        <v>MDPI</v>
      </c>
      <c r="G167" s="128" t="str">
        <f>IFERROR(__xludf.DUMMYFUNCTION("""COMPUTED_VALUE"""),"J")</f>
        <v>J</v>
      </c>
      <c r="H167" s="130">
        <f>IFERROR(__xludf.DUMMYFUNCTION("""COMPUTED_VALUE"""),2020.0)</f>
        <v>2020</v>
      </c>
      <c r="I167" s="129">
        <f>IFERROR(__xludf.DUMMYFUNCTION("""COMPUTED_VALUE"""),1.0)</f>
        <v>1</v>
      </c>
      <c r="J167" s="130">
        <f>IFERROR(__xludf.DUMMYFUNCTION("""COMPUTED_VALUE"""),1.0)</f>
        <v>1</v>
      </c>
      <c r="K167" s="130">
        <f>IFERROR(__xludf.DUMMYFUNCTION("""COMPUTED_VALUE"""),1.0)</f>
        <v>1</v>
      </c>
      <c r="L167" s="129">
        <f>IFERROR(__xludf.DUMMYFUNCTION("""COMPUTED_VALUE"""),1.0)</f>
        <v>1</v>
      </c>
      <c r="M167" s="130">
        <f>IFERROR(__xludf.DUMMYFUNCTION("""COMPUTED_VALUE"""),1.0)</f>
        <v>1</v>
      </c>
      <c r="N167" s="130">
        <f>IFERROR(__xludf.DUMMYFUNCTION("""COMPUTED_VALUE"""),0.0)</f>
        <v>0</v>
      </c>
      <c r="O167" s="130">
        <f>IFERROR(__xludf.DUMMYFUNCTION("""COMPUTED_VALUE"""),0.0)</f>
        <v>0</v>
      </c>
      <c r="P167" s="130">
        <f>IFERROR(__xludf.DUMMYFUNCTION("""COMPUTED_VALUE"""),0.0)</f>
        <v>0</v>
      </c>
      <c r="Q167" s="129">
        <f>IFERROR(__xludf.DUMMYFUNCTION("""COMPUTED_VALUE"""),0.0)</f>
        <v>0</v>
      </c>
      <c r="R167" s="129">
        <f>IFERROR(__xludf.DUMMYFUNCTION("""COMPUTED_VALUE"""),0.0)</f>
        <v>0</v>
      </c>
      <c r="S167" s="129">
        <f>IFERROR(__xludf.DUMMYFUNCTION("""COMPUTED_VALUE"""),0.0)</f>
        <v>0</v>
      </c>
      <c r="T167" s="129">
        <f>IFERROR(__xludf.DUMMYFUNCTION("""COMPUTED_VALUE"""),0.0)</f>
        <v>0</v>
      </c>
      <c r="U167" s="129">
        <f>IFERROR(__xludf.DUMMYFUNCTION("""COMPUTED_VALUE"""),0.0)</f>
        <v>0</v>
      </c>
      <c r="V167" s="126">
        <f>IFERROR(__xludf.DUMMYFUNCTION("""COMPUTED_VALUE"""),0.0)</f>
        <v>0</v>
      </c>
      <c r="W167" s="126" t="str">
        <f>IFERROR(__xludf.DUMMYFUNCTION("""COMPUTED_VALUE"""),"Yes")</f>
        <v>Yes</v>
      </c>
      <c r="X167" s="126" t="str">
        <f>IFERROR(__xludf.DUMMYFUNCTION("""COMPUTED_VALUE"""),"Yes")</f>
        <v>Yes</v>
      </c>
      <c r="Y167" s="126" t="str">
        <f>IFERROR(__xludf.DUMMYFUNCTION("""COMPUTED_VALUE"""),"F")</f>
        <v>F</v>
      </c>
      <c r="Z167" s="126" t="str">
        <f>IFERROR(__xludf.DUMMYFUNCTION("""COMPUTED_VALUE"""),"task sch., profit, energy efficiency")</f>
        <v>task sch., profit, energy efficiency</v>
      </c>
      <c r="AA167" s="126"/>
      <c r="AB167" s="126"/>
      <c r="AC167" s="126"/>
      <c r="AD167" s="126"/>
      <c r="AE167" s="126"/>
      <c r="AF167" s="126"/>
      <c r="AG167" s="126"/>
      <c r="AH167" s="126"/>
      <c r="AI167" s="126"/>
      <c r="AJ167" s="126"/>
    </row>
    <row r="168">
      <c r="A168" s="126">
        <f>IFERROR(__xludf.DUMMYFUNCTION("""COMPUTED_VALUE"""),507.0)</f>
        <v>507</v>
      </c>
      <c r="B168" s="126" t="str">
        <f>IFERROR(__xludf.DUMMYFUNCTION("""COMPUTED_VALUE"""),"A demonstration of monitoring and measuring data centers for energy efficiency using opensource tools")</f>
        <v>A demonstration of monitoring and measuring data centers for energy efficiency using opensource tools</v>
      </c>
      <c r="C168" s="127" t="str">
        <f>IFERROR(__xludf.DUMMYFUNCTION("""COMPUTED_VALUE"""),"https://dl.acm.org/doi/abs/10.1145/3208903.3213522")</f>
        <v>https://dl.acm.org/doi/abs/10.1145/3208903.3213522</v>
      </c>
      <c r="D168" s="126" t="str">
        <f>IFERROR(__xludf.DUMMYFUNCTION("""COMPUTED_VALUE"""),"J Gustafsson, S Fredriksson, M Nilsson-Mäki…")</f>
        <v>J Gustafsson, S Fredriksson, M Nilsson-Mäki…</v>
      </c>
      <c r="E168" s="126" t="str">
        <f>IFERROR(__xludf.DUMMYFUNCTION("""COMPUTED_VALUE"""),"Association for Computing Machinery")</f>
        <v>Association for Computing Machinery</v>
      </c>
      <c r="F168" s="126" t="str">
        <f>IFERROR(__xludf.DUMMYFUNCTION("""COMPUTED_VALUE"""),"ACM")</f>
        <v>ACM</v>
      </c>
      <c r="G168" s="128" t="str">
        <f>IFERROR(__xludf.DUMMYFUNCTION("""COMPUTED_VALUE"""),"C")</f>
        <v>C</v>
      </c>
      <c r="H168" s="130">
        <f>IFERROR(__xludf.DUMMYFUNCTION("""COMPUTED_VALUE"""),2018.0)</f>
        <v>2018</v>
      </c>
      <c r="I168" s="130">
        <f>IFERROR(__xludf.DUMMYFUNCTION("""COMPUTED_VALUE"""),1.0)</f>
        <v>1</v>
      </c>
      <c r="J168" s="130">
        <f>IFERROR(__xludf.DUMMYFUNCTION("""COMPUTED_VALUE"""),1.0)</f>
        <v>1</v>
      </c>
      <c r="K168" s="129">
        <f>IFERROR(__xludf.DUMMYFUNCTION("""COMPUTED_VALUE"""),1.0)</f>
        <v>1</v>
      </c>
      <c r="L168" s="129">
        <f>IFERROR(__xludf.DUMMYFUNCTION("""COMPUTED_VALUE"""),1.0)</f>
        <v>1</v>
      </c>
      <c r="M168" s="130">
        <f>IFERROR(__xludf.DUMMYFUNCTION("""COMPUTED_VALUE"""),1.0)</f>
        <v>1</v>
      </c>
      <c r="N168" s="130">
        <f>IFERROR(__xludf.DUMMYFUNCTION("""COMPUTED_VALUE"""),0.0)</f>
        <v>0</v>
      </c>
      <c r="O168" s="130">
        <f>IFERROR(__xludf.DUMMYFUNCTION("""COMPUTED_VALUE"""),0.0)</f>
        <v>0</v>
      </c>
      <c r="P168" s="130">
        <f>IFERROR(__xludf.DUMMYFUNCTION("""COMPUTED_VALUE"""),0.0)</f>
        <v>0</v>
      </c>
      <c r="Q168" s="129">
        <f>IFERROR(__xludf.DUMMYFUNCTION("""COMPUTED_VALUE"""),0.0)</f>
        <v>0</v>
      </c>
      <c r="R168" s="129">
        <f>IFERROR(__xludf.DUMMYFUNCTION("""COMPUTED_VALUE"""),0.0)</f>
        <v>0</v>
      </c>
      <c r="S168" s="129">
        <f>IFERROR(__xludf.DUMMYFUNCTION("""COMPUTED_VALUE"""),0.0)</f>
        <v>0</v>
      </c>
      <c r="T168" s="129">
        <f>IFERROR(__xludf.DUMMYFUNCTION("""COMPUTED_VALUE"""),0.0)</f>
        <v>0</v>
      </c>
      <c r="U168" s="129">
        <f>IFERROR(__xludf.DUMMYFUNCTION("""COMPUTED_VALUE"""),0.0)</f>
        <v>0</v>
      </c>
      <c r="V168" s="126">
        <f>IFERROR(__xludf.DUMMYFUNCTION("""COMPUTED_VALUE"""),0.0)</f>
        <v>0</v>
      </c>
      <c r="W168" s="126" t="str">
        <f>IFERROR(__xludf.DUMMYFUNCTION("""COMPUTED_VALUE"""),"Yes")</f>
        <v>Yes</v>
      </c>
      <c r="X168" s="126" t="str">
        <f>IFERROR(__xludf.DUMMYFUNCTION("""COMPUTED_VALUE"""),"Yes")</f>
        <v>Yes</v>
      </c>
      <c r="Y168" s="126" t="str">
        <f>IFERROR(__xludf.DUMMYFUNCTION("""COMPUTED_VALUE"""),"S")</f>
        <v>S</v>
      </c>
      <c r="Z168" s="126"/>
      <c r="AA168" s="126"/>
      <c r="AB168" s="126"/>
      <c r="AC168" s="126"/>
      <c r="AD168" s="126"/>
      <c r="AE168" s="126"/>
      <c r="AF168" s="126"/>
      <c r="AG168" s="126"/>
      <c r="AH168" s="126"/>
      <c r="AI168" s="126"/>
      <c r="AJ168" s="126"/>
    </row>
    <row r="169">
      <c r="A169" s="126">
        <f>IFERROR(__xludf.DUMMYFUNCTION("""COMPUTED_VALUE"""),509.0)</f>
        <v>509</v>
      </c>
      <c r="B169" s="126" t="str">
        <f>IFERROR(__xludf.DUMMYFUNCTION("""COMPUTED_VALUE"""),"Energy Efficient Scheduling Based on Marginal Cost and Task Grouping in Data Centers")</f>
        <v>Energy Efficient Scheduling Based on Marginal Cost and Task Grouping in Data Centers</v>
      </c>
      <c r="C169" s="127" t="str">
        <f>IFERROR(__xludf.DUMMYFUNCTION("""COMPUTED_VALUE"""),"https://dl.acm.org/doi/abs/10.1145/3396851.3402657")</f>
        <v>https://dl.acm.org/doi/abs/10.1145/3396851.3402657</v>
      </c>
      <c r="D169" s="131" t="str">
        <f>IFERROR(__xludf.DUMMYFUNCTION("""COMPUTED_VALUE"""),"K Ji, C Chi, A Marahatta, F Zhang, Z Liu")</f>
        <v>K Ji, C Chi, A Marahatta, F Zhang, Z Liu</v>
      </c>
      <c r="E169" s="131" t="str">
        <f>IFERROR(__xludf.DUMMYFUNCTION("""COMPUTED_VALUE"""),"Association for Computing Machinery")</f>
        <v>Association for Computing Machinery</v>
      </c>
      <c r="F169" s="126" t="str">
        <f>IFERROR(__xludf.DUMMYFUNCTION("""COMPUTED_VALUE"""),"ACM")</f>
        <v>ACM</v>
      </c>
      <c r="G169" s="132" t="str">
        <f>IFERROR(__xludf.DUMMYFUNCTION("""COMPUTED_VALUE"""),"C")</f>
        <v>C</v>
      </c>
      <c r="H169" s="130">
        <f>IFERROR(__xludf.DUMMYFUNCTION("""COMPUTED_VALUE"""),2020.0)</f>
        <v>2020</v>
      </c>
      <c r="I169" s="130">
        <f>IFERROR(__xludf.DUMMYFUNCTION("""COMPUTED_VALUE"""),1.0)</f>
        <v>1</v>
      </c>
      <c r="J169" s="130">
        <f>IFERROR(__xludf.DUMMYFUNCTION("""COMPUTED_VALUE"""),1.0)</f>
        <v>1</v>
      </c>
      <c r="K169" s="130">
        <f>IFERROR(__xludf.DUMMYFUNCTION("""COMPUTED_VALUE"""),1.0)</f>
        <v>1</v>
      </c>
      <c r="L169" s="129">
        <f>IFERROR(__xludf.DUMMYFUNCTION("""COMPUTED_VALUE"""),1.0)</f>
        <v>1</v>
      </c>
      <c r="M169" s="130">
        <f>IFERROR(__xludf.DUMMYFUNCTION("""COMPUTED_VALUE"""),1.0)</f>
        <v>1</v>
      </c>
      <c r="N169" s="130">
        <f>IFERROR(__xludf.DUMMYFUNCTION("""COMPUTED_VALUE"""),0.0)</f>
        <v>0</v>
      </c>
      <c r="O169" s="130">
        <f>IFERROR(__xludf.DUMMYFUNCTION("""COMPUTED_VALUE"""),0.0)</f>
        <v>0</v>
      </c>
      <c r="P169" s="130">
        <f>IFERROR(__xludf.DUMMYFUNCTION("""COMPUTED_VALUE"""),0.0)</f>
        <v>0</v>
      </c>
      <c r="Q169" s="130">
        <f>IFERROR(__xludf.DUMMYFUNCTION("""COMPUTED_VALUE"""),0.0)</f>
        <v>0</v>
      </c>
      <c r="R169" s="130">
        <f>IFERROR(__xludf.DUMMYFUNCTION("""COMPUTED_VALUE"""),0.0)</f>
        <v>0</v>
      </c>
      <c r="S169" s="130">
        <f>IFERROR(__xludf.DUMMYFUNCTION("""COMPUTED_VALUE"""),0.0)</f>
        <v>0</v>
      </c>
      <c r="T169" s="130">
        <f>IFERROR(__xludf.DUMMYFUNCTION("""COMPUTED_VALUE"""),0.0)</f>
        <v>0</v>
      </c>
      <c r="U169" s="130">
        <f>IFERROR(__xludf.DUMMYFUNCTION("""COMPUTED_VALUE"""),0.0)</f>
        <v>0</v>
      </c>
      <c r="V169" s="131">
        <f>IFERROR(__xludf.DUMMYFUNCTION("""COMPUTED_VALUE"""),0.0)</f>
        <v>0</v>
      </c>
      <c r="W169" s="131" t="str">
        <f>IFERROR(__xludf.DUMMYFUNCTION("""COMPUTED_VALUE"""),"Yes")</f>
        <v>Yes</v>
      </c>
      <c r="X169" s="131" t="str">
        <f>IFERROR(__xludf.DUMMYFUNCTION("""COMPUTED_VALUE"""),"Yes")</f>
        <v>Yes</v>
      </c>
      <c r="Y169" s="131" t="str">
        <f>IFERROR(__xludf.DUMMYFUNCTION("""COMPUTED_VALUE"""),"S")</f>
        <v>S</v>
      </c>
      <c r="Z169" s="131"/>
      <c r="AA169" s="131"/>
      <c r="AB169" s="131"/>
      <c r="AC169" s="131"/>
      <c r="AD169" s="131"/>
      <c r="AE169" s="131"/>
      <c r="AF169" s="131"/>
      <c r="AG169" s="131"/>
      <c r="AH169" s="131"/>
      <c r="AI169" s="131"/>
      <c r="AJ169" s="131"/>
    </row>
    <row r="170">
      <c r="A170" s="126">
        <f>IFERROR(__xludf.DUMMYFUNCTION("""COMPUTED_VALUE"""),513.0)</f>
        <v>513</v>
      </c>
      <c r="B170" s="126" t="str">
        <f>IFERROR(__xludf.DUMMYFUNCTION("""COMPUTED_VALUE"""),"Development and Application of Metrics for Evaluation of Cumulative Energy Efficiency for IT Devices in Data Centers")</f>
        <v>Development and Application of Metrics for Evaluation of Cumulative Energy Efficiency for IT Devices in Data Centers</v>
      </c>
      <c r="C170" s="127" t="str">
        <f>IFERROR(__xludf.DUMMYFUNCTION("""COMPUTED_VALUE"""),"https://link.springer.com/chapter/10.1007/978-3-662-57886-5_17")</f>
        <v>https://link.springer.com/chapter/10.1007/978-3-662-57886-5_17</v>
      </c>
      <c r="D170" s="131" t="str">
        <f>IFERROR(__xludf.DUMMYFUNCTION("""COMPUTED_VALUE"""),"F Peñaherrera, K Szczepaniak")</f>
        <v>F Peñaherrera, K Szczepaniak</v>
      </c>
      <c r="E170" s="131" t="str">
        <f>IFERROR(__xludf.DUMMYFUNCTION("""COMPUTED_VALUE"""),"Springer")</f>
        <v>Springer</v>
      </c>
      <c r="F170" s="126" t="str">
        <f>IFERROR(__xludf.DUMMYFUNCTION("""COMPUTED_VALUE"""),"Springer")</f>
        <v>Springer</v>
      </c>
      <c r="G170" s="128" t="str">
        <f>IFERROR(__xludf.DUMMYFUNCTION("""COMPUTED_VALUE"""),"C")</f>
        <v>C</v>
      </c>
      <c r="H170" s="130">
        <f>IFERROR(__xludf.DUMMYFUNCTION("""COMPUTED_VALUE"""),2019.0)</f>
        <v>2019</v>
      </c>
      <c r="I170" s="130">
        <f>IFERROR(__xludf.DUMMYFUNCTION("""COMPUTED_VALUE"""),1.0)</f>
        <v>1</v>
      </c>
      <c r="J170" s="130">
        <f>IFERROR(__xludf.DUMMYFUNCTION("""COMPUTED_VALUE"""),1.0)</f>
        <v>1</v>
      </c>
      <c r="K170" s="130">
        <f>IFERROR(__xludf.DUMMYFUNCTION("""COMPUTED_VALUE"""),1.0)</f>
        <v>1</v>
      </c>
      <c r="L170" s="129">
        <f>IFERROR(__xludf.DUMMYFUNCTION("""COMPUTED_VALUE"""),1.0)</f>
        <v>1</v>
      </c>
      <c r="M170" s="130">
        <f>IFERROR(__xludf.DUMMYFUNCTION("""COMPUTED_VALUE"""),1.0)</f>
        <v>1</v>
      </c>
      <c r="N170" s="130">
        <f>IFERROR(__xludf.DUMMYFUNCTION("""COMPUTED_VALUE"""),0.0)</f>
        <v>0</v>
      </c>
      <c r="O170" s="130">
        <f>IFERROR(__xludf.DUMMYFUNCTION("""COMPUTED_VALUE"""),0.0)</f>
        <v>0</v>
      </c>
      <c r="P170" s="130">
        <f>IFERROR(__xludf.DUMMYFUNCTION("""COMPUTED_VALUE"""),0.0)</f>
        <v>0</v>
      </c>
      <c r="Q170" s="130">
        <f>IFERROR(__xludf.DUMMYFUNCTION("""COMPUTED_VALUE"""),0.0)</f>
        <v>0</v>
      </c>
      <c r="R170" s="130">
        <f>IFERROR(__xludf.DUMMYFUNCTION("""COMPUTED_VALUE"""),0.0)</f>
        <v>0</v>
      </c>
      <c r="S170" s="130">
        <f>IFERROR(__xludf.DUMMYFUNCTION("""COMPUTED_VALUE"""),0.0)</f>
        <v>0</v>
      </c>
      <c r="T170" s="130">
        <f>IFERROR(__xludf.DUMMYFUNCTION("""COMPUTED_VALUE"""),0.0)</f>
        <v>0</v>
      </c>
      <c r="U170" s="130">
        <f>IFERROR(__xludf.DUMMYFUNCTION("""COMPUTED_VALUE"""),0.0)</f>
        <v>0</v>
      </c>
      <c r="V170" s="131">
        <f>IFERROR(__xludf.DUMMYFUNCTION("""COMPUTED_VALUE"""),0.0)</f>
        <v>0</v>
      </c>
      <c r="W170" s="131" t="str">
        <f>IFERROR(__xludf.DUMMYFUNCTION("""COMPUTED_VALUE"""),"Yes")</f>
        <v>Yes</v>
      </c>
      <c r="X170" s="131" t="str">
        <f>IFERROR(__xludf.DUMMYFUNCTION("""COMPUTED_VALUE"""),"Yes")</f>
        <v>Yes</v>
      </c>
      <c r="Y170" s="131" t="str">
        <f>IFERROR(__xludf.DUMMYFUNCTION("""COMPUTED_VALUE"""),"S")</f>
        <v>S</v>
      </c>
      <c r="Z170" s="131"/>
      <c r="AA170" s="131"/>
      <c r="AB170" s="131"/>
      <c r="AC170" s="131"/>
      <c r="AD170" s="131"/>
      <c r="AE170" s="131"/>
      <c r="AF170" s="131"/>
      <c r="AG170" s="131"/>
      <c r="AH170" s="131"/>
      <c r="AI170" s="131"/>
      <c r="AJ170" s="131"/>
    </row>
    <row r="171">
      <c r="A171" s="126">
        <f>IFERROR(__xludf.DUMMYFUNCTION("""COMPUTED_VALUE"""),514.0)</f>
        <v>514</v>
      </c>
      <c r="B171" s="126" t="str">
        <f>IFERROR(__xludf.DUMMYFUNCTION("""COMPUTED_VALUE"""),"Communication-Aware and Energy Saving Virtual Machine Allocation Algorithm in Data Center")</f>
        <v>Communication-Aware and Energy Saving Virtual Machine Allocation Algorithm in Data Center</v>
      </c>
      <c r="C171" s="127" t="str">
        <f>IFERROR(__xludf.DUMMYFUNCTION("""COMPUTED_VALUE"""),"https://ieeexplore.ieee.org/abstract/document/8855662/")</f>
        <v>https://ieeexplore.ieee.org/abstract/document/8855662/</v>
      </c>
      <c r="D171" s="126" t="str">
        <f>IFERROR(__xludf.DUMMYFUNCTION("""COMPUTED_VALUE"""),"J Luo, X Fan, L Yin")</f>
        <v>J Luo, X Fan, L Yin</v>
      </c>
      <c r="E171" s="126" t="str">
        <f>IFERROR(__xludf.DUMMYFUNCTION("""COMPUTED_VALUE"""),"Institute of Electrical and Electronics Engineers")</f>
        <v>Institute of Electrical and Electronics Engineers</v>
      </c>
      <c r="F171" s="126" t="str">
        <f>IFERROR(__xludf.DUMMYFUNCTION("""COMPUTED_VALUE"""),"IEEE Xplore")</f>
        <v>IEEE Xplore</v>
      </c>
      <c r="G171" s="128" t="str">
        <f>IFERROR(__xludf.DUMMYFUNCTION("""COMPUTED_VALUE"""),"C")</f>
        <v>C</v>
      </c>
      <c r="H171" s="129">
        <f>IFERROR(__xludf.DUMMYFUNCTION("""COMPUTED_VALUE"""),2019.0)</f>
        <v>2019</v>
      </c>
      <c r="I171" s="130">
        <f>IFERROR(__xludf.DUMMYFUNCTION("""COMPUTED_VALUE"""),1.0)</f>
        <v>1</v>
      </c>
      <c r="J171" s="129">
        <f>IFERROR(__xludf.DUMMYFUNCTION("""COMPUTED_VALUE"""),1.0)</f>
        <v>1</v>
      </c>
      <c r="K171" s="130">
        <f>IFERROR(__xludf.DUMMYFUNCTION("""COMPUTED_VALUE"""),1.0)</f>
        <v>1</v>
      </c>
      <c r="L171" s="130">
        <f>IFERROR(__xludf.DUMMYFUNCTION("""COMPUTED_VALUE"""),1.0)</f>
        <v>1</v>
      </c>
      <c r="M171" s="130">
        <f>IFERROR(__xludf.DUMMYFUNCTION("""COMPUTED_VALUE"""),1.0)</f>
        <v>1</v>
      </c>
      <c r="N171" s="130">
        <f>IFERROR(__xludf.DUMMYFUNCTION("""COMPUTED_VALUE"""),0.0)</f>
        <v>0</v>
      </c>
      <c r="O171" s="130">
        <f>IFERROR(__xludf.DUMMYFUNCTION("""COMPUTED_VALUE"""),0.0)</f>
        <v>0</v>
      </c>
      <c r="P171" s="130">
        <f>IFERROR(__xludf.DUMMYFUNCTION("""COMPUTED_VALUE"""),0.0)</f>
        <v>0</v>
      </c>
      <c r="Q171" s="129">
        <f>IFERROR(__xludf.DUMMYFUNCTION("""COMPUTED_VALUE"""),0.0)</f>
        <v>0</v>
      </c>
      <c r="R171" s="129">
        <f>IFERROR(__xludf.DUMMYFUNCTION("""COMPUTED_VALUE"""),0.0)</f>
        <v>0</v>
      </c>
      <c r="S171" s="129">
        <f>IFERROR(__xludf.DUMMYFUNCTION("""COMPUTED_VALUE"""),0.0)</f>
        <v>0</v>
      </c>
      <c r="T171" s="129">
        <f>IFERROR(__xludf.DUMMYFUNCTION("""COMPUTED_VALUE"""),0.0)</f>
        <v>0</v>
      </c>
      <c r="U171" s="129">
        <f>IFERROR(__xludf.DUMMYFUNCTION("""COMPUTED_VALUE"""),0.0)</f>
        <v>0</v>
      </c>
      <c r="V171" s="126">
        <f>IFERROR(__xludf.DUMMYFUNCTION("""COMPUTED_VALUE"""),0.0)</f>
        <v>0</v>
      </c>
      <c r="W171" s="126" t="str">
        <f>IFERROR(__xludf.DUMMYFUNCTION("""COMPUTED_VALUE"""),"Yes")</f>
        <v>Yes</v>
      </c>
      <c r="X171" s="126" t="str">
        <f>IFERROR(__xludf.DUMMYFUNCTION("""COMPUTED_VALUE"""),"Yes")</f>
        <v>Yes</v>
      </c>
      <c r="Y171" s="126" t="str">
        <f>IFERROR(__xludf.DUMMYFUNCTION("""COMPUTED_VALUE"""),"S")</f>
        <v>S</v>
      </c>
      <c r="Z171" s="126"/>
      <c r="AA171" s="126"/>
      <c r="AB171" s="126"/>
      <c r="AC171" s="126"/>
      <c r="AD171" s="126"/>
      <c r="AE171" s="126"/>
      <c r="AF171" s="126"/>
      <c r="AG171" s="126"/>
      <c r="AH171" s="126"/>
      <c r="AI171" s="126"/>
      <c r="AJ171" s="126"/>
    </row>
    <row r="172">
      <c r="A172" s="126">
        <f>IFERROR(__xludf.DUMMYFUNCTION("""COMPUTED_VALUE"""),515.0)</f>
        <v>515</v>
      </c>
      <c r="B172" s="126" t="str">
        <f>IFERROR(__xludf.DUMMYFUNCTION("""COMPUTED_VALUE"""),"Genetic algorithm-based tabu search for optimal energy-aware allocation of data center resources")</f>
        <v>Genetic algorithm-based tabu search for optimal energy-aware allocation of data center resources</v>
      </c>
      <c r="C172" s="127" t="str">
        <f>IFERROR(__xludf.DUMMYFUNCTION("""COMPUTED_VALUE"""),"https://link.springer.com/article/10.1007/s00500-020-05240-9")</f>
        <v>https://link.springer.com/article/10.1007/s00500-020-05240-9</v>
      </c>
      <c r="D172" s="126" t="str">
        <f>IFERROR(__xludf.DUMMYFUNCTION("""COMPUTED_VALUE"""),"R Chandran, SR Kumar, N Gayathri")</f>
        <v>R Chandran, SR Kumar, N Gayathri</v>
      </c>
      <c r="E172" s="126" t="str">
        <f>IFERROR(__xludf.DUMMYFUNCTION("""COMPUTED_VALUE"""),"Springer")</f>
        <v>Springer</v>
      </c>
      <c r="F172" s="126" t="str">
        <f>IFERROR(__xludf.DUMMYFUNCTION("""COMPUTED_VALUE"""),"Springer")</f>
        <v>Springer</v>
      </c>
      <c r="G172" s="128" t="str">
        <f>IFERROR(__xludf.DUMMYFUNCTION("""COMPUTED_VALUE"""),"J")</f>
        <v>J</v>
      </c>
      <c r="H172" s="130">
        <f>IFERROR(__xludf.DUMMYFUNCTION("""COMPUTED_VALUE"""),2020.0)</f>
        <v>2020</v>
      </c>
      <c r="I172" s="129">
        <f>IFERROR(__xludf.DUMMYFUNCTION("""COMPUTED_VALUE"""),1.0)</f>
        <v>1</v>
      </c>
      <c r="J172" s="130">
        <f>IFERROR(__xludf.DUMMYFUNCTION("""COMPUTED_VALUE"""),1.0)</f>
        <v>1</v>
      </c>
      <c r="K172" s="130">
        <f>IFERROR(__xludf.DUMMYFUNCTION("""COMPUTED_VALUE"""),1.0)</f>
        <v>1</v>
      </c>
      <c r="L172" s="130">
        <f>IFERROR(__xludf.DUMMYFUNCTION("""COMPUTED_VALUE"""),1.0)</f>
        <v>1</v>
      </c>
      <c r="M172" s="130">
        <f>IFERROR(__xludf.DUMMYFUNCTION("""COMPUTED_VALUE"""),1.0)</f>
        <v>1</v>
      </c>
      <c r="N172" s="130">
        <f>IFERROR(__xludf.DUMMYFUNCTION("""COMPUTED_VALUE"""),0.0)</f>
        <v>0</v>
      </c>
      <c r="O172" s="130">
        <f>IFERROR(__xludf.DUMMYFUNCTION("""COMPUTED_VALUE"""),0.0)</f>
        <v>0</v>
      </c>
      <c r="P172" s="130">
        <f>IFERROR(__xludf.DUMMYFUNCTION("""COMPUTED_VALUE"""),0.0)</f>
        <v>0</v>
      </c>
      <c r="Q172" s="130">
        <f>IFERROR(__xludf.DUMMYFUNCTION("""COMPUTED_VALUE"""),0.0)</f>
        <v>0</v>
      </c>
      <c r="R172" s="130">
        <f>IFERROR(__xludf.DUMMYFUNCTION("""COMPUTED_VALUE"""),0.0)</f>
        <v>0</v>
      </c>
      <c r="S172" s="130">
        <f>IFERROR(__xludf.DUMMYFUNCTION("""COMPUTED_VALUE"""),0.0)</f>
        <v>0</v>
      </c>
      <c r="T172" s="130">
        <f>IFERROR(__xludf.DUMMYFUNCTION("""COMPUTED_VALUE"""),0.0)</f>
        <v>0</v>
      </c>
      <c r="U172" s="130">
        <f>IFERROR(__xludf.DUMMYFUNCTION("""COMPUTED_VALUE"""),0.0)</f>
        <v>0</v>
      </c>
      <c r="V172" s="131">
        <f>IFERROR(__xludf.DUMMYFUNCTION("""COMPUTED_VALUE"""),0.0)</f>
        <v>0</v>
      </c>
      <c r="W172" s="131" t="str">
        <f>IFERROR(__xludf.DUMMYFUNCTION("""COMPUTED_VALUE"""),"Yes")</f>
        <v>Yes</v>
      </c>
      <c r="X172" s="131" t="str">
        <f>IFERROR(__xludf.DUMMYFUNCTION("""COMPUTED_VALUE"""),"Yes")</f>
        <v>Yes</v>
      </c>
      <c r="Y172" s="131" t="str">
        <f>IFERROR(__xludf.DUMMYFUNCTION("""COMPUTED_VALUE"""),"S")</f>
        <v>S</v>
      </c>
      <c r="Z172" s="131"/>
      <c r="AA172" s="131"/>
      <c r="AB172" s="131"/>
      <c r="AC172" s="131"/>
      <c r="AD172" s="131"/>
      <c r="AE172" s="131"/>
      <c r="AF172" s="131"/>
      <c r="AG172" s="131"/>
      <c r="AH172" s="131"/>
      <c r="AI172" s="131"/>
      <c r="AJ172" s="131"/>
    </row>
    <row r="173">
      <c r="A173" s="126">
        <f>IFERROR(__xludf.DUMMYFUNCTION("""COMPUTED_VALUE"""),518.0)</f>
        <v>518</v>
      </c>
      <c r="B173" s="126" t="str">
        <f>IFERROR(__xludf.DUMMYFUNCTION("""COMPUTED_VALUE"""),"Prediction-based underutilized and destination host selection approaches for energy-efficient dynamic VM consolidation in data centers")</f>
        <v>Prediction-based underutilized and destination host selection approaches for energy-efficient dynamic VM consolidation in data centers</v>
      </c>
      <c r="C173" s="127" t="str">
        <f>IFERROR(__xludf.DUMMYFUNCTION("""COMPUTED_VALUE"""),"https://link.springer.com/content/pdf/10.1007/s11227-020-03248-4.pdf")</f>
        <v>https://link.springer.com/content/pdf/10.1007/s11227-020-03248-4.pdf</v>
      </c>
      <c r="D173" s="126" t="str">
        <f>IFERROR(__xludf.DUMMYFUNCTION("""COMPUTED_VALUE"""),"K Haghshenas, S Mohammadi")</f>
        <v>K Haghshenas, S Mohammadi</v>
      </c>
      <c r="E173" s="126" t="str">
        <f>IFERROR(__xludf.DUMMYFUNCTION("""COMPUTED_VALUE"""),"Springer")</f>
        <v>Springer</v>
      </c>
      <c r="F173" s="126" t="str">
        <f>IFERROR(__xludf.DUMMYFUNCTION("""COMPUTED_VALUE"""),"Springer")</f>
        <v>Springer</v>
      </c>
      <c r="G173" s="128" t="str">
        <f>IFERROR(__xludf.DUMMYFUNCTION("""COMPUTED_VALUE"""),"J")</f>
        <v>J</v>
      </c>
      <c r="H173" s="129">
        <f>IFERROR(__xludf.DUMMYFUNCTION("""COMPUTED_VALUE"""),2020.0)</f>
        <v>2020</v>
      </c>
      <c r="I173" s="130">
        <f>IFERROR(__xludf.DUMMYFUNCTION("""COMPUTED_VALUE"""),1.0)</f>
        <v>1</v>
      </c>
      <c r="J173" s="129">
        <f>IFERROR(__xludf.DUMMYFUNCTION("""COMPUTED_VALUE"""),1.0)</f>
        <v>1</v>
      </c>
      <c r="K173" s="130">
        <f>IFERROR(__xludf.DUMMYFUNCTION("""COMPUTED_VALUE"""),1.0)</f>
        <v>1</v>
      </c>
      <c r="L173" s="130">
        <f>IFERROR(__xludf.DUMMYFUNCTION("""COMPUTED_VALUE"""),1.0)</f>
        <v>1</v>
      </c>
      <c r="M173" s="130">
        <f>IFERROR(__xludf.DUMMYFUNCTION("""COMPUTED_VALUE"""),1.0)</f>
        <v>1</v>
      </c>
      <c r="N173" s="130">
        <f>IFERROR(__xludf.DUMMYFUNCTION("""COMPUTED_VALUE"""),0.0)</f>
        <v>0</v>
      </c>
      <c r="O173" s="130">
        <f>IFERROR(__xludf.DUMMYFUNCTION("""COMPUTED_VALUE"""),0.0)</f>
        <v>0</v>
      </c>
      <c r="P173" s="130">
        <f>IFERROR(__xludf.DUMMYFUNCTION("""COMPUTED_VALUE"""),0.0)</f>
        <v>0</v>
      </c>
      <c r="Q173" s="130">
        <f>IFERROR(__xludf.DUMMYFUNCTION("""COMPUTED_VALUE"""),0.0)</f>
        <v>0</v>
      </c>
      <c r="R173" s="130">
        <f>IFERROR(__xludf.DUMMYFUNCTION("""COMPUTED_VALUE"""),0.0)</f>
        <v>0</v>
      </c>
      <c r="S173" s="130">
        <f>IFERROR(__xludf.DUMMYFUNCTION("""COMPUTED_VALUE"""),0.0)</f>
        <v>0</v>
      </c>
      <c r="T173" s="130">
        <f>IFERROR(__xludf.DUMMYFUNCTION("""COMPUTED_VALUE"""),0.0)</f>
        <v>0</v>
      </c>
      <c r="U173" s="130">
        <f>IFERROR(__xludf.DUMMYFUNCTION("""COMPUTED_VALUE"""),0.0)</f>
        <v>0</v>
      </c>
      <c r="V173" s="131">
        <f>IFERROR(__xludf.DUMMYFUNCTION("""COMPUTED_VALUE"""),0.0)</f>
        <v>0</v>
      </c>
      <c r="W173" s="131" t="str">
        <f>IFERROR(__xludf.DUMMYFUNCTION("""COMPUTED_VALUE"""),"Yes")</f>
        <v>Yes</v>
      </c>
      <c r="X173" s="131" t="str">
        <f>IFERROR(__xludf.DUMMYFUNCTION("""COMPUTED_VALUE"""),"Yes")</f>
        <v>Yes</v>
      </c>
      <c r="Y173" s="131" t="str">
        <f>IFERROR(__xludf.DUMMYFUNCTION("""COMPUTED_VALUE"""),"S")</f>
        <v>S</v>
      </c>
      <c r="Z173" s="131"/>
      <c r="AA173" s="131"/>
      <c r="AB173" s="131"/>
      <c r="AC173" s="131"/>
      <c r="AD173" s="131"/>
      <c r="AE173" s="131"/>
      <c r="AF173" s="131"/>
      <c r="AG173" s="131"/>
      <c r="AH173" s="131"/>
      <c r="AI173" s="131"/>
      <c r="AJ173" s="131"/>
    </row>
    <row r="174">
      <c r="A174" s="126">
        <f>IFERROR(__xludf.DUMMYFUNCTION("""COMPUTED_VALUE"""),523.0)</f>
        <v>523</v>
      </c>
      <c r="B174" s="126" t="str">
        <f>IFERROR(__xludf.DUMMYFUNCTION("""COMPUTED_VALUE"""),"A novel host readiness factor for energy-efficient VM consolidation in cloud data centers")</f>
        <v>A novel host readiness factor for energy-efficient VM consolidation in cloud data centers</v>
      </c>
      <c r="C174" s="127" t="str">
        <f>IFERROR(__xludf.DUMMYFUNCTION("""COMPUTED_VALUE"""),"https://ieeexplore.ieee.org/abstract/document/8880271/")</f>
        <v>https://ieeexplore.ieee.org/abstract/document/8880271/</v>
      </c>
      <c r="D174" s="126" t="str">
        <f>IFERROR(__xludf.DUMMYFUNCTION("""COMPUTED_VALUE"""),"S Ismaeel, A Miri, A Al-Khazraji")</f>
        <v>S Ismaeel, A Miri, A Al-Khazraji</v>
      </c>
      <c r="E174" s="126" t="str">
        <f>IFERROR(__xludf.DUMMYFUNCTION("""COMPUTED_VALUE"""),"Institute of Electrical and Electronics Engineers")</f>
        <v>Institute of Electrical and Electronics Engineers</v>
      </c>
      <c r="F174" s="126" t="str">
        <f>IFERROR(__xludf.DUMMYFUNCTION("""COMPUTED_VALUE"""),"IEEE Xplore")</f>
        <v>IEEE Xplore</v>
      </c>
      <c r="G174" s="128" t="str">
        <f>IFERROR(__xludf.DUMMYFUNCTION("""COMPUTED_VALUE"""),"C")</f>
        <v>C</v>
      </c>
      <c r="H174" s="129">
        <f>IFERROR(__xludf.DUMMYFUNCTION("""COMPUTED_VALUE"""),2019.0)</f>
        <v>2019</v>
      </c>
      <c r="I174" s="130">
        <f>IFERROR(__xludf.DUMMYFUNCTION("""COMPUTED_VALUE"""),1.0)</f>
        <v>1</v>
      </c>
      <c r="J174" s="129">
        <f>IFERROR(__xludf.DUMMYFUNCTION("""COMPUTED_VALUE"""),1.0)</f>
        <v>1</v>
      </c>
      <c r="K174" s="130">
        <f>IFERROR(__xludf.DUMMYFUNCTION("""COMPUTED_VALUE"""),1.0)</f>
        <v>1</v>
      </c>
      <c r="L174" s="130">
        <f>IFERROR(__xludf.DUMMYFUNCTION("""COMPUTED_VALUE"""),1.0)</f>
        <v>1</v>
      </c>
      <c r="M174" s="130">
        <f>IFERROR(__xludf.DUMMYFUNCTION("""COMPUTED_VALUE"""),1.0)</f>
        <v>1</v>
      </c>
      <c r="N174" s="130">
        <f>IFERROR(__xludf.DUMMYFUNCTION("""COMPUTED_VALUE"""),0.0)</f>
        <v>0</v>
      </c>
      <c r="O174" s="130">
        <f>IFERROR(__xludf.DUMMYFUNCTION("""COMPUTED_VALUE"""),0.0)</f>
        <v>0</v>
      </c>
      <c r="P174" s="130">
        <f>IFERROR(__xludf.DUMMYFUNCTION("""COMPUTED_VALUE"""),0.0)</f>
        <v>0</v>
      </c>
      <c r="Q174" s="129">
        <f>IFERROR(__xludf.DUMMYFUNCTION("""COMPUTED_VALUE"""),0.0)</f>
        <v>0</v>
      </c>
      <c r="R174" s="129">
        <f>IFERROR(__xludf.DUMMYFUNCTION("""COMPUTED_VALUE"""),0.0)</f>
        <v>0</v>
      </c>
      <c r="S174" s="129">
        <f>IFERROR(__xludf.DUMMYFUNCTION("""COMPUTED_VALUE"""),0.0)</f>
        <v>0</v>
      </c>
      <c r="T174" s="129">
        <f>IFERROR(__xludf.DUMMYFUNCTION("""COMPUTED_VALUE"""),0.0)</f>
        <v>0</v>
      </c>
      <c r="U174" s="129">
        <f>IFERROR(__xludf.DUMMYFUNCTION("""COMPUTED_VALUE"""),0.0)</f>
        <v>0</v>
      </c>
      <c r="V174" s="126">
        <f>IFERROR(__xludf.DUMMYFUNCTION("""COMPUTED_VALUE"""),0.0)</f>
        <v>0</v>
      </c>
      <c r="W174" s="126" t="str">
        <f>IFERROR(__xludf.DUMMYFUNCTION("""COMPUTED_VALUE"""),"Yes")</f>
        <v>Yes</v>
      </c>
      <c r="X174" s="126" t="str">
        <f>IFERROR(__xludf.DUMMYFUNCTION("""COMPUTED_VALUE"""),"Yes")</f>
        <v>Yes</v>
      </c>
      <c r="Y174" s="126" t="str">
        <f>IFERROR(__xludf.DUMMYFUNCTION("""COMPUTED_VALUE"""),"S")</f>
        <v>S</v>
      </c>
      <c r="Z174" s="126"/>
      <c r="AA174" s="126"/>
      <c r="AB174" s="126"/>
      <c r="AC174" s="126"/>
      <c r="AD174" s="126"/>
      <c r="AE174" s="126"/>
      <c r="AF174" s="126"/>
      <c r="AG174" s="126"/>
      <c r="AH174" s="126"/>
      <c r="AI174" s="126"/>
      <c r="AJ174" s="126"/>
    </row>
    <row r="175">
      <c r="A175" s="126">
        <f>IFERROR(__xludf.DUMMYFUNCTION("""COMPUTED_VALUE"""),525.0)</f>
        <v>525</v>
      </c>
      <c r="B175" s="126" t="str">
        <f>IFERROR(__xludf.DUMMYFUNCTION("""COMPUTED_VALUE"""),"Smart deployment of virtual machines to reduce energy consumption of cloud computing based data centers using gray wolf optimizer")</f>
        <v>Smart deployment of virtual machines to reduce energy consumption of cloud computing based data centers using gray wolf optimizer</v>
      </c>
      <c r="C175" s="127" t="str">
        <f>IFERROR(__xludf.DUMMYFUNCTION("""COMPUTED_VALUE"""),"https://link.springer.com/chapter/10.1007/978-3-319-99972-2_13")</f>
        <v>https://link.springer.com/chapter/10.1007/978-3-319-99972-2_13</v>
      </c>
      <c r="D175" s="126" t="str">
        <f>IFERROR(__xludf.DUMMYFUNCTION("""COMPUTED_VALUE"""),"H Shahbazi, S Jamshidi-Nejad")</f>
        <v>H Shahbazi, S Jamshidi-Nejad</v>
      </c>
      <c r="E175" s="126" t="str">
        <f>IFERROR(__xludf.DUMMYFUNCTION("""COMPUTED_VALUE"""),"Springer")</f>
        <v>Springer</v>
      </c>
      <c r="F175" s="126" t="str">
        <f>IFERROR(__xludf.DUMMYFUNCTION("""COMPUTED_VALUE"""),"Springer")</f>
        <v>Springer</v>
      </c>
      <c r="G175" s="132" t="str">
        <f>IFERROR(__xludf.DUMMYFUNCTION("""COMPUTED_VALUE"""),"C")</f>
        <v>C</v>
      </c>
      <c r="H175" s="129">
        <f>IFERROR(__xludf.DUMMYFUNCTION("""COMPUTED_VALUE"""),2018.0)</f>
        <v>2018</v>
      </c>
      <c r="I175" s="129">
        <f>IFERROR(__xludf.DUMMYFUNCTION("""COMPUTED_VALUE"""),1.0)</f>
        <v>1</v>
      </c>
      <c r="J175" s="129">
        <f>IFERROR(__xludf.DUMMYFUNCTION("""COMPUTED_VALUE"""),1.0)</f>
        <v>1</v>
      </c>
      <c r="K175" s="130">
        <f>IFERROR(__xludf.DUMMYFUNCTION("""COMPUTED_VALUE"""),1.0)</f>
        <v>1</v>
      </c>
      <c r="L175" s="130">
        <f>IFERROR(__xludf.DUMMYFUNCTION("""COMPUTED_VALUE"""),1.0)</f>
        <v>1</v>
      </c>
      <c r="M175" s="130">
        <f>IFERROR(__xludf.DUMMYFUNCTION("""COMPUTED_VALUE"""),1.0)</f>
        <v>1</v>
      </c>
      <c r="N175" s="130">
        <f>IFERROR(__xludf.DUMMYFUNCTION("""COMPUTED_VALUE"""),0.0)</f>
        <v>0</v>
      </c>
      <c r="O175" s="130">
        <f>IFERROR(__xludf.DUMMYFUNCTION("""COMPUTED_VALUE"""),0.0)</f>
        <v>0</v>
      </c>
      <c r="P175" s="129">
        <f>IFERROR(__xludf.DUMMYFUNCTION("""COMPUTED_VALUE"""),0.0)</f>
        <v>0</v>
      </c>
      <c r="Q175" s="129">
        <f>IFERROR(__xludf.DUMMYFUNCTION("""COMPUTED_VALUE"""),0.0)</f>
        <v>0</v>
      </c>
      <c r="R175" s="129">
        <f>IFERROR(__xludf.DUMMYFUNCTION("""COMPUTED_VALUE"""),0.0)</f>
        <v>0</v>
      </c>
      <c r="S175" s="129">
        <f>IFERROR(__xludf.DUMMYFUNCTION("""COMPUTED_VALUE"""),0.0)</f>
        <v>0</v>
      </c>
      <c r="T175" s="129">
        <f>IFERROR(__xludf.DUMMYFUNCTION("""COMPUTED_VALUE"""),0.0)</f>
        <v>0</v>
      </c>
      <c r="U175" s="129">
        <f>IFERROR(__xludf.DUMMYFUNCTION("""COMPUTED_VALUE"""),0.0)</f>
        <v>0</v>
      </c>
      <c r="V175" s="126">
        <f>IFERROR(__xludf.DUMMYFUNCTION("""COMPUTED_VALUE"""),0.0)</f>
        <v>0</v>
      </c>
      <c r="W175" s="126" t="str">
        <f>IFERROR(__xludf.DUMMYFUNCTION("""COMPUTED_VALUE"""),"Yes")</f>
        <v>Yes</v>
      </c>
      <c r="X175" s="126" t="str">
        <f>IFERROR(__xludf.DUMMYFUNCTION("""COMPUTED_VALUE"""),"Yes")</f>
        <v>Yes</v>
      </c>
      <c r="Y175" s="126" t="str">
        <f>IFERROR(__xludf.DUMMYFUNCTION("""COMPUTED_VALUE"""),"S")</f>
        <v>S</v>
      </c>
      <c r="Z175" s="126"/>
      <c r="AA175" s="126"/>
      <c r="AB175" s="126"/>
      <c r="AC175" s="126"/>
      <c r="AD175" s="126"/>
      <c r="AE175" s="126"/>
      <c r="AF175" s="126"/>
      <c r="AG175" s="126"/>
      <c r="AH175" s="126"/>
      <c r="AI175" s="126"/>
      <c r="AJ175" s="126"/>
    </row>
    <row r="176">
      <c r="A176" s="126">
        <f>IFERROR(__xludf.DUMMYFUNCTION("""COMPUTED_VALUE"""),526.0)</f>
        <v>526</v>
      </c>
      <c r="B176" s="126" t="str">
        <f>IFERROR(__xludf.DUMMYFUNCTION("""COMPUTED_VALUE"""),"An ant colony system for energy-efficient dynamic virtual machine placement in data centers")</f>
        <v>An ant colony system for energy-efficient dynamic virtual machine placement in data centers</v>
      </c>
      <c r="C176" s="127" t="str">
        <f>IFERROR(__xludf.DUMMYFUNCTION("""COMPUTED_VALUE"""),"https://www.sciencedirect.com/science/article/pii/S0957417418307498")</f>
        <v>https://www.sciencedirect.com/science/article/pii/S0957417418307498</v>
      </c>
      <c r="D176" s="126" t="str">
        <f>IFERROR(__xludf.DUMMYFUNCTION("""COMPUTED_VALUE"""),"F Alharbi, YC Tian, M Tang, WZ Zhang, C Peng, M Fei")</f>
        <v>F Alharbi, YC Tian, M Tang, WZ Zhang, C Peng, M Fei</v>
      </c>
      <c r="E176" s="126" t="str">
        <f>IFERROR(__xludf.DUMMYFUNCTION("""COMPUTED_VALUE"""),"Elsevier")</f>
        <v>Elsevier</v>
      </c>
      <c r="F176" s="126" t="str">
        <f>IFERROR(__xludf.DUMMYFUNCTION("""COMPUTED_VALUE"""),"Elsevier")</f>
        <v>Elsevier</v>
      </c>
      <c r="G176" s="128" t="str">
        <f>IFERROR(__xludf.DUMMYFUNCTION("""COMPUTED_VALUE"""),"J")</f>
        <v>J</v>
      </c>
      <c r="H176" s="130">
        <f>IFERROR(__xludf.DUMMYFUNCTION("""COMPUTED_VALUE"""),2019.0)</f>
        <v>2019</v>
      </c>
      <c r="I176" s="129">
        <f>IFERROR(__xludf.DUMMYFUNCTION("""COMPUTED_VALUE"""),1.0)</f>
        <v>1</v>
      </c>
      <c r="J176" s="130">
        <f>IFERROR(__xludf.DUMMYFUNCTION("""COMPUTED_VALUE"""),1.0)</f>
        <v>1</v>
      </c>
      <c r="K176" s="130">
        <f>IFERROR(__xludf.DUMMYFUNCTION("""COMPUTED_VALUE"""),1.0)</f>
        <v>1</v>
      </c>
      <c r="L176" s="130">
        <f>IFERROR(__xludf.DUMMYFUNCTION("""COMPUTED_VALUE"""),1.0)</f>
        <v>1</v>
      </c>
      <c r="M176" s="130">
        <f>IFERROR(__xludf.DUMMYFUNCTION("""COMPUTED_VALUE"""),1.0)</f>
        <v>1</v>
      </c>
      <c r="N176" s="130">
        <f>IFERROR(__xludf.DUMMYFUNCTION("""COMPUTED_VALUE"""),0.0)</f>
        <v>0</v>
      </c>
      <c r="O176" s="129">
        <f>IFERROR(__xludf.DUMMYFUNCTION("""COMPUTED_VALUE"""),0.0)</f>
        <v>0</v>
      </c>
      <c r="P176" s="130">
        <f>IFERROR(__xludf.DUMMYFUNCTION("""COMPUTED_VALUE"""),0.0)</f>
        <v>0</v>
      </c>
      <c r="Q176" s="129">
        <f>IFERROR(__xludf.DUMMYFUNCTION("""COMPUTED_VALUE"""),0.0)</f>
        <v>0</v>
      </c>
      <c r="R176" s="129">
        <f>IFERROR(__xludf.DUMMYFUNCTION("""COMPUTED_VALUE"""),0.0)</f>
        <v>0</v>
      </c>
      <c r="S176" s="129">
        <f>IFERROR(__xludf.DUMMYFUNCTION("""COMPUTED_VALUE"""),0.0)</f>
        <v>0</v>
      </c>
      <c r="T176" s="129">
        <f>IFERROR(__xludf.DUMMYFUNCTION("""COMPUTED_VALUE"""),0.0)</f>
        <v>0</v>
      </c>
      <c r="U176" s="129">
        <f>IFERROR(__xludf.DUMMYFUNCTION("""COMPUTED_VALUE"""),0.0)</f>
        <v>0</v>
      </c>
      <c r="V176" s="126">
        <f>IFERROR(__xludf.DUMMYFUNCTION("""COMPUTED_VALUE"""),0.0)</f>
        <v>0</v>
      </c>
      <c r="W176" s="126" t="str">
        <f>IFERROR(__xludf.DUMMYFUNCTION("""COMPUTED_VALUE"""),"Yes")</f>
        <v>Yes</v>
      </c>
      <c r="X176" s="126" t="str">
        <f>IFERROR(__xludf.DUMMYFUNCTION("""COMPUTED_VALUE"""),"Yes")</f>
        <v>Yes</v>
      </c>
      <c r="Y176" s="126" t="str">
        <f>IFERROR(__xludf.DUMMYFUNCTION("""COMPUTED_VALUE"""),"S")</f>
        <v>S</v>
      </c>
      <c r="Z176" s="126"/>
      <c r="AA176" s="126"/>
      <c r="AB176" s="126"/>
      <c r="AC176" s="126"/>
      <c r="AD176" s="126"/>
      <c r="AE176" s="126"/>
      <c r="AF176" s="126"/>
      <c r="AG176" s="126"/>
      <c r="AH176" s="126"/>
      <c r="AI176" s="126"/>
      <c r="AJ176" s="126"/>
    </row>
    <row r="177">
      <c r="A177" s="126">
        <f>IFERROR(__xludf.DUMMYFUNCTION("""COMPUTED_VALUE"""),527.0)</f>
        <v>527</v>
      </c>
      <c r="B177" s="126" t="str">
        <f>IFERROR(__xludf.DUMMYFUNCTION("""COMPUTED_VALUE"""),"Holistic energy and failure aware workload scheduling in Cloud datacenters")</f>
        <v>Holistic energy and failure aware workload scheduling in Cloud datacenters</v>
      </c>
      <c r="C177" s="127" t="str">
        <f>IFERROR(__xludf.DUMMYFUNCTION("""COMPUTED_VALUE"""),"https://www.sciencedirect.com/science/article/pii/S0167739X17315650")</f>
        <v>https://www.sciencedirect.com/science/article/pii/S0167739X17315650</v>
      </c>
      <c r="D177" s="126" t="str">
        <f>IFERROR(__xludf.DUMMYFUNCTION("""COMPUTED_VALUE"""),"X Li, X Jiang, P Garraghan, Z Wu")</f>
        <v>X Li, X Jiang, P Garraghan, Z Wu</v>
      </c>
      <c r="E177" s="126" t="str">
        <f>IFERROR(__xludf.DUMMYFUNCTION("""COMPUTED_VALUE"""),"Elsevier")</f>
        <v>Elsevier</v>
      </c>
      <c r="F177" s="126" t="str">
        <f>IFERROR(__xludf.DUMMYFUNCTION("""COMPUTED_VALUE"""),"Elsevier")</f>
        <v>Elsevier</v>
      </c>
      <c r="G177" s="128" t="str">
        <f>IFERROR(__xludf.DUMMYFUNCTION("""COMPUTED_VALUE"""),"J")</f>
        <v>J</v>
      </c>
      <c r="H177" s="130">
        <f>IFERROR(__xludf.DUMMYFUNCTION("""COMPUTED_VALUE"""),2018.0)</f>
        <v>2018</v>
      </c>
      <c r="I177" s="130">
        <f>IFERROR(__xludf.DUMMYFUNCTION("""COMPUTED_VALUE"""),1.0)</f>
        <v>1</v>
      </c>
      <c r="J177" s="130">
        <f>IFERROR(__xludf.DUMMYFUNCTION("""COMPUTED_VALUE"""),1.0)</f>
        <v>1</v>
      </c>
      <c r="K177" s="130">
        <f>IFERROR(__xludf.DUMMYFUNCTION("""COMPUTED_VALUE"""),1.0)</f>
        <v>1</v>
      </c>
      <c r="L177" s="129">
        <f>IFERROR(__xludf.DUMMYFUNCTION("""COMPUTED_VALUE"""),1.0)</f>
        <v>1</v>
      </c>
      <c r="M177" s="130">
        <f>IFERROR(__xludf.DUMMYFUNCTION("""COMPUTED_VALUE"""),1.0)</f>
        <v>1</v>
      </c>
      <c r="N177" s="130">
        <f>IFERROR(__xludf.DUMMYFUNCTION("""COMPUTED_VALUE"""),0.0)</f>
        <v>0</v>
      </c>
      <c r="O177" s="130">
        <f>IFERROR(__xludf.DUMMYFUNCTION("""COMPUTED_VALUE"""),0.0)</f>
        <v>0</v>
      </c>
      <c r="P177" s="130">
        <f>IFERROR(__xludf.DUMMYFUNCTION("""COMPUTED_VALUE"""),0.0)</f>
        <v>0</v>
      </c>
      <c r="Q177" s="130">
        <f>IFERROR(__xludf.DUMMYFUNCTION("""COMPUTED_VALUE"""),0.0)</f>
        <v>0</v>
      </c>
      <c r="R177" s="130">
        <f>IFERROR(__xludf.DUMMYFUNCTION("""COMPUTED_VALUE"""),0.0)</f>
        <v>0</v>
      </c>
      <c r="S177" s="130">
        <f>IFERROR(__xludf.DUMMYFUNCTION("""COMPUTED_VALUE"""),0.0)</f>
        <v>0</v>
      </c>
      <c r="T177" s="130">
        <f>IFERROR(__xludf.DUMMYFUNCTION("""COMPUTED_VALUE"""),0.0)</f>
        <v>0</v>
      </c>
      <c r="U177" s="130">
        <f>IFERROR(__xludf.DUMMYFUNCTION("""COMPUTED_VALUE"""),0.0)</f>
        <v>0</v>
      </c>
      <c r="V177" s="131">
        <f>IFERROR(__xludf.DUMMYFUNCTION("""COMPUTED_VALUE"""),0.0)</f>
        <v>0</v>
      </c>
      <c r="W177" s="131" t="str">
        <f>IFERROR(__xludf.DUMMYFUNCTION("""COMPUTED_VALUE"""),"Yes")</f>
        <v>Yes</v>
      </c>
      <c r="X177" s="131" t="str">
        <f>IFERROR(__xludf.DUMMYFUNCTION("""COMPUTED_VALUE"""),"Yes")</f>
        <v>Yes</v>
      </c>
      <c r="Y177" s="131" t="str">
        <f>IFERROR(__xludf.DUMMYFUNCTION("""COMPUTED_VALUE"""),"S")</f>
        <v>S</v>
      </c>
      <c r="Z177" s="131"/>
      <c r="AA177" s="131"/>
      <c r="AB177" s="131"/>
      <c r="AC177" s="131"/>
      <c r="AD177" s="131"/>
      <c r="AE177" s="131"/>
      <c r="AF177" s="131"/>
      <c r="AG177" s="131"/>
      <c r="AH177" s="131"/>
      <c r="AI177" s="131"/>
      <c r="AJ177" s="131"/>
    </row>
    <row r="178">
      <c r="A178" s="126">
        <f>IFERROR(__xludf.DUMMYFUNCTION("""COMPUTED_VALUE"""),530.0)</f>
        <v>530</v>
      </c>
      <c r="B178" s="126" t="str">
        <f>IFERROR(__xludf.DUMMYFUNCTION("""COMPUTED_VALUE"""),"EATSDCD: A green energy-aware scheduling algorithm for parallel task-based application using clustering, duplication and DVFS technique in cloud datacenters")</f>
        <v>EATSDCD: A green energy-aware scheduling algorithm for parallel task-based application using clustering, duplication and DVFS technique in cloud datacenters</v>
      </c>
      <c r="C178" s="127" t="str">
        <f>IFERROR(__xludf.DUMMYFUNCTION("""COMPUTED_VALUE"""),"https://content.iospress.com/articles/journal-of-intelligent-and-fuzzy-systems/ifs171927")</f>
        <v>https://content.iospress.com/articles/journal-of-intelligent-and-fuzzy-systems/ifs171927</v>
      </c>
      <c r="D178" s="131" t="str">
        <f>IFERROR(__xludf.DUMMYFUNCTION("""COMPUTED_VALUE"""),"B Barzegar, H Motameni, A Movaghar")</f>
        <v>B Barzegar, H Motameni, A Movaghar</v>
      </c>
      <c r="E178" s="131" t="str">
        <f>IFERROR(__xludf.DUMMYFUNCTION("""COMPUTED_VALUE"""),"IOS Press Content Library")</f>
        <v>IOS Press Content Library</v>
      </c>
      <c r="F178" s="126" t="str">
        <f>IFERROR(__xludf.DUMMYFUNCTION("""COMPUTED_VALUE"""),"IOS Press")</f>
        <v>IOS Press</v>
      </c>
      <c r="G178" s="128" t="str">
        <f>IFERROR(__xludf.DUMMYFUNCTION("""COMPUTED_VALUE"""),"J")</f>
        <v>J</v>
      </c>
      <c r="H178" s="130">
        <f>IFERROR(__xludf.DUMMYFUNCTION("""COMPUTED_VALUE"""),2019.0)</f>
        <v>2019</v>
      </c>
      <c r="I178" s="130">
        <f>IFERROR(__xludf.DUMMYFUNCTION("""COMPUTED_VALUE"""),1.0)</f>
        <v>1</v>
      </c>
      <c r="J178" s="130">
        <f>IFERROR(__xludf.DUMMYFUNCTION("""COMPUTED_VALUE"""),1.0)</f>
        <v>1</v>
      </c>
      <c r="K178" s="130">
        <f>IFERROR(__xludf.DUMMYFUNCTION("""COMPUTED_VALUE"""),1.0)</f>
        <v>1</v>
      </c>
      <c r="L178" s="129">
        <f>IFERROR(__xludf.DUMMYFUNCTION("""COMPUTED_VALUE"""),1.0)</f>
        <v>1</v>
      </c>
      <c r="M178" s="130">
        <f>IFERROR(__xludf.DUMMYFUNCTION("""COMPUTED_VALUE"""),1.0)</f>
        <v>1</v>
      </c>
      <c r="N178" s="130">
        <f>IFERROR(__xludf.DUMMYFUNCTION("""COMPUTED_VALUE"""),0.0)</f>
        <v>0</v>
      </c>
      <c r="O178" s="130">
        <f>IFERROR(__xludf.DUMMYFUNCTION("""COMPUTED_VALUE"""),0.0)</f>
        <v>0</v>
      </c>
      <c r="P178" s="130">
        <f>IFERROR(__xludf.DUMMYFUNCTION("""COMPUTED_VALUE"""),0.0)</f>
        <v>0</v>
      </c>
      <c r="Q178" s="129">
        <f>IFERROR(__xludf.DUMMYFUNCTION("""COMPUTED_VALUE"""),0.0)</f>
        <v>0</v>
      </c>
      <c r="R178" s="129">
        <f>IFERROR(__xludf.DUMMYFUNCTION("""COMPUTED_VALUE"""),0.0)</f>
        <v>0</v>
      </c>
      <c r="S178" s="129">
        <f>IFERROR(__xludf.DUMMYFUNCTION("""COMPUTED_VALUE"""),0.0)</f>
        <v>0</v>
      </c>
      <c r="T178" s="129">
        <f>IFERROR(__xludf.DUMMYFUNCTION("""COMPUTED_VALUE"""),0.0)</f>
        <v>0</v>
      </c>
      <c r="U178" s="129">
        <f>IFERROR(__xludf.DUMMYFUNCTION("""COMPUTED_VALUE"""),0.0)</f>
        <v>0</v>
      </c>
      <c r="V178" s="126">
        <f>IFERROR(__xludf.DUMMYFUNCTION("""COMPUTED_VALUE"""),0.0)</f>
        <v>0</v>
      </c>
      <c r="W178" s="126" t="str">
        <f>IFERROR(__xludf.DUMMYFUNCTION("""COMPUTED_VALUE"""),"Yes")</f>
        <v>Yes</v>
      </c>
      <c r="X178" s="126" t="str">
        <f>IFERROR(__xludf.DUMMYFUNCTION("""COMPUTED_VALUE"""),"Yes")</f>
        <v>Yes</v>
      </c>
      <c r="Y178" s="126" t="str">
        <f>IFERROR(__xludf.DUMMYFUNCTION("""COMPUTED_VALUE"""),"S")</f>
        <v>S</v>
      </c>
      <c r="Z178" s="126"/>
      <c r="AA178" s="126"/>
      <c r="AB178" s="126"/>
      <c r="AC178" s="126"/>
      <c r="AD178" s="126"/>
      <c r="AE178" s="126"/>
      <c r="AF178" s="126"/>
      <c r="AG178" s="126"/>
      <c r="AH178" s="126"/>
      <c r="AI178" s="126"/>
      <c r="AJ178" s="126"/>
    </row>
    <row r="179">
      <c r="A179" s="126">
        <f>IFERROR(__xludf.DUMMYFUNCTION("""COMPUTED_VALUE"""),532.0)</f>
        <v>532</v>
      </c>
      <c r="B179" s="126" t="str">
        <f>IFERROR(__xludf.DUMMYFUNCTION("""COMPUTED_VALUE"""),"Energy proportionality in near-threshold computing servers and cloud data centers: Consolidating or Not?")</f>
        <v>Energy proportionality in near-threshold computing servers and cloud data centers: Consolidating or Not?</v>
      </c>
      <c r="C179" s="127" t="str">
        <f>IFERROR(__xludf.DUMMYFUNCTION("""COMPUTED_VALUE"""),"https://ieeexplore.ieee.org/abstract/document/8341994/")</f>
        <v>https://ieeexplore.ieee.org/abstract/document/8341994/</v>
      </c>
      <c r="D179" s="126" t="str">
        <f>IFERROR(__xludf.DUMMYFUNCTION("""COMPUTED_VALUE"""),"A Pahlevan, YM Qureshi, M Zapater, A Bartolini, D Rossi, L Benini, D Atienza")</f>
        <v>A Pahlevan, YM Qureshi, M Zapater, A Bartolini, D Rossi, L Benini, D Atienza</v>
      </c>
      <c r="E179" s="126" t="str">
        <f>IFERROR(__xludf.DUMMYFUNCTION("""COMPUTED_VALUE"""),"Institute of Electrical and Electronics Engineers")</f>
        <v>Institute of Electrical and Electronics Engineers</v>
      </c>
      <c r="F179" s="126" t="str">
        <f>IFERROR(__xludf.DUMMYFUNCTION("""COMPUTED_VALUE"""),"IEEE Xplore")</f>
        <v>IEEE Xplore</v>
      </c>
      <c r="G179" s="128" t="str">
        <f>IFERROR(__xludf.DUMMYFUNCTION("""COMPUTED_VALUE"""),"C")</f>
        <v>C</v>
      </c>
      <c r="H179" s="130">
        <f>IFERROR(__xludf.DUMMYFUNCTION("""COMPUTED_VALUE"""),2018.0)</f>
        <v>2018</v>
      </c>
      <c r="I179" s="130">
        <f>IFERROR(__xludf.DUMMYFUNCTION("""COMPUTED_VALUE"""),1.0)</f>
        <v>1</v>
      </c>
      <c r="J179" s="130">
        <f>IFERROR(__xludf.DUMMYFUNCTION("""COMPUTED_VALUE"""),1.0)</f>
        <v>1</v>
      </c>
      <c r="K179" s="130">
        <f>IFERROR(__xludf.DUMMYFUNCTION("""COMPUTED_VALUE"""),1.0)</f>
        <v>1</v>
      </c>
      <c r="L179" s="129">
        <f>IFERROR(__xludf.DUMMYFUNCTION("""COMPUTED_VALUE"""),1.0)</f>
        <v>1</v>
      </c>
      <c r="M179" s="130">
        <f>IFERROR(__xludf.DUMMYFUNCTION("""COMPUTED_VALUE"""),1.0)</f>
        <v>1</v>
      </c>
      <c r="N179" s="130">
        <f>IFERROR(__xludf.DUMMYFUNCTION("""COMPUTED_VALUE"""),0.0)</f>
        <v>0</v>
      </c>
      <c r="O179" s="130">
        <f>IFERROR(__xludf.DUMMYFUNCTION("""COMPUTED_VALUE"""),0.0)</f>
        <v>0</v>
      </c>
      <c r="P179" s="130">
        <f>IFERROR(__xludf.DUMMYFUNCTION("""COMPUTED_VALUE"""),0.0)</f>
        <v>0</v>
      </c>
      <c r="Q179" s="129">
        <f>IFERROR(__xludf.DUMMYFUNCTION("""COMPUTED_VALUE"""),0.0)</f>
        <v>0</v>
      </c>
      <c r="R179" s="129">
        <f>IFERROR(__xludf.DUMMYFUNCTION("""COMPUTED_VALUE"""),0.0)</f>
        <v>0</v>
      </c>
      <c r="S179" s="129">
        <f>IFERROR(__xludf.DUMMYFUNCTION("""COMPUTED_VALUE"""),0.0)</f>
        <v>0</v>
      </c>
      <c r="T179" s="129">
        <f>IFERROR(__xludf.DUMMYFUNCTION("""COMPUTED_VALUE"""),0.0)</f>
        <v>0</v>
      </c>
      <c r="U179" s="129">
        <f>IFERROR(__xludf.DUMMYFUNCTION("""COMPUTED_VALUE"""),0.0)</f>
        <v>0</v>
      </c>
      <c r="V179" s="126">
        <f>IFERROR(__xludf.DUMMYFUNCTION("""COMPUTED_VALUE"""),0.0)</f>
        <v>0</v>
      </c>
      <c r="W179" s="126" t="str">
        <f>IFERROR(__xludf.DUMMYFUNCTION("""COMPUTED_VALUE"""),"Yes")</f>
        <v>Yes</v>
      </c>
      <c r="X179" s="126" t="str">
        <f>IFERROR(__xludf.DUMMYFUNCTION("""COMPUTED_VALUE"""),"Yes")</f>
        <v>Yes</v>
      </c>
      <c r="Y179" s="126" t="str">
        <f>IFERROR(__xludf.DUMMYFUNCTION("""COMPUTED_VALUE"""),"S")</f>
        <v>S</v>
      </c>
      <c r="Z179" s="126"/>
      <c r="AA179" s="126"/>
      <c r="AB179" s="126"/>
      <c r="AC179" s="126"/>
      <c r="AD179" s="126"/>
      <c r="AE179" s="126"/>
      <c r="AF179" s="126"/>
      <c r="AG179" s="126"/>
      <c r="AH179" s="126"/>
      <c r="AI179" s="126"/>
      <c r="AJ179" s="126"/>
    </row>
    <row r="180">
      <c r="A180" s="126">
        <f>IFERROR(__xludf.DUMMYFUNCTION("""COMPUTED_VALUE"""),537.0)</f>
        <v>537</v>
      </c>
      <c r="B180" s="126" t="str">
        <f>IFERROR(__xludf.DUMMYFUNCTION("""COMPUTED_VALUE"""),"Sharing with Live Migration Energy Optimization Scheduler for Cloud Computing Data Centers")</f>
        <v>Sharing with Live Migration Energy Optimization Scheduler for Cloud Computing Data Centers</v>
      </c>
      <c r="C180" s="127" t="str">
        <f>IFERROR(__xludf.DUMMYFUNCTION("""COMPUTED_VALUE"""),"https://www.mdpi.com/1999-5903/10/9/86")</f>
        <v>https://www.mdpi.com/1999-5903/10/9/86</v>
      </c>
      <c r="D180" s="126" t="str">
        <f>IFERROR(__xludf.DUMMYFUNCTION("""COMPUTED_VALUE"""),"S Alshathri, B Ghita, N Clarke")</f>
        <v>S Alshathri, B Ghita, N Clarke</v>
      </c>
      <c r="E180" s="126" t="str">
        <f>IFERROR(__xludf.DUMMYFUNCTION("""COMPUTED_VALUE"""),"Multidisciplinary Digital Publishing Institute")</f>
        <v>Multidisciplinary Digital Publishing Institute</v>
      </c>
      <c r="F180" s="126" t="str">
        <f>IFERROR(__xludf.DUMMYFUNCTION("""COMPUTED_VALUE"""),"MDPI")</f>
        <v>MDPI</v>
      </c>
      <c r="G180" s="128" t="str">
        <f>IFERROR(__xludf.DUMMYFUNCTION("""COMPUTED_VALUE"""),"J")</f>
        <v>J</v>
      </c>
      <c r="H180" s="129">
        <f>IFERROR(__xludf.DUMMYFUNCTION("""COMPUTED_VALUE"""),2018.0)</f>
        <v>2018</v>
      </c>
      <c r="I180" s="129">
        <f>IFERROR(__xludf.DUMMYFUNCTION("""COMPUTED_VALUE"""),1.0)</f>
        <v>1</v>
      </c>
      <c r="J180" s="129">
        <f>IFERROR(__xludf.DUMMYFUNCTION("""COMPUTED_VALUE"""),1.0)</f>
        <v>1</v>
      </c>
      <c r="K180" s="130">
        <f>IFERROR(__xludf.DUMMYFUNCTION("""COMPUTED_VALUE"""),1.0)</f>
        <v>1</v>
      </c>
      <c r="L180" s="129">
        <f>IFERROR(__xludf.DUMMYFUNCTION("""COMPUTED_VALUE"""),1.0)</f>
        <v>1</v>
      </c>
      <c r="M180" s="130">
        <f>IFERROR(__xludf.DUMMYFUNCTION("""COMPUTED_VALUE"""),1.0)</f>
        <v>1</v>
      </c>
      <c r="N180" s="130">
        <f>IFERROR(__xludf.DUMMYFUNCTION("""COMPUTED_VALUE"""),0.0)</f>
        <v>0</v>
      </c>
      <c r="O180" s="130">
        <f>IFERROR(__xludf.DUMMYFUNCTION("""COMPUTED_VALUE"""),0.0)</f>
        <v>0</v>
      </c>
      <c r="P180" s="129">
        <f>IFERROR(__xludf.DUMMYFUNCTION("""COMPUTED_VALUE"""),0.0)</f>
        <v>0</v>
      </c>
      <c r="Q180" s="129">
        <f>IFERROR(__xludf.DUMMYFUNCTION("""COMPUTED_VALUE"""),0.0)</f>
        <v>0</v>
      </c>
      <c r="R180" s="129">
        <f>IFERROR(__xludf.DUMMYFUNCTION("""COMPUTED_VALUE"""),0.0)</f>
        <v>0</v>
      </c>
      <c r="S180" s="129">
        <f>IFERROR(__xludf.DUMMYFUNCTION("""COMPUTED_VALUE"""),0.0)</f>
        <v>0</v>
      </c>
      <c r="T180" s="129">
        <f>IFERROR(__xludf.DUMMYFUNCTION("""COMPUTED_VALUE"""),0.0)</f>
        <v>0</v>
      </c>
      <c r="U180" s="129">
        <f>IFERROR(__xludf.DUMMYFUNCTION("""COMPUTED_VALUE"""),0.0)</f>
        <v>0</v>
      </c>
      <c r="V180" s="126">
        <f>IFERROR(__xludf.DUMMYFUNCTION("""COMPUTED_VALUE"""),0.0)</f>
        <v>0</v>
      </c>
      <c r="W180" s="126" t="str">
        <f>IFERROR(__xludf.DUMMYFUNCTION("""COMPUTED_VALUE"""),"Yes")</f>
        <v>Yes</v>
      </c>
      <c r="X180" s="126" t="str">
        <f>IFERROR(__xludf.DUMMYFUNCTION("""COMPUTED_VALUE"""),"Yes")</f>
        <v>Yes</v>
      </c>
      <c r="Y180" s="126" t="str">
        <f>IFERROR(__xludf.DUMMYFUNCTION("""COMPUTED_VALUE"""),"S")</f>
        <v>S</v>
      </c>
      <c r="Z180" s="126"/>
      <c r="AA180" s="126"/>
      <c r="AB180" s="126"/>
      <c r="AC180" s="126"/>
      <c r="AD180" s="126"/>
      <c r="AE180" s="126"/>
      <c r="AF180" s="126"/>
      <c r="AG180" s="126"/>
      <c r="AH180" s="126"/>
      <c r="AI180" s="126"/>
      <c r="AJ180" s="126"/>
    </row>
    <row r="181">
      <c r="A181" s="126">
        <f>IFERROR(__xludf.DUMMYFUNCTION("""COMPUTED_VALUE"""),538.0)</f>
        <v>538</v>
      </c>
      <c r="B181" s="126" t="str">
        <f>IFERROR(__xludf.DUMMYFUNCTION("""COMPUTED_VALUE"""),"Energy-Aware Multi-Objective Placement of Virtual Machines in Cloud Data Centers")</f>
        <v>Energy-Aware Multi-Objective Placement of Virtual Machines in Cloud Data Centers</v>
      </c>
      <c r="C181" s="127" t="str">
        <f>IFERROR(__xludf.DUMMYFUNCTION("""COMPUTED_VALUE"""),"https://dl.acm.org/doi/abs/10.1145/3239264.3239275")</f>
        <v>https://dl.acm.org/doi/abs/10.1145/3239264.3239275</v>
      </c>
      <c r="D181" s="126" t="str">
        <f>IFERROR(__xludf.DUMMYFUNCTION("""COMPUTED_VALUE"""),"HA Al-shehri, K Hamdi")</f>
        <v>HA Al-shehri, K Hamdi</v>
      </c>
      <c r="E181" s="126" t="str">
        <f>IFERROR(__xludf.DUMMYFUNCTION("""COMPUTED_VALUE"""),"Association for Computing Machinery")</f>
        <v>Association for Computing Machinery</v>
      </c>
      <c r="F181" s="126" t="str">
        <f>IFERROR(__xludf.DUMMYFUNCTION("""COMPUTED_VALUE"""),"ACM")</f>
        <v>ACM</v>
      </c>
      <c r="G181" s="128" t="str">
        <f>IFERROR(__xludf.DUMMYFUNCTION("""COMPUTED_VALUE"""),"C")</f>
        <v>C</v>
      </c>
      <c r="H181" s="129">
        <f>IFERROR(__xludf.DUMMYFUNCTION("""COMPUTED_VALUE"""),2018.0)</f>
        <v>2018</v>
      </c>
      <c r="I181" s="129">
        <f>IFERROR(__xludf.DUMMYFUNCTION("""COMPUTED_VALUE"""),1.0)</f>
        <v>1</v>
      </c>
      <c r="J181" s="129">
        <f>IFERROR(__xludf.DUMMYFUNCTION("""COMPUTED_VALUE"""),1.0)</f>
        <v>1</v>
      </c>
      <c r="K181" s="130">
        <f>IFERROR(__xludf.DUMMYFUNCTION("""COMPUTED_VALUE"""),1.0)</f>
        <v>1</v>
      </c>
      <c r="L181" s="130">
        <f>IFERROR(__xludf.DUMMYFUNCTION("""COMPUTED_VALUE"""),1.0)</f>
        <v>1</v>
      </c>
      <c r="M181" s="130">
        <f>IFERROR(__xludf.DUMMYFUNCTION("""COMPUTED_VALUE"""),1.0)</f>
        <v>1</v>
      </c>
      <c r="N181" s="130">
        <f>IFERROR(__xludf.DUMMYFUNCTION("""COMPUTED_VALUE"""),0.0)</f>
        <v>0</v>
      </c>
      <c r="O181" s="130">
        <f>IFERROR(__xludf.DUMMYFUNCTION("""COMPUTED_VALUE"""),0.0)</f>
        <v>0</v>
      </c>
      <c r="P181" s="129">
        <f>IFERROR(__xludf.DUMMYFUNCTION("""COMPUTED_VALUE"""),0.0)</f>
        <v>0</v>
      </c>
      <c r="Q181" s="130">
        <f>IFERROR(__xludf.DUMMYFUNCTION("""COMPUTED_VALUE"""),0.0)</f>
        <v>0</v>
      </c>
      <c r="R181" s="130">
        <f>IFERROR(__xludf.DUMMYFUNCTION("""COMPUTED_VALUE"""),0.0)</f>
        <v>0</v>
      </c>
      <c r="S181" s="130">
        <f>IFERROR(__xludf.DUMMYFUNCTION("""COMPUTED_VALUE"""),0.0)</f>
        <v>0</v>
      </c>
      <c r="T181" s="130">
        <f>IFERROR(__xludf.DUMMYFUNCTION("""COMPUTED_VALUE"""),0.0)</f>
        <v>0</v>
      </c>
      <c r="U181" s="130">
        <f>IFERROR(__xludf.DUMMYFUNCTION("""COMPUTED_VALUE"""),0.0)</f>
        <v>0</v>
      </c>
      <c r="V181" s="131">
        <f>IFERROR(__xludf.DUMMYFUNCTION("""COMPUTED_VALUE"""),0.0)</f>
        <v>0</v>
      </c>
      <c r="W181" s="131" t="str">
        <f>IFERROR(__xludf.DUMMYFUNCTION("""COMPUTED_VALUE"""),"Yes")</f>
        <v>Yes</v>
      </c>
      <c r="X181" s="131" t="str">
        <f>IFERROR(__xludf.DUMMYFUNCTION("""COMPUTED_VALUE"""),"Yes")</f>
        <v>Yes</v>
      </c>
      <c r="Y181" s="131" t="str">
        <f>IFERROR(__xludf.DUMMYFUNCTION("""COMPUTED_VALUE"""),"S")</f>
        <v>S</v>
      </c>
      <c r="Z181" s="131"/>
      <c r="AA181" s="131"/>
      <c r="AB181" s="131"/>
      <c r="AC181" s="131"/>
      <c r="AD181" s="131"/>
      <c r="AE181" s="131"/>
      <c r="AF181" s="131"/>
      <c r="AG181" s="131"/>
      <c r="AH181" s="131"/>
      <c r="AI181" s="131"/>
      <c r="AJ181" s="131"/>
    </row>
    <row r="182">
      <c r="A182" s="126">
        <f>IFERROR(__xludf.DUMMYFUNCTION("""COMPUTED_VALUE"""),540.0)</f>
        <v>540</v>
      </c>
      <c r="B182" s="126" t="str">
        <f>IFERROR(__xludf.DUMMYFUNCTION("""COMPUTED_VALUE"""),"A cloud data center virtual machine placement scheme based on energy optimization")</f>
        <v>A cloud data center virtual machine placement scheme based on energy optimization</v>
      </c>
      <c r="C182" s="127" t="str">
        <f>IFERROR(__xludf.DUMMYFUNCTION("""COMPUTED_VALUE"""),"https://ieeexplore.ieee.org/abstract/document/8644591/")</f>
        <v>https://ieeexplore.ieee.org/abstract/document/8644591/</v>
      </c>
      <c r="D182" s="131" t="str">
        <f>IFERROR(__xludf.DUMMYFUNCTION("""COMPUTED_VALUE"""),"S Zhang, F Meng, Z Zhang")</f>
        <v>S Zhang, F Meng, Z Zhang</v>
      </c>
      <c r="E182" s="131" t="str">
        <f>IFERROR(__xludf.DUMMYFUNCTION("""COMPUTED_VALUE"""),"Institute of Electrical and Electronics Engineers")</f>
        <v>Institute of Electrical and Electronics Engineers</v>
      </c>
      <c r="F182" s="126" t="str">
        <f>IFERROR(__xludf.DUMMYFUNCTION("""COMPUTED_VALUE"""),"IEEE Xplore")</f>
        <v>IEEE Xplore</v>
      </c>
      <c r="G182" s="128" t="str">
        <f>IFERROR(__xludf.DUMMYFUNCTION("""COMPUTED_VALUE"""),"C")</f>
        <v>C</v>
      </c>
      <c r="H182" s="130">
        <f>IFERROR(__xludf.DUMMYFUNCTION("""COMPUTED_VALUE"""),2018.0)</f>
        <v>2018</v>
      </c>
      <c r="I182" s="130">
        <f>IFERROR(__xludf.DUMMYFUNCTION("""COMPUTED_VALUE"""),1.0)</f>
        <v>1</v>
      </c>
      <c r="J182" s="130">
        <f>IFERROR(__xludf.DUMMYFUNCTION("""COMPUTED_VALUE"""),1.0)</f>
        <v>1</v>
      </c>
      <c r="K182" s="130">
        <f>IFERROR(__xludf.DUMMYFUNCTION("""COMPUTED_VALUE"""),1.0)</f>
        <v>1</v>
      </c>
      <c r="L182" s="129">
        <f>IFERROR(__xludf.DUMMYFUNCTION("""COMPUTED_VALUE"""),1.0)</f>
        <v>1</v>
      </c>
      <c r="M182" s="130">
        <f>IFERROR(__xludf.DUMMYFUNCTION("""COMPUTED_VALUE"""),1.0)</f>
        <v>1</v>
      </c>
      <c r="N182" s="130">
        <f>IFERROR(__xludf.DUMMYFUNCTION("""COMPUTED_VALUE"""),0.0)</f>
        <v>0</v>
      </c>
      <c r="O182" s="130">
        <f>IFERROR(__xludf.DUMMYFUNCTION("""COMPUTED_VALUE"""),0.0)</f>
        <v>0</v>
      </c>
      <c r="P182" s="130">
        <f>IFERROR(__xludf.DUMMYFUNCTION("""COMPUTED_VALUE"""),0.0)</f>
        <v>0</v>
      </c>
      <c r="Q182" s="130">
        <f>IFERROR(__xludf.DUMMYFUNCTION("""COMPUTED_VALUE"""),0.0)</f>
        <v>0</v>
      </c>
      <c r="R182" s="130">
        <f>IFERROR(__xludf.DUMMYFUNCTION("""COMPUTED_VALUE"""),0.0)</f>
        <v>0</v>
      </c>
      <c r="S182" s="130">
        <f>IFERROR(__xludf.DUMMYFUNCTION("""COMPUTED_VALUE"""),0.0)</f>
        <v>0</v>
      </c>
      <c r="T182" s="130">
        <f>IFERROR(__xludf.DUMMYFUNCTION("""COMPUTED_VALUE"""),0.0)</f>
        <v>0</v>
      </c>
      <c r="U182" s="130">
        <f>IFERROR(__xludf.DUMMYFUNCTION("""COMPUTED_VALUE"""),0.0)</f>
        <v>0</v>
      </c>
      <c r="V182" s="131">
        <f>IFERROR(__xludf.DUMMYFUNCTION("""COMPUTED_VALUE"""),0.0)</f>
        <v>0</v>
      </c>
      <c r="W182" s="131" t="str">
        <f>IFERROR(__xludf.DUMMYFUNCTION("""COMPUTED_VALUE"""),"Yes")</f>
        <v>Yes</v>
      </c>
      <c r="X182" s="131" t="str">
        <f>IFERROR(__xludf.DUMMYFUNCTION("""COMPUTED_VALUE"""),"Yes")</f>
        <v>Yes</v>
      </c>
      <c r="Y182" s="131" t="str">
        <f>IFERROR(__xludf.DUMMYFUNCTION("""COMPUTED_VALUE"""),"S")</f>
        <v>S</v>
      </c>
      <c r="Z182" s="131"/>
      <c r="AA182" s="131"/>
      <c r="AB182" s="131"/>
      <c r="AC182" s="131"/>
      <c r="AD182" s="131"/>
      <c r="AE182" s="131"/>
      <c r="AF182" s="131"/>
      <c r="AG182" s="131"/>
      <c r="AH182" s="131"/>
      <c r="AI182" s="131"/>
      <c r="AJ182" s="131"/>
    </row>
    <row r="183">
      <c r="A183" s="126">
        <f>IFERROR(__xludf.DUMMYFUNCTION("""COMPUTED_VALUE"""),542.0)</f>
        <v>542</v>
      </c>
      <c r="B183" s="126" t="str">
        <f>IFERROR(__xludf.DUMMYFUNCTION("""COMPUTED_VALUE"""),"An adaptive heuristic for managing energy consumption and overloaded hosts in a cloud data center")</f>
        <v>An adaptive heuristic for managing energy consumption and overloaded hosts in a cloud data center</v>
      </c>
      <c r="C183" s="127" t="str">
        <f>IFERROR(__xludf.DUMMYFUNCTION("""COMPUTED_VALUE"""),"https://link.springer.com/article/10.1007/s11276-018-1874-1")</f>
        <v>https://link.springer.com/article/10.1007/s11276-018-1874-1</v>
      </c>
      <c r="D183" s="126" t="str">
        <f>IFERROR(__xludf.DUMMYFUNCTION("""COMPUTED_VALUE"""),"R Yadav, W Zhang, K Li, C Liu, M Shafiq, NK Karn")</f>
        <v>R Yadav, W Zhang, K Li, C Liu, M Shafiq, NK Karn</v>
      </c>
      <c r="E183" s="126" t="str">
        <f>IFERROR(__xludf.DUMMYFUNCTION("""COMPUTED_VALUE"""),"Springer")</f>
        <v>Springer</v>
      </c>
      <c r="F183" s="126" t="str">
        <f>IFERROR(__xludf.DUMMYFUNCTION("""COMPUTED_VALUE"""),"Springer")</f>
        <v>Springer</v>
      </c>
      <c r="G183" s="128" t="str">
        <f>IFERROR(__xludf.DUMMYFUNCTION("""COMPUTED_VALUE"""),"J")</f>
        <v>J</v>
      </c>
      <c r="H183" s="130">
        <f>IFERROR(__xludf.DUMMYFUNCTION("""COMPUTED_VALUE"""),2018.0)</f>
        <v>2018</v>
      </c>
      <c r="I183" s="130">
        <f>IFERROR(__xludf.DUMMYFUNCTION("""COMPUTED_VALUE"""),1.0)</f>
        <v>1</v>
      </c>
      <c r="J183" s="130">
        <f>IFERROR(__xludf.DUMMYFUNCTION("""COMPUTED_VALUE"""),1.0)</f>
        <v>1</v>
      </c>
      <c r="K183" s="130">
        <f>IFERROR(__xludf.DUMMYFUNCTION("""COMPUTED_VALUE"""),1.0)</f>
        <v>1</v>
      </c>
      <c r="L183" s="129">
        <f>IFERROR(__xludf.DUMMYFUNCTION("""COMPUTED_VALUE"""),1.0)</f>
        <v>1</v>
      </c>
      <c r="M183" s="130">
        <f>IFERROR(__xludf.DUMMYFUNCTION("""COMPUTED_VALUE"""),1.0)</f>
        <v>1</v>
      </c>
      <c r="N183" s="130">
        <f>IFERROR(__xludf.DUMMYFUNCTION("""COMPUTED_VALUE"""),0.0)</f>
        <v>0</v>
      </c>
      <c r="O183" s="130">
        <f>IFERROR(__xludf.DUMMYFUNCTION("""COMPUTED_VALUE"""),0.0)</f>
        <v>0</v>
      </c>
      <c r="P183" s="130">
        <f>IFERROR(__xludf.DUMMYFUNCTION("""COMPUTED_VALUE"""),0.0)</f>
        <v>0</v>
      </c>
      <c r="Q183" s="129">
        <f>IFERROR(__xludf.DUMMYFUNCTION("""COMPUTED_VALUE"""),0.0)</f>
        <v>0</v>
      </c>
      <c r="R183" s="129">
        <f>IFERROR(__xludf.DUMMYFUNCTION("""COMPUTED_VALUE"""),0.0)</f>
        <v>0</v>
      </c>
      <c r="S183" s="129">
        <f>IFERROR(__xludf.DUMMYFUNCTION("""COMPUTED_VALUE"""),0.0)</f>
        <v>0</v>
      </c>
      <c r="T183" s="129">
        <f>IFERROR(__xludf.DUMMYFUNCTION("""COMPUTED_VALUE"""),0.0)</f>
        <v>0</v>
      </c>
      <c r="U183" s="129">
        <f>IFERROR(__xludf.DUMMYFUNCTION("""COMPUTED_VALUE"""),0.0)</f>
        <v>0</v>
      </c>
      <c r="V183" s="126">
        <f>IFERROR(__xludf.DUMMYFUNCTION("""COMPUTED_VALUE"""),0.0)</f>
        <v>0</v>
      </c>
      <c r="W183" s="126" t="str">
        <f>IFERROR(__xludf.DUMMYFUNCTION("""COMPUTED_VALUE"""),"Yes")</f>
        <v>Yes</v>
      </c>
      <c r="X183" s="126" t="str">
        <f>IFERROR(__xludf.DUMMYFUNCTION("""COMPUTED_VALUE"""),"Yes")</f>
        <v>Yes</v>
      </c>
      <c r="Y183" s="126" t="str">
        <f>IFERROR(__xludf.DUMMYFUNCTION("""COMPUTED_VALUE"""),"S")</f>
        <v>S</v>
      </c>
      <c r="Z183" s="126"/>
      <c r="AA183" s="126"/>
      <c r="AB183" s="126"/>
      <c r="AC183" s="126"/>
      <c r="AD183" s="126"/>
      <c r="AE183" s="126"/>
      <c r="AF183" s="126"/>
      <c r="AG183" s="126"/>
      <c r="AH183" s="126"/>
      <c r="AI183" s="126"/>
      <c r="AJ183" s="126"/>
    </row>
    <row r="184">
      <c r="A184" s="126">
        <f>IFERROR(__xludf.DUMMYFUNCTION("""COMPUTED_VALUE"""),546.0)</f>
        <v>546</v>
      </c>
      <c r="B184" s="126" t="str">
        <f>IFERROR(__xludf.DUMMYFUNCTION("""COMPUTED_VALUE"""),"Distributed Energy Management for Multiple Data Centers with Renewable Resources and Energy Storages")</f>
        <v>Distributed Energy Management for Multiple Data Centers with Renewable Resources and Energy Storages</v>
      </c>
      <c r="C184" s="127" t="str">
        <f>IFERROR(__xludf.DUMMYFUNCTION("""COMPUTED_VALUE"""),"https://ieeexplore.ieee.org/abstract/document/9234691/")</f>
        <v>https://ieeexplore.ieee.org/abstract/document/9234691/</v>
      </c>
      <c r="D184" s="126" t="str">
        <f>IFERROR(__xludf.DUMMYFUNCTION("""COMPUTED_VALUE"""),"G Zhang, S Zhang, W Zhang, Z Shen, L Wang")</f>
        <v>G Zhang, S Zhang, W Zhang, Z Shen, L Wang</v>
      </c>
      <c r="E184" s="126" t="str">
        <f>IFERROR(__xludf.DUMMYFUNCTION("""COMPUTED_VALUE"""),"Institute of Electrical and Electronics Engineers")</f>
        <v>Institute of Electrical and Electronics Engineers</v>
      </c>
      <c r="F184" s="126" t="str">
        <f>IFERROR(__xludf.DUMMYFUNCTION("""COMPUTED_VALUE"""),"IEEE Xplore")</f>
        <v>IEEE Xplore</v>
      </c>
      <c r="G184" s="128" t="str">
        <f>IFERROR(__xludf.DUMMYFUNCTION("""COMPUTED_VALUE"""),"J")</f>
        <v>J</v>
      </c>
      <c r="H184" s="130">
        <f>IFERROR(__xludf.DUMMYFUNCTION("""COMPUTED_VALUE"""),2020.0)</f>
        <v>2020</v>
      </c>
      <c r="I184" s="129">
        <f>IFERROR(__xludf.DUMMYFUNCTION("""COMPUTED_VALUE"""),1.0)</f>
        <v>1</v>
      </c>
      <c r="J184" s="130">
        <f>IFERROR(__xludf.DUMMYFUNCTION("""COMPUTED_VALUE"""),1.0)</f>
        <v>1</v>
      </c>
      <c r="K184" s="130">
        <f>IFERROR(__xludf.DUMMYFUNCTION("""COMPUTED_VALUE"""),1.0)</f>
        <v>1</v>
      </c>
      <c r="L184" s="130">
        <f>IFERROR(__xludf.DUMMYFUNCTION("""COMPUTED_VALUE"""),1.0)</f>
        <v>1</v>
      </c>
      <c r="M184" s="130">
        <f>IFERROR(__xludf.DUMMYFUNCTION("""COMPUTED_VALUE"""),1.0)</f>
        <v>1</v>
      </c>
      <c r="N184" s="130">
        <f>IFERROR(__xludf.DUMMYFUNCTION("""COMPUTED_VALUE"""),0.0)</f>
        <v>0</v>
      </c>
      <c r="O184" s="130">
        <f>IFERROR(__xludf.DUMMYFUNCTION("""COMPUTED_VALUE"""),0.0)</f>
        <v>0</v>
      </c>
      <c r="P184" s="130">
        <f>IFERROR(__xludf.DUMMYFUNCTION("""COMPUTED_VALUE"""),0.0)</f>
        <v>0</v>
      </c>
      <c r="Q184" s="130">
        <f>IFERROR(__xludf.DUMMYFUNCTION("""COMPUTED_VALUE"""),0.0)</f>
        <v>0</v>
      </c>
      <c r="R184" s="130">
        <f>IFERROR(__xludf.DUMMYFUNCTION("""COMPUTED_VALUE"""),0.0)</f>
        <v>0</v>
      </c>
      <c r="S184" s="130">
        <f>IFERROR(__xludf.DUMMYFUNCTION("""COMPUTED_VALUE"""),0.0)</f>
        <v>0</v>
      </c>
      <c r="T184" s="130">
        <f>IFERROR(__xludf.DUMMYFUNCTION("""COMPUTED_VALUE"""),0.0)</f>
        <v>0</v>
      </c>
      <c r="U184" s="130">
        <f>IFERROR(__xludf.DUMMYFUNCTION("""COMPUTED_VALUE"""),0.0)</f>
        <v>0</v>
      </c>
      <c r="V184" s="131">
        <f>IFERROR(__xludf.DUMMYFUNCTION("""COMPUTED_VALUE"""),0.0)</f>
        <v>0</v>
      </c>
      <c r="W184" s="131" t="str">
        <f>IFERROR(__xludf.DUMMYFUNCTION("""COMPUTED_VALUE"""),"Yes")</f>
        <v>Yes</v>
      </c>
      <c r="X184" s="131" t="str">
        <f>IFERROR(__xludf.DUMMYFUNCTION("""COMPUTED_VALUE"""),"Yes")</f>
        <v>Yes</v>
      </c>
      <c r="Y184" s="131" t="str">
        <f>IFERROR(__xludf.DUMMYFUNCTION("""COMPUTED_VALUE"""),"S")</f>
        <v>S</v>
      </c>
      <c r="Z184" s="131"/>
      <c r="AA184" s="131"/>
      <c r="AB184" s="131"/>
      <c r="AC184" s="131"/>
      <c r="AD184" s="131"/>
      <c r="AE184" s="131"/>
      <c r="AF184" s="131"/>
      <c r="AG184" s="131"/>
      <c r="AH184" s="131"/>
      <c r="AI184" s="131"/>
      <c r="AJ184" s="131"/>
    </row>
    <row r="185">
      <c r="A185" s="126">
        <f>IFERROR(__xludf.DUMMYFUNCTION("""COMPUTED_VALUE"""),548.0)</f>
        <v>548</v>
      </c>
      <c r="B185" s="126" t="str">
        <f>IFERROR(__xludf.DUMMYFUNCTION("""COMPUTED_VALUE"""),"An artificial neural network based approach for energy efficient task scheduling in cloud data centers")</f>
        <v>An artificial neural network based approach for energy efficient task scheduling in cloud data centers</v>
      </c>
      <c r="C185" s="127" t="str">
        <f>IFERROR(__xludf.DUMMYFUNCTION("""COMPUTED_VALUE"""),"https://www.sciencedirect.com/science/article/pii/S2210537918302798")</f>
        <v>https://www.sciencedirect.com/science/article/pii/S2210537918302798</v>
      </c>
      <c r="D185" s="126" t="str">
        <f>IFERROR(__xludf.DUMMYFUNCTION("""COMPUTED_VALUE"""),"M Sharma, R Garg")</f>
        <v>M Sharma, R Garg</v>
      </c>
      <c r="E185" s="126" t="str">
        <f>IFERROR(__xludf.DUMMYFUNCTION("""COMPUTED_VALUE"""),"Elsevier")</f>
        <v>Elsevier</v>
      </c>
      <c r="F185" s="126" t="str">
        <f>IFERROR(__xludf.DUMMYFUNCTION("""COMPUTED_VALUE"""),"Elsevier")</f>
        <v>Elsevier</v>
      </c>
      <c r="G185" s="128" t="str">
        <f>IFERROR(__xludf.DUMMYFUNCTION("""COMPUTED_VALUE"""),"J")</f>
        <v>J</v>
      </c>
      <c r="H185" s="129">
        <f>IFERROR(__xludf.DUMMYFUNCTION("""COMPUTED_VALUE"""),2020.0)</f>
        <v>2020</v>
      </c>
      <c r="I185" s="129">
        <f>IFERROR(__xludf.DUMMYFUNCTION("""COMPUTED_VALUE"""),1.0)</f>
        <v>1</v>
      </c>
      <c r="J185" s="129">
        <f>IFERROR(__xludf.DUMMYFUNCTION("""COMPUTED_VALUE"""),1.0)</f>
        <v>1</v>
      </c>
      <c r="K185" s="130">
        <f>IFERROR(__xludf.DUMMYFUNCTION("""COMPUTED_VALUE"""),1.0)</f>
        <v>1</v>
      </c>
      <c r="L185" s="130">
        <f>IFERROR(__xludf.DUMMYFUNCTION("""COMPUTED_VALUE"""),1.0)</f>
        <v>1</v>
      </c>
      <c r="M185" s="130">
        <f>IFERROR(__xludf.DUMMYFUNCTION("""COMPUTED_VALUE"""),1.0)</f>
        <v>1</v>
      </c>
      <c r="N185" s="129">
        <f>IFERROR(__xludf.DUMMYFUNCTION("""COMPUTED_VALUE"""),0.0)</f>
        <v>0</v>
      </c>
      <c r="O185" s="130">
        <f>IFERROR(__xludf.DUMMYFUNCTION("""COMPUTED_VALUE"""),0.0)</f>
        <v>0</v>
      </c>
      <c r="P185" s="130">
        <f>IFERROR(__xludf.DUMMYFUNCTION("""COMPUTED_VALUE"""),0.0)</f>
        <v>0</v>
      </c>
      <c r="Q185" s="129">
        <f>IFERROR(__xludf.DUMMYFUNCTION("""COMPUTED_VALUE"""),0.0)</f>
        <v>0</v>
      </c>
      <c r="R185" s="129">
        <f>IFERROR(__xludf.DUMMYFUNCTION("""COMPUTED_VALUE"""),0.0)</f>
        <v>0</v>
      </c>
      <c r="S185" s="129">
        <f>IFERROR(__xludf.DUMMYFUNCTION("""COMPUTED_VALUE"""),0.0)</f>
        <v>0</v>
      </c>
      <c r="T185" s="129">
        <f>IFERROR(__xludf.DUMMYFUNCTION("""COMPUTED_VALUE"""),0.0)</f>
        <v>0</v>
      </c>
      <c r="U185" s="129">
        <f>IFERROR(__xludf.DUMMYFUNCTION("""COMPUTED_VALUE"""),0.0)</f>
        <v>0</v>
      </c>
      <c r="V185" s="126">
        <f>IFERROR(__xludf.DUMMYFUNCTION("""COMPUTED_VALUE"""),0.0)</f>
        <v>0</v>
      </c>
      <c r="W185" s="126" t="str">
        <f>IFERROR(__xludf.DUMMYFUNCTION("""COMPUTED_VALUE"""),"Yes")</f>
        <v>Yes</v>
      </c>
      <c r="X185" s="126" t="str">
        <f>IFERROR(__xludf.DUMMYFUNCTION("""COMPUTED_VALUE"""),"Yes")</f>
        <v>Yes</v>
      </c>
      <c r="Y185" s="126" t="str">
        <f>IFERROR(__xludf.DUMMYFUNCTION("""COMPUTED_VALUE"""),"S")</f>
        <v>S</v>
      </c>
      <c r="Z185" s="126"/>
      <c r="AA185" s="126"/>
      <c r="AB185" s="126"/>
      <c r="AC185" s="126"/>
      <c r="AD185" s="126"/>
      <c r="AE185" s="126"/>
      <c r="AF185" s="126"/>
      <c r="AG185" s="126"/>
      <c r="AH185" s="126"/>
      <c r="AI185" s="126"/>
      <c r="AJ185" s="126"/>
    </row>
    <row r="186">
      <c r="A186" s="126">
        <f>IFERROR(__xludf.DUMMYFUNCTION("""COMPUTED_VALUE"""),549.0)</f>
        <v>549</v>
      </c>
      <c r="B186" s="126" t="str">
        <f>IFERROR(__xludf.DUMMYFUNCTION("""COMPUTED_VALUE"""),"CSL-driven and energy-efficient resource scheduling in cloud data center")</f>
        <v>CSL-driven and energy-efficient resource scheduling in cloud data center</v>
      </c>
      <c r="C186" s="127" t="str">
        <f>IFERROR(__xludf.DUMMYFUNCTION("""COMPUTED_VALUE"""),"https://link.springer.com/article/10.1007/s11227-019-03036-9")</f>
        <v>https://link.springer.com/article/10.1007/s11227-019-03036-9</v>
      </c>
      <c r="D186" s="126" t="str">
        <f>IFERROR(__xludf.DUMMYFUNCTION("""COMPUTED_VALUE"""),"H Li, Y Zhao, S Fang")</f>
        <v>H Li, Y Zhao, S Fang</v>
      </c>
      <c r="E186" s="126" t="str">
        <f>IFERROR(__xludf.DUMMYFUNCTION("""COMPUTED_VALUE"""),"Springer")</f>
        <v>Springer</v>
      </c>
      <c r="F186" s="126" t="str">
        <f>IFERROR(__xludf.DUMMYFUNCTION("""COMPUTED_VALUE"""),"Springer")</f>
        <v>Springer</v>
      </c>
      <c r="G186" s="132" t="str">
        <f>IFERROR(__xludf.DUMMYFUNCTION("""COMPUTED_VALUE"""),"J")</f>
        <v>J</v>
      </c>
      <c r="H186" s="129">
        <f>IFERROR(__xludf.DUMMYFUNCTION("""COMPUTED_VALUE"""),2020.0)</f>
        <v>2020</v>
      </c>
      <c r="I186" s="129">
        <f>IFERROR(__xludf.DUMMYFUNCTION("""COMPUTED_VALUE"""),1.0)</f>
        <v>1</v>
      </c>
      <c r="J186" s="129">
        <f>IFERROR(__xludf.DUMMYFUNCTION("""COMPUTED_VALUE"""),1.0)</f>
        <v>1</v>
      </c>
      <c r="K186" s="130">
        <f>IFERROR(__xludf.DUMMYFUNCTION("""COMPUTED_VALUE"""),1.0)</f>
        <v>1</v>
      </c>
      <c r="L186" s="130">
        <f>IFERROR(__xludf.DUMMYFUNCTION("""COMPUTED_VALUE"""),1.0)</f>
        <v>1</v>
      </c>
      <c r="M186" s="130">
        <f>IFERROR(__xludf.DUMMYFUNCTION("""COMPUTED_VALUE"""),1.0)</f>
        <v>1</v>
      </c>
      <c r="N186" s="130">
        <f>IFERROR(__xludf.DUMMYFUNCTION("""COMPUTED_VALUE"""),0.0)</f>
        <v>0</v>
      </c>
      <c r="O186" s="130">
        <f>IFERROR(__xludf.DUMMYFUNCTION("""COMPUTED_VALUE"""),0.0)</f>
        <v>0</v>
      </c>
      <c r="P186" s="129">
        <f>IFERROR(__xludf.DUMMYFUNCTION("""COMPUTED_VALUE"""),0.0)</f>
        <v>0</v>
      </c>
      <c r="Q186" s="129">
        <f>IFERROR(__xludf.DUMMYFUNCTION("""COMPUTED_VALUE"""),0.0)</f>
        <v>0</v>
      </c>
      <c r="R186" s="129">
        <f>IFERROR(__xludf.DUMMYFUNCTION("""COMPUTED_VALUE"""),0.0)</f>
        <v>0</v>
      </c>
      <c r="S186" s="129">
        <f>IFERROR(__xludf.DUMMYFUNCTION("""COMPUTED_VALUE"""),0.0)</f>
        <v>0</v>
      </c>
      <c r="T186" s="129">
        <f>IFERROR(__xludf.DUMMYFUNCTION("""COMPUTED_VALUE"""),0.0)</f>
        <v>0</v>
      </c>
      <c r="U186" s="129">
        <f>IFERROR(__xludf.DUMMYFUNCTION("""COMPUTED_VALUE"""),0.0)</f>
        <v>0</v>
      </c>
      <c r="V186" s="126">
        <f>IFERROR(__xludf.DUMMYFUNCTION("""COMPUTED_VALUE"""),0.0)</f>
        <v>0</v>
      </c>
      <c r="W186" s="126" t="str">
        <f>IFERROR(__xludf.DUMMYFUNCTION("""COMPUTED_VALUE"""),"Yes")</f>
        <v>Yes</v>
      </c>
      <c r="X186" s="126" t="str">
        <f>IFERROR(__xludf.DUMMYFUNCTION("""COMPUTED_VALUE"""),"Yes")</f>
        <v>Yes</v>
      </c>
      <c r="Y186" s="126" t="str">
        <f>IFERROR(__xludf.DUMMYFUNCTION("""COMPUTED_VALUE"""),"S")</f>
        <v>S</v>
      </c>
      <c r="Z186" s="126"/>
      <c r="AA186" s="126"/>
      <c r="AB186" s="126"/>
      <c r="AC186" s="126"/>
      <c r="AD186" s="126"/>
      <c r="AE186" s="126"/>
      <c r="AF186" s="126"/>
      <c r="AG186" s="126"/>
      <c r="AH186" s="126"/>
      <c r="AI186" s="126"/>
      <c r="AJ186" s="126"/>
    </row>
    <row r="187">
      <c r="A187" s="126">
        <f>IFERROR(__xludf.DUMMYFUNCTION("""COMPUTED_VALUE"""),550.0)</f>
        <v>550</v>
      </c>
      <c r="B187" s="126" t="str">
        <f>IFERROR(__xludf.DUMMYFUNCTION("""COMPUTED_VALUE"""),"Evaluating the upper bound of energy cost saving by proactive data center management")</f>
        <v>Evaluating the upper bound of energy cost saving by proactive data center management</v>
      </c>
      <c r="C187" s="127" t="str">
        <f>IFERROR(__xludf.DUMMYFUNCTION("""COMPUTED_VALUE"""),"https://ieeexplore.ieee.org/abstract/document/9069318/")</f>
        <v>https://ieeexplore.ieee.org/abstract/document/9069318/</v>
      </c>
      <c r="D187" s="126" t="str">
        <f>IFERROR(__xludf.DUMMYFUNCTION("""COMPUTED_VALUE"""),"R Milocco, P Minet, E Renault, S Boumerdassi")</f>
        <v>R Milocco, P Minet, E Renault, S Boumerdassi</v>
      </c>
      <c r="E187" s="126" t="str">
        <f>IFERROR(__xludf.DUMMYFUNCTION("""COMPUTED_VALUE"""),"Institute of Electrical and Electronics Engineers")</f>
        <v>Institute of Electrical and Electronics Engineers</v>
      </c>
      <c r="F187" s="126" t="str">
        <f>IFERROR(__xludf.DUMMYFUNCTION("""COMPUTED_VALUE"""),"IEEE Xplore")</f>
        <v>IEEE Xplore</v>
      </c>
      <c r="G187" s="128" t="str">
        <f>IFERROR(__xludf.DUMMYFUNCTION("""COMPUTED_VALUE"""),"J")</f>
        <v>J</v>
      </c>
      <c r="H187" s="130">
        <f>IFERROR(__xludf.DUMMYFUNCTION("""COMPUTED_VALUE"""),2020.0)</f>
        <v>2020</v>
      </c>
      <c r="I187" s="129">
        <f>IFERROR(__xludf.DUMMYFUNCTION("""COMPUTED_VALUE"""),1.0)</f>
        <v>1</v>
      </c>
      <c r="J187" s="130">
        <f>IFERROR(__xludf.DUMMYFUNCTION("""COMPUTED_VALUE"""),1.0)</f>
        <v>1</v>
      </c>
      <c r="K187" s="130">
        <f>IFERROR(__xludf.DUMMYFUNCTION("""COMPUTED_VALUE"""),1.0)</f>
        <v>1</v>
      </c>
      <c r="L187" s="130">
        <f>IFERROR(__xludf.DUMMYFUNCTION("""COMPUTED_VALUE"""),1.0)</f>
        <v>1</v>
      </c>
      <c r="M187" s="130">
        <f>IFERROR(__xludf.DUMMYFUNCTION("""COMPUTED_VALUE"""),1.0)</f>
        <v>1</v>
      </c>
      <c r="N187" s="130">
        <f>IFERROR(__xludf.DUMMYFUNCTION("""COMPUTED_VALUE"""),0.0)</f>
        <v>0</v>
      </c>
      <c r="O187" s="130">
        <f>IFERROR(__xludf.DUMMYFUNCTION("""COMPUTED_VALUE"""),0.0)</f>
        <v>0</v>
      </c>
      <c r="P187" s="130">
        <f>IFERROR(__xludf.DUMMYFUNCTION("""COMPUTED_VALUE"""),0.0)</f>
        <v>0</v>
      </c>
      <c r="Q187" s="130">
        <f>IFERROR(__xludf.DUMMYFUNCTION("""COMPUTED_VALUE"""),0.0)</f>
        <v>0</v>
      </c>
      <c r="R187" s="130">
        <f>IFERROR(__xludf.DUMMYFUNCTION("""COMPUTED_VALUE"""),0.0)</f>
        <v>0</v>
      </c>
      <c r="S187" s="130">
        <f>IFERROR(__xludf.DUMMYFUNCTION("""COMPUTED_VALUE"""),0.0)</f>
        <v>0</v>
      </c>
      <c r="T187" s="130">
        <f>IFERROR(__xludf.DUMMYFUNCTION("""COMPUTED_VALUE"""),0.0)</f>
        <v>0</v>
      </c>
      <c r="U187" s="130">
        <f>IFERROR(__xludf.DUMMYFUNCTION("""COMPUTED_VALUE"""),0.0)</f>
        <v>0</v>
      </c>
      <c r="V187" s="131">
        <f>IFERROR(__xludf.DUMMYFUNCTION("""COMPUTED_VALUE"""),0.0)</f>
        <v>0</v>
      </c>
      <c r="W187" s="131" t="str">
        <f>IFERROR(__xludf.DUMMYFUNCTION("""COMPUTED_VALUE"""),"Yes")</f>
        <v>Yes</v>
      </c>
      <c r="X187" s="131" t="str">
        <f>IFERROR(__xludf.DUMMYFUNCTION("""COMPUTED_VALUE"""),"Yes")</f>
        <v>Yes</v>
      </c>
      <c r="Y187" s="131" t="str">
        <f>IFERROR(__xludf.DUMMYFUNCTION("""COMPUTED_VALUE"""),"S")</f>
        <v>S</v>
      </c>
      <c r="Z187" s="131"/>
      <c r="AA187" s="131"/>
      <c r="AB187" s="131"/>
      <c r="AC187" s="131"/>
      <c r="AD187" s="131"/>
      <c r="AE187" s="131"/>
      <c r="AF187" s="131"/>
      <c r="AG187" s="131"/>
      <c r="AH187" s="131"/>
      <c r="AI187" s="131"/>
      <c r="AJ187" s="131"/>
    </row>
    <row r="188">
      <c r="A188" s="126">
        <f>IFERROR(__xludf.DUMMYFUNCTION("""COMPUTED_VALUE"""),551.0)</f>
        <v>551</v>
      </c>
      <c r="B188" s="126" t="str">
        <f>IFERROR(__xludf.DUMMYFUNCTION("""COMPUTED_VALUE"""),"A framework to optimize energy efficiency in data centers based on certified KPIs")</f>
        <v>A framework to optimize energy efficiency in data centers based on certified KPIs</v>
      </c>
      <c r="C188" s="127" t="str">
        <f>IFERROR(__xludf.DUMMYFUNCTION("""COMPUTED_VALUE"""),"https://www.mdpi.com/2227-7080/6/3/87")</f>
        <v>https://www.mdpi.com/2227-7080/6/3/87</v>
      </c>
      <c r="D188" s="126" t="str">
        <f>IFERROR(__xludf.DUMMYFUNCTION("""COMPUTED_VALUE"""),"V Gizli, J Marx Gómez")</f>
        <v>V Gizli, J Marx Gómez</v>
      </c>
      <c r="E188" s="126" t="str">
        <f>IFERROR(__xludf.DUMMYFUNCTION("""COMPUTED_VALUE"""),"Multidisciplinary Digital Publishing Institute")</f>
        <v>Multidisciplinary Digital Publishing Institute</v>
      </c>
      <c r="F188" s="126" t="str">
        <f>IFERROR(__xludf.DUMMYFUNCTION("""COMPUTED_VALUE"""),"MDPI")</f>
        <v>MDPI</v>
      </c>
      <c r="G188" s="128" t="str">
        <f>IFERROR(__xludf.DUMMYFUNCTION("""COMPUTED_VALUE"""),"J")</f>
        <v>J</v>
      </c>
      <c r="H188" s="130">
        <f>IFERROR(__xludf.DUMMYFUNCTION("""COMPUTED_VALUE"""),2018.0)</f>
        <v>2018</v>
      </c>
      <c r="I188" s="130">
        <f>IFERROR(__xludf.DUMMYFUNCTION("""COMPUTED_VALUE"""),1.0)</f>
        <v>1</v>
      </c>
      <c r="J188" s="130">
        <f>IFERROR(__xludf.DUMMYFUNCTION("""COMPUTED_VALUE"""),1.0)</f>
        <v>1</v>
      </c>
      <c r="K188" s="130">
        <f>IFERROR(__xludf.DUMMYFUNCTION("""COMPUTED_VALUE"""),1.0)</f>
        <v>1</v>
      </c>
      <c r="L188" s="130">
        <f>IFERROR(__xludf.DUMMYFUNCTION("""COMPUTED_VALUE"""),1.0)</f>
        <v>1</v>
      </c>
      <c r="M188" s="130">
        <f>IFERROR(__xludf.DUMMYFUNCTION("""COMPUTED_VALUE"""),1.0)</f>
        <v>1</v>
      </c>
      <c r="N188" s="130">
        <f>IFERROR(__xludf.DUMMYFUNCTION("""COMPUTED_VALUE"""),0.0)</f>
        <v>0</v>
      </c>
      <c r="O188" s="130">
        <f>IFERROR(__xludf.DUMMYFUNCTION("""COMPUTED_VALUE"""),0.0)</f>
        <v>0</v>
      </c>
      <c r="P188" s="130">
        <f>IFERROR(__xludf.DUMMYFUNCTION("""COMPUTED_VALUE"""),0.0)</f>
        <v>0</v>
      </c>
      <c r="Q188" s="129">
        <f>IFERROR(__xludf.DUMMYFUNCTION("""COMPUTED_VALUE"""),0.0)</f>
        <v>0</v>
      </c>
      <c r="R188" s="129">
        <f>IFERROR(__xludf.DUMMYFUNCTION("""COMPUTED_VALUE"""),0.0)</f>
        <v>0</v>
      </c>
      <c r="S188" s="129">
        <f>IFERROR(__xludf.DUMMYFUNCTION("""COMPUTED_VALUE"""),0.0)</f>
        <v>0</v>
      </c>
      <c r="T188" s="129">
        <f>IFERROR(__xludf.DUMMYFUNCTION("""COMPUTED_VALUE"""),0.0)</f>
        <v>0</v>
      </c>
      <c r="U188" s="129">
        <f>IFERROR(__xludf.DUMMYFUNCTION("""COMPUTED_VALUE"""),0.0)</f>
        <v>0</v>
      </c>
      <c r="V188" s="126">
        <f>IFERROR(__xludf.DUMMYFUNCTION("""COMPUTED_VALUE"""),0.0)</f>
        <v>0</v>
      </c>
      <c r="W188" s="126" t="str">
        <f>IFERROR(__xludf.DUMMYFUNCTION("""COMPUTED_VALUE"""),"Yes")</f>
        <v>Yes</v>
      </c>
      <c r="X188" s="126" t="str">
        <f>IFERROR(__xludf.DUMMYFUNCTION("""COMPUTED_VALUE"""),"Yes")</f>
        <v>Yes</v>
      </c>
      <c r="Y188" s="126" t="str">
        <f>IFERROR(__xludf.DUMMYFUNCTION("""COMPUTED_VALUE"""),"S")</f>
        <v>S</v>
      </c>
      <c r="Z188" s="126"/>
      <c r="AA188" s="126"/>
      <c r="AB188" s="126"/>
      <c r="AC188" s="126"/>
      <c r="AD188" s="126"/>
      <c r="AE188" s="126"/>
      <c r="AF188" s="126"/>
      <c r="AG188" s="126"/>
      <c r="AH188" s="126"/>
      <c r="AI188" s="126"/>
      <c r="AJ188" s="126"/>
    </row>
    <row r="189">
      <c r="A189" s="126">
        <f>IFERROR(__xludf.DUMMYFUNCTION("""COMPUTED_VALUE"""),557.0)</f>
        <v>557</v>
      </c>
      <c r="B189" s="126" t="str">
        <f>IFERROR(__xludf.DUMMYFUNCTION("""COMPUTED_VALUE"""),"An Energy-Efficient Allocation Technique for Distributing Resources in a Heterogeneous Data Center")</f>
        <v>An Energy-Efficient Allocation Technique for Distributing Resources in a Heterogeneous Data Center</v>
      </c>
      <c r="C189" s="127" t="str">
        <f>IFERROR(__xludf.DUMMYFUNCTION("""COMPUTED_VALUE"""),"https://ieeexplore.ieee.org/abstract/document/9079973/")</f>
        <v>https://ieeexplore.ieee.org/abstract/document/9079973/</v>
      </c>
      <c r="D189" s="126" t="str">
        <f>IFERROR(__xludf.DUMMYFUNCTION("""COMPUTED_VALUE"""),"M Mursleen, Y Kothyari")</f>
        <v>M Mursleen, Y Kothyari</v>
      </c>
      <c r="E189" s="126" t="str">
        <f>IFERROR(__xludf.DUMMYFUNCTION("""COMPUTED_VALUE"""),"Institute of Electrical and Electronics Engineers")</f>
        <v>Institute of Electrical and Electronics Engineers</v>
      </c>
      <c r="F189" s="126" t="str">
        <f>IFERROR(__xludf.DUMMYFUNCTION("""COMPUTED_VALUE"""),"IEEE Xplore")</f>
        <v>IEEE Xplore</v>
      </c>
      <c r="G189" s="132" t="str">
        <f>IFERROR(__xludf.DUMMYFUNCTION("""COMPUTED_VALUE"""),"C")</f>
        <v>C</v>
      </c>
      <c r="H189" s="129">
        <f>IFERROR(__xludf.DUMMYFUNCTION("""COMPUTED_VALUE"""),2019.0)</f>
        <v>2019</v>
      </c>
      <c r="I189" s="129">
        <f>IFERROR(__xludf.DUMMYFUNCTION("""COMPUTED_VALUE"""),1.0)</f>
        <v>1</v>
      </c>
      <c r="J189" s="129">
        <f>IFERROR(__xludf.DUMMYFUNCTION("""COMPUTED_VALUE"""),1.0)</f>
        <v>1</v>
      </c>
      <c r="K189" s="130">
        <f>IFERROR(__xludf.DUMMYFUNCTION("""COMPUTED_VALUE"""),1.0)</f>
        <v>1</v>
      </c>
      <c r="L189" s="130">
        <f>IFERROR(__xludf.DUMMYFUNCTION("""COMPUTED_VALUE"""),1.0)</f>
        <v>1</v>
      </c>
      <c r="M189" s="130">
        <f>IFERROR(__xludf.DUMMYFUNCTION("""COMPUTED_VALUE"""),1.0)</f>
        <v>1</v>
      </c>
      <c r="N189" s="130">
        <f>IFERROR(__xludf.DUMMYFUNCTION("""COMPUTED_VALUE"""),0.0)</f>
        <v>0</v>
      </c>
      <c r="O189" s="130">
        <f>IFERROR(__xludf.DUMMYFUNCTION("""COMPUTED_VALUE"""),0.0)</f>
        <v>0</v>
      </c>
      <c r="P189" s="129">
        <f>IFERROR(__xludf.DUMMYFUNCTION("""COMPUTED_VALUE"""),0.0)</f>
        <v>0</v>
      </c>
      <c r="Q189" s="129">
        <f>IFERROR(__xludf.DUMMYFUNCTION("""COMPUTED_VALUE"""),0.0)</f>
        <v>0</v>
      </c>
      <c r="R189" s="129">
        <f>IFERROR(__xludf.DUMMYFUNCTION("""COMPUTED_VALUE"""),0.0)</f>
        <v>0</v>
      </c>
      <c r="S189" s="129">
        <f>IFERROR(__xludf.DUMMYFUNCTION("""COMPUTED_VALUE"""),0.0)</f>
        <v>0</v>
      </c>
      <c r="T189" s="129">
        <f>IFERROR(__xludf.DUMMYFUNCTION("""COMPUTED_VALUE"""),0.0)</f>
        <v>0</v>
      </c>
      <c r="U189" s="129">
        <f>IFERROR(__xludf.DUMMYFUNCTION("""COMPUTED_VALUE"""),0.0)</f>
        <v>0</v>
      </c>
      <c r="V189" s="126">
        <f>IFERROR(__xludf.DUMMYFUNCTION("""COMPUTED_VALUE"""),0.0)</f>
        <v>0</v>
      </c>
      <c r="W189" s="126" t="str">
        <f>IFERROR(__xludf.DUMMYFUNCTION("""COMPUTED_VALUE"""),"Yes")</f>
        <v>Yes</v>
      </c>
      <c r="X189" s="126" t="str">
        <f>IFERROR(__xludf.DUMMYFUNCTION("""COMPUTED_VALUE"""),"Yes")</f>
        <v>Yes</v>
      </c>
      <c r="Y189" s="126" t="str">
        <f>IFERROR(__xludf.DUMMYFUNCTION("""COMPUTED_VALUE"""),"S")</f>
        <v>S</v>
      </c>
      <c r="Z189" s="126"/>
      <c r="AA189" s="126"/>
      <c r="AB189" s="126"/>
      <c r="AC189" s="126"/>
      <c r="AD189" s="126"/>
      <c r="AE189" s="126"/>
      <c r="AF189" s="126"/>
      <c r="AG189" s="126"/>
      <c r="AH189" s="126"/>
      <c r="AI189" s="126"/>
      <c r="AJ189" s="126"/>
    </row>
    <row r="190">
      <c r="A190" s="126">
        <f>IFERROR(__xludf.DUMMYFUNCTION("""COMPUTED_VALUE"""),561.0)</f>
        <v>561</v>
      </c>
      <c r="B190" s="126" t="str">
        <f>IFERROR(__xludf.DUMMYFUNCTION("""COMPUTED_VALUE"""),"An Energy Dynamic Control Algorithm Based on Reinforcement Learning for Data Centers")</f>
        <v>An Energy Dynamic Control Algorithm Based on Reinforcement Learning for Data Centers</v>
      </c>
      <c r="C190" s="127" t="str">
        <f>IFERROR(__xludf.DUMMYFUNCTION("""COMPUTED_VALUE"""),"https://www.worldscientific.com/doi/abs/10.1142/S0218001419510091")</f>
        <v>https://www.worldscientific.com/doi/abs/10.1142/S0218001419510091</v>
      </c>
      <c r="D190" s="126" t="str">
        <f>IFERROR(__xludf.DUMMYFUNCTION("""COMPUTED_VALUE"""),"Y Xiang, J Yuan, R Luo, X Zhong, T Li")</f>
        <v>Y Xiang, J Yuan, R Luo, X Zhong, T Li</v>
      </c>
      <c r="E190" s="126" t="str">
        <f>IFERROR(__xludf.DUMMYFUNCTION("""COMPUTED_VALUE"""),"International Journal of Pattern Recognition and Artificial Intelligence")</f>
        <v>International Journal of Pattern Recognition and Artificial Intelligence</v>
      </c>
      <c r="F190" s="126" t="str">
        <f>IFERROR(__xludf.DUMMYFUNCTION("""COMPUTED_VALUE"""),"IJPRAI")</f>
        <v>IJPRAI</v>
      </c>
      <c r="G190" s="128" t="str">
        <f>IFERROR(__xludf.DUMMYFUNCTION("""COMPUTED_VALUE"""),"J")</f>
        <v>J</v>
      </c>
      <c r="H190" s="130">
        <f>IFERROR(__xludf.DUMMYFUNCTION("""COMPUTED_VALUE"""),2019.0)</f>
        <v>2019</v>
      </c>
      <c r="I190" s="129">
        <f>IFERROR(__xludf.DUMMYFUNCTION("""COMPUTED_VALUE"""),1.0)</f>
        <v>1</v>
      </c>
      <c r="J190" s="130">
        <f>IFERROR(__xludf.DUMMYFUNCTION("""COMPUTED_VALUE"""),1.0)</f>
        <v>1</v>
      </c>
      <c r="K190" s="130">
        <f>IFERROR(__xludf.DUMMYFUNCTION("""COMPUTED_VALUE"""),1.0)</f>
        <v>1</v>
      </c>
      <c r="L190" s="130">
        <f>IFERROR(__xludf.DUMMYFUNCTION("""COMPUTED_VALUE"""),1.0)</f>
        <v>1</v>
      </c>
      <c r="M190" s="130">
        <f>IFERROR(__xludf.DUMMYFUNCTION("""COMPUTED_VALUE"""),1.0)</f>
        <v>1</v>
      </c>
      <c r="N190" s="130">
        <f>IFERROR(__xludf.DUMMYFUNCTION("""COMPUTED_VALUE"""),0.0)</f>
        <v>0</v>
      </c>
      <c r="O190" s="130">
        <f>IFERROR(__xludf.DUMMYFUNCTION("""COMPUTED_VALUE"""),0.0)</f>
        <v>0</v>
      </c>
      <c r="P190" s="130">
        <f>IFERROR(__xludf.DUMMYFUNCTION("""COMPUTED_VALUE"""),0.0)</f>
        <v>0</v>
      </c>
      <c r="Q190" s="130">
        <f>IFERROR(__xludf.DUMMYFUNCTION("""COMPUTED_VALUE"""),0.0)</f>
        <v>0</v>
      </c>
      <c r="R190" s="130">
        <f>IFERROR(__xludf.DUMMYFUNCTION("""COMPUTED_VALUE"""),0.0)</f>
        <v>0</v>
      </c>
      <c r="S190" s="130">
        <f>IFERROR(__xludf.DUMMYFUNCTION("""COMPUTED_VALUE"""),0.0)</f>
        <v>0</v>
      </c>
      <c r="T190" s="130">
        <f>IFERROR(__xludf.DUMMYFUNCTION("""COMPUTED_VALUE"""),0.0)</f>
        <v>0</v>
      </c>
      <c r="U190" s="130">
        <f>IFERROR(__xludf.DUMMYFUNCTION("""COMPUTED_VALUE"""),0.0)</f>
        <v>0</v>
      </c>
      <c r="V190" s="131">
        <f>IFERROR(__xludf.DUMMYFUNCTION("""COMPUTED_VALUE"""),0.0)</f>
        <v>0</v>
      </c>
      <c r="W190" s="131" t="str">
        <f>IFERROR(__xludf.DUMMYFUNCTION("""COMPUTED_VALUE"""),"Yes")</f>
        <v>Yes</v>
      </c>
      <c r="X190" s="131" t="str">
        <f>IFERROR(__xludf.DUMMYFUNCTION("""COMPUTED_VALUE"""),"Yes")</f>
        <v>Yes</v>
      </c>
      <c r="Y190" s="131" t="str">
        <f>IFERROR(__xludf.DUMMYFUNCTION("""COMPUTED_VALUE"""),"S")</f>
        <v>S</v>
      </c>
      <c r="Z190" s="131"/>
      <c r="AA190" s="131"/>
      <c r="AB190" s="131"/>
      <c r="AC190" s="131"/>
      <c r="AD190" s="131"/>
      <c r="AE190" s="131"/>
      <c r="AF190" s="131"/>
      <c r="AG190" s="131"/>
      <c r="AH190" s="131"/>
      <c r="AI190" s="131"/>
      <c r="AJ190" s="131"/>
    </row>
    <row r="191">
      <c r="A191" s="126">
        <f>IFERROR(__xludf.DUMMYFUNCTION("""COMPUTED_VALUE"""),567.0)</f>
        <v>567</v>
      </c>
      <c r="B191" s="126" t="str">
        <f>IFERROR(__xludf.DUMMYFUNCTION("""COMPUTED_VALUE"""),"Data center network energy consumption minimization: a hierarchical FAT-tree approach")</f>
        <v>Data center network energy consumption minimization: a hierarchical FAT-tree approach</v>
      </c>
      <c r="C191" s="127" t="str">
        <f>IFERROR(__xludf.DUMMYFUNCTION("""COMPUTED_VALUE"""),"https://link.springer.com/article/10.1007/s41870-018-0258-1")</f>
        <v>https://link.springer.com/article/10.1007/s41870-018-0258-1</v>
      </c>
      <c r="D191" s="131" t="str">
        <f>IFERROR(__xludf.DUMMYFUNCTION("""COMPUTED_VALUE"""),"J Mishra, J Sheetlani, KHK Reddy")</f>
        <v>J Mishra, J Sheetlani, KHK Reddy</v>
      </c>
      <c r="E191" s="131" t="str">
        <f>IFERROR(__xludf.DUMMYFUNCTION("""COMPUTED_VALUE"""),"Springer")</f>
        <v>Springer</v>
      </c>
      <c r="F191" s="126" t="str">
        <f>IFERROR(__xludf.DUMMYFUNCTION("""COMPUTED_VALUE"""),"Springer")</f>
        <v>Springer</v>
      </c>
      <c r="G191" s="128" t="str">
        <f>IFERROR(__xludf.DUMMYFUNCTION("""COMPUTED_VALUE"""),"J")</f>
        <v>J</v>
      </c>
      <c r="H191" s="130">
        <f>IFERROR(__xludf.DUMMYFUNCTION("""COMPUTED_VALUE"""),2018.0)</f>
        <v>2018</v>
      </c>
      <c r="I191" s="130">
        <f>IFERROR(__xludf.DUMMYFUNCTION("""COMPUTED_VALUE"""),1.0)</f>
        <v>1</v>
      </c>
      <c r="J191" s="130">
        <f>IFERROR(__xludf.DUMMYFUNCTION("""COMPUTED_VALUE"""),1.0)</f>
        <v>1</v>
      </c>
      <c r="K191" s="130">
        <f>IFERROR(__xludf.DUMMYFUNCTION("""COMPUTED_VALUE"""),1.0)</f>
        <v>1</v>
      </c>
      <c r="L191" s="129">
        <f>IFERROR(__xludf.DUMMYFUNCTION("""COMPUTED_VALUE"""),1.0)</f>
        <v>1</v>
      </c>
      <c r="M191" s="130">
        <f>IFERROR(__xludf.DUMMYFUNCTION("""COMPUTED_VALUE"""),1.0)</f>
        <v>1</v>
      </c>
      <c r="N191" s="130">
        <f>IFERROR(__xludf.DUMMYFUNCTION("""COMPUTED_VALUE"""),0.0)</f>
        <v>0</v>
      </c>
      <c r="O191" s="130">
        <f>IFERROR(__xludf.DUMMYFUNCTION("""COMPUTED_VALUE"""),0.0)</f>
        <v>0</v>
      </c>
      <c r="P191" s="130">
        <f>IFERROR(__xludf.DUMMYFUNCTION("""COMPUTED_VALUE"""),0.0)</f>
        <v>0</v>
      </c>
      <c r="Q191" s="130">
        <f>IFERROR(__xludf.DUMMYFUNCTION("""COMPUTED_VALUE"""),0.0)</f>
        <v>0</v>
      </c>
      <c r="R191" s="130">
        <f>IFERROR(__xludf.DUMMYFUNCTION("""COMPUTED_VALUE"""),0.0)</f>
        <v>0</v>
      </c>
      <c r="S191" s="130">
        <f>IFERROR(__xludf.DUMMYFUNCTION("""COMPUTED_VALUE"""),0.0)</f>
        <v>0</v>
      </c>
      <c r="T191" s="130">
        <f>IFERROR(__xludf.DUMMYFUNCTION("""COMPUTED_VALUE"""),0.0)</f>
        <v>0</v>
      </c>
      <c r="U191" s="130">
        <f>IFERROR(__xludf.DUMMYFUNCTION("""COMPUTED_VALUE"""),0.0)</f>
        <v>0</v>
      </c>
      <c r="V191" s="131">
        <f>IFERROR(__xludf.DUMMYFUNCTION("""COMPUTED_VALUE"""),0.0)</f>
        <v>0</v>
      </c>
      <c r="W191" s="131" t="str">
        <f>IFERROR(__xludf.DUMMYFUNCTION("""COMPUTED_VALUE"""),"Yes")</f>
        <v>Yes</v>
      </c>
      <c r="X191" s="131" t="str">
        <f>IFERROR(__xludf.DUMMYFUNCTION("""COMPUTED_VALUE"""),"Yes")</f>
        <v>Yes</v>
      </c>
      <c r="Y191" s="131" t="str">
        <f>IFERROR(__xludf.DUMMYFUNCTION("""COMPUTED_VALUE"""),"S")</f>
        <v>S</v>
      </c>
      <c r="Z191" s="131"/>
      <c r="AA191" s="131"/>
      <c r="AB191" s="131"/>
      <c r="AC191" s="131"/>
      <c r="AD191" s="131"/>
      <c r="AE191" s="131"/>
      <c r="AF191" s="131"/>
      <c r="AG191" s="131"/>
      <c r="AH191" s="131"/>
      <c r="AI191" s="131"/>
      <c r="AJ191" s="131"/>
    </row>
    <row r="192">
      <c r="A192" s="126">
        <f>IFERROR(__xludf.DUMMYFUNCTION("""COMPUTED_VALUE"""),570.0)</f>
        <v>570</v>
      </c>
      <c r="B192" s="126" t="str">
        <f>IFERROR(__xludf.DUMMYFUNCTION("""COMPUTED_VALUE"""),"GREEN GEOGRAPHICALLY LOAD BALANCING USING VIABILITY OF DISTRIBUTED DATA CENTERS'LOCAL CONDITION FOR ENERGY EFFICIENCY")</f>
        <v>GREEN GEOGRAPHICALLY LOAD BALANCING USING VIABILITY OF DISTRIBUTED DATA CENTERS'LOCAL CONDITION FOR ENERGY EFFICIENCY</v>
      </c>
      <c r="C192" s="127" t="str">
        <f>IFERROR(__xludf.DUMMYFUNCTION("""COMPUTED_VALUE"""),"https://www.sid.ir/en/seminar/ViewPaper.aspx?id=46963")</f>
        <v>https://www.sid.ir/en/seminar/ViewPaper.aspx?id=46963</v>
      </c>
      <c r="D192" s="126" t="str">
        <f>IFERROR(__xludf.DUMMYFUNCTION("""COMPUTED_VALUE"""),"S TAHERI, M GOUDARZI")</f>
        <v>S TAHERI, M GOUDARZI</v>
      </c>
      <c r="E192" s="126" t="str">
        <f>IFERROR(__xludf.DUMMYFUNCTION("""COMPUTED_VALUE"""),"Scientific Information Database")</f>
        <v>Scientific Information Database</v>
      </c>
      <c r="F192" s="126" t="str">
        <f>IFERROR(__xludf.DUMMYFUNCTION("""COMPUTED_VALUE"""),"SID")</f>
        <v>SID</v>
      </c>
      <c r="G192" s="128" t="str">
        <f>IFERROR(__xludf.DUMMYFUNCTION("""COMPUTED_VALUE"""),"C")</f>
        <v>C</v>
      </c>
      <c r="H192" s="129">
        <f>IFERROR(__xludf.DUMMYFUNCTION("""COMPUTED_VALUE"""),2019.0)</f>
        <v>2019</v>
      </c>
      <c r="I192" s="129">
        <f>IFERROR(__xludf.DUMMYFUNCTION("""COMPUTED_VALUE"""),1.0)</f>
        <v>1</v>
      </c>
      <c r="J192" s="129">
        <f>IFERROR(__xludf.DUMMYFUNCTION("""COMPUTED_VALUE"""),1.0)</f>
        <v>1</v>
      </c>
      <c r="K192" s="130">
        <f>IFERROR(__xludf.DUMMYFUNCTION("""COMPUTED_VALUE"""),1.0)</f>
        <v>1</v>
      </c>
      <c r="L192" s="130">
        <f>IFERROR(__xludf.DUMMYFUNCTION("""COMPUTED_VALUE"""),1.0)</f>
        <v>1</v>
      </c>
      <c r="M192" s="130">
        <f>IFERROR(__xludf.DUMMYFUNCTION("""COMPUTED_VALUE"""),1.0)</f>
        <v>1</v>
      </c>
      <c r="N192" s="130">
        <f>IFERROR(__xludf.DUMMYFUNCTION("""COMPUTED_VALUE"""),0.0)</f>
        <v>0</v>
      </c>
      <c r="O192" s="130">
        <f>IFERROR(__xludf.DUMMYFUNCTION("""COMPUTED_VALUE"""),0.0)</f>
        <v>0</v>
      </c>
      <c r="P192" s="129">
        <f>IFERROR(__xludf.DUMMYFUNCTION("""COMPUTED_VALUE"""),0.0)</f>
        <v>0</v>
      </c>
      <c r="Q192" s="129">
        <f>IFERROR(__xludf.DUMMYFUNCTION("""COMPUTED_VALUE"""),0.0)</f>
        <v>0</v>
      </c>
      <c r="R192" s="129">
        <f>IFERROR(__xludf.DUMMYFUNCTION("""COMPUTED_VALUE"""),0.0)</f>
        <v>0</v>
      </c>
      <c r="S192" s="129">
        <f>IFERROR(__xludf.DUMMYFUNCTION("""COMPUTED_VALUE"""),0.0)</f>
        <v>0</v>
      </c>
      <c r="T192" s="129">
        <f>IFERROR(__xludf.DUMMYFUNCTION("""COMPUTED_VALUE"""),0.0)</f>
        <v>0</v>
      </c>
      <c r="U192" s="129">
        <f>IFERROR(__xludf.DUMMYFUNCTION("""COMPUTED_VALUE"""),0.0)</f>
        <v>0</v>
      </c>
      <c r="V192" s="126">
        <f>IFERROR(__xludf.DUMMYFUNCTION("""COMPUTED_VALUE"""),0.0)</f>
        <v>0</v>
      </c>
      <c r="W192" s="126" t="str">
        <f>IFERROR(__xludf.DUMMYFUNCTION("""COMPUTED_VALUE"""),"Yes")</f>
        <v>Yes</v>
      </c>
      <c r="X192" s="126" t="str">
        <f>IFERROR(__xludf.DUMMYFUNCTION("""COMPUTED_VALUE"""),"Yes")</f>
        <v>Yes</v>
      </c>
      <c r="Y192" s="126" t="str">
        <f>IFERROR(__xludf.DUMMYFUNCTION("""COMPUTED_VALUE"""),"S")</f>
        <v>S</v>
      </c>
      <c r="Z192" s="126"/>
      <c r="AA192" s="126"/>
      <c r="AB192" s="126"/>
      <c r="AC192" s="126"/>
      <c r="AD192" s="126"/>
      <c r="AE192" s="126"/>
      <c r="AF192" s="126"/>
      <c r="AG192" s="126"/>
      <c r="AH192" s="126"/>
      <c r="AI192" s="126"/>
      <c r="AJ192" s="126"/>
    </row>
    <row r="193">
      <c r="A193" s="126">
        <f>IFERROR(__xludf.DUMMYFUNCTION("""COMPUTED_VALUE"""),571.0)</f>
        <v>571</v>
      </c>
      <c r="B193" s="126" t="str">
        <f>IFERROR(__xludf.DUMMYFUNCTION("""COMPUTED_VALUE"""),"ENEDI: Energy Saving in Datacenters")</f>
        <v>ENEDI: Energy Saving in Datacenters</v>
      </c>
      <c r="C193" s="127" t="str">
        <f>IFERROR(__xludf.DUMMYFUNCTION("""COMPUTED_VALUE"""),"https://ieeexplore.ieee.org/abstract/document/8620159/")</f>
        <v>https://ieeexplore.ieee.org/abstract/document/8620159/</v>
      </c>
      <c r="D193" s="131" t="str">
        <f>IFERROR(__xludf.DUMMYFUNCTION("""COMPUTED_VALUE"""),"A Tryfonos, A Andreou, N Loulloudes…")</f>
        <v>A Tryfonos, A Andreou, N Loulloudes…</v>
      </c>
      <c r="E193" s="131" t="str">
        <f>IFERROR(__xludf.DUMMYFUNCTION("""COMPUTED_VALUE"""),"Institute of Electrical and Electronics Engineers")</f>
        <v>Institute of Electrical and Electronics Engineers</v>
      </c>
      <c r="F193" s="126" t="str">
        <f>IFERROR(__xludf.DUMMYFUNCTION("""COMPUTED_VALUE"""),"IEEE Xplore")</f>
        <v>IEEE Xplore</v>
      </c>
      <c r="G193" s="128" t="str">
        <f>IFERROR(__xludf.DUMMYFUNCTION("""COMPUTED_VALUE"""),"C")</f>
        <v>C</v>
      </c>
      <c r="H193" s="130">
        <f>IFERROR(__xludf.DUMMYFUNCTION("""COMPUTED_VALUE"""),2018.0)</f>
        <v>2018</v>
      </c>
      <c r="I193" s="130">
        <f>IFERROR(__xludf.DUMMYFUNCTION("""COMPUTED_VALUE"""),1.0)</f>
        <v>1</v>
      </c>
      <c r="J193" s="130">
        <f>IFERROR(__xludf.DUMMYFUNCTION("""COMPUTED_VALUE"""),1.0)</f>
        <v>1</v>
      </c>
      <c r="K193" s="130">
        <f>IFERROR(__xludf.DUMMYFUNCTION("""COMPUTED_VALUE"""),1.0)</f>
        <v>1</v>
      </c>
      <c r="L193" s="129">
        <f>IFERROR(__xludf.DUMMYFUNCTION("""COMPUTED_VALUE"""),1.0)</f>
        <v>1</v>
      </c>
      <c r="M193" s="130">
        <f>IFERROR(__xludf.DUMMYFUNCTION("""COMPUTED_VALUE"""),1.0)</f>
        <v>1</v>
      </c>
      <c r="N193" s="130">
        <f>IFERROR(__xludf.DUMMYFUNCTION("""COMPUTED_VALUE"""),0.0)</f>
        <v>0</v>
      </c>
      <c r="O193" s="130">
        <f>IFERROR(__xludf.DUMMYFUNCTION("""COMPUTED_VALUE"""),0.0)</f>
        <v>0</v>
      </c>
      <c r="P193" s="130">
        <f>IFERROR(__xludf.DUMMYFUNCTION("""COMPUTED_VALUE"""),0.0)</f>
        <v>0</v>
      </c>
      <c r="Q193" s="130">
        <f>IFERROR(__xludf.DUMMYFUNCTION("""COMPUTED_VALUE"""),0.0)</f>
        <v>0</v>
      </c>
      <c r="R193" s="130">
        <f>IFERROR(__xludf.DUMMYFUNCTION("""COMPUTED_VALUE"""),0.0)</f>
        <v>0</v>
      </c>
      <c r="S193" s="130">
        <f>IFERROR(__xludf.DUMMYFUNCTION("""COMPUTED_VALUE"""),0.0)</f>
        <v>0</v>
      </c>
      <c r="T193" s="130">
        <f>IFERROR(__xludf.DUMMYFUNCTION("""COMPUTED_VALUE"""),0.0)</f>
        <v>0</v>
      </c>
      <c r="U193" s="130">
        <f>IFERROR(__xludf.DUMMYFUNCTION("""COMPUTED_VALUE"""),0.0)</f>
        <v>0</v>
      </c>
      <c r="V193" s="131">
        <f>IFERROR(__xludf.DUMMYFUNCTION("""COMPUTED_VALUE"""),0.0)</f>
        <v>0</v>
      </c>
      <c r="W193" s="131" t="str">
        <f>IFERROR(__xludf.DUMMYFUNCTION("""COMPUTED_VALUE"""),"Yes")</f>
        <v>Yes</v>
      </c>
      <c r="X193" s="131" t="str">
        <f>IFERROR(__xludf.DUMMYFUNCTION("""COMPUTED_VALUE"""),"Yes")</f>
        <v>Yes</v>
      </c>
      <c r="Y193" s="131" t="str">
        <f>IFERROR(__xludf.DUMMYFUNCTION("""COMPUTED_VALUE"""),"S")</f>
        <v>S</v>
      </c>
      <c r="Z193" s="131"/>
      <c r="AA193" s="131"/>
      <c r="AB193" s="131"/>
      <c r="AC193" s="131"/>
      <c r="AD193" s="131"/>
      <c r="AE193" s="131"/>
      <c r="AF193" s="131"/>
      <c r="AG193" s="131"/>
      <c r="AH193" s="131"/>
      <c r="AI193" s="131"/>
      <c r="AJ193" s="131"/>
    </row>
    <row r="194">
      <c r="A194" s="126">
        <f>IFERROR(__xludf.DUMMYFUNCTION("""COMPUTED_VALUE"""),572.0)</f>
        <v>572</v>
      </c>
      <c r="B194" s="126" t="str">
        <f>IFERROR(__xludf.DUMMYFUNCTION("""COMPUTED_VALUE"""),"Thermal-aware hybrid workload management in a green datacenter towards renewable energy utilization")</f>
        <v>Thermal-aware hybrid workload management in a green datacenter towards renewable energy utilization</v>
      </c>
      <c r="C194" s="127" t="str">
        <f>IFERROR(__xludf.DUMMYFUNCTION("""COMPUTED_VALUE"""),"https://www.mdpi.com/1996-1073/12/8/1494")</f>
        <v>https://www.mdpi.com/1996-1073/12/8/1494</v>
      </c>
      <c r="D194" s="131" t="str">
        <f>IFERROR(__xludf.DUMMYFUNCTION("""COMPUTED_VALUE"""),"Y Li, X Wang, P Luo, Q Pan")</f>
        <v>Y Li, X Wang, P Luo, Q Pan</v>
      </c>
      <c r="E194" s="131" t="str">
        <f>IFERROR(__xludf.DUMMYFUNCTION("""COMPUTED_VALUE"""),"Multidisciplinary Digital Publishing Institute")</f>
        <v>Multidisciplinary Digital Publishing Institute</v>
      </c>
      <c r="F194" s="126" t="str">
        <f>IFERROR(__xludf.DUMMYFUNCTION("""COMPUTED_VALUE"""),"MDPI")</f>
        <v>MDPI</v>
      </c>
      <c r="G194" s="128" t="str">
        <f>IFERROR(__xludf.DUMMYFUNCTION("""COMPUTED_VALUE"""),"J")</f>
        <v>J</v>
      </c>
      <c r="H194" s="130">
        <f>IFERROR(__xludf.DUMMYFUNCTION("""COMPUTED_VALUE"""),2019.0)</f>
        <v>2019</v>
      </c>
      <c r="I194" s="130">
        <f>IFERROR(__xludf.DUMMYFUNCTION("""COMPUTED_VALUE"""),1.0)</f>
        <v>1</v>
      </c>
      <c r="J194" s="130">
        <f>IFERROR(__xludf.DUMMYFUNCTION("""COMPUTED_VALUE"""),1.0)</f>
        <v>1</v>
      </c>
      <c r="K194" s="130">
        <f>IFERROR(__xludf.DUMMYFUNCTION("""COMPUTED_VALUE"""),1.0)</f>
        <v>1</v>
      </c>
      <c r="L194" s="129">
        <f>IFERROR(__xludf.DUMMYFUNCTION("""COMPUTED_VALUE"""),1.0)</f>
        <v>1</v>
      </c>
      <c r="M194" s="130">
        <f>IFERROR(__xludf.DUMMYFUNCTION("""COMPUTED_VALUE"""),1.0)</f>
        <v>1</v>
      </c>
      <c r="N194" s="129">
        <f>IFERROR(__xludf.DUMMYFUNCTION("""COMPUTED_VALUE"""),0.0)</f>
        <v>0</v>
      </c>
      <c r="O194" s="130">
        <f>IFERROR(__xludf.DUMMYFUNCTION("""COMPUTED_VALUE"""),0.0)</f>
        <v>0</v>
      </c>
      <c r="P194" s="130">
        <f>IFERROR(__xludf.DUMMYFUNCTION("""COMPUTED_VALUE"""),0.0)</f>
        <v>0</v>
      </c>
      <c r="Q194" s="129">
        <f>IFERROR(__xludf.DUMMYFUNCTION("""COMPUTED_VALUE"""),0.0)</f>
        <v>0</v>
      </c>
      <c r="R194" s="129">
        <f>IFERROR(__xludf.DUMMYFUNCTION("""COMPUTED_VALUE"""),0.0)</f>
        <v>0</v>
      </c>
      <c r="S194" s="129">
        <f>IFERROR(__xludf.DUMMYFUNCTION("""COMPUTED_VALUE"""),0.0)</f>
        <v>0</v>
      </c>
      <c r="T194" s="129">
        <f>IFERROR(__xludf.DUMMYFUNCTION("""COMPUTED_VALUE"""),0.0)</f>
        <v>0</v>
      </c>
      <c r="U194" s="129">
        <f>IFERROR(__xludf.DUMMYFUNCTION("""COMPUTED_VALUE"""),0.0)</f>
        <v>0</v>
      </c>
      <c r="V194" s="126">
        <f>IFERROR(__xludf.DUMMYFUNCTION("""COMPUTED_VALUE"""),0.0)</f>
        <v>0</v>
      </c>
      <c r="W194" s="126" t="str">
        <f>IFERROR(__xludf.DUMMYFUNCTION("""COMPUTED_VALUE"""),"Yes")</f>
        <v>Yes</v>
      </c>
      <c r="X194" s="126" t="str">
        <f>IFERROR(__xludf.DUMMYFUNCTION("""COMPUTED_VALUE"""),"Yes")</f>
        <v>Yes</v>
      </c>
      <c r="Y194" s="126" t="str">
        <f>IFERROR(__xludf.DUMMYFUNCTION("""COMPUTED_VALUE"""),"S")</f>
        <v>S</v>
      </c>
      <c r="Z194" s="126"/>
      <c r="AA194" s="126"/>
      <c r="AB194" s="126"/>
      <c r="AC194" s="126"/>
      <c r="AD194" s="126"/>
      <c r="AE194" s="126"/>
      <c r="AF194" s="126"/>
      <c r="AG194" s="126"/>
      <c r="AH194" s="126"/>
      <c r="AI194" s="126"/>
      <c r="AJ194" s="126"/>
    </row>
    <row r="195">
      <c r="A195" s="126">
        <f>IFERROR(__xludf.DUMMYFUNCTION("""COMPUTED_VALUE"""),573.0)</f>
        <v>573</v>
      </c>
      <c r="B195" s="126" t="str">
        <f>IFERROR(__xludf.DUMMYFUNCTION("""COMPUTED_VALUE"""),"Energy-efficient virtual content distribution network provisioning in cloud-based data centers")</f>
        <v>Energy-efficient virtual content distribution network provisioning in cloud-based data centers</v>
      </c>
      <c r="C195" s="127" t="str">
        <f>IFERROR(__xludf.DUMMYFUNCTION("""COMPUTED_VALUE"""),"https://www.sciencedirect.com/science/article/pii/S0167739X1732099X")</f>
        <v>https://www.sciencedirect.com/science/article/pii/S0167739X1732099X</v>
      </c>
      <c r="D195" s="126" t="str">
        <f>IFERROR(__xludf.DUMMYFUNCTION("""COMPUTED_VALUE"""),"D Liao, G Sun, G Yang, V Chang")</f>
        <v>D Liao, G Sun, G Yang, V Chang</v>
      </c>
      <c r="E195" s="126" t="str">
        <f>IFERROR(__xludf.DUMMYFUNCTION("""COMPUTED_VALUE"""),"Elsevier")</f>
        <v>Elsevier</v>
      </c>
      <c r="F195" s="126" t="str">
        <f>IFERROR(__xludf.DUMMYFUNCTION("""COMPUTED_VALUE"""),"Elsevier")</f>
        <v>Elsevier</v>
      </c>
      <c r="G195" s="128" t="str">
        <f>IFERROR(__xludf.DUMMYFUNCTION("""COMPUTED_VALUE"""),"J")</f>
        <v>J</v>
      </c>
      <c r="H195" s="129">
        <f>IFERROR(__xludf.DUMMYFUNCTION("""COMPUTED_VALUE"""),2018.0)</f>
        <v>2018</v>
      </c>
      <c r="I195" s="130">
        <f>IFERROR(__xludf.DUMMYFUNCTION("""COMPUTED_VALUE"""),1.0)</f>
        <v>1</v>
      </c>
      <c r="J195" s="129">
        <f>IFERROR(__xludf.DUMMYFUNCTION("""COMPUTED_VALUE"""),1.0)</f>
        <v>1</v>
      </c>
      <c r="K195" s="130">
        <f>IFERROR(__xludf.DUMMYFUNCTION("""COMPUTED_VALUE"""),1.0)</f>
        <v>1</v>
      </c>
      <c r="L195" s="129">
        <f>IFERROR(__xludf.DUMMYFUNCTION("""COMPUTED_VALUE"""),1.0)</f>
        <v>1</v>
      </c>
      <c r="M195" s="130">
        <f>IFERROR(__xludf.DUMMYFUNCTION("""COMPUTED_VALUE"""),1.0)</f>
        <v>1</v>
      </c>
      <c r="N195" s="130">
        <f>IFERROR(__xludf.DUMMYFUNCTION("""COMPUTED_VALUE"""),0.0)</f>
        <v>0</v>
      </c>
      <c r="O195" s="130">
        <f>IFERROR(__xludf.DUMMYFUNCTION("""COMPUTED_VALUE"""),0.0)</f>
        <v>0</v>
      </c>
      <c r="P195" s="130">
        <f>IFERROR(__xludf.DUMMYFUNCTION("""COMPUTED_VALUE"""),0.0)</f>
        <v>0</v>
      </c>
      <c r="Q195" s="130">
        <f>IFERROR(__xludf.DUMMYFUNCTION("""COMPUTED_VALUE"""),0.0)</f>
        <v>0</v>
      </c>
      <c r="R195" s="130">
        <f>IFERROR(__xludf.DUMMYFUNCTION("""COMPUTED_VALUE"""),0.0)</f>
        <v>0</v>
      </c>
      <c r="S195" s="130">
        <f>IFERROR(__xludf.DUMMYFUNCTION("""COMPUTED_VALUE"""),0.0)</f>
        <v>0</v>
      </c>
      <c r="T195" s="130">
        <f>IFERROR(__xludf.DUMMYFUNCTION("""COMPUTED_VALUE"""),0.0)</f>
        <v>0</v>
      </c>
      <c r="U195" s="130">
        <f>IFERROR(__xludf.DUMMYFUNCTION("""COMPUTED_VALUE"""),0.0)</f>
        <v>0</v>
      </c>
      <c r="V195" s="131">
        <f>IFERROR(__xludf.DUMMYFUNCTION("""COMPUTED_VALUE"""),0.0)</f>
        <v>0</v>
      </c>
      <c r="W195" s="131" t="str">
        <f>IFERROR(__xludf.DUMMYFUNCTION("""COMPUTED_VALUE"""),"Yes")</f>
        <v>Yes</v>
      </c>
      <c r="X195" s="131" t="str">
        <f>IFERROR(__xludf.DUMMYFUNCTION("""COMPUTED_VALUE"""),"Yes")</f>
        <v>Yes</v>
      </c>
      <c r="Y195" s="131" t="str">
        <f>IFERROR(__xludf.DUMMYFUNCTION("""COMPUTED_VALUE"""),"S")</f>
        <v>S</v>
      </c>
      <c r="Z195" s="131"/>
      <c r="AA195" s="131"/>
      <c r="AB195" s="131"/>
      <c r="AC195" s="131"/>
      <c r="AD195" s="131"/>
      <c r="AE195" s="131"/>
      <c r="AF195" s="131"/>
      <c r="AG195" s="131"/>
      <c r="AH195" s="131"/>
      <c r="AI195" s="131"/>
      <c r="AJ195" s="131"/>
    </row>
    <row r="196">
      <c r="A196" s="126">
        <f>IFERROR(__xludf.DUMMYFUNCTION("""COMPUTED_VALUE"""),574.0)</f>
        <v>574</v>
      </c>
      <c r="B196" s="126" t="str">
        <f>IFERROR(__xludf.DUMMYFUNCTION("""COMPUTED_VALUE"""),"A virtualized data center energy‐saving mechanism based on switching operating mode of physical servers and reserving virtual machines")</f>
        <v>A virtualized data center energy‐saving mechanism based on switching operating mode of physical servers and reserving virtual machines</v>
      </c>
      <c r="C196" s="127" t="str">
        <f>IFERROR(__xludf.DUMMYFUNCTION("""COMPUTED_VALUE"""),"https://onlinelibrary.wiley.com/doi/abs/10.1002/cpe.5785")</f>
        <v>https://onlinelibrary.wiley.com/doi/abs/10.1002/cpe.5785</v>
      </c>
      <c r="D196" s="131" t="str">
        <f>IFERROR(__xludf.DUMMYFUNCTION("""COMPUTED_VALUE"""),"C Yin, J Liu, S Jin")</f>
        <v>C Yin, J Liu, S Jin</v>
      </c>
      <c r="E196" s="131" t="str">
        <f>IFERROR(__xludf.DUMMYFUNCTION("""COMPUTED_VALUE"""),"Wiley Online Library")</f>
        <v>Wiley Online Library</v>
      </c>
      <c r="F196" s="126" t="str">
        <f>IFERROR(__xludf.DUMMYFUNCTION("""COMPUTED_VALUE"""),"Wiley")</f>
        <v>Wiley</v>
      </c>
      <c r="G196" s="128" t="str">
        <f>IFERROR(__xludf.DUMMYFUNCTION("""COMPUTED_VALUE"""),"J")</f>
        <v>J</v>
      </c>
      <c r="H196" s="130">
        <f>IFERROR(__xludf.DUMMYFUNCTION("""COMPUTED_VALUE"""),2020.0)</f>
        <v>2020</v>
      </c>
      <c r="I196" s="130">
        <f>IFERROR(__xludf.DUMMYFUNCTION("""COMPUTED_VALUE"""),1.0)</f>
        <v>1</v>
      </c>
      <c r="J196" s="130">
        <f>IFERROR(__xludf.DUMMYFUNCTION("""COMPUTED_VALUE"""),1.0)</f>
        <v>1</v>
      </c>
      <c r="K196" s="130">
        <f>IFERROR(__xludf.DUMMYFUNCTION("""COMPUTED_VALUE"""),1.0)</f>
        <v>1</v>
      </c>
      <c r="L196" s="129">
        <f>IFERROR(__xludf.DUMMYFUNCTION("""COMPUTED_VALUE"""),1.0)</f>
        <v>1</v>
      </c>
      <c r="M196" s="130">
        <f>IFERROR(__xludf.DUMMYFUNCTION("""COMPUTED_VALUE"""),1.0)</f>
        <v>1</v>
      </c>
      <c r="N196" s="130">
        <f>IFERROR(__xludf.DUMMYFUNCTION("""COMPUTED_VALUE"""),0.0)</f>
        <v>0</v>
      </c>
      <c r="O196" s="130">
        <f>IFERROR(__xludf.DUMMYFUNCTION("""COMPUTED_VALUE"""),0.0)</f>
        <v>0</v>
      </c>
      <c r="P196" s="130">
        <f>IFERROR(__xludf.DUMMYFUNCTION("""COMPUTED_VALUE"""),0.0)</f>
        <v>0</v>
      </c>
      <c r="Q196" s="130">
        <f>IFERROR(__xludf.DUMMYFUNCTION("""COMPUTED_VALUE"""),0.0)</f>
        <v>0</v>
      </c>
      <c r="R196" s="130">
        <f>IFERROR(__xludf.DUMMYFUNCTION("""COMPUTED_VALUE"""),0.0)</f>
        <v>0</v>
      </c>
      <c r="S196" s="130">
        <f>IFERROR(__xludf.DUMMYFUNCTION("""COMPUTED_VALUE"""),0.0)</f>
        <v>0</v>
      </c>
      <c r="T196" s="130">
        <f>IFERROR(__xludf.DUMMYFUNCTION("""COMPUTED_VALUE"""),0.0)</f>
        <v>0</v>
      </c>
      <c r="U196" s="130">
        <f>IFERROR(__xludf.DUMMYFUNCTION("""COMPUTED_VALUE"""),0.0)</f>
        <v>0</v>
      </c>
      <c r="V196" s="131">
        <f>IFERROR(__xludf.DUMMYFUNCTION("""COMPUTED_VALUE"""),0.0)</f>
        <v>0</v>
      </c>
      <c r="W196" s="131" t="str">
        <f>IFERROR(__xludf.DUMMYFUNCTION("""COMPUTED_VALUE"""),"Yes")</f>
        <v>Yes</v>
      </c>
      <c r="X196" s="131" t="str">
        <f>IFERROR(__xludf.DUMMYFUNCTION("""COMPUTED_VALUE"""),"Yes")</f>
        <v>Yes</v>
      </c>
      <c r="Y196" s="131" t="str">
        <f>IFERROR(__xludf.DUMMYFUNCTION("""COMPUTED_VALUE"""),"S")</f>
        <v>S</v>
      </c>
      <c r="Z196" s="131"/>
      <c r="AA196" s="131"/>
      <c r="AB196" s="131"/>
      <c r="AC196" s="131"/>
      <c r="AD196" s="131"/>
      <c r="AE196" s="131"/>
      <c r="AF196" s="131"/>
      <c r="AG196" s="131"/>
      <c r="AH196" s="131"/>
      <c r="AI196" s="131"/>
      <c r="AJ196" s="131"/>
    </row>
    <row r="197">
      <c r="A197" s="126">
        <f>IFERROR(__xludf.DUMMYFUNCTION("""COMPUTED_VALUE"""),579.0)</f>
        <v>579</v>
      </c>
      <c r="B197" s="126" t="str">
        <f>IFERROR(__xludf.DUMMYFUNCTION("""COMPUTED_VALUE"""),"Energy-aware Fault-tolerant Scheduling Scheme based on Intelligent Prediction Model for Cloud Data Center")</f>
        <v>Energy-aware Fault-tolerant Scheduling Scheme based on Intelligent Prediction Model for Cloud Data Center</v>
      </c>
      <c r="C197" s="127" t="str">
        <f>IFERROR(__xludf.DUMMYFUNCTION("""COMPUTED_VALUE"""),"https://ieeexplore.ieee.org/abstract/document/8752123/")</f>
        <v>https://ieeexplore.ieee.org/abstract/document/8752123/</v>
      </c>
      <c r="D197" s="126" t="str">
        <f>IFERROR(__xludf.DUMMYFUNCTION("""COMPUTED_VALUE"""),"A Marahatta, C Chi, F Zhang, , Z Liu")</f>
        <v>A Marahatta, C Chi, F Zhang, , Z Liu</v>
      </c>
      <c r="E197" s="126" t="str">
        <f>IFERROR(__xludf.DUMMYFUNCTION("""COMPUTED_VALUE"""),"Institute of Electrical and Electronics Engineers")</f>
        <v>Institute of Electrical and Electronics Engineers</v>
      </c>
      <c r="F197" s="126" t="str">
        <f>IFERROR(__xludf.DUMMYFUNCTION("""COMPUTED_VALUE"""),"IEEE Xplore")</f>
        <v>IEEE Xplore</v>
      </c>
      <c r="G197" s="128" t="str">
        <f>IFERROR(__xludf.DUMMYFUNCTION("""COMPUTED_VALUE"""),"C")</f>
        <v>C</v>
      </c>
      <c r="H197" s="130">
        <f>IFERROR(__xludf.DUMMYFUNCTION("""COMPUTED_VALUE"""),2018.0)</f>
        <v>2018</v>
      </c>
      <c r="I197" s="129">
        <f>IFERROR(__xludf.DUMMYFUNCTION("""COMPUTED_VALUE"""),1.0)</f>
        <v>1</v>
      </c>
      <c r="J197" s="130">
        <f>IFERROR(__xludf.DUMMYFUNCTION("""COMPUTED_VALUE"""),1.0)</f>
        <v>1</v>
      </c>
      <c r="K197" s="130">
        <f>IFERROR(__xludf.DUMMYFUNCTION("""COMPUTED_VALUE"""),1.0)</f>
        <v>1</v>
      </c>
      <c r="L197" s="130">
        <f>IFERROR(__xludf.DUMMYFUNCTION("""COMPUTED_VALUE"""),1.0)</f>
        <v>1</v>
      </c>
      <c r="M197" s="130">
        <f>IFERROR(__xludf.DUMMYFUNCTION("""COMPUTED_VALUE"""),1.0)</f>
        <v>1</v>
      </c>
      <c r="N197" s="130">
        <f>IFERROR(__xludf.DUMMYFUNCTION("""COMPUTED_VALUE"""),0.0)</f>
        <v>0</v>
      </c>
      <c r="O197" s="130">
        <f>IFERROR(__xludf.DUMMYFUNCTION("""COMPUTED_VALUE"""),0.0)</f>
        <v>0</v>
      </c>
      <c r="P197" s="130">
        <f>IFERROR(__xludf.DUMMYFUNCTION("""COMPUTED_VALUE"""),0.0)</f>
        <v>0</v>
      </c>
      <c r="Q197" s="130">
        <f>IFERROR(__xludf.DUMMYFUNCTION("""COMPUTED_VALUE"""),0.0)</f>
        <v>0</v>
      </c>
      <c r="R197" s="130">
        <f>IFERROR(__xludf.DUMMYFUNCTION("""COMPUTED_VALUE"""),0.0)</f>
        <v>0</v>
      </c>
      <c r="S197" s="130">
        <f>IFERROR(__xludf.DUMMYFUNCTION("""COMPUTED_VALUE"""),0.0)</f>
        <v>0</v>
      </c>
      <c r="T197" s="130">
        <f>IFERROR(__xludf.DUMMYFUNCTION("""COMPUTED_VALUE"""),0.0)</f>
        <v>0</v>
      </c>
      <c r="U197" s="130">
        <f>IFERROR(__xludf.DUMMYFUNCTION("""COMPUTED_VALUE"""),0.0)</f>
        <v>0</v>
      </c>
      <c r="V197" s="131">
        <f>IFERROR(__xludf.DUMMYFUNCTION("""COMPUTED_VALUE"""),0.0)</f>
        <v>0</v>
      </c>
      <c r="W197" s="131" t="str">
        <f>IFERROR(__xludf.DUMMYFUNCTION("""COMPUTED_VALUE"""),"Yes")</f>
        <v>Yes</v>
      </c>
      <c r="X197" s="131" t="str">
        <f>IFERROR(__xludf.DUMMYFUNCTION("""COMPUTED_VALUE"""),"Yes")</f>
        <v>Yes</v>
      </c>
      <c r="Y197" s="131" t="str">
        <f>IFERROR(__xludf.DUMMYFUNCTION("""COMPUTED_VALUE"""),"S")</f>
        <v>S</v>
      </c>
      <c r="Z197" s="131"/>
      <c r="AA197" s="131"/>
      <c r="AB197" s="131"/>
      <c r="AC197" s="131"/>
      <c r="AD197" s="131"/>
      <c r="AE197" s="131"/>
      <c r="AF197" s="131"/>
      <c r="AG197" s="131"/>
      <c r="AH197" s="131"/>
      <c r="AI197" s="131"/>
      <c r="AJ197" s="131"/>
    </row>
    <row r="198">
      <c r="A198" s="126">
        <f>IFERROR(__xludf.DUMMYFUNCTION("""COMPUTED_VALUE"""),580.0)</f>
        <v>580</v>
      </c>
      <c r="B198" s="126" t="str">
        <f>IFERROR(__xludf.DUMMYFUNCTION("""COMPUTED_VALUE"""),"Multilevel resource allocation for performance-aware energy-efficient cloud data centers")</f>
        <v>Multilevel resource allocation for performance-aware energy-efficient cloud data centers</v>
      </c>
      <c r="C198" s="127" t="str">
        <f>IFERROR(__xludf.DUMMYFUNCTION("""COMPUTED_VALUE"""),"https://ieeexplore.ieee.org/abstract/document/8969751/")</f>
        <v>https://ieeexplore.ieee.org/abstract/document/8969751/</v>
      </c>
      <c r="D198" s="131" t="str">
        <f>IFERROR(__xludf.DUMMYFUNCTION("""COMPUTED_VALUE"""),"FD Rossi, PSS de Souza, W dos Santos Marques, M da Silva Conterato, TC Ferreto, AF Lorenzon, MC Luizelli")</f>
        <v>FD Rossi, PSS de Souza, W dos Santos Marques, M da Silva Conterato, TC Ferreto, AF Lorenzon, MC Luizelli</v>
      </c>
      <c r="E198" s="131" t="str">
        <f>IFERROR(__xludf.DUMMYFUNCTION("""COMPUTED_VALUE"""),"Institute of Electrical and Electronics Engineers")</f>
        <v>Institute of Electrical and Electronics Engineers</v>
      </c>
      <c r="F198" s="126" t="str">
        <f>IFERROR(__xludf.DUMMYFUNCTION("""COMPUTED_VALUE"""),"IEEE Xplore")</f>
        <v>IEEE Xplore</v>
      </c>
      <c r="G198" s="132" t="str">
        <f>IFERROR(__xludf.DUMMYFUNCTION("""COMPUTED_VALUE"""),"C")</f>
        <v>C</v>
      </c>
      <c r="H198" s="130">
        <f>IFERROR(__xludf.DUMMYFUNCTION("""COMPUTED_VALUE"""),2019.0)</f>
        <v>2019</v>
      </c>
      <c r="I198" s="130">
        <f>IFERROR(__xludf.DUMMYFUNCTION("""COMPUTED_VALUE"""),1.0)</f>
        <v>1</v>
      </c>
      <c r="J198" s="130">
        <f>IFERROR(__xludf.DUMMYFUNCTION("""COMPUTED_VALUE"""),1.0)</f>
        <v>1</v>
      </c>
      <c r="K198" s="130">
        <f>IFERROR(__xludf.DUMMYFUNCTION("""COMPUTED_VALUE"""),1.0)</f>
        <v>1</v>
      </c>
      <c r="L198" s="130">
        <f>IFERROR(__xludf.DUMMYFUNCTION("""COMPUTED_VALUE"""),1.0)</f>
        <v>1</v>
      </c>
      <c r="M198" s="130">
        <f>IFERROR(__xludf.DUMMYFUNCTION("""COMPUTED_VALUE"""),1.0)</f>
        <v>1</v>
      </c>
      <c r="N198" s="129">
        <f>IFERROR(__xludf.DUMMYFUNCTION("""COMPUTED_VALUE"""),0.0)</f>
        <v>0</v>
      </c>
      <c r="O198" s="130">
        <f>IFERROR(__xludf.DUMMYFUNCTION("""COMPUTED_VALUE"""),0.0)</f>
        <v>0</v>
      </c>
      <c r="P198" s="130">
        <f>IFERROR(__xludf.DUMMYFUNCTION("""COMPUTED_VALUE"""),0.0)</f>
        <v>0</v>
      </c>
      <c r="Q198" s="129">
        <f>IFERROR(__xludf.DUMMYFUNCTION("""COMPUTED_VALUE"""),0.0)</f>
        <v>0</v>
      </c>
      <c r="R198" s="129">
        <f>IFERROR(__xludf.DUMMYFUNCTION("""COMPUTED_VALUE"""),0.0)</f>
        <v>0</v>
      </c>
      <c r="S198" s="129">
        <f>IFERROR(__xludf.DUMMYFUNCTION("""COMPUTED_VALUE"""),0.0)</f>
        <v>0</v>
      </c>
      <c r="T198" s="129">
        <f>IFERROR(__xludf.DUMMYFUNCTION("""COMPUTED_VALUE"""),0.0)</f>
        <v>0</v>
      </c>
      <c r="U198" s="129">
        <f>IFERROR(__xludf.DUMMYFUNCTION("""COMPUTED_VALUE"""),0.0)</f>
        <v>0</v>
      </c>
      <c r="V198" s="126">
        <f>IFERROR(__xludf.DUMMYFUNCTION("""COMPUTED_VALUE"""),0.0)</f>
        <v>0</v>
      </c>
      <c r="W198" s="126" t="str">
        <f>IFERROR(__xludf.DUMMYFUNCTION("""COMPUTED_VALUE"""),"Yes")</f>
        <v>Yes</v>
      </c>
      <c r="X198" s="126" t="str">
        <f>IFERROR(__xludf.DUMMYFUNCTION("""COMPUTED_VALUE"""),"Yes")</f>
        <v>Yes</v>
      </c>
      <c r="Y198" s="126" t="str">
        <f>IFERROR(__xludf.DUMMYFUNCTION("""COMPUTED_VALUE"""),"S")</f>
        <v>S</v>
      </c>
      <c r="Z198" s="126"/>
      <c r="AA198" s="126"/>
      <c r="AB198" s="126"/>
      <c r="AC198" s="126"/>
      <c r="AD198" s="126"/>
      <c r="AE198" s="126"/>
      <c r="AF198" s="126"/>
      <c r="AG198" s="126"/>
      <c r="AH198" s="126"/>
      <c r="AI198" s="126"/>
      <c r="AJ198" s="126"/>
    </row>
    <row r="199">
      <c r="A199" s="126">
        <f>IFERROR(__xludf.DUMMYFUNCTION("""COMPUTED_VALUE"""),584.0)</f>
        <v>584</v>
      </c>
      <c r="B199" s="126" t="str">
        <f>IFERROR(__xludf.DUMMYFUNCTION("""COMPUTED_VALUE"""),"Sampling Workloads with Dynamic Time Scale to Promote the Energy Efficiency of Datacenters")</f>
        <v>Sampling Workloads with Dynamic Time Scale to Promote the Energy Efficiency of Datacenters</v>
      </c>
      <c r="C199" s="127" t="str">
        <f>IFERROR(__xludf.DUMMYFUNCTION("""COMPUTED_VALUE"""),"https://ieeexplore.ieee.org/abstract/document/9291589/")</f>
        <v>https://ieeexplore.ieee.org/abstract/document/9291589/</v>
      </c>
      <c r="D199" s="131" t="str">
        <f>IFERROR(__xludf.DUMMYFUNCTION("""COMPUTED_VALUE"""),"C Hu, Y Zhou, R Ding")</f>
        <v>C Hu, Y Zhou, R Ding</v>
      </c>
      <c r="E199" s="131" t="str">
        <f>IFERROR(__xludf.DUMMYFUNCTION("""COMPUTED_VALUE"""),"Institute of Electrical and Electronics Engineers")</f>
        <v>Institute of Electrical and Electronics Engineers</v>
      </c>
      <c r="F199" s="126" t="str">
        <f>IFERROR(__xludf.DUMMYFUNCTION("""COMPUTED_VALUE"""),"IEEE Xplore")</f>
        <v>IEEE Xplore</v>
      </c>
      <c r="G199" s="128" t="str">
        <f>IFERROR(__xludf.DUMMYFUNCTION("""COMPUTED_VALUE"""),"C")</f>
        <v>C</v>
      </c>
      <c r="H199" s="130">
        <f>IFERROR(__xludf.DUMMYFUNCTION("""COMPUTED_VALUE"""),2020.0)</f>
        <v>2020</v>
      </c>
      <c r="I199" s="130">
        <f>IFERROR(__xludf.DUMMYFUNCTION("""COMPUTED_VALUE"""),1.0)</f>
        <v>1</v>
      </c>
      <c r="J199" s="130">
        <f>IFERROR(__xludf.DUMMYFUNCTION("""COMPUTED_VALUE"""),1.0)</f>
        <v>1</v>
      </c>
      <c r="K199" s="130">
        <f>IFERROR(__xludf.DUMMYFUNCTION("""COMPUTED_VALUE"""),1.0)</f>
        <v>1</v>
      </c>
      <c r="L199" s="130">
        <f>IFERROR(__xludf.DUMMYFUNCTION("""COMPUTED_VALUE"""),1.0)</f>
        <v>1</v>
      </c>
      <c r="M199" s="130">
        <f>IFERROR(__xludf.DUMMYFUNCTION("""COMPUTED_VALUE"""),1.0)</f>
        <v>1</v>
      </c>
      <c r="N199" s="129">
        <f>IFERROR(__xludf.DUMMYFUNCTION("""COMPUTED_VALUE"""),0.0)</f>
        <v>0</v>
      </c>
      <c r="O199" s="130">
        <f>IFERROR(__xludf.DUMMYFUNCTION("""COMPUTED_VALUE"""),0.0)</f>
        <v>0</v>
      </c>
      <c r="P199" s="130">
        <f>IFERROR(__xludf.DUMMYFUNCTION("""COMPUTED_VALUE"""),0.0)</f>
        <v>0</v>
      </c>
      <c r="Q199" s="129">
        <f>IFERROR(__xludf.DUMMYFUNCTION("""COMPUTED_VALUE"""),0.0)</f>
        <v>0</v>
      </c>
      <c r="R199" s="129">
        <f>IFERROR(__xludf.DUMMYFUNCTION("""COMPUTED_VALUE"""),0.0)</f>
        <v>0</v>
      </c>
      <c r="S199" s="129">
        <f>IFERROR(__xludf.DUMMYFUNCTION("""COMPUTED_VALUE"""),0.0)</f>
        <v>0</v>
      </c>
      <c r="T199" s="129">
        <f>IFERROR(__xludf.DUMMYFUNCTION("""COMPUTED_VALUE"""),0.0)</f>
        <v>0</v>
      </c>
      <c r="U199" s="129">
        <f>IFERROR(__xludf.DUMMYFUNCTION("""COMPUTED_VALUE"""),0.0)</f>
        <v>0</v>
      </c>
      <c r="V199" s="126">
        <f>IFERROR(__xludf.DUMMYFUNCTION("""COMPUTED_VALUE"""),0.0)</f>
        <v>0</v>
      </c>
      <c r="W199" s="126" t="str">
        <f>IFERROR(__xludf.DUMMYFUNCTION("""COMPUTED_VALUE"""),"Yes")</f>
        <v>Yes</v>
      </c>
      <c r="X199" s="126" t="str">
        <f>IFERROR(__xludf.DUMMYFUNCTION("""COMPUTED_VALUE"""),"Yes")</f>
        <v>Yes</v>
      </c>
      <c r="Y199" s="126" t="str">
        <f>IFERROR(__xludf.DUMMYFUNCTION("""COMPUTED_VALUE"""),"S")</f>
        <v>S</v>
      </c>
      <c r="Z199" s="126"/>
      <c r="AA199" s="126"/>
      <c r="AB199" s="126"/>
      <c r="AC199" s="126"/>
      <c r="AD199" s="126"/>
      <c r="AE199" s="126"/>
      <c r="AF199" s="126"/>
      <c r="AG199" s="126"/>
      <c r="AH199" s="126"/>
      <c r="AI199" s="126"/>
      <c r="AJ199" s="126"/>
    </row>
    <row r="200">
      <c r="A200" s="126">
        <f>IFERROR(__xludf.DUMMYFUNCTION("""COMPUTED_VALUE"""),587.0)</f>
        <v>587</v>
      </c>
      <c r="B200" s="126" t="str">
        <f>IFERROR(__xludf.DUMMYFUNCTION("""COMPUTED_VALUE"""),"Interval graph multi-coloring-based resource reservation for energy-efficient containerized cloud data centers")</f>
        <v>Interval graph multi-coloring-based resource reservation for energy-efficient containerized cloud data centers</v>
      </c>
      <c r="C200" s="127" t="str">
        <f>IFERROR(__xludf.DUMMYFUNCTION("""COMPUTED_VALUE"""),"https://link.springer.com/article/10.1007/s11227-020-03439-z?error=cookies_not_supported&amp;error=cookies_not_supported&amp;code=54c48cd0-8f25-4364-8710-c07ad1dcce69&amp;code=526b045d-e4e9-4c95-9c3e-e8d6c55ffef4")</f>
        <v>https://link.springer.com/article/10.1007/s11227-020-03439-z?error=cookies_not_supported&amp;error=cookies_not_supported&amp;code=54c48cd0-8f25-4364-8710-c07ad1dcce69&amp;code=526b045d-e4e9-4c95-9c3e-e8d6c55ffef4</v>
      </c>
      <c r="D200" s="126" t="str">
        <f>IFERROR(__xludf.DUMMYFUNCTION("""COMPUTED_VALUE"""),"YS Patel, A Baheti, R Misra")</f>
        <v>YS Patel, A Baheti, R Misra</v>
      </c>
      <c r="E200" s="126" t="str">
        <f>IFERROR(__xludf.DUMMYFUNCTION("""COMPUTED_VALUE"""),"Springer")</f>
        <v>Springer</v>
      </c>
      <c r="F200" s="126" t="str">
        <f>IFERROR(__xludf.DUMMYFUNCTION("""COMPUTED_VALUE"""),"Springer")</f>
        <v>Springer</v>
      </c>
      <c r="G200" s="128" t="str">
        <f>IFERROR(__xludf.DUMMYFUNCTION("""COMPUTED_VALUE"""),"J")</f>
        <v>J</v>
      </c>
      <c r="H200" s="130">
        <f>IFERROR(__xludf.DUMMYFUNCTION("""COMPUTED_VALUE"""),2020.0)</f>
        <v>2020</v>
      </c>
      <c r="I200" s="130">
        <f>IFERROR(__xludf.DUMMYFUNCTION("""COMPUTED_VALUE"""),1.0)</f>
        <v>1</v>
      </c>
      <c r="J200" s="130">
        <f>IFERROR(__xludf.DUMMYFUNCTION("""COMPUTED_VALUE"""),1.0)</f>
        <v>1</v>
      </c>
      <c r="K200" s="129">
        <f>IFERROR(__xludf.DUMMYFUNCTION("""COMPUTED_VALUE"""),1.0)</f>
        <v>1</v>
      </c>
      <c r="L200" s="129">
        <f>IFERROR(__xludf.DUMMYFUNCTION("""COMPUTED_VALUE"""),1.0)</f>
        <v>1</v>
      </c>
      <c r="M200" s="130">
        <f>IFERROR(__xludf.DUMMYFUNCTION("""COMPUTED_VALUE"""),1.0)</f>
        <v>1</v>
      </c>
      <c r="N200" s="130">
        <f>IFERROR(__xludf.DUMMYFUNCTION("""COMPUTED_VALUE"""),0.0)</f>
        <v>0</v>
      </c>
      <c r="O200" s="130">
        <f>IFERROR(__xludf.DUMMYFUNCTION("""COMPUTED_VALUE"""),0.0)</f>
        <v>0</v>
      </c>
      <c r="P200" s="130">
        <f>IFERROR(__xludf.DUMMYFUNCTION("""COMPUTED_VALUE"""),0.0)</f>
        <v>0</v>
      </c>
      <c r="Q200" s="130">
        <f>IFERROR(__xludf.DUMMYFUNCTION("""COMPUTED_VALUE"""),0.0)</f>
        <v>0</v>
      </c>
      <c r="R200" s="130">
        <f>IFERROR(__xludf.DUMMYFUNCTION("""COMPUTED_VALUE"""),0.0)</f>
        <v>0</v>
      </c>
      <c r="S200" s="130">
        <f>IFERROR(__xludf.DUMMYFUNCTION("""COMPUTED_VALUE"""),0.0)</f>
        <v>0</v>
      </c>
      <c r="T200" s="130">
        <f>IFERROR(__xludf.DUMMYFUNCTION("""COMPUTED_VALUE"""),0.0)</f>
        <v>0</v>
      </c>
      <c r="U200" s="130">
        <f>IFERROR(__xludf.DUMMYFUNCTION("""COMPUTED_VALUE"""),0.0)</f>
        <v>0</v>
      </c>
      <c r="V200" s="131">
        <f>IFERROR(__xludf.DUMMYFUNCTION("""COMPUTED_VALUE"""),0.0)</f>
        <v>0</v>
      </c>
      <c r="W200" s="131" t="str">
        <f>IFERROR(__xludf.DUMMYFUNCTION("""COMPUTED_VALUE"""),"Yes")</f>
        <v>Yes</v>
      </c>
      <c r="X200" s="131" t="str">
        <f>IFERROR(__xludf.DUMMYFUNCTION("""COMPUTED_VALUE"""),"Yes")</f>
        <v>Yes</v>
      </c>
      <c r="Y200" s="131" t="str">
        <f>IFERROR(__xludf.DUMMYFUNCTION("""COMPUTED_VALUE"""),"S")</f>
        <v>S</v>
      </c>
      <c r="Z200" s="131"/>
      <c r="AA200" s="131"/>
      <c r="AB200" s="131"/>
      <c r="AC200" s="131"/>
      <c r="AD200" s="131"/>
      <c r="AE200" s="131"/>
      <c r="AF200" s="131"/>
      <c r="AG200" s="131"/>
      <c r="AH200" s="131"/>
      <c r="AI200" s="131"/>
      <c r="AJ200" s="131"/>
    </row>
    <row r="201">
      <c r="A201" s="126">
        <f>IFERROR(__xludf.DUMMYFUNCTION("""COMPUTED_VALUE"""),588.0)</f>
        <v>588</v>
      </c>
      <c r="B201" s="126" t="str">
        <f>IFERROR(__xludf.DUMMYFUNCTION("""COMPUTED_VALUE"""),"Modeling Energy Efficiency of Future Green Data centers")</f>
        <v>Modeling Energy Efficiency of Future Green Data centers</v>
      </c>
      <c r="C201" s="127" t="str">
        <f>IFERROR(__xludf.DUMMYFUNCTION("""COMPUTED_VALUE"""),"https://ieeexplore.ieee.org/abstract/document/9291049/")</f>
        <v>https://ieeexplore.ieee.org/abstract/document/9291049/</v>
      </c>
      <c r="D201" s="131" t="str">
        <f>IFERROR(__xludf.DUMMYFUNCTION("""COMPUTED_VALUE"""),"T Bhattacharya, X Qin")</f>
        <v>T Bhattacharya, X Qin</v>
      </c>
      <c r="E201" s="131" t="str">
        <f>IFERROR(__xludf.DUMMYFUNCTION("""COMPUTED_VALUE"""),"Institute of Electrical and Electronics Engineers")</f>
        <v>Institute of Electrical and Electronics Engineers</v>
      </c>
      <c r="F201" s="126" t="str">
        <f>IFERROR(__xludf.DUMMYFUNCTION("""COMPUTED_VALUE"""),"IEEE Xplore")</f>
        <v>IEEE Xplore</v>
      </c>
      <c r="G201" s="128" t="str">
        <f>IFERROR(__xludf.DUMMYFUNCTION("""COMPUTED_VALUE"""),"C")</f>
        <v>C</v>
      </c>
      <c r="H201" s="130">
        <f>IFERROR(__xludf.DUMMYFUNCTION("""COMPUTED_VALUE"""),2020.0)</f>
        <v>2020</v>
      </c>
      <c r="I201" s="130">
        <f>IFERROR(__xludf.DUMMYFUNCTION("""COMPUTED_VALUE"""),1.0)</f>
        <v>1</v>
      </c>
      <c r="J201" s="130">
        <f>IFERROR(__xludf.DUMMYFUNCTION("""COMPUTED_VALUE"""),1.0)</f>
        <v>1</v>
      </c>
      <c r="K201" s="130">
        <f>IFERROR(__xludf.DUMMYFUNCTION("""COMPUTED_VALUE"""),1.0)</f>
        <v>1</v>
      </c>
      <c r="L201" s="129">
        <f>IFERROR(__xludf.DUMMYFUNCTION("""COMPUTED_VALUE"""),1.0)</f>
        <v>1</v>
      </c>
      <c r="M201" s="130">
        <f>IFERROR(__xludf.DUMMYFUNCTION("""COMPUTED_VALUE"""),1.0)</f>
        <v>1</v>
      </c>
      <c r="N201" s="130">
        <f>IFERROR(__xludf.DUMMYFUNCTION("""COMPUTED_VALUE"""),0.0)</f>
        <v>0</v>
      </c>
      <c r="O201" s="130">
        <f>IFERROR(__xludf.DUMMYFUNCTION("""COMPUTED_VALUE"""),0.0)</f>
        <v>0</v>
      </c>
      <c r="P201" s="130">
        <f>IFERROR(__xludf.DUMMYFUNCTION("""COMPUTED_VALUE"""),0.0)</f>
        <v>0</v>
      </c>
      <c r="Q201" s="130">
        <f>IFERROR(__xludf.DUMMYFUNCTION("""COMPUTED_VALUE"""),0.0)</f>
        <v>0</v>
      </c>
      <c r="R201" s="130">
        <f>IFERROR(__xludf.DUMMYFUNCTION("""COMPUTED_VALUE"""),0.0)</f>
        <v>0</v>
      </c>
      <c r="S201" s="130">
        <f>IFERROR(__xludf.DUMMYFUNCTION("""COMPUTED_VALUE"""),0.0)</f>
        <v>0</v>
      </c>
      <c r="T201" s="130">
        <f>IFERROR(__xludf.DUMMYFUNCTION("""COMPUTED_VALUE"""),0.0)</f>
        <v>0</v>
      </c>
      <c r="U201" s="130">
        <f>IFERROR(__xludf.DUMMYFUNCTION("""COMPUTED_VALUE"""),0.0)</f>
        <v>0</v>
      </c>
      <c r="V201" s="131">
        <f>IFERROR(__xludf.DUMMYFUNCTION("""COMPUTED_VALUE"""),0.0)</f>
        <v>0</v>
      </c>
      <c r="W201" s="131" t="str">
        <f>IFERROR(__xludf.DUMMYFUNCTION("""COMPUTED_VALUE"""),"Yes")</f>
        <v>Yes</v>
      </c>
      <c r="X201" s="131" t="str">
        <f>IFERROR(__xludf.DUMMYFUNCTION("""COMPUTED_VALUE"""),"Yes")</f>
        <v>Yes</v>
      </c>
      <c r="Y201" s="131" t="str">
        <f>IFERROR(__xludf.DUMMYFUNCTION("""COMPUTED_VALUE"""),"S")</f>
        <v>S</v>
      </c>
      <c r="Z201" s="131"/>
      <c r="AA201" s="131"/>
      <c r="AB201" s="131"/>
      <c r="AC201" s="131"/>
      <c r="AD201" s="131"/>
      <c r="AE201" s="131"/>
      <c r="AF201" s="131"/>
      <c r="AG201" s="131"/>
      <c r="AH201" s="131"/>
      <c r="AI201" s="131"/>
      <c r="AJ201" s="131"/>
    </row>
    <row r="202">
      <c r="A202" s="126">
        <f>IFERROR(__xludf.DUMMYFUNCTION("""COMPUTED_VALUE"""),590.0)</f>
        <v>590</v>
      </c>
      <c r="B202" s="126" t="str">
        <f>IFERROR(__xludf.DUMMYFUNCTION("""COMPUTED_VALUE"""),"A system of systems approach for data centers optimization and integration into smart energy grids")</f>
        <v>A system of systems approach for data centers optimization and integration into smart energy grids</v>
      </c>
      <c r="C202" s="127" t="str">
        <f>IFERROR(__xludf.DUMMYFUNCTION("""COMPUTED_VALUE"""),"https://www.sciencedirect.com/science/article/pii/S0167739X17310129")</f>
        <v>https://www.sciencedirect.com/science/article/pii/S0167739X17310129</v>
      </c>
      <c r="D202" s="131" t="str">
        <f>IFERROR(__xludf.DUMMYFUNCTION("""COMPUTED_VALUE"""),"M Antal, C Pop, T Cioara, I Anghel, I Salomie…")</f>
        <v>M Antal, C Pop, T Cioara, I Anghel, I Salomie…</v>
      </c>
      <c r="E202" s="131" t="str">
        <f>IFERROR(__xludf.DUMMYFUNCTION("""COMPUTED_VALUE"""),"Elsevier")</f>
        <v>Elsevier</v>
      </c>
      <c r="F202" s="126" t="str">
        <f>IFERROR(__xludf.DUMMYFUNCTION("""COMPUTED_VALUE"""),"Elsevier")</f>
        <v>Elsevier</v>
      </c>
      <c r="G202" s="128" t="str">
        <f>IFERROR(__xludf.DUMMYFUNCTION("""COMPUTED_VALUE"""),"J")</f>
        <v>J</v>
      </c>
      <c r="H202" s="130">
        <f>IFERROR(__xludf.DUMMYFUNCTION("""COMPUTED_VALUE"""),2020.0)</f>
        <v>2020</v>
      </c>
      <c r="I202" s="129">
        <f>IFERROR(__xludf.DUMMYFUNCTION("""COMPUTED_VALUE"""),1.0)</f>
        <v>1</v>
      </c>
      <c r="J202" s="130">
        <f>IFERROR(__xludf.DUMMYFUNCTION("""COMPUTED_VALUE"""),1.0)</f>
        <v>1</v>
      </c>
      <c r="K202" s="130">
        <f>IFERROR(__xludf.DUMMYFUNCTION("""COMPUTED_VALUE"""),1.0)</f>
        <v>1</v>
      </c>
      <c r="L202" s="129">
        <f>IFERROR(__xludf.DUMMYFUNCTION("""COMPUTED_VALUE"""),1.0)</f>
        <v>1</v>
      </c>
      <c r="M202" s="130">
        <f>IFERROR(__xludf.DUMMYFUNCTION("""COMPUTED_VALUE"""),1.0)</f>
        <v>1</v>
      </c>
      <c r="N202" s="130">
        <f>IFERROR(__xludf.DUMMYFUNCTION("""COMPUTED_VALUE"""),0.0)</f>
        <v>0</v>
      </c>
      <c r="O202" s="130">
        <f>IFERROR(__xludf.DUMMYFUNCTION("""COMPUTED_VALUE"""),0.0)</f>
        <v>0</v>
      </c>
      <c r="P202" s="130">
        <f>IFERROR(__xludf.DUMMYFUNCTION("""COMPUTED_VALUE"""),0.0)</f>
        <v>0</v>
      </c>
      <c r="Q202" s="130">
        <f>IFERROR(__xludf.DUMMYFUNCTION("""COMPUTED_VALUE"""),0.0)</f>
        <v>0</v>
      </c>
      <c r="R202" s="130">
        <f>IFERROR(__xludf.DUMMYFUNCTION("""COMPUTED_VALUE"""),0.0)</f>
        <v>0</v>
      </c>
      <c r="S202" s="130">
        <f>IFERROR(__xludf.DUMMYFUNCTION("""COMPUTED_VALUE"""),0.0)</f>
        <v>0</v>
      </c>
      <c r="T202" s="130">
        <f>IFERROR(__xludf.DUMMYFUNCTION("""COMPUTED_VALUE"""),0.0)</f>
        <v>0</v>
      </c>
      <c r="U202" s="130">
        <f>IFERROR(__xludf.DUMMYFUNCTION("""COMPUTED_VALUE"""),0.0)</f>
        <v>0</v>
      </c>
      <c r="V202" s="131">
        <f>IFERROR(__xludf.DUMMYFUNCTION("""COMPUTED_VALUE"""),0.0)</f>
        <v>0</v>
      </c>
      <c r="W202" s="131" t="str">
        <f>IFERROR(__xludf.DUMMYFUNCTION("""COMPUTED_VALUE"""),"Yes")</f>
        <v>Yes</v>
      </c>
      <c r="X202" s="131" t="str">
        <f>IFERROR(__xludf.DUMMYFUNCTION("""COMPUTED_VALUE"""),"Yes")</f>
        <v>Yes</v>
      </c>
      <c r="Y202" s="131" t="str">
        <f>IFERROR(__xludf.DUMMYFUNCTION("""COMPUTED_VALUE"""),"S")</f>
        <v>S</v>
      </c>
      <c r="Z202" s="131"/>
      <c r="AA202" s="131"/>
      <c r="AB202" s="131"/>
      <c r="AC202" s="131"/>
      <c r="AD202" s="131"/>
      <c r="AE202" s="131"/>
      <c r="AF202" s="131"/>
      <c r="AG202" s="131"/>
      <c r="AH202" s="131"/>
      <c r="AI202" s="131"/>
      <c r="AJ202" s="131"/>
    </row>
    <row r="203">
      <c r="A203" s="126">
        <f>IFERROR(__xludf.DUMMYFUNCTION("""COMPUTED_VALUE"""),591.0)</f>
        <v>591</v>
      </c>
      <c r="B203" s="126" t="str">
        <f>IFERROR(__xludf.DUMMYFUNCTION("""COMPUTED_VALUE"""),"Improving big data centers energy efficiency: Traffic based model and method")</f>
        <v>Improving big data centers energy efficiency: Traffic based model and method</v>
      </c>
      <c r="C203" s="127" t="str">
        <f>IFERROR(__xludf.DUMMYFUNCTION("""COMPUTED_VALUE"""),"https://link.springer.com/chapter/10.1007/978-3-030-00253-4_8")</f>
        <v>https://link.springer.com/chapter/10.1007/978-3-030-00253-4_8</v>
      </c>
      <c r="D203" s="131" t="str">
        <f>IFERROR(__xludf.DUMMYFUNCTION("""COMPUTED_VALUE"""),"G Kuchuk, A Kovalenko, IE Komari, A Svyrydov…")</f>
        <v>G Kuchuk, A Kovalenko, IE Komari, A Svyrydov…</v>
      </c>
      <c r="E203" s="131" t="str">
        <f>IFERROR(__xludf.DUMMYFUNCTION("""COMPUTED_VALUE"""),"Springer")</f>
        <v>Springer</v>
      </c>
      <c r="F203" s="126" t="str">
        <f>IFERROR(__xludf.DUMMYFUNCTION("""COMPUTED_VALUE"""),"Springer")</f>
        <v>Springer</v>
      </c>
      <c r="G203" s="132" t="str">
        <f>IFERROR(__xludf.DUMMYFUNCTION("""COMPUTED_VALUE"""),"J")</f>
        <v>J</v>
      </c>
      <c r="H203" s="130">
        <f>IFERROR(__xludf.DUMMYFUNCTION("""COMPUTED_VALUE"""),2019.0)</f>
        <v>2019</v>
      </c>
      <c r="I203" s="130">
        <f>IFERROR(__xludf.DUMMYFUNCTION("""COMPUTED_VALUE"""),1.0)</f>
        <v>1</v>
      </c>
      <c r="J203" s="130">
        <f>IFERROR(__xludf.DUMMYFUNCTION("""COMPUTED_VALUE"""),1.0)</f>
        <v>1</v>
      </c>
      <c r="K203" s="130">
        <f>IFERROR(__xludf.DUMMYFUNCTION("""COMPUTED_VALUE"""),1.0)</f>
        <v>1</v>
      </c>
      <c r="L203" s="129">
        <f>IFERROR(__xludf.DUMMYFUNCTION("""COMPUTED_VALUE"""),1.0)</f>
        <v>1</v>
      </c>
      <c r="M203" s="130">
        <f>IFERROR(__xludf.DUMMYFUNCTION("""COMPUTED_VALUE"""),1.0)</f>
        <v>1</v>
      </c>
      <c r="N203" s="130">
        <f>IFERROR(__xludf.DUMMYFUNCTION("""COMPUTED_VALUE"""),0.0)</f>
        <v>0</v>
      </c>
      <c r="O203" s="130">
        <f>IFERROR(__xludf.DUMMYFUNCTION("""COMPUTED_VALUE"""),0.0)</f>
        <v>0</v>
      </c>
      <c r="P203" s="130">
        <f>IFERROR(__xludf.DUMMYFUNCTION("""COMPUTED_VALUE"""),0.0)</f>
        <v>0</v>
      </c>
      <c r="Q203" s="129">
        <f>IFERROR(__xludf.DUMMYFUNCTION("""COMPUTED_VALUE"""),0.0)</f>
        <v>0</v>
      </c>
      <c r="R203" s="129">
        <f>IFERROR(__xludf.DUMMYFUNCTION("""COMPUTED_VALUE"""),0.0)</f>
        <v>0</v>
      </c>
      <c r="S203" s="129">
        <f>IFERROR(__xludf.DUMMYFUNCTION("""COMPUTED_VALUE"""),0.0)</f>
        <v>0</v>
      </c>
      <c r="T203" s="129">
        <f>IFERROR(__xludf.DUMMYFUNCTION("""COMPUTED_VALUE"""),0.0)</f>
        <v>0</v>
      </c>
      <c r="U203" s="129">
        <f>IFERROR(__xludf.DUMMYFUNCTION("""COMPUTED_VALUE"""),0.0)</f>
        <v>0</v>
      </c>
      <c r="V203" s="126">
        <f>IFERROR(__xludf.DUMMYFUNCTION("""COMPUTED_VALUE"""),0.0)</f>
        <v>0</v>
      </c>
      <c r="W203" s="126" t="str">
        <f>IFERROR(__xludf.DUMMYFUNCTION("""COMPUTED_VALUE"""),"Yes")</f>
        <v>Yes</v>
      </c>
      <c r="X203" s="126" t="str">
        <f>IFERROR(__xludf.DUMMYFUNCTION("""COMPUTED_VALUE"""),"Yes")</f>
        <v>Yes</v>
      </c>
      <c r="Y203" s="126" t="str">
        <f>IFERROR(__xludf.DUMMYFUNCTION("""COMPUTED_VALUE"""),"S")</f>
        <v>S</v>
      </c>
      <c r="Z203" s="126"/>
      <c r="AA203" s="126"/>
      <c r="AB203" s="126"/>
      <c r="AC203" s="126"/>
      <c r="AD203" s="126"/>
      <c r="AE203" s="126"/>
      <c r="AF203" s="126"/>
      <c r="AG203" s="126"/>
      <c r="AH203" s="126"/>
      <c r="AI203" s="126"/>
      <c r="AJ203" s="126"/>
    </row>
    <row r="204">
      <c r="A204" s="126">
        <f>IFERROR(__xludf.DUMMYFUNCTION("""COMPUTED_VALUE"""),592.0)</f>
        <v>592</v>
      </c>
      <c r="B204" s="126" t="str">
        <f>IFERROR(__xludf.DUMMYFUNCTION("""COMPUTED_VALUE"""),"Data Center Server Energy Consumption Optimization Algorithm")</f>
        <v>Data Center Server Energy Consumption Optimization Algorithm</v>
      </c>
      <c r="C204" s="127" t="str">
        <f>IFERROR(__xludf.DUMMYFUNCTION("""COMPUTED_VALUE"""),"https://ieeexplore.ieee.org/abstract/document/8442890/")</f>
        <v>https://ieeexplore.ieee.org/abstract/document/8442890/</v>
      </c>
      <c r="D204" s="131" t="str">
        <f>IFERROR(__xludf.DUMMYFUNCTION("""COMPUTED_VALUE"""),"I Stamatescu, S Ploix, I Făgărăşan…")</f>
        <v>I Stamatescu, S Ploix, I Făgărăşan…</v>
      </c>
      <c r="E204" s="131" t="str">
        <f>IFERROR(__xludf.DUMMYFUNCTION("""COMPUTED_VALUE"""),"Institute of Electrical and Electronics Engineers")</f>
        <v>Institute of Electrical and Electronics Engineers</v>
      </c>
      <c r="F204" s="126" t="str">
        <f>IFERROR(__xludf.DUMMYFUNCTION("""COMPUTED_VALUE"""),"IEEE Xplore")</f>
        <v>IEEE Xplore</v>
      </c>
      <c r="G204" s="128" t="str">
        <f>IFERROR(__xludf.DUMMYFUNCTION("""COMPUTED_VALUE"""),"C")</f>
        <v>C</v>
      </c>
      <c r="H204" s="130">
        <f>IFERROR(__xludf.DUMMYFUNCTION("""COMPUTED_VALUE"""),2018.0)</f>
        <v>2018</v>
      </c>
      <c r="I204" s="130">
        <f>IFERROR(__xludf.DUMMYFUNCTION("""COMPUTED_VALUE"""),1.0)</f>
        <v>1</v>
      </c>
      <c r="J204" s="130">
        <f>IFERROR(__xludf.DUMMYFUNCTION("""COMPUTED_VALUE"""),1.0)</f>
        <v>1</v>
      </c>
      <c r="K204" s="130">
        <f>IFERROR(__xludf.DUMMYFUNCTION("""COMPUTED_VALUE"""),1.0)</f>
        <v>1</v>
      </c>
      <c r="L204" s="129">
        <f>IFERROR(__xludf.DUMMYFUNCTION("""COMPUTED_VALUE"""),1.0)</f>
        <v>1</v>
      </c>
      <c r="M204" s="130">
        <f>IFERROR(__xludf.DUMMYFUNCTION("""COMPUTED_VALUE"""),1.0)</f>
        <v>1</v>
      </c>
      <c r="N204" s="130">
        <f>IFERROR(__xludf.DUMMYFUNCTION("""COMPUTED_VALUE"""),0.0)</f>
        <v>0</v>
      </c>
      <c r="O204" s="130">
        <f>IFERROR(__xludf.DUMMYFUNCTION("""COMPUTED_VALUE"""),0.0)</f>
        <v>0</v>
      </c>
      <c r="P204" s="130">
        <f>IFERROR(__xludf.DUMMYFUNCTION("""COMPUTED_VALUE"""),0.0)</f>
        <v>0</v>
      </c>
      <c r="Q204" s="130">
        <f>IFERROR(__xludf.DUMMYFUNCTION("""COMPUTED_VALUE"""),0.0)</f>
        <v>0</v>
      </c>
      <c r="R204" s="130">
        <f>IFERROR(__xludf.DUMMYFUNCTION("""COMPUTED_VALUE"""),0.0)</f>
        <v>0</v>
      </c>
      <c r="S204" s="130">
        <f>IFERROR(__xludf.DUMMYFUNCTION("""COMPUTED_VALUE"""),0.0)</f>
        <v>0</v>
      </c>
      <c r="T204" s="130">
        <f>IFERROR(__xludf.DUMMYFUNCTION("""COMPUTED_VALUE"""),0.0)</f>
        <v>0</v>
      </c>
      <c r="U204" s="130">
        <f>IFERROR(__xludf.DUMMYFUNCTION("""COMPUTED_VALUE"""),0.0)</f>
        <v>0</v>
      </c>
      <c r="V204" s="131">
        <f>IFERROR(__xludf.DUMMYFUNCTION("""COMPUTED_VALUE"""),0.0)</f>
        <v>0</v>
      </c>
      <c r="W204" s="131" t="str">
        <f>IFERROR(__xludf.DUMMYFUNCTION("""COMPUTED_VALUE"""),"Yes")</f>
        <v>Yes</v>
      </c>
      <c r="X204" s="131" t="str">
        <f>IFERROR(__xludf.DUMMYFUNCTION("""COMPUTED_VALUE"""),"Yes")</f>
        <v>Yes</v>
      </c>
      <c r="Y204" s="131" t="str">
        <f>IFERROR(__xludf.DUMMYFUNCTION("""COMPUTED_VALUE"""),"S")</f>
        <v>S</v>
      </c>
      <c r="Z204" s="131"/>
      <c r="AA204" s="131"/>
      <c r="AB204" s="131"/>
      <c r="AC204" s="131"/>
      <c r="AD204" s="131"/>
      <c r="AE204" s="131"/>
      <c r="AF204" s="131"/>
      <c r="AG204" s="131"/>
      <c r="AH204" s="131"/>
      <c r="AI204" s="131"/>
      <c r="AJ204" s="131"/>
    </row>
    <row r="205">
      <c r="A205" s="126">
        <f>IFERROR(__xludf.DUMMYFUNCTION("""COMPUTED_VALUE"""),595.0)</f>
        <v>595</v>
      </c>
      <c r="B205" s="126" t="str">
        <f>IFERROR(__xludf.DUMMYFUNCTION("""COMPUTED_VALUE"""),"An efficient energy-aware method for virtual machine placement in cloud data centers using the cultural algorithm")</f>
        <v>An efficient energy-aware method for virtual machine placement in cloud data centers using the cultural algorithm</v>
      </c>
      <c r="C205" s="127" t="str">
        <f>IFERROR(__xludf.DUMMYFUNCTION("""COMPUTED_VALUE"""),"https://link.springer.com/article/10.1007/s11227-019-02909-3")</f>
        <v>https://link.springer.com/article/10.1007/s11227-019-02909-3</v>
      </c>
      <c r="D205" s="126" t="str">
        <f>IFERROR(__xludf.DUMMYFUNCTION("""COMPUTED_VALUE"""),"M Mohammadhosseini, AT Haghighat, E Mahdipour")</f>
        <v>M Mohammadhosseini, AT Haghighat, E Mahdipour</v>
      </c>
      <c r="E205" s="126" t="str">
        <f>IFERROR(__xludf.DUMMYFUNCTION("""COMPUTED_VALUE"""),"Springer")</f>
        <v>Springer</v>
      </c>
      <c r="F205" s="126" t="str">
        <f>IFERROR(__xludf.DUMMYFUNCTION("""COMPUTED_VALUE"""),"Springer")</f>
        <v>Springer</v>
      </c>
      <c r="G205" s="128" t="str">
        <f>IFERROR(__xludf.DUMMYFUNCTION("""COMPUTED_VALUE"""),"J")</f>
        <v>J</v>
      </c>
      <c r="H205" s="130">
        <f>IFERROR(__xludf.DUMMYFUNCTION("""COMPUTED_VALUE"""),2019.0)</f>
        <v>2019</v>
      </c>
      <c r="I205" s="130">
        <f>IFERROR(__xludf.DUMMYFUNCTION("""COMPUTED_VALUE"""),1.0)</f>
        <v>1</v>
      </c>
      <c r="J205" s="130">
        <f>IFERROR(__xludf.DUMMYFUNCTION("""COMPUTED_VALUE"""),1.0)</f>
        <v>1</v>
      </c>
      <c r="K205" s="130">
        <f>IFERROR(__xludf.DUMMYFUNCTION("""COMPUTED_VALUE"""),1.0)</f>
        <v>1</v>
      </c>
      <c r="L205" s="129">
        <f>IFERROR(__xludf.DUMMYFUNCTION("""COMPUTED_VALUE"""),1.0)</f>
        <v>1</v>
      </c>
      <c r="M205" s="129">
        <f>IFERROR(__xludf.DUMMYFUNCTION("""COMPUTED_VALUE"""),1.0)</f>
        <v>1</v>
      </c>
      <c r="N205" s="129">
        <f>IFERROR(__xludf.DUMMYFUNCTION("""COMPUTED_VALUE"""),0.0)</f>
        <v>0</v>
      </c>
      <c r="O205" s="129">
        <f>IFERROR(__xludf.DUMMYFUNCTION("""COMPUTED_VALUE"""),0.0)</f>
        <v>0</v>
      </c>
      <c r="P205" s="130">
        <f>IFERROR(__xludf.DUMMYFUNCTION("""COMPUTED_VALUE"""),0.0)</f>
        <v>0</v>
      </c>
      <c r="Q205" s="130">
        <f>IFERROR(__xludf.DUMMYFUNCTION("""COMPUTED_VALUE"""),0.0)</f>
        <v>0</v>
      </c>
      <c r="R205" s="130">
        <f>IFERROR(__xludf.DUMMYFUNCTION("""COMPUTED_VALUE"""),0.0)</f>
        <v>0</v>
      </c>
      <c r="S205" s="130">
        <f>IFERROR(__xludf.DUMMYFUNCTION("""COMPUTED_VALUE"""),0.0)</f>
        <v>0</v>
      </c>
      <c r="T205" s="130">
        <f>IFERROR(__xludf.DUMMYFUNCTION("""COMPUTED_VALUE"""),0.0)</f>
        <v>0</v>
      </c>
      <c r="U205" s="130">
        <f>IFERROR(__xludf.DUMMYFUNCTION("""COMPUTED_VALUE"""),0.0)</f>
        <v>0</v>
      </c>
      <c r="V205" s="131">
        <f>IFERROR(__xludf.DUMMYFUNCTION("""COMPUTED_VALUE"""),0.0)</f>
        <v>0</v>
      </c>
      <c r="W205" s="131" t="str">
        <f>IFERROR(__xludf.DUMMYFUNCTION("""COMPUTED_VALUE"""),"Yes")</f>
        <v>Yes</v>
      </c>
      <c r="X205" s="131" t="str">
        <f>IFERROR(__xludf.DUMMYFUNCTION("""COMPUTED_VALUE"""),"Yes")</f>
        <v>Yes</v>
      </c>
      <c r="Y205" s="131" t="str">
        <f>IFERROR(__xludf.DUMMYFUNCTION("""COMPUTED_VALUE"""),"S")</f>
        <v>S</v>
      </c>
      <c r="Z205" s="131"/>
      <c r="AA205" s="131"/>
      <c r="AB205" s="131"/>
      <c r="AC205" s="131"/>
      <c r="AD205" s="131"/>
      <c r="AE205" s="131"/>
      <c r="AF205" s="131"/>
      <c r="AG205" s="131"/>
      <c r="AH205" s="131"/>
      <c r="AI205" s="131"/>
      <c r="AJ205" s="131"/>
    </row>
    <row r="206">
      <c r="A206" s="126">
        <f>IFERROR(__xludf.DUMMYFUNCTION("""COMPUTED_VALUE"""),596.0)</f>
        <v>596</v>
      </c>
      <c r="B206" s="126" t="str">
        <f>IFERROR(__xludf.DUMMYFUNCTION("""COMPUTED_VALUE"""),"Datazero: Datacenter with zero emission and robust management using renewable energy")</f>
        <v>Datazero: Datacenter with zero emission and robust management using renewable energy</v>
      </c>
      <c r="C206" s="127" t="str">
        <f>IFERROR(__xludf.DUMMYFUNCTION("""COMPUTED_VALUE"""),"https://ieeexplore.ieee.org/abstract/document/8768369/")</f>
        <v>https://ieeexplore.ieee.org/abstract/document/8768369/</v>
      </c>
      <c r="D206" s="126" t="str">
        <f>IFERROR(__xludf.DUMMYFUNCTION("""COMPUTED_VALUE"""),"JM Pierson, G Baudic, S Caux, B Celik, G Da Costa, L Grange, M Haddad, J Lecuivre, JM Nicod, L Phillipe. V Rehn-Sonigo, R Roche, G Rostirolla, A Sayah, P Stolf, MT Thi, C Varnier")</f>
        <v>JM Pierson, G Baudic, S Caux, B Celik, G Da Costa, L Grange, M Haddad, J Lecuivre, JM Nicod, L Phillipe. V Rehn-Sonigo, R Roche, G Rostirolla, A Sayah, P Stolf, MT Thi, C Varnier</v>
      </c>
      <c r="E206" s="126" t="str">
        <f>IFERROR(__xludf.DUMMYFUNCTION("""COMPUTED_VALUE"""),"Institute of Electrical and Electronics Engineers")</f>
        <v>Institute of Electrical and Electronics Engineers</v>
      </c>
      <c r="F206" s="126" t="str">
        <f>IFERROR(__xludf.DUMMYFUNCTION("""COMPUTED_VALUE"""),"IEEE Xplore")</f>
        <v>IEEE Xplore</v>
      </c>
      <c r="G206" s="128" t="str">
        <f>IFERROR(__xludf.DUMMYFUNCTION("""COMPUTED_VALUE"""),"J")</f>
        <v>J</v>
      </c>
      <c r="H206" s="129">
        <f>IFERROR(__xludf.DUMMYFUNCTION("""COMPUTED_VALUE"""),2019.0)</f>
        <v>2019</v>
      </c>
      <c r="I206" s="130">
        <f>IFERROR(__xludf.DUMMYFUNCTION("""COMPUTED_VALUE"""),1.0)</f>
        <v>1</v>
      </c>
      <c r="J206" s="129">
        <f>IFERROR(__xludf.DUMMYFUNCTION("""COMPUTED_VALUE"""),1.0)</f>
        <v>1</v>
      </c>
      <c r="K206" s="130">
        <f>IFERROR(__xludf.DUMMYFUNCTION("""COMPUTED_VALUE"""),1.0)</f>
        <v>1</v>
      </c>
      <c r="L206" s="130">
        <f>IFERROR(__xludf.DUMMYFUNCTION("""COMPUTED_VALUE"""),1.0)</f>
        <v>1</v>
      </c>
      <c r="M206" s="130">
        <f>IFERROR(__xludf.DUMMYFUNCTION("""COMPUTED_VALUE"""),1.0)</f>
        <v>1</v>
      </c>
      <c r="N206" s="130">
        <f>IFERROR(__xludf.DUMMYFUNCTION("""COMPUTED_VALUE"""),0.0)</f>
        <v>0</v>
      </c>
      <c r="O206" s="130">
        <f>IFERROR(__xludf.DUMMYFUNCTION("""COMPUTED_VALUE"""),0.0)</f>
        <v>0</v>
      </c>
      <c r="P206" s="130">
        <f>IFERROR(__xludf.DUMMYFUNCTION("""COMPUTED_VALUE"""),0.0)</f>
        <v>0</v>
      </c>
      <c r="Q206" s="130">
        <f>IFERROR(__xludf.DUMMYFUNCTION("""COMPUTED_VALUE"""),0.0)</f>
        <v>0</v>
      </c>
      <c r="R206" s="130">
        <f>IFERROR(__xludf.DUMMYFUNCTION("""COMPUTED_VALUE"""),0.0)</f>
        <v>0</v>
      </c>
      <c r="S206" s="130">
        <f>IFERROR(__xludf.DUMMYFUNCTION("""COMPUTED_VALUE"""),0.0)</f>
        <v>0</v>
      </c>
      <c r="T206" s="130">
        <f>IFERROR(__xludf.DUMMYFUNCTION("""COMPUTED_VALUE"""),0.0)</f>
        <v>0</v>
      </c>
      <c r="U206" s="130">
        <f>IFERROR(__xludf.DUMMYFUNCTION("""COMPUTED_VALUE"""),0.0)</f>
        <v>0</v>
      </c>
      <c r="V206" s="131">
        <f>IFERROR(__xludf.DUMMYFUNCTION("""COMPUTED_VALUE"""),0.0)</f>
        <v>0</v>
      </c>
      <c r="W206" s="131" t="str">
        <f>IFERROR(__xludf.DUMMYFUNCTION("""COMPUTED_VALUE"""),"Yes")</f>
        <v>Yes</v>
      </c>
      <c r="X206" s="131" t="str">
        <f>IFERROR(__xludf.DUMMYFUNCTION("""COMPUTED_VALUE"""),"Yes")</f>
        <v>Yes</v>
      </c>
      <c r="Y206" s="131" t="str">
        <f>IFERROR(__xludf.DUMMYFUNCTION("""COMPUTED_VALUE"""),"S")</f>
        <v>S</v>
      </c>
      <c r="Z206" s="131"/>
      <c r="AA206" s="131"/>
      <c r="AB206" s="131"/>
      <c r="AC206" s="131"/>
      <c r="AD206" s="131"/>
      <c r="AE206" s="131"/>
      <c r="AF206" s="131"/>
      <c r="AG206" s="131"/>
      <c r="AH206" s="131"/>
      <c r="AI206" s="131"/>
      <c r="AJ206" s="131"/>
    </row>
    <row r="207">
      <c r="A207" s="126">
        <f>IFERROR(__xludf.DUMMYFUNCTION("""COMPUTED_VALUE"""),599.0)</f>
        <v>599</v>
      </c>
      <c r="B207" s="126" t="str">
        <f>IFERROR(__xludf.DUMMYFUNCTION("""COMPUTED_VALUE"""),"Energy-Efficient Data Center Networks")</f>
        <v>Energy-Efficient Data Center Networks</v>
      </c>
      <c r="C207" s="127" t="str">
        <f>IFERROR(__xludf.DUMMYFUNCTION("""COMPUTED_VALUE"""),"https://ieeexplore.ieee.org/abstract/document/8548323/")</f>
        <v>https://ieeexplore.ieee.org/abstract/document/8548323/</v>
      </c>
      <c r="D207" s="126" t="str">
        <f>IFERROR(__xludf.DUMMYFUNCTION("""COMPUTED_VALUE"""),"JA Manjate, M Hidell, P Sjödin")</f>
        <v>JA Manjate, M Hidell, P Sjödin</v>
      </c>
      <c r="E207" s="126" t="str">
        <f>IFERROR(__xludf.DUMMYFUNCTION("""COMPUTED_VALUE"""),"Institute of Electrical and Electronics Engineers")</f>
        <v>Institute of Electrical and Electronics Engineers</v>
      </c>
      <c r="F207" s="126" t="str">
        <f>IFERROR(__xludf.DUMMYFUNCTION("""COMPUTED_VALUE"""),"IEEE Xplore")</f>
        <v>IEEE Xplore</v>
      </c>
      <c r="G207" s="132" t="str">
        <f>IFERROR(__xludf.DUMMYFUNCTION("""COMPUTED_VALUE"""),"C")</f>
        <v>C</v>
      </c>
      <c r="H207" s="129">
        <f>IFERROR(__xludf.DUMMYFUNCTION("""COMPUTED_VALUE"""),2018.0)</f>
        <v>2018</v>
      </c>
      <c r="I207" s="129">
        <f>IFERROR(__xludf.DUMMYFUNCTION("""COMPUTED_VALUE"""),1.0)</f>
        <v>1</v>
      </c>
      <c r="J207" s="129">
        <f>IFERROR(__xludf.DUMMYFUNCTION("""COMPUTED_VALUE"""),1.0)</f>
        <v>1</v>
      </c>
      <c r="K207" s="130">
        <f>IFERROR(__xludf.DUMMYFUNCTION("""COMPUTED_VALUE"""),1.0)</f>
        <v>1</v>
      </c>
      <c r="L207" s="129">
        <f>IFERROR(__xludf.DUMMYFUNCTION("""COMPUTED_VALUE"""),1.0)</f>
        <v>1</v>
      </c>
      <c r="M207" s="130">
        <f>IFERROR(__xludf.DUMMYFUNCTION("""COMPUTED_VALUE"""),1.0)</f>
        <v>1</v>
      </c>
      <c r="N207" s="130">
        <f>IFERROR(__xludf.DUMMYFUNCTION("""COMPUTED_VALUE"""),0.0)</f>
        <v>0</v>
      </c>
      <c r="O207" s="130">
        <f>IFERROR(__xludf.DUMMYFUNCTION("""COMPUTED_VALUE"""),0.0)</f>
        <v>0</v>
      </c>
      <c r="P207" s="129">
        <f>IFERROR(__xludf.DUMMYFUNCTION("""COMPUTED_VALUE"""),0.0)</f>
        <v>0</v>
      </c>
      <c r="Q207" s="130">
        <f>IFERROR(__xludf.DUMMYFUNCTION("""COMPUTED_VALUE"""),0.0)</f>
        <v>0</v>
      </c>
      <c r="R207" s="130">
        <f>IFERROR(__xludf.DUMMYFUNCTION("""COMPUTED_VALUE"""),0.0)</f>
        <v>0</v>
      </c>
      <c r="S207" s="130">
        <f>IFERROR(__xludf.DUMMYFUNCTION("""COMPUTED_VALUE"""),0.0)</f>
        <v>0</v>
      </c>
      <c r="T207" s="130">
        <f>IFERROR(__xludf.DUMMYFUNCTION("""COMPUTED_VALUE"""),0.0)</f>
        <v>0</v>
      </c>
      <c r="U207" s="130">
        <f>IFERROR(__xludf.DUMMYFUNCTION("""COMPUTED_VALUE"""),0.0)</f>
        <v>0</v>
      </c>
      <c r="V207" s="131">
        <f>IFERROR(__xludf.DUMMYFUNCTION("""COMPUTED_VALUE"""),0.0)</f>
        <v>0</v>
      </c>
      <c r="W207" s="131" t="str">
        <f>IFERROR(__xludf.DUMMYFUNCTION("""COMPUTED_VALUE"""),"Yes")</f>
        <v>Yes</v>
      </c>
      <c r="X207" s="131" t="str">
        <f>IFERROR(__xludf.DUMMYFUNCTION("""COMPUTED_VALUE"""),"Yes")</f>
        <v>Yes</v>
      </c>
      <c r="Y207" s="131" t="str">
        <f>IFERROR(__xludf.DUMMYFUNCTION("""COMPUTED_VALUE"""),"S")</f>
        <v>S</v>
      </c>
      <c r="Z207" s="131"/>
      <c r="AA207" s="131"/>
      <c r="AB207" s="131"/>
      <c r="AC207" s="131"/>
      <c r="AD207" s="131"/>
      <c r="AE207" s="131"/>
      <c r="AF207" s="131"/>
      <c r="AG207" s="131"/>
      <c r="AH207" s="131"/>
      <c r="AI207" s="131"/>
      <c r="AJ207" s="131"/>
    </row>
    <row r="208">
      <c r="A208" s="126">
        <f>IFERROR(__xludf.DUMMYFUNCTION("""COMPUTED_VALUE"""),606.0)</f>
        <v>606</v>
      </c>
      <c r="B208" s="126" t="str">
        <f>IFERROR(__xludf.DUMMYFUNCTION("""COMPUTED_VALUE"""),"EcoVMbroker: energy-aware scheduling for multi-layer datacenters")</f>
        <v>EcoVMbroker: energy-aware scheduling for multi-layer datacenters</v>
      </c>
      <c r="C208" s="127" t="str">
        <f>IFERROR(__xludf.DUMMYFUNCTION("""COMPUTED_VALUE"""),"https://dl.acm.org/doi/abs/10.1145/3167132.3167178")</f>
        <v>https://dl.acm.org/doi/abs/10.1145/3167132.3167178</v>
      </c>
      <c r="D208" s="126" t="str">
        <f>IFERROR(__xludf.DUMMYFUNCTION("""COMPUTED_VALUE"""),"R Fernandes, J Simão, L Veiga")</f>
        <v>R Fernandes, J Simão, L Veiga</v>
      </c>
      <c r="E208" s="126" t="str">
        <f>IFERROR(__xludf.DUMMYFUNCTION("""COMPUTED_VALUE"""),"Association for Computing Machinery")</f>
        <v>Association for Computing Machinery</v>
      </c>
      <c r="F208" s="126" t="str">
        <f>IFERROR(__xludf.DUMMYFUNCTION("""COMPUTED_VALUE"""),"ACM")</f>
        <v>ACM</v>
      </c>
      <c r="G208" s="128" t="str">
        <f>IFERROR(__xludf.DUMMYFUNCTION("""COMPUTED_VALUE"""),"C")</f>
        <v>C</v>
      </c>
      <c r="H208" s="130">
        <f>IFERROR(__xludf.DUMMYFUNCTION("""COMPUTED_VALUE"""),2018.0)</f>
        <v>2018</v>
      </c>
      <c r="I208" s="130">
        <f>IFERROR(__xludf.DUMMYFUNCTION("""COMPUTED_VALUE"""),1.0)</f>
        <v>1</v>
      </c>
      <c r="J208" s="130">
        <f>IFERROR(__xludf.DUMMYFUNCTION("""COMPUTED_VALUE"""),1.0)</f>
        <v>1</v>
      </c>
      <c r="K208" s="130">
        <f>IFERROR(__xludf.DUMMYFUNCTION("""COMPUTED_VALUE"""),1.0)</f>
        <v>1</v>
      </c>
      <c r="L208" s="129">
        <f>IFERROR(__xludf.DUMMYFUNCTION("""COMPUTED_VALUE"""),1.0)</f>
        <v>1</v>
      </c>
      <c r="M208" s="130">
        <f>IFERROR(__xludf.DUMMYFUNCTION("""COMPUTED_VALUE"""),1.0)</f>
        <v>1</v>
      </c>
      <c r="N208" s="130">
        <f>IFERROR(__xludf.DUMMYFUNCTION("""COMPUTED_VALUE"""),0.0)</f>
        <v>0</v>
      </c>
      <c r="O208" s="130">
        <f>IFERROR(__xludf.DUMMYFUNCTION("""COMPUTED_VALUE"""),0.0)</f>
        <v>0</v>
      </c>
      <c r="P208" s="130">
        <f>IFERROR(__xludf.DUMMYFUNCTION("""COMPUTED_VALUE"""),0.0)</f>
        <v>0</v>
      </c>
      <c r="Q208" s="129">
        <f>IFERROR(__xludf.DUMMYFUNCTION("""COMPUTED_VALUE"""),0.0)</f>
        <v>0</v>
      </c>
      <c r="R208" s="129">
        <f>IFERROR(__xludf.DUMMYFUNCTION("""COMPUTED_VALUE"""),0.0)</f>
        <v>0</v>
      </c>
      <c r="S208" s="129">
        <f>IFERROR(__xludf.DUMMYFUNCTION("""COMPUTED_VALUE"""),0.0)</f>
        <v>0</v>
      </c>
      <c r="T208" s="129">
        <f>IFERROR(__xludf.DUMMYFUNCTION("""COMPUTED_VALUE"""),0.0)</f>
        <v>0</v>
      </c>
      <c r="U208" s="129">
        <f>IFERROR(__xludf.DUMMYFUNCTION("""COMPUTED_VALUE"""),0.0)</f>
        <v>0</v>
      </c>
      <c r="V208" s="126">
        <f>IFERROR(__xludf.DUMMYFUNCTION("""COMPUTED_VALUE"""),0.0)</f>
        <v>0</v>
      </c>
      <c r="W208" s="126" t="str">
        <f>IFERROR(__xludf.DUMMYFUNCTION("""COMPUTED_VALUE"""),"Yes")</f>
        <v>Yes</v>
      </c>
      <c r="X208" s="126" t="str">
        <f>IFERROR(__xludf.DUMMYFUNCTION("""COMPUTED_VALUE"""),"Yes")</f>
        <v>Yes</v>
      </c>
      <c r="Y208" s="126" t="str">
        <f>IFERROR(__xludf.DUMMYFUNCTION("""COMPUTED_VALUE"""),"S")</f>
        <v>S</v>
      </c>
      <c r="Z208" s="126"/>
      <c r="AA208" s="126"/>
      <c r="AB208" s="126"/>
      <c r="AC208" s="126"/>
      <c r="AD208" s="126"/>
      <c r="AE208" s="126"/>
      <c r="AF208" s="126"/>
      <c r="AG208" s="126"/>
      <c r="AH208" s="126"/>
      <c r="AI208" s="126"/>
      <c r="AJ208" s="126"/>
    </row>
    <row r="209">
      <c r="A209" s="126">
        <f>IFERROR(__xludf.DUMMYFUNCTION("""COMPUTED_VALUE"""),607.0)</f>
        <v>607</v>
      </c>
      <c r="B209" s="126" t="str">
        <f>IFERROR(__xludf.DUMMYFUNCTION("""COMPUTED_VALUE"""),"Energy-Efficient Workflow Scheduling using Container based Virtualization in Software Defined Data Centers")</f>
        <v>Energy-Efficient Workflow Scheduling using Container based Virtualization in Software Defined Data Centers</v>
      </c>
      <c r="C209" s="127" t="str">
        <f>IFERROR(__xludf.DUMMYFUNCTION("""COMPUTED_VALUE"""),"https://ieeexplore.ieee.org/abstract/document/9057431/")</f>
        <v>https://ieeexplore.ieee.org/abstract/document/9057431/</v>
      </c>
      <c r="D209" s="126" t="str">
        <f>IFERROR(__xludf.DUMMYFUNCTION("""COMPUTED_VALUE"""),"R Ranjan, I Thakur, GS Aujla, N Kumar, AY Zomaya")</f>
        <v>R Ranjan, I Thakur, GS Aujla, N Kumar, AY Zomaya</v>
      </c>
      <c r="E209" s="126" t="str">
        <f>IFERROR(__xludf.DUMMYFUNCTION("""COMPUTED_VALUE"""),"Institute of Electrical and Electronics Engineers")</f>
        <v>Institute of Electrical and Electronics Engineers</v>
      </c>
      <c r="F209" s="126" t="str">
        <f>IFERROR(__xludf.DUMMYFUNCTION("""COMPUTED_VALUE"""),"IEEE Xplore")</f>
        <v>IEEE Xplore</v>
      </c>
      <c r="G209" s="128" t="str">
        <f>IFERROR(__xludf.DUMMYFUNCTION("""COMPUTED_VALUE"""),"J")</f>
        <v>J</v>
      </c>
      <c r="H209" s="129">
        <f>IFERROR(__xludf.DUMMYFUNCTION("""COMPUTED_VALUE"""),2020.0)</f>
        <v>2020</v>
      </c>
      <c r="I209" s="129">
        <f>IFERROR(__xludf.DUMMYFUNCTION("""COMPUTED_VALUE"""),1.0)</f>
        <v>1</v>
      </c>
      <c r="J209" s="129">
        <f>IFERROR(__xludf.DUMMYFUNCTION("""COMPUTED_VALUE"""),1.0)</f>
        <v>1</v>
      </c>
      <c r="K209" s="130">
        <f>IFERROR(__xludf.DUMMYFUNCTION("""COMPUTED_VALUE"""),1.0)</f>
        <v>1</v>
      </c>
      <c r="L209" s="130">
        <f>IFERROR(__xludf.DUMMYFUNCTION("""COMPUTED_VALUE"""),1.0)</f>
        <v>1</v>
      </c>
      <c r="M209" s="130">
        <f>IFERROR(__xludf.DUMMYFUNCTION("""COMPUTED_VALUE"""),1.0)</f>
        <v>1</v>
      </c>
      <c r="N209" s="130">
        <f>IFERROR(__xludf.DUMMYFUNCTION("""COMPUTED_VALUE"""),0.0)</f>
        <v>0</v>
      </c>
      <c r="O209" s="130">
        <f>IFERROR(__xludf.DUMMYFUNCTION("""COMPUTED_VALUE"""),0.0)</f>
        <v>0</v>
      </c>
      <c r="P209" s="129">
        <f>IFERROR(__xludf.DUMMYFUNCTION("""COMPUTED_VALUE"""),0.0)</f>
        <v>0</v>
      </c>
      <c r="Q209" s="130">
        <f>IFERROR(__xludf.DUMMYFUNCTION("""COMPUTED_VALUE"""),0.0)</f>
        <v>0</v>
      </c>
      <c r="R209" s="130">
        <f>IFERROR(__xludf.DUMMYFUNCTION("""COMPUTED_VALUE"""),0.0)</f>
        <v>0</v>
      </c>
      <c r="S209" s="130">
        <f>IFERROR(__xludf.DUMMYFUNCTION("""COMPUTED_VALUE"""),0.0)</f>
        <v>0</v>
      </c>
      <c r="T209" s="130">
        <f>IFERROR(__xludf.DUMMYFUNCTION("""COMPUTED_VALUE"""),0.0)</f>
        <v>0</v>
      </c>
      <c r="U209" s="130">
        <f>IFERROR(__xludf.DUMMYFUNCTION("""COMPUTED_VALUE"""),0.0)</f>
        <v>0</v>
      </c>
      <c r="V209" s="131">
        <f>IFERROR(__xludf.DUMMYFUNCTION("""COMPUTED_VALUE"""),0.0)</f>
        <v>0</v>
      </c>
      <c r="W209" s="131" t="str">
        <f>IFERROR(__xludf.DUMMYFUNCTION("""COMPUTED_VALUE"""),"Yes")</f>
        <v>Yes</v>
      </c>
      <c r="X209" s="131" t="str">
        <f>IFERROR(__xludf.DUMMYFUNCTION("""COMPUTED_VALUE"""),"Yes")</f>
        <v>Yes</v>
      </c>
      <c r="Y209" s="131" t="str">
        <f>IFERROR(__xludf.DUMMYFUNCTION("""COMPUTED_VALUE"""),"S")</f>
        <v>S</v>
      </c>
      <c r="Z209" s="131"/>
      <c r="AA209" s="131"/>
      <c r="AB209" s="131"/>
      <c r="AC209" s="131"/>
      <c r="AD209" s="131"/>
      <c r="AE209" s="131"/>
      <c r="AF209" s="131"/>
      <c r="AG209" s="131"/>
      <c r="AH209" s="131"/>
      <c r="AI209" s="131"/>
      <c r="AJ209" s="131"/>
    </row>
    <row r="210">
      <c r="A210" s="126">
        <f>IFERROR(__xludf.DUMMYFUNCTION("""COMPUTED_VALUE"""),611.0)</f>
        <v>611</v>
      </c>
      <c r="B210" s="126" t="str">
        <f>IFERROR(__xludf.DUMMYFUNCTION("""COMPUTED_VALUE"""),"Energy-aware resource management framework for overbooked cloud data centers with SLA assurance")</f>
        <v>Energy-aware resource management framework for overbooked cloud data centers with SLA assurance</v>
      </c>
      <c r="C210" s="127" t="str">
        <f>IFERROR(__xludf.DUMMYFUNCTION("""COMPUTED_VALUE"""),"https://ieeexplore.ieee.org/abstract/document/8647884/")</f>
        <v>https://ieeexplore.ieee.org/abstract/document/8647884/</v>
      </c>
      <c r="D210" s="126" t="str">
        <f>IFERROR(__xludf.DUMMYFUNCTION("""COMPUTED_VALUE"""),"S Alanazi, B Hamdaoui")</f>
        <v>S Alanazi, B Hamdaoui</v>
      </c>
      <c r="E210" s="126" t="str">
        <f>IFERROR(__xludf.DUMMYFUNCTION("""COMPUTED_VALUE"""),"Institute of Electrical and Electronics Engineers")</f>
        <v>Institute of Electrical and Electronics Engineers</v>
      </c>
      <c r="F210" s="126" t="str">
        <f>IFERROR(__xludf.DUMMYFUNCTION("""COMPUTED_VALUE"""),"IEEE Xplore")</f>
        <v>IEEE Xplore</v>
      </c>
      <c r="G210" s="132" t="str">
        <f>IFERROR(__xludf.DUMMYFUNCTION("""COMPUTED_VALUE"""),"C")</f>
        <v>C</v>
      </c>
      <c r="H210" s="129">
        <f>IFERROR(__xludf.DUMMYFUNCTION("""COMPUTED_VALUE"""),2018.0)</f>
        <v>2018</v>
      </c>
      <c r="I210" s="129">
        <f>IFERROR(__xludf.DUMMYFUNCTION("""COMPUTED_VALUE"""),1.0)</f>
        <v>1</v>
      </c>
      <c r="J210" s="129">
        <f>IFERROR(__xludf.DUMMYFUNCTION("""COMPUTED_VALUE"""),1.0)</f>
        <v>1</v>
      </c>
      <c r="K210" s="130">
        <f>IFERROR(__xludf.DUMMYFUNCTION("""COMPUTED_VALUE"""),1.0)</f>
        <v>1</v>
      </c>
      <c r="L210" s="129">
        <f>IFERROR(__xludf.DUMMYFUNCTION("""COMPUTED_VALUE"""),1.0)</f>
        <v>1</v>
      </c>
      <c r="M210" s="130">
        <f>IFERROR(__xludf.DUMMYFUNCTION("""COMPUTED_VALUE"""),1.0)</f>
        <v>1</v>
      </c>
      <c r="N210" s="130">
        <f>IFERROR(__xludf.DUMMYFUNCTION("""COMPUTED_VALUE"""),0.0)</f>
        <v>0</v>
      </c>
      <c r="O210" s="130">
        <f>IFERROR(__xludf.DUMMYFUNCTION("""COMPUTED_VALUE"""),0.0)</f>
        <v>0</v>
      </c>
      <c r="P210" s="130">
        <f>IFERROR(__xludf.DUMMYFUNCTION("""COMPUTED_VALUE"""),0.0)</f>
        <v>0</v>
      </c>
      <c r="Q210" s="130">
        <f>IFERROR(__xludf.DUMMYFUNCTION("""COMPUTED_VALUE"""),0.0)</f>
        <v>0</v>
      </c>
      <c r="R210" s="130">
        <f>IFERROR(__xludf.DUMMYFUNCTION("""COMPUTED_VALUE"""),0.0)</f>
        <v>0</v>
      </c>
      <c r="S210" s="130">
        <f>IFERROR(__xludf.DUMMYFUNCTION("""COMPUTED_VALUE"""),0.0)</f>
        <v>0</v>
      </c>
      <c r="T210" s="130">
        <f>IFERROR(__xludf.DUMMYFUNCTION("""COMPUTED_VALUE"""),0.0)</f>
        <v>0</v>
      </c>
      <c r="U210" s="130">
        <f>IFERROR(__xludf.DUMMYFUNCTION("""COMPUTED_VALUE"""),0.0)</f>
        <v>0</v>
      </c>
      <c r="V210" s="131">
        <f>IFERROR(__xludf.DUMMYFUNCTION("""COMPUTED_VALUE"""),0.0)</f>
        <v>0</v>
      </c>
      <c r="W210" s="131" t="str">
        <f>IFERROR(__xludf.DUMMYFUNCTION("""COMPUTED_VALUE"""),"Yes")</f>
        <v>Yes</v>
      </c>
      <c r="X210" s="131" t="str">
        <f>IFERROR(__xludf.DUMMYFUNCTION("""COMPUTED_VALUE"""),"Yes")</f>
        <v>Yes</v>
      </c>
      <c r="Y210" s="131" t="str">
        <f>IFERROR(__xludf.DUMMYFUNCTION("""COMPUTED_VALUE"""),"S")</f>
        <v>S</v>
      </c>
      <c r="Z210" s="131"/>
      <c r="AA210" s="131"/>
      <c r="AB210" s="131"/>
      <c r="AC210" s="131"/>
      <c r="AD210" s="131"/>
      <c r="AE210" s="131"/>
      <c r="AF210" s="131"/>
      <c r="AG210" s="131"/>
      <c r="AH210" s="131"/>
      <c r="AI210" s="131"/>
      <c r="AJ210" s="131"/>
    </row>
    <row r="211">
      <c r="A211" s="126">
        <f>IFERROR(__xludf.DUMMYFUNCTION("""COMPUTED_VALUE"""),612.0)</f>
        <v>612</v>
      </c>
      <c r="B211" s="126" t="str">
        <f>IFERROR(__xludf.DUMMYFUNCTION("""COMPUTED_VALUE"""),"Segment routing based energy aware routing for software defined data center")</f>
        <v>Segment routing based energy aware routing for software defined data center</v>
      </c>
      <c r="C211" s="127" t="str">
        <f>IFERROR(__xludf.DUMMYFUNCTION("""COMPUTED_VALUE"""),"https://www.sciencedirect.com/science/article/pii/S1389041720300553")</f>
        <v>https://www.sciencedirect.com/science/article/pii/S1389041720300553</v>
      </c>
      <c r="D211" s="126" t="str">
        <f>IFERROR(__xludf.DUMMYFUNCTION("""COMPUTED_VALUE"""),"B Balakiruthiga, P Deepalakshmi, SN Mohanty, D Gupta, PP Kuman, K Shankar")</f>
        <v>B Balakiruthiga, P Deepalakshmi, SN Mohanty, D Gupta, PP Kuman, K Shankar</v>
      </c>
      <c r="E211" s="126" t="str">
        <f>IFERROR(__xludf.DUMMYFUNCTION("""COMPUTED_VALUE"""),"Elsevier")</f>
        <v>Elsevier</v>
      </c>
      <c r="F211" s="126" t="str">
        <f>IFERROR(__xludf.DUMMYFUNCTION("""COMPUTED_VALUE"""),"Elsevier")</f>
        <v>Elsevier</v>
      </c>
      <c r="G211" s="128" t="str">
        <f>IFERROR(__xludf.DUMMYFUNCTION("""COMPUTED_VALUE"""),"J")</f>
        <v>J</v>
      </c>
      <c r="H211" s="129">
        <f>IFERROR(__xludf.DUMMYFUNCTION("""COMPUTED_VALUE"""),2020.0)</f>
        <v>2020</v>
      </c>
      <c r="I211" s="129">
        <f>IFERROR(__xludf.DUMMYFUNCTION("""COMPUTED_VALUE"""),1.0)</f>
        <v>1</v>
      </c>
      <c r="J211" s="129">
        <f>IFERROR(__xludf.DUMMYFUNCTION("""COMPUTED_VALUE"""),1.0)</f>
        <v>1</v>
      </c>
      <c r="K211" s="130">
        <f>IFERROR(__xludf.DUMMYFUNCTION("""COMPUTED_VALUE"""),1.0)</f>
        <v>1</v>
      </c>
      <c r="L211" s="130">
        <f>IFERROR(__xludf.DUMMYFUNCTION("""COMPUTED_VALUE"""),1.0)</f>
        <v>1</v>
      </c>
      <c r="M211" s="130">
        <f>IFERROR(__xludf.DUMMYFUNCTION("""COMPUTED_VALUE"""),1.0)</f>
        <v>1</v>
      </c>
      <c r="N211" s="130">
        <f>IFERROR(__xludf.DUMMYFUNCTION("""COMPUTED_VALUE"""),0.0)</f>
        <v>0</v>
      </c>
      <c r="O211" s="130">
        <f>IFERROR(__xludf.DUMMYFUNCTION("""COMPUTED_VALUE"""),0.0)</f>
        <v>0</v>
      </c>
      <c r="P211" s="129">
        <f>IFERROR(__xludf.DUMMYFUNCTION("""COMPUTED_VALUE"""),0.0)</f>
        <v>0</v>
      </c>
      <c r="Q211" s="129">
        <f>IFERROR(__xludf.DUMMYFUNCTION("""COMPUTED_VALUE"""),0.0)</f>
        <v>0</v>
      </c>
      <c r="R211" s="129">
        <f>IFERROR(__xludf.DUMMYFUNCTION("""COMPUTED_VALUE"""),0.0)</f>
        <v>0</v>
      </c>
      <c r="S211" s="129">
        <f>IFERROR(__xludf.DUMMYFUNCTION("""COMPUTED_VALUE"""),0.0)</f>
        <v>0</v>
      </c>
      <c r="T211" s="129">
        <f>IFERROR(__xludf.DUMMYFUNCTION("""COMPUTED_VALUE"""),0.0)</f>
        <v>0</v>
      </c>
      <c r="U211" s="129">
        <f>IFERROR(__xludf.DUMMYFUNCTION("""COMPUTED_VALUE"""),0.0)</f>
        <v>0</v>
      </c>
      <c r="V211" s="126">
        <f>IFERROR(__xludf.DUMMYFUNCTION("""COMPUTED_VALUE"""),0.0)</f>
        <v>0</v>
      </c>
      <c r="W211" s="126" t="str">
        <f>IFERROR(__xludf.DUMMYFUNCTION("""COMPUTED_VALUE"""),"Yes")</f>
        <v>Yes</v>
      </c>
      <c r="X211" s="126" t="str">
        <f>IFERROR(__xludf.DUMMYFUNCTION("""COMPUTED_VALUE"""),"Yes")</f>
        <v>Yes</v>
      </c>
      <c r="Y211" s="126" t="str">
        <f>IFERROR(__xludf.DUMMYFUNCTION("""COMPUTED_VALUE"""),"S")</f>
        <v>S</v>
      </c>
      <c r="Z211" s="126"/>
      <c r="AA211" s="126"/>
      <c r="AB211" s="126"/>
      <c r="AC211" s="126"/>
      <c r="AD211" s="126"/>
      <c r="AE211" s="126"/>
      <c r="AF211" s="126"/>
      <c r="AG211" s="126"/>
      <c r="AH211" s="126"/>
      <c r="AI211" s="126"/>
      <c r="AJ211" s="126"/>
    </row>
    <row r="212">
      <c r="A212" s="126">
        <f>IFERROR(__xludf.DUMMYFUNCTION("""COMPUTED_VALUE"""),615.0)</f>
        <v>615</v>
      </c>
      <c r="B212" s="126" t="str">
        <f>IFERROR(__xludf.DUMMYFUNCTION("""COMPUTED_VALUE"""),"Monte carlo based server consolidation for energy efficient cloud data centers")</f>
        <v>Monte carlo based server consolidation for energy efficient cloud data centers</v>
      </c>
      <c r="C212" s="127" t="str">
        <f>IFERROR(__xludf.DUMMYFUNCTION("""COMPUTED_VALUE"""),"https://par.nsf.gov/biblio/10157200")</f>
        <v>https://par.nsf.gov/biblio/10157200</v>
      </c>
      <c r="D212" s="126" t="str">
        <f>IFERROR(__xludf.DUMMYFUNCTION("""COMPUTED_VALUE"""),"B Harris, N Altiparmak")</f>
        <v>B Harris, N Altiparmak</v>
      </c>
      <c r="E212" s="126" t="str">
        <f>IFERROR(__xludf.DUMMYFUNCTION("""COMPUTED_VALUE"""),"Institute of Electrical and Electronics Engineers")</f>
        <v>Institute of Electrical and Electronics Engineers</v>
      </c>
      <c r="F212" s="126" t="str">
        <f>IFERROR(__xludf.DUMMYFUNCTION("""COMPUTED_VALUE"""),"IEEE")</f>
        <v>IEEE</v>
      </c>
      <c r="G212" s="128" t="str">
        <f>IFERROR(__xludf.DUMMYFUNCTION("""COMPUTED_VALUE"""),"C")</f>
        <v>C</v>
      </c>
      <c r="H212" s="129">
        <f>IFERROR(__xludf.DUMMYFUNCTION("""COMPUTED_VALUE"""),2019.0)</f>
        <v>2019</v>
      </c>
      <c r="I212" s="129">
        <f>IFERROR(__xludf.DUMMYFUNCTION("""COMPUTED_VALUE"""),1.0)</f>
        <v>1</v>
      </c>
      <c r="J212" s="129">
        <f>IFERROR(__xludf.DUMMYFUNCTION("""COMPUTED_VALUE"""),1.0)</f>
        <v>1</v>
      </c>
      <c r="K212" s="130">
        <f>IFERROR(__xludf.DUMMYFUNCTION("""COMPUTED_VALUE"""),1.0)</f>
        <v>1</v>
      </c>
      <c r="L212" s="130">
        <f>IFERROR(__xludf.DUMMYFUNCTION("""COMPUTED_VALUE"""),1.0)</f>
        <v>1</v>
      </c>
      <c r="M212" s="130">
        <f>IFERROR(__xludf.DUMMYFUNCTION("""COMPUTED_VALUE"""),1.0)</f>
        <v>1</v>
      </c>
      <c r="N212" s="130">
        <f>IFERROR(__xludf.DUMMYFUNCTION("""COMPUTED_VALUE"""),0.0)</f>
        <v>0</v>
      </c>
      <c r="O212" s="130">
        <f>IFERROR(__xludf.DUMMYFUNCTION("""COMPUTED_VALUE"""),0.0)</f>
        <v>0</v>
      </c>
      <c r="P212" s="129">
        <f>IFERROR(__xludf.DUMMYFUNCTION("""COMPUTED_VALUE"""),0.0)</f>
        <v>0</v>
      </c>
      <c r="Q212" s="129">
        <f>IFERROR(__xludf.DUMMYFUNCTION("""COMPUTED_VALUE"""),0.0)</f>
        <v>0</v>
      </c>
      <c r="R212" s="129">
        <f>IFERROR(__xludf.DUMMYFUNCTION("""COMPUTED_VALUE"""),0.0)</f>
        <v>0</v>
      </c>
      <c r="S212" s="129">
        <f>IFERROR(__xludf.DUMMYFUNCTION("""COMPUTED_VALUE"""),0.0)</f>
        <v>0</v>
      </c>
      <c r="T212" s="129">
        <f>IFERROR(__xludf.DUMMYFUNCTION("""COMPUTED_VALUE"""),0.0)</f>
        <v>0</v>
      </c>
      <c r="U212" s="129">
        <f>IFERROR(__xludf.DUMMYFUNCTION("""COMPUTED_VALUE"""),0.0)</f>
        <v>0</v>
      </c>
      <c r="V212" s="126">
        <f>IFERROR(__xludf.DUMMYFUNCTION("""COMPUTED_VALUE"""),0.0)</f>
        <v>0</v>
      </c>
      <c r="W212" s="126" t="str">
        <f>IFERROR(__xludf.DUMMYFUNCTION("""COMPUTED_VALUE"""),"Yes")</f>
        <v>Yes</v>
      </c>
      <c r="X212" s="126" t="str">
        <f>IFERROR(__xludf.DUMMYFUNCTION("""COMPUTED_VALUE"""),"Yes")</f>
        <v>Yes</v>
      </c>
      <c r="Y212" s="126" t="str">
        <f>IFERROR(__xludf.DUMMYFUNCTION("""COMPUTED_VALUE"""),"S")</f>
        <v>S</v>
      </c>
      <c r="Z212" s="126"/>
      <c r="AA212" s="126"/>
      <c r="AB212" s="126"/>
      <c r="AC212" s="126"/>
      <c r="AD212" s="126"/>
      <c r="AE212" s="126"/>
      <c r="AF212" s="126"/>
      <c r="AG212" s="126"/>
      <c r="AH212" s="126"/>
      <c r="AI212" s="126"/>
      <c r="AJ212" s="126"/>
    </row>
    <row r="213">
      <c r="A213" s="126">
        <f>IFERROR(__xludf.DUMMYFUNCTION("""COMPUTED_VALUE"""),616.0)</f>
        <v>616</v>
      </c>
      <c r="B213" s="126" t="str">
        <f>IFERROR(__xludf.DUMMYFUNCTION("""COMPUTED_VALUE"""),"A novel energy-aware resource management technique using joint VM and container consolidation approach for green computing in cloud data centers")</f>
        <v>A novel energy-aware resource management technique using joint VM and container consolidation approach for green computing in cloud data centers</v>
      </c>
      <c r="C213" s="127" t="str">
        <f>IFERROR(__xludf.DUMMYFUNCTION("""COMPUTED_VALUE"""),"https://www.sciencedirect.com/science/article/pii/S1569190X20300666")</f>
        <v>https://www.sciencedirect.com/science/article/pii/S1569190X20300666</v>
      </c>
      <c r="D213" s="126" t="str">
        <f>IFERROR(__xludf.DUMMYFUNCTION("""COMPUTED_VALUE"""),"N Gholipour, E Arianyan, R Buyya")</f>
        <v>N Gholipour, E Arianyan, R Buyya</v>
      </c>
      <c r="E213" s="126" t="str">
        <f>IFERROR(__xludf.DUMMYFUNCTION("""COMPUTED_VALUE"""),"Elsevier")</f>
        <v>Elsevier</v>
      </c>
      <c r="F213" s="126" t="str">
        <f>IFERROR(__xludf.DUMMYFUNCTION("""COMPUTED_VALUE"""),"Elsevier")</f>
        <v>Elsevier</v>
      </c>
      <c r="G213" s="128" t="str">
        <f>IFERROR(__xludf.DUMMYFUNCTION("""COMPUTED_VALUE"""),"J")</f>
        <v>J</v>
      </c>
      <c r="H213" s="130">
        <f>IFERROR(__xludf.DUMMYFUNCTION("""COMPUTED_VALUE"""),2020.0)</f>
        <v>2020</v>
      </c>
      <c r="I213" s="129">
        <f>IFERROR(__xludf.DUMMYFUNCTION("""COMPUTED_VALUE"""),1.0)</f>
        <v>1</v>
      </c>
      <c r="J213" s="130">
        <f>IFERROR(__xludf.DUMMYFUNCTION("""COMPUTED_VALUE"""),1.0)</f>
        <v>1</v>
      </c>
      <c r="K213" s="130">
        <f>IFERROR(__xludf.DUMMYFUNCTION("""COMPUTED_VALUE"""),1.0)</f>
        <v>1</v>
      </c>
      <c r="L213" s="130">
        <f>IFERROR(__xludf.DUMMYFUNCTION("""COMPUTED_VALUE"""),1.0)</f>
        <v>1</v>
      </c>
      <c r="M213" s="130">
        <f>IFERROR(__xludf.DUMMYFUNCTION("""COMPUTED_VALUE"""),1.0)</f>
        <v>1</v>
      </c>
      <c r="N213" s="130">
        <f>IFERROR(__xludf.DUMMYFUNCTION("""COMPUTED_VALUE"""),0.0)</f>
        <v>0</v>
      </c>
      <c r="O213" s="130">
        <f>IFERROR(__xludf.DUMMYFUNCTION("""COMPUTED_VALUE"""),0.0)</f>
        <v>0</v>
      </c>
      <c r="P213" s="130">
        <f>IFERROR(__xludf.DUMMYFUNCTION("""COMPUTED_VALUE"""),0.0)</f>
        <v>0</v>
      </c>
      <c r="Q213" s="130">
        <f>IFERROR(__xludf.DUMMYFUNCTION("""COMPUTED_VALUE"""),0.0)</f>
        <v>0</v>
      </c>
      <c r="R213" s="130">
        <f>IFERROR(__xludf.DUMMYFUNCTION("""COMPUTED_VALUE"""),0.0)</f>
        <v>0</v>
      </c>
      <c r="S213" s="130">
        <f>IFERROR(__xludf.DUMMYFUNCTION("""COMPUTED_VALUE"""),0.0)</f>
        <v>0</v>
      </c>
      <c r="T213" s="130">
        <f>IFERROR(__xludf.DUMMYFUNCTION("""COMPUTED_VALUE"""),0.0)</f>
        <v>0</v>
      </c>
      <c r="U213" s="130">
        <f>IFERROR(__xludf.DUMMYFUNCTION("""COMPUTED_VALUE"""),0.0)</f>
        <v>0</v>
      </c>
      <c r="V213" s="131">
        <f>IFERROR(__xludf.DUMMYFUNCTION("""COMPUTED_VALUE"""),0.0)</f>
        <v>0</v>
      </c>
      <c r="W213" s="131" t="str">
        <f>IFERROR(__xludf.DUMMYFUNCTION("""COMPUTED_VALUE"""),"Yes")</f>
        <v>Yes</v>
      </c>
      <c r="X213" s="131" t="str">
        <f>IFERROR(__xludf.DUMMYFUNCTION("""COMPUTED_VALUE"""),"Yes")</f>
        <v>Yes</v>
      </c>
      <c r="Y213" s="131" t="str">
        <f>IFERROR(__xludf.DUMMYFUNCTION("""COMPUTED_VALUE"""),"S")</f>
        <v>S</v>
      </c>
      <c r="Z213" s="131"/>
      <c r="AA213" s="131"/>
      <c r="AB213" s="131"/>
      <c r="AC213" s="131"/>
      <c r="AD213" s="131"/>
      <c r="AE213" s="131"/>
      <c r="AF213" s="131"/>
      <c r="AG213" s="131"/>
      <c r="AH213" s="131"/>
      <c r="AI213" s="131"/>
      <c r="AJ213" s="131"/>
    </row>
    <row r="214">
      <c r="A214" s="126">
        <f>IFERROR(__xludf.DUMMYFUNCTION("""COMPUTED_VALUE"""),617.0)</f>
        <v>617</v>
      </c>
      <c r="B214" s="126" t="str">
        <f>IFERROR(__xludf.DUMMYFUNCTION("""COMPUTED_VALUE"""),"The Potential Influence of Workload Management Across Heterogeneous Server Systems on Datacenter Energy Use and Power Draw")</f>
        <v>The Potential Influence of Workload Management Across Heterogeneous Server Systems on Datacenter Energy Use and Power Draw</v>
      </c>
      <c r="C214" s="127" t="str">
        <f>IFERROR(__xludf.DUMMYFUNCTION("""COMPUTED_VALUE"""),"https://ieeexplore.ieee.org/abstract/document/8612307/")</f>
        <v>https://ieeexplore.ieee.org/abstract/document/8612307/</v>
      </c>
      <c r="D214" s="131" t="str">
        <f>IFERROR(__xludf.DUMMYFUNCTION("""COMPUTED_VALUE"""),"DH Harryvan, R Chamberlane, A SCionti…")</f>
        <v>DH Harryvan, R Chamberlane, A SCionti…</v>
      </c>
      <c r="E214" s="131" t="str">
        <f>IFERROR(__xludf.DUMMYFUNCTION("""COMPUTED_VALUE"""),"Institute of Electrical and Electronics Engineers")</f>
        <v>Institute of Electrical and Electronics Engineers</v>
      </c>
      <c r="F214" s="126" t="str">
        <f>IFERROR(__xludf.DUMMYFUNCTION("""COMPUTED_VALUE"""),"IEEE Xplore")</f>
        <v>IEEE Xplore</v>
      </c>
      <c r="G214" s="128" t="str">
        <f>IFERROR(__xludf.DUMMYFUNCTION("""COMPUTED_VALUE"""),"C")</f>
        <v>C</v>
      </c>
      <c r="H214" s="130">
        <f>IFERROR(__xludf.DUMMYFUNCTION("""COMPUTED_VALUE"""),2018.0)</f>
        <v>2018</v>
      </c>
      <c r="I214" s="129">
        <f>IFERROR(__xludf.DUMMYFUNCTION("""COMPUTED_VALUE"""),1.0)</f>
        <v>1</v>
      </c>
      <c r="J214" s="130">
        <f>IFERROR(__xludf.DUMMYFUNCTION("""COMPUTED_VALUE"""),1.0)</f>
        <v>1</v>
      </c>
      <c r="K214" s="130">
        <f>IFERROR(__xludf.DUMMYFUNCTION("""COMPUTED_VALUE"""),1.0)</f>
        <v>1</v>
      </c>
      <c r="L214" s="130">
        <f>IFERROR(__xludf.DUMMYFUNCTION("""COMPUTED_VALUE"""),1.0)</f>
        <v>1</v>
      </c>
      <c r="M214" s="130">
        <f>IFERROR(__xludf.DUMMYFUNCTION("""COMPUTED_VALUE"""),1.0)</f>
        <v>1</v>
      </c>
      <c r="N214" s="130">
        <f>IFERROR(__xludf.DUMMYFUNCTION("""COMPUTED_VALUE"""),0.0)</f>
        <v>0</v>
      </c>
      <c r="O214" s="130">
        <f>IFERROR(__xludf.DUMMYFUNCTION("""COMPUTED_VALUE"""),0.0)</f>
        <v>0</v>
      </c>
      <c r="P214" s="130">
        <f>IFERROR(__xludf.DUMMYFUNCTION("""COMPUTED_VALUE"""),0.0)</f>
        <v>0</v>
      </c>
      <c r="Q214" s="130">
        <f>IFERROR(__xludf.DUMMYFUNCTION("""COMPUTED_VALUE"""),0.0)</f>
        <v>0</v>
      </c>
      <c r="R214" s="130">
        <f>IFERROR(__xludf.DUMMYFUNCTION("""COMPUTED_VALUE"""),0.0)</f>
        <v>0</v>
      </c>
      <c r="S214" s="130">
        <f>IFERROR(__xludf.DUMMYFUNCTION("""COMPUTED_VALUE"""),0.0)</f>
        <v>0</v>
      </c>
      <c r="T214" s="130">
        <f>IFERROR(__xludf.DUMMYFUNCTION("""COMPUTED_VALUE"""),0.0)</f>
        <v>0</v>
      </c>
      <c r="U214" s="130">
        <f>IFERROR(__xludf.DUMMYFUNCTION("""COMPUTED_VALUE"""),0.0)</f>
        <v>0</v>
      </c>
      <c r="V214" s="131">
        <f>IFERROR(__xludf.DUMMYFUNCTION("""COMPUTED_VALUE"""),0.0)</f>
        <v>0</v>
      </c>
      <c r="W214" s="131" t="str">
        <f>IFERROR(__xludf.DUMMYFUNCTION("""COMPUTED_VALUE"""),"Yes")</f>
        <v>Yes</v>
      </c>
      <c r="X214" s="131" t="str">
        <f>IFERROR(__xludf.DUMMYFUNCTION("""COMPUTED_VALUE"""),"Yes")</f>
        <v>Yes</v>
      </c>
      <c r="Y214" s="131" t="str">
        <f>IFERROR(__xludf.DUMMYFUNCTION("""COMPUTED_VALUE"""),"S")</f>
        <v>S</v>
      </c>
      <c r="Z214" s="131"/>
      <c r="AA214" s="131"/>
      <c r="AB214" s="131"/>
      <c r="AC214" s="131"/>
      <c r="AD214" s="131"/>
      <c r="AE214" s="131"/>
      <c r="AF214" s="131"/>
      <c r="AG214" s="131"/>
      <c r="AH214" s="131"/>
      <c r="AI214" s="131"/>
      <c r="AJ214" s="131"/>
    </row>
    <row r="215">
      <c r="A215" s="126">
        <f>IFERROR(__xludf.DUMMYFUNCTION("""COMPUTED_VALUE"""),623.0)</f>
        <v>623</v>
      </c>
      <c r="B215" s="126" t="str">
        <f>IFERROR(__xludf.DUMMYFUNCTION("""COMPUTED_VALUE"""),"Energy efficient VM scheduling strategies for HPC workloads in cloud data centers")</f>
        <v>Energy efficient VM scheduling strategies for HPC workloads in cloud data centers</v>
      </c>
      <c r="C215" s="127" t="str">
        <f>IFERROR(__xludf.DUMMYFUNCTION("""COMPUTED_VALUE"""),"https://www.sciencedirect.com/science/article/pii/S2210537916301718")</f>
        <v>https://www.sciencedirect.com/science/article/pii/S2210537916301718</v>
      </c>
      <c r="D215" s="126" t="str">
        <f>IFERROR(__xludf.DUMMYFUNCTION("""COMPUTED_VALUE"""),"AA Chandio, N Tziritas, MS Chandio, CZ Xu")</f>
        <v>AA Chandio, N Tziritas, MS Chandio, CZ Xu</v>
      </c>
      <c r="E215" s="126" t="str">
        <f>IFERROR(__xludf.DUMMYFUNCTION("""COMPUTED_VALUE"""),"Elsevier")</f>
        <v>Elsevier</v>
      </c>
      <c r="F215" s="126" t="str">
        <f>IFERROR(__xludf.DUMMYFUNCTION("""COMPUTED_VALUE"""),"Elsevier")</f>
        <v>Elsevier</v>
      </c>
      <c r="G215" s="128" t="str">
        <f>IFERROR(__xludf.DUMMYFUNCTION("""COMPUTED_VALUE"""),"J")</f>
        <v>J</v>
      </c>
      <c r="H215" s="129">
        <f>IFERROR(__xludf.DUMMYFUNCTION("""COMPUTED_VALUE"""),2019.0)</f>
        <v>2019</v>
      </c>
      <c r="I215" s="130">
        <f>IFERROR(__xludf.DUMMYFUNCTION("""COMPUTED_VALUE"""),1.0)</f>
        <v>1</v>
      </c>
      <c r="J215" s="129">
        <f>IFERROR(__xludf.DUMMYFUNCTION("""COMPUTED_VALUE"""),1.0)</f>
        <v>1</v>
      </c>
      <c r="K215" s="130">
        <f>IFERROR(__xludf.DUMMYFUNCTION("""COMPUTED_VALUE"""),1.0)</f>
        <v>1</v>
      </c>
      <c r="L215" s="130">
        <f>IFERROR(__xludf.DUMMYFUNCTION("""COMPUTED_VALUE"""),1.0)</f>
        <v>1</v>
      </c>
      <c r="M215" s="130">
        <f>IFERROR(__xludf.DUMMYFUNCTION("""COMPUTED_VALUE"""),1.0)</f>
        <v>1</v>
      </c>
      <c r="N215" s="130">
        <f>IFERROR(__xludf.DUMMYFUNCTION("""COMPUTED_VALUE"""),0.0)</f>
        <v>0</v>
      </c>
      <c r="O215" s="130">
        <f>IFERROR(__xludf.DUMMYFUNCTION("""COMPUTED_VALUE"""),0.0)</f>
        <v>0</v>
      </c>
      <c r="P215" s="130">
        <f>IFERROR(__xludf.DUMMYFUNCTION("""COMPUTED_VALUE"""),0.0)</f>
        <v>0</v>
      </c>
      <c r="Q215" s="130">
        <f>IFERROR(__xludf.DUMMYFUNCTION("""COMPUTED_VALUE"""),0.0)</f>
        <v>0</v>
      </c>
      <c r="R215" s="130">
        <f>IFERROR(__xludf.DUMMYFUNCTION("""COMPUTED_VALUE"""),0.0)</f>
        <v>0</v>
      </c>
      <c r="S215" s="130">
        <f>IFERROR(__xludf.DUMMYFUNCTION("""COMPUTED_VALUE"""),0.0)</f>
        <v>0</v>
      </c>
      <c r="T215" s="130">
        <f>IFERROR(__xludf.DUMMYFUNCTION("""COMPUTED_VALUE"""),0.0)</f>
        <v>0</v>
      </c>
      <c r="U215" s="130">
        <f>IFERROR(__xludf.DUMMYFUNCTION("""COMPUTED_VALUE"""),0.0)</f>
        <v>0</v>
      </c>
      <c r="V215" s="131">
        <f>IFERROR(__xludf.DUMMYFUNCTION("""COMPUTED_VALUE"""),0.0)</f>
        <v>0</v>
      </c>
      <c r="W215" s="131" t="str">
        <f>IFERROR(__xludf.DUMMYFUNCTION("""COMPUTED_VALUE"""),"Yes")</f>
        <v>Yes</v>
      </c>
      <c r="X215" s="131" t="str">
        <f>IFERROR(__xludf.DUMMYFUNCTION("""COMPUTED_VALUE"""),"Yes")</f>
        <v>Yes</v>
      </c>
      <c r="Y215" s="131" t="str">
        <f>IFERROR(__xludf.DUMMYFUNCTION("""COMPUTED_VALUE"""),"S")</f>
        <v>S</v>
      </c>
      <c r="Z215" s="131"/>
      <c r="AA215" s="131"/>
      <c r="AB215" s="131"/>
      <c r="AC215" s="131"/>
      <c r="AD215" s="131"/>
      <c r="AE215" s="131"/>
      <c r="AF215" s="131"/>
      <c r="AG215" s="131"/>
      <c r="AH215" s="131"/>
      <c r="AI215" s="131"/>
      <c r="AJ215" s="131"/>
    </row>
    <row r="216">
      <c r="A216" s="126">
        <f>IFERROR(__xludf.DUMMYFUNCTION("""COMPUTED_VALUE"""),625.0)</f>
        <v>625</v>
      </c>
      <c r="B216" s="126" t="str">
        <f>IFERROR(__xludf.DUMMYFUNCTION("""COMPUTED_VALUE"""),"An energy, performance efficient resource consolidation scheme for heterogeneous cloud datacenters")</f>
        <v>An energy, performance efficient resource consolidation scheme for heterogeneous cloud datacenters</v>
      </c>
      <c r="C216" s="127" t="str">
        <f>IFERROR(__xludf.DUMMYFUNCTION("""COMPUTED_VALUE"""),"https://www.sciencedirect.com/science/article/pii/S1084804519303571")</f>
        <v>https://www.sciencedirect.com/science/article/pii/S1084804519303571</v>
      </c>
      <c r="D216" s="126" t="str">
        <f>IFERROR(__xludf.DUMMYFUNCTION("""COMPUTED_VALUE"""),"AA Khan, M Zakarya, R Khan, IU Rahman…")</f>
        <v>AA Khan, M Zakarya, R Khan, IU Rahman…</v>
      </c>
      <c r="E216" s="126" t="str">
        <f>IFERROR(__xludf.DUMMYFUNCTION("""COMPUTED_VALUE"""),"Elsevier")</f>
        <v>Elsevier</v>
      </c>
      <c r="F216" s="126" t="str">
        <f>IFERROR(__xludf.DUMMYFUNCTION("""COMPUTED_VALUE"""),"Elsevier")</f>
        <v>Elsevier</v>
      </c>
      <c r="G216" s="128" t="str">
        <f>IFERROR(__xludf.DUMMYFUNCTION("""COMPUTED_VALUE"""),"J")</f>
        <v>J</v>
      </c>
      <c r="H216" s="129">
        <f>IFERROR(__xludf.DUMMYFUNCTION("""COMPUTED_VALUE"""),2020.0)</f>
        <v>2020</v>
      </c>
      <c r="I216" s="130">
        <f>IFERROR(__xludf.DUMMYFUNCTION("""COMPUTED_VALUE"""),1.0)</f>
        <v>1</v>
      </c>
      <c r="J216" s="129">
        <f>IFERROR(__xludf.DUMMYFUNCTION("""COMPUTED_VALUE"""),1.0)</f>
        <v>1</v>
      </c>
      <c r="K216" s="130">
        <f>IFERROR(__xludf.DUMMYFUNCTION("""COMPUTED_VALUE"""),1.0)</f>
        <v>1</v>
      </c>
      <c r="L216" s="130">
        <f>IFERROR(__xludf.DUMMYFUNCTION("""COMPUTED_VALUE"""),1.0)</f>
        <v>1</v>
      </c>
      <c r="M216" s="130">
        <f>IFERROR(__xludf.DUMMYFUNCTION("""COMPUTED_VALUE"""),1.0)</f>
        <v>1</v>
      </c>
      <c r="N216" s="130">
        <f>IFERROR(__xludf.DUMMYFUNCTION("""COMPUTED_VALUE"""),0.0)</f>
        <v>0</v>
      </c>
      <c r="O216" s="130">
        <f>IFERROR(__xludf.DUMMYFUNCTION("""COMPUTED_VALUE"""),0.0)</f>
        <v>0</v>
      </c>
      <c r="P216" s="130">
        <f>IFERROR(__xludf.DUMMYFUNCTION("""COMPUTED_VALUE"""),0.0)</f>
        <v>0</v>
      </c>
      <c r="Q216" s="130">
        <f>IFERROR(__xludf.DUMMYFUNCTION("""COMPUTED_VALUE"""),0.0)</f>
        <v>0</v>
      </c>
      <c r="R216" s="130">
        <f>IFERROR(__xludf.DUMMYFUNCTION("""COMPUTED_VALUE"""),0.0)</f>
        <v>0</v>
      </c>
      <c r="S216" s="130">
        <f>IFERROR(__xludf.DUMMYFUNCTION("""COMPUTED_VALUE"""),0.0)</f>
        <v>0</v>
      </c>
      <c r="T216" s="130">
        <f>IFERROR(__xludf.DUMMYFUNCTION("""COMPUTED_VALUE"""),0.0)</f>
        <v>0</v>
      </c>
      <c r="U216" s="130">
        <f>IFERROR(__xludf.DUMMYFUNCTION("""COMPUTED_VALUE"""),0.0)</f>
        <v>0</v>
      </c>
      <c r="V216" s="131">
        <f>IFERROR(__xludf.DUMMYFUNCTION("""COMPUTED_VALUE"""),0.0)</f>
        <v>0</v>
      </c>
      <c r="W216" s="131" t="str">
        <f>IFERROR(__xludf.DUMMYFUNCTION("""COMPUTED_VALUE"""),"Yes")</f>
        <v>Yes</v>
      </c>
      <c r="X216" s="131" t="str">
        <f>IFERROR(__xludf.DUMMYFUNCTION("""COMPUTED_VALUE"""),"Yes")</f>
        <v>Yes</v>
      </c>
      <c r="Y216" s="131" t="str">
        <f>IFERROR(__xludf.DUMMYFUNCTION("""COMPUTED_VALUE"""),"S")</f>
        <v>S</v>
      </c>
      <c r="Z216" s="131"/>
      <c r="AA216" s="131"/>
      <c r="AB216" s="131"/>
      <c r="AC216" s="131"/>
      <c r="AD216" s="131"/>
      <c r="AE216" s="131"/>
      <c r="AF216" s="131"/>
      <c r="AG216" s="131"/>
      <c r="AH216" s="131"/>
      <c r="AI216" s="131"/>
      <c r="AJ216" s="131"/>
    </row>
    <row r="217">
      <c r="A217" s="126">
        <f>IFERROR(__xludf.DUMMYFUNCTION("""COMPUTED_VALUE"""),627.0)</f>
        <v>627</v>
      </c>
      <c r="B217" s="126" t="str">
        <f>IFERROR(__xludf.DUMMYFUNCTION("""COMPUTED_VALUE"""),"HIGA: Harmony-inspired genetic algorithm for rack-aware energy-efficient task scheduling in cloud data centers")</f>
        <v>HIGA: Harmony-inspired genetic algorithm for rack-aware energy-efficient task scheduling in cloud data centers</v>
      </c>
      <c r="C217" s="127" t="str">
        <f>IFERROR(__xludf.DUMMYFUNCTION("""COMPUTED_VALUE"""),"https://www.sciencedirect.com/science/article/pii/S2215098618312023")</f>
        <v>https://www.sciencedirect.com/science/article/pii/S2215098618312023</v>
      </c>
      <c r="D217" s="126" t="str">
        <f>IFERROR(__xludf.DUMMYFUNCTION("""COMPUTED_VALUE"""),"M Sharma, R Garg")</f>
        <v>M Sharma, R Garg</v>
      </c>
      <c r="E217" s="126" t="str">
        <f>IFERROR(__xludf.DUMMYFUNCTION("""COMPUTED_VALUE"""),"Elsevier")</f>
        <v>Elsevier</v>
      </c>
      <c r="F217" s="126" t="str">
        <f>IFERROR(__xludf.DUMMYFUNCTION("""COMPUTED_VALUE"""),"Elsevier")</f>
        <v>Elsevier</v>
      </c>
      <c r="G217" s="128" t="str">
        <f>IFERROR(__xludf.DUMMYFUNCTION("""COMPUTED_VALUE"""),"J")</f>
        <v>J</v>
      </c>
      <c r="H217" s="129">
        <f>IFERROR(__xludf.DUMMYFUNCTION("""COMPUTED_VALUE"""),2020.0)</f>
        <v>2020</v>
      </c>
      <c r="I217" s="129">
        <f>IFERROR(__xludf.DUMMYFUNCTION("""COMPUTED_VALUE"""),1.0)</f>
        <v>1</v>
      </c>
      <c r="J217" s="130">
        <f>IFERROR(__xludf.DUMMYFUNCTION("""COMPUTED_VALUE"""),1.0)</f>
        <v>1</v>
      </c>
      <c r="K217" s="130">
        <f>IFERROR(__xludf.DUMMYFUNCTION("""COMPUTED_VALUE"""),1.0)</f>
        <v>1</v>
      </c>
      <c r="L217" s="129">
        <f>IFERROR(__xludf.DUMMYFUNCTION("""COMPUTED_VALUE"""),1.0)</f>
        <v>1</v>
      </c>
      <c r="M217" s="130">
        <f>IFERROR(__xludf.DUMMYFUNCTION("""COMPUTED_VALUE"""),1.0)</f>
        <v>1</v>
      </c>
      <c r="N217" s="130">
        <f>IFERROR(__xludf.DUMMYFUNCTION("""COMPUTED_VALUE"""),0.0)</f>
        <v>0</v>
      </c>
      <c r="O217" s="129">
        <f>IFERROR(__xludf.DUMMYFUNCTION("""COMPUTED_VALUE"""),0.0)</f>
        <v>0</v>
      </c>
      <c r="P217" s="130">
        <f>IFERROR(__xludf.DUMMYFUNCTION("""COMPUTED_VALUE"""),0.0)</f>
        <v>0</v>
      </c>
      <c r="Q217" s="129">
        <f>IFERROR(__xludf.DUMMYFUNCTION("""COMPUTED_VALUE"""),0.0)</f>
        <v>0</v>
      </c>
      <c r="R217" s="129">
        <f>IFERROR(__xludf.DUMMYFUNCTION("""COMPUTED_VALUE"""),0.0)</f>
        <v>0</v>
      </c>
      <c r="S217" s="129">
        <f>IFERROR(__xludf.DUMMYFUNCTION("""COMPUTED_VALUE"""),0.0)</f>
        <v>0</v>
      </c>
      <c r="T217" s="129">
        <f>IFERROR(__xludf.DUMMYFUNCTION("""COMPUTED_VALUE"""),0.0)</f>
        <v>0</v>
      </c>
      <c r="U217" s="129">
        <f>IFERROR(__xludf.DUMMYFUNCTION("""COMPUTED_VALUE"""),0.0)</f>
        <v>0</v>
      </c>
      <c r="V217" s="126">
        <f>IFERROR(__xludf.DUMMYFUNCTION("""COMPUTED_VALUE"""),0.0)</f>
        <v>0</v>
      </c>
      <c r="W217" s="126" t="str">
        <f>IFERROR(__xludf.DUMMYFUNCTION("""COMPUTED_VALUE"""),"Yes")</f>
        <v>Yes</v>
      </c>
      <c r="X217" s="126" t="str">
        <f>IFERROR(__xludf.DUMMYFUNCTION("""COMPUTED_VALUE"""),"Yes")</f>
        <v>Yes</v>
      </c>
      <c r="Y217" s="126" t="str">
        <f>IFERROR(__xludf.DUMMYFUNCTION("""COMPUTED_VALUE"""),"S")</f>
        <v>S</v>
      </c>
      <c r="Z217" s="126"/>
      <c r="AA217" s="126"/>
      <c r="AB217" s="126"/>
      <c r="AC217" s="126"/>
      <c r="AD217" s="126"/>
      <c r="AE217" s="126"/>
      <c r="AF217" s="126"/>
      <c r="AG217" s="126"/>
      <c r="AH217" s="126"/>
      <c r="AI217" s="126"/>
      <c r="AJ217" s="126"/>
    </row>
    <row r="218">
      <c r="A218" s="126">
        <f>IFERROR(__xludf.DUMMYFUNCTION("""COMPUTED_VALUE"""),628.0)</f>
        <v>628</v>
      </c>
      <c r="B218" s="126" t="str">
        <f>IFERROR(__xludf.DUMMYFUNCTION("""COMPUTED_VALUE"""),"MULTI-LEVEL ATTRIBUTE-BASED MATCHING APPROACH TOWARDS ENERGY-EFFICIENT RESOURCE PROVISIONING IN CLOUD DATA CENTERS.")</f>
        <v>MULTI-LEVEL ATTRIBUTE-BASED MATCHING APPROACH TOWARDS ENERGY-EFFICIENT RESOURCE PROVISIONING IN CLOUD DATA CENTERS.</v>
      </c>
      <c r="C218" s="127" t="str">
        <f>IFERROR(__xludf.DUMMYFUNCTION("""COMPUTED_VALUE"""),"http://www.jatit.org/volumes/Vol96No2/22Vol96No2.pdf")</f>
        <v>http://www.jatit.org/volumes/Vol96No2/22Vol96No2.pdf</v>
      </c>
      <c r="D218" s="126" t="str">
        <f>IFERROR(__xludf.DUMMYFUNCTION("""COMPUTED_VALUE"""),"F ELIJORDE, S KIM, J LEE")</f>
        <v>F ELIJORDE, S KIM, J LEE</v>
      </c>
      <c r="E218" s="126" t="str">
        <f>IFERROR(__xludf.DUMMYFUNCTION("""COMPUTED_VALUE"""),"Journal of Theoretical and Applied Information Technology")</f>
        <v>Journal of Theoretical and Applied Information Technology</v>
      </c>
      <c r="F218" s="126" t="str">
        <f>IFERROR(__xludf.DUMMYFUNCTION("""COMPUTED_VALUE"""),"JATIT")</f>
        <v>JATIT</v>
      </c>
      <c r="G218" s="128" t="str">
        <f>IFERROR(__xludf.DUMMYFUNCTION("""COMPUTED_VALUE"""),"J")</f>
        <v>J</v>
      </c>
      <c r="H218" s="129">
        <f>IFERROR(__xludf.DUMMYFUNCTION("""COMPUTED_VALUE"""),2018.0)</f>
        <v>2018</v>
      </c>
      <c r="I218" s="130">
        <f>IFERROR(__xludf.DUMMYFUNCTION("""COMPUTED_VALUE"""),1.0)</f>
        <v>1</v>
      </c>
      <c r="J218" s="129">
        <f>IFERROR(__xludf.DUMMYFUNCTION("""COMPUTED_VALUE"""),1.0)</f>
        <v>1</v>
      </c>
      <c r="K218" s="130">
        <f>IFERROR(__xludf.DUMMYFUNCTION("""COMPUTED_VALUE"""),1.0)</f>
        <v>1</v>
      </c>
      <c r="L218" s="130">
        <f>IFERROR(__xludf.DUMMYFUNCTION("""COMPUTED_VALUE"""),1.0)</f>
        <v>1</v>
      </c>
      <c r="M218" s="130">
        <f>IFERROR(__xludf.DUMMYFUNCTION("""COMPUTED_VALUE"""),1.0)</f>
        <v>1</v>
      </c>
      <c r="N218" s="130">
        <f>IFERROR(__xludf.DUMMYFUNCTION("""COMPUTED_VALUE"""),0.0)</f>
        <v>0</v>
      </c>
      <c r="O218" s="130">
        <f>IFERROR(__xludf.DUMMYFUNCTION("""COMPUTED_VALUE"""),0.0)</f>
        <v>0</v>
      </c>
      <c r="P218" s="130">
        <f>IFERROR(__xludf.DUMMYFUNCTION("""COMPUTED_VALUE"""),0.0)</f>
        <v>0</v>
      </c>
      <c r="Q218" s="130">
        <f>IFERROR(__xludf.DUMMYFUNCTION("""COMPUTED_VALUE"""),0.0)</f>
        <v>0</v>
      </c>
      <c r="R218" s="130">
        <f>IFERROR(__xludf.DUMMYFUNCTION("""COMPUTED_VALUE"""),0.0)</f>
        <v>0</v>
      </c>
      <c r="S218" s="130">
        <f>IFERROR(__xludf.DUMMYFUNCTION("""COMPUTED_VALUE"""),0.0)</f>
        <v>0</v>
      </c>
      <c r="T218" s="130">
        <f>IFERROR(__xludf.DUMMYFUNCTION("""COMPUTED_VALUE"""),0.0)</f>
        <v>0</v>
      </c>
      <c r="U218" s="130">
        <f>IFERROR(__xludf.DUMMYFUNCTION("""COMPUTED_VALUE"""),0.0)</f>
        <v>0</v>
      </c>
      <c r="V218" s="131">
        <f>IFERROR(__xludf.DUMMYFUNCTION("""COMPUTED_VALUE"""),0.0)</f>
        <v>0</v>
      </c>
      <c r="W218" s="131" t="str">
        <f>IFERROR(__xludf.DUMMYFUNCTION("""COMPUTED_VALUE"""),"Yes")</f>
        <v>Yes</v>
      </c>
      <c r="X218" s="131" t="str">
        <f>IFERROR(__xludf.DUMMYFUNCTION("""COMPUTED_VALUE"""),"Yes")</f>
        <v>Yes</v>
      </c>
      <c r="Y218" s="131" t="str">
        <f>IFERROR(__xludf.DUMMYFUNCTION("""COMPUTED_VALUE"""),"S")</f>
        <v>S</v>
      </c>
      <c r="Z218" s="131"/>
      <c r="AA218" s="131"/>
      <c r="AB218" s="131"/>
      <c r="AC218" s="131"/>
      <c r="AD218" s="131"/>
      <c r="AE218" s="131"/>
      <c r="AF218" s="131"/>
      <c r="AG218" s="131"/>
      <c r="AH218" s="131"/>
      <c r="AI218" s="131"/>
      <c r="AJ218" s="131"/>
    </row>
    <row r="219">
      <c r="A219" s="126">
        <f>IFERROR(__xludf.DUMMYFUNCTION("""COMPUTED_VALUE"""),629.0)</f>
        <v>629</v>
      </c>
      <c r="B219" s="126" t="str">
        <f>IFERROR(__xludf.DUMMYFUNCTION("""COMPUTED_VALUE"""),"A green energy-efficient scheduler for cloud data centers")</f>
        <v>A green energy-efficient scheduler for cloud data centers</v>
      </c>
      <c r="C219" s="127" t="str">
        <f>IFERROR(__xludf.DUMMYFUNCTION("""COMPUTED_VALUE"""),"https://link.springer.com/article/10.1007/s10586-018-2028-z")</f>
        <v>https://link.springer.com/article/10.1007/s10586-018-2028-z</v>
      </c>
      <c r="D219" s="126" t="str">
        <f>IFERROR(__xludf.DUMMYFUNCTION("""COMPUTED_VALUE"""),"M Amoon, TEE Tobely")</f>
        <v>M Amoon, TEE Tobely</v>
      </c>
      <c r="E219" s="126" t="str">
        <f>IFERROR(__xludf.DUMMYFUNCTION("""COMPUTED_VALUE"""),"Springer")</f>
        <v>Springer</v>
      </c>
      <c r="F219" s="126" t="str">
        <f>IFERROR(__xludf.DUMMYFUNCTION("""COMPUTED_VALUE"""),"Springer")</f>
        <v>Springer</v>
      </c>
      <c r="G219" s="128" t="str">
        <f>IFERROR(__xludf.DUMMYFUNCTION("""COMPUTED_VALUE"""),"J")</f>
        <v>J</v>
      </c>
      <c r="H219" s="129">
        <f>IFERROR(__xludf.DUMMYFUNCTION("""COMPUTED_VALUE"""),2019.0)</f>
        <v>2019</v>
      </c>
      <c r="I219" s="130">
        <f>IFERROR(__xludf.DUMMYFUNCTION("""COMPUTED_VALUE"""),1.0)</f>
        <v>1</v>
      </c>
      <c r="J219" s="129">
        <f>IFERROR(__xludf.DUMMYFUNCTION("""COMPUTED_VALUE"""),1.0)</f>
        <v>1</v>
      </c>
      <c r="K219" s="130">
        <f>IFERROR(__xludf.DUMMYFUNCTION("""COMPUTED_VALUE"""),1.0)</f>
        <v>1</v>
      </c>
      <c r="L219" s="130">
        <f>IFERROR(__xludf.DUMMYFUNCTION("""COMPUTED_VALUE"""),1.0)</f>
        <v>1</v>
      </c>
      <c r="M219" s="130">
        <f>IFERROR(__xludf.DUMMYFUNCTION("""COMPUTED_VALUE"""),1.0)</f>
        <v>1</v>
      </c>
      <c r="N219" s="130">
        <f>IFERROR(__xludf.DUMMYFUNCTION("""COMPUTED_VALUE"""),0.0)</f>
        <v>0</v>
      </c>
      <c r="O219" s="130">
        <f>IFERROR(__xludf.DUMMYFUNCTION("""COMPUTED_VALUE"""),0.0)</f>
        <v>0</v>
      </c>
      <c r="P219" s="130">
        <f>IFERROR(__xludf.DUMMYFUNCTION("""COMPUTED_VALUE"""),0.0)</f>
        <v>0</v>
      </c>
      <c r="Q219" s="129">
        <f>IFERROR(__xludf.DUMMYFUNCTION("""COMPUTED_VALUE"""),0.0)</f>
        <v>0</v>
      </c>
      <c r="R219" s="129">
        <f>IFERROR(__xludf.DUMMYFUNCTION("""COMPUTED_VALUE"""),0.0)</f>
        <v>0</v>
      </c>
      <c r="S219" s="129">
        <f>IFERROR(__xludf.DUMMYFUNCTION("""COMPUTED_VALUE"""),0.0)</f>
        <v>0</v>
      </c>
      <c r="T219" s="129">
        <f>IFERROR(__xludf.DUMMYFUNCTION("""COMPUTED_VALUE"""),0.0)</f>
        <v>0</v>
      </c>
      <c r="U219" s="129">
        <f>IFERROR(__xludf.DUMMYFUNCTION("""COMPUTED_VALUE"""),0.0)</f>
        <v>0</v>
      </c>
      <c r="V219" s="126">
        <f>IFERROR(__xludf.DUMMYFUNCTION("""COMPUTED_VALUE"""),0.0)</f>
        <v>0</v>
      </c>
      <c r="W219" s="126" t="str">
        <f>IFERROR(__xludf.DUMMYFUNCTION("""COMPUTED_VALUE"""),"Yes")</f>
        <v>Yes</v>
      </c>
      <c r="X219" s="126" t="str">
        <f>IFERROR(__xludf.DUMMYFUNCTION("""COMPUTED_VALUE"""),"Yes")</f>
        <v>Yes</v>
      </c>
      <c r="Y219" s="126" t="str">
        <f>IFERROR(__xludf.DUMMYFUNCTION("""COMPUTED_VALUE"""),"S")</f>
        <v>S</v>
      </c>
      <c r="Z219" s="126"/>
      <c r="AA219" s="126"/>
      <c r="AB219" s="126"/>
      <c r="AC219" s="126"/>
      <c r="AD219" s="126"/>
      <c r="AE219" s="126"/>
      <c r="AF219" s="126"/>
      <c r="AG219" s="126"/>
      <c r="AH219" s="126"/>
      <c r="AI219" s="126"/>
      <c r="AJ219" s="126"/>
    </row>
    <row r="220">
      <c r="A220" s="126">
        <f>IFERROR(__xludf.DUMMYFUNCTION("""COMPUTED_VALUE"""),631.0)</f>
        <v>631</v>
      </c>
      <c r="B220" s="126" t="str">
        <f>IFERROR(__xludf.DUMMYFUNCTION("""COMPUTED_VALUE"""),"Energy-Efficient Virtual Machine Replication for Data Centers")</f>
        <v>Energy-Efficient Virtual Machine Replication for Data Centers</v>
      </c>
      <c r="C220" s="127" t="str">
        <f>IFERROR(__xludf.DUMMYFUNCTION("""COMPUTED_VALUE"""),"https://ieeexplore.ieee.org/abstract/document/8452029/")</f>
        <v>https://ieeexplore.ieee.org/abstract/document/8452029/</v>
      </c>
      <c r="D220" s="126" t="str">
        <f>IFERROR(__xludf.DUMMYFUNCTION("""COMPUTED_VALUE"""),"O Raluca, P Florin")</f>
        <v>O Raluca, P Florin</v>
      </c>
      <c r="E220" s="126" t="str">
        <f>IFERROR(__xludf.DUMMYFUNCTION("""COMPUTED_VALUE"""),"Institute of Electrical and Electronics Engineers")</f>
        <v>Institute of Electrical and Electronics Engineers</v>
      </c>
      <c r="F220" s="126" t="str">
        <f>IFERROR(__xludf.DUMMYFUNCTION("""COMPUTED_VALUE"""),"IEEE Xplore")</f>
        <v>IEEE Xplore</v>
      </c>
      <c r="G220" s="128" t="str">
        <f>IFERROR(__xludf.DUMMYFUNCTION("""COMPUTED_VALUE"""),"C")</f>
        <v>C</v>
      </c>
      <c r="H220" s="129">
        <f>IFERROR(__xludf.DUMMYFUNCTION("""COMPUTED_VALUE"""),2018.0)</f>
        <v>2018</v>
      </c>
      <c r="I220" s="130">
        <f>IFERROR(__xludf.DUMMYFUNCTION("""COMPUTED_VALUE"""),1.0)</f>
        <v>1</v>
      </c>
      <c r="J220" s="129">
        <f>IFERROR(__xludf.DUMMYFUNCTION("""COMPUTED_VALUE"""),1.0)</f>
        <v>1</v>
      </c>
      <c r="K220" s="130">
        <f>IFERROR(__xludf.DUMMYFUNCTION("""COMPUTED_VALUE"""),1.0)</f>
        <v>1</v>
      </c>
      <c r="L220" s="130">
        <f>IFERROR(__xludf.DUMMYFUNCTION("""COMPUTED_VALUE"""),1.0)</f>
        <v>1</v>
      </c>
      <c r="M220" s="130">
        <f>IFERROR(__xludf.DUMMYFUNCTION("""COMPUTED_VALUE"""),1.0)</f>
        <v>1</v>
      </c>
      <c r="N220" s="130">
        <f>IFERROR(__xludf.DUMMYFUNCTION("""COMPUTED_VALUE"""),0.0)</f>
        <v>0</v>
      </c>
      <c r="O220" s="130">
        <f>IFERROR(__xludf.DUMMYFUNCTION("""COMPUTED_VALUE"""),0.0)</f>
        <v>0</v>
      </c>
      <c r="P220" s="130">
        <f>IFERROR(__xludf.DUMMYFUNCTION("""COMPUTED_VALUE"""),0.0)</f>
        <v>0</v>
      </c>
      <c r="Q220" s="130">
        <f>IFERROR(__xludf.DUMMYFUNCTION("""COMPUTED_VALUE"""),0.0)</f>
        <v>0</v>
      </c>
      <c r="R220" s="130">
        <f>IFERROR(__xludf.DUMMYFUNCTION("""COMPUTED_VALUE"""),0.0)</f>
        <v>0</v>
      </c>
      <c r="S220" s="130">
        <f>IFERROR(__xludf.DUMMYFUNCTION("""COMPUTED_VALUE"""),0.0)</f>
        <v>0</v>
      </c>
      <c r="T220" s="130">
        <f>IFERROR(__xludf.DUMMYFUNCTION("""COMPUTED_VALUE"""),0.0)</f>
        <v>0</v>
      </c>
      <c r="U220" s="130">
        <f>IFERROR(__xludf.DUMMYFUNCTION("""COMPUTED_VALUE"""),0.0)</f>
        <v>0</v>
      </c>
      <c r="V220" s="131">
        <f>IFERROR(__xludf.DUMMYFUNCTION("""COMPUTED_VALUE"""),0.0)</f>
        <v>0</v>
      </c>
      <c r="W220" s="131" t="str">
        <f>IFERROR(__xludf.DUMMYFUNCTION("""COMPUTED_VALUE"""),"Yes")</f>
        <v>Yes</v>
      </c>
      <c r="X220" s="131" t="str">
        <f>IFERROR(__xludf.DUMMYFUNCTION("""COMPUTED_VALUE"""),"Yes")</f>
        <v>Yes</v>
      </c>
      <c r="Y220" s="131" t="str">
        <f>IFERROR(__xludf.DUMMYFUNCTION("""COMPUTED_VALUE"""),"S")</f>
        <v>S</v>
      </c>
      <c r="Z220" s="131"/>
      <c r="AA220" s="131"/>
      <c r="AB220" s="131"/>
      <c r="AC220" s="131"/>
      <c r="AD220" s="131"/>
      <c r="AE220" s="131"/>
      <c r="AF220" s="131"/>
      <c r="AG220" s="131"/>
      <c r="AH220" s="131"/>
      <c r="AI220" s="131"/>
      <c r="AJ220" s="131"/>
    </row>
    <row r="221">
      <c r="A221" s="126">
        <f>IFERROR(__xludf.DUMMYFUNCTION("""COMPUTED_VALUE"""),632.0)</f>
        <v>632</v>
      </c>
      <c r="B221" s="126" t="str">
        <f>IFERROR(__xludf.DUMMYFUNCTION("""COMPUTED_VALUE"""),"Profile-based power-aware workflow scheduling framework for energy-efficient data centers")</f>
        <v>Profile-based power-aware workflow scheduling framework for energy-efficient data centers</v>
      </c>
      <c r="C221" s="127" t="str">
        <f>IFERROR(__xludf.DUMMYFUNCTION("""COMPUTED_VALUE"""),"https://www.sciencedirect.com/science/article/pii/S0167739X18318491")</f>
        <v>https://www.sciencedirect.com/science/article/pii/S0167739X18318491</v>
      </c>
      <c r="D221" s="126" t="str">
        <f>IFERROR(__xludf.DUMMYFUNCTION("""COMPUTED_VALUE"""),"B Qureshi")</f>
        <v>B Qureshi</v>
      </c>
      <c r="E221" s="126" t="str">
        <f>IFERROR(__xludf.DUMMYFUNCTION("""COMPUTED_VALUE"""),"Elsevier")</f>
        <v>Elsevier</v>
      </c>
      <c r="F221" s="126" t="str">
        <f>IFERROR(__xludf.DUMMYFUNCTION("""COMPUTED_VALUE"""),"Elsevier")</f>
        <v>Elsevier</v>
      </c>
      <c r="G221" s="128" t="str">
        <f>IFERROR(__xludf.DUMMYFUNCTION("""COMPUTED_VALUE"""),"J")</f>
        <v>J</v>
      </c>
      <c r="H221" s="130">
        <f>IFERROR(__xludf.DUMMYFUNCTION("""COMPUTED_VALUE"""),2019.0)</f>
        <v>2019</v>
      </c>
      <c r="I221" s="130">
        <f>IFERROR(__xludf.DUMMYFUNCTION("""COMPUTED_VALUE"""),1.0)</f>
        <v>1</v>
      </c>
      <c r="J221" s="130">
        <f>IFERROR(__xludf.DUMMYFUNCTION("""COMPUTED_VALUE"""),1.0)</f>
        <v>1</v>
      </c>
      <c r="K221" s="130">
        <f>IFERROR(__xludf.DUMMYFUNCTION("""COMPUTED_VALUE"""),1.0)</f>
        <v>1</v>
      </c>
      <c r="L221" s="130">
        <f>IFERROR(__xludf.DUMMYFUNCTION("""COMPUTED_VALUE"""),1.0)</f>
        <v>1</v>
      </c>
      <c r="M221" s="130">
        <f>IFERROR(__xludf.DUMMYFUNCTION("""COMPUTED_VALUE"""),1.0)</f>
        <v>1</v>
      </c>
      <c r="N221" s="129">
        <f>IFERROR(__xludf.DUMMYFUNCTION("""COMPUTED_VALUE"""),0.0)</f>
        <v>0</v>
      </c>
      <c r="O221" s="130">
        <f>IFERROR(__xludf.DUMMYFUNCTION("""COMPUTED_VALUE"""),0.0)</f>
        <v>0</v>
      </c>
      <c r="P221" s="130">
        <f>IFERROR(__xludf.DUMMYFUNCTION("""COMPUTED_VALUE"""),0.0)</f>
        <v>0</v>
      </c>
      <c r="Q221" s="129">
        <f>IFERROR(__xludf.DUMMYFUNCTION("""COMPUTED_VALUE"""),0.0)</f>
        <v>0</v>
      </c>
      <c r="R221" s="129">
        <f>IFERROR(__xludf.DUMMYFUNCTION("""COMPUTED_VALUE"""),0.0)</f>
        <v>0</v>
      </c>
      <c r="S221" s="129">
        <f>IFERROR(__xludf.DUMMYFUNCTION("""COMPUTED_VALUE"""),0.0)</f>
        <v>0</v>
      </c>
      <c r="T221" s="129">
        <f>IFERROR(__xludf.DUMMYFUNCTION("""COMPUTED_VALUE"""),0.0)</f>
        <v>0</v>
      </c>
      <c r="U221" s="129">
        <f>IFERROR(__xludf.DUMMYFUNCTION("""COMPUTED_VALUE"""),0.0)</f>
        <v>0</v>
      </c>
      <c r="V221" s="126">
        <f>IFERROR(__xludf.DUMMYFUNCTION("""COMPUTED_VALUE"""),0.0)</f>
        <v>0</v>
      </c>
      <c r="W221" s="126" t="str">
        <f>IFERROR(__xludf.DUMMYFUNCTION("""COMPUTED_VALUE"""),"Yes")</f>
        <v>Yes</v>
      </c>
      <c r="X221" s="126" t="str">
        <f>IFERROR(__xludf.DUMMYFUNCTION("""COMPUTED_VALUE"""),"Yes")</f>
        <v>Yes</v>
      </c>
      <c r="Y221" s="126" t="str">
        <f>IFERROR(__xludf.DUMMYFUNCTION("""COMPUTED_VALUE"""),"S")</f>
        <v>S</v>
      </c>
      <c r="Z221" s="126"/>
      <c r="AA221" s="126"/>
      <c r="AB221" s="126"/>
      <c r="AC221" s="126"/>
      <c r="AD221" s="126"/>
      <c r="AE221" s="126"/>
      <c r="AF221" s="126"/>
      <c r="AG221" s="126"/>
      <c r="AH221" s="126"/>
      <c r="AI221" s="126"/>
      <c r="AJ221" s="126"/>
    </row>
    <row r="222">
      <c r="A222" s="126">
        <f>IFERROR(__xludf.DUMMYFUNCTION("""COMPUTED_VALUE"""),633.0)</f>
        <v>633</v>
      </c>
      <c r="B222" s="126" t="str">
        <f>IFERROR(__xludf.DUMMYFUNCTION("""COMPUTED_VALUE"""),"Performance-aware energy saving for data center networks")</f>
        <v>Performance-aware energy saving for data center networks</v>
      </c>
      <c r="C222" s="127" t="str">
        <f>IFERROR(__xludf.DUMMYFUNCTION("""COMPUTED_VALUE"""),"https://ieeexplore.ieee.org/abstract/document/8606104/")</f>
        <v>https://ieeexplore.ieee.org/abstract/document/8606104/</v>
      </c>
      <c r="D222" s="131" t="str">
        <f>IFERROR(__xludf.DUMMYFUNCTION("""COMPUTED_VALUE"""),"M Al-Tarazi, JM Chang")</f>
        <v>M Al-Tarazi, JM Chang</v>
      </c>
      <c r="E222" s="131" t="str">
        <f>IFERROR(__xludf.DUMMYFUNCTION("""COMPUTED_VALUE"""),"Institute of Electrical and Electronics Engineers")</f>
        <v>Institute of Electrical and Electronics Engineers</v>
      </c>
      <c r="F222" s="126" t="str">
        <f>IFERROR(__xludf.DUMMYFUNCTION("""COMPUTED_VALUE"""),"IEEE Xplore")</f>
        <v>IEEE Xplore</v>
      </c>
      <c r="G222" s="128" t="str">
        <f>IFERROR(__xludf.DUMMYFUNCTION("""COMPUTED_VALUE"""),"J")</f>
        <v>J</v>
      </c>
      <c r="H222" s="130">
        <f>IFERROR(__xludf.DUMMYFUNCTION("""COMPUTED_VALUE"""),2019.0)</f>
        <v>2019</v>
      </c>
      <c r="I222" s="130">
        <f>IFERROR(__xludf.DUMMYFUNCTION("""COMPUTED_VALUE"""),1.0)</f>
        <v>1</v>
      </c>
      <c r="J222" s="130">
        <f>IFERROR(__xludf.DUMMYFUNCTION("""COMPUTED_VALUE"""),1.0)</f>
        <v>1</v>
      </c>
      <c r="K222" s="130">
        <f>IFERROR(__xludf.DUMMYFUNCTION("""COMPUTED_VALUE"""),1.0)</f>
        <v>1</v>
      </c>
      <c r="L222" s="129">
        <f>IFERROR(__xludf.DUMMYFUNCTION("""COMPUTED_VALUE"""),1.0)</f>
        <v>1</v>
      </c>
      <c r="M222" s="130">
        <f>IFERROR(__xludf.DUMMYFUNCTION("""COMPUTED_VALUE"""),1.0)</f>
        <v>1</v>
      </c>
      <c r="N222" s="130">
        <f>IFERROR(__xludf.DUMMYFUNCTION("""COMPUTED_VALUE"""),0.0)</f>
        <v>0</v>
      </c>
      <c r="O222" s="130">
        <f>IFERROR(__xludf.DUMMYFUNCTION("""COMPUTED_VALUE"""),0.0)</f>
        <v>0</v>
      </c>
      <c r="P222" s="130">
        <f>IFERROR(__xludf.DUMMYFUNCTION("""COMPUTED_VALUE"""),0.0)</f>
        <v>0</v>
      </c>
      <c r="Q222" s="129">
        <f>IFERROR(__xludf.DUMMYFUNCTION("""COMPUTED_VALUE"""),0.0)</f>
        <v>0</v>
      </c>
      <c r="R222" s="129">
        <f>IFERROR(__xludf.DUMMYFUNCTION("""COMPUTED_VALUE"""),0.0)</f>
        <v>0</v>
      </c>
      <c r="S222" s="129">
        <f>IFERROR(__xludf.DUMMYFUNCTION("""COMPUTED_VALUE"""),0.0)</f>
        <v>0</v>
      </c>
      <c r="T222" s="129">
        <f>IFERROR(__xludf.DUMMYFUNCTION("""COMPUTED_VALUE"""),0.0)</f>
        <v>0</v>
      </c>
      <c r="U222" s="129">
        <f>IFERROR(__xludf.DUMMYFUNCTION("""COMPUTED_VALUE"""),0.0)</f>
        <v>0</v>
      </c>
      <c r="V222" s="126">
        <f>IFERROR(__xludf.DUMMYFUNCTION("""COMPUTED_VALUE"""),0.0)</f>
        <v>0</v>
      </c>
      <c r="W222" s="126" t="str">
        <f>IFERROR(__xludf.DUMMYFUNCTION("""COMPUTED_VALUE"""),"Yes")</f>
        <v>Yes</v>
      </c>
      <c r="X222" s="126" t="str">
        <f>IFERROR(__xludf.DUMMYFUNCTION("""COMPUTED_VALUE"""),"Yes")</f>
        <v>Yes</v>
      </c>
      <c r="Y222" s="126" t="str">
        <f>IFERROR(__xludf.DUMMYFUNCTION("""COMPUTED_VALUE"""),"S")</f>
        <v>S</v>
      </c>
      <c r="Z222" s="126"/>
      <c r="AA222" s="126"/>
      <c r="AB222" s="126"/>
      <c r="AC222" s="126"/>
      <c r="AD222" s="126"/>
      <c r="AE222" s="126"/>
      <c r="AF222" s="126"/>
      <c r="AG222" s="126"/>
      <c r="AH222" s="126"/>
      <c r="AI222" s="126"/>
      <c r="AJ222" s="126"/>
    </row>
    <row r="223">
      <c r="A223" s="126">
        <f>IFERROR(__xludf.DUMMYFUNCTION("""COMPUTED_VALUE"""),646.0)</f>
        <v>646</v>
      </c>
      <c r="B223" s="126" t="str">
        <f>IFERROR(__xludf.DUMMYFUNCTION("""COMPUTED_VALUE"""),"Energy-aware dynamic virtual machine consolidation for cloud datacenters")</f>
        <v>Energy-aware dynamic virtual machine consolidation for cloud datacenters</v>
      </c>
      <c r="C223" s="127" t="str">
        <f>IFERROR(__xludf.DUMMYFUNCTION("""COMPUTED_VALUE"""),"https://ieeexplore.ieee.org/abstract/document/8308710/")</f>
        <v>https://ieeexplore.ieee.org/abstract/document/8308710/</v>
      </c>
      <c r="D223" s="131" t="str">
        <f>IFERROR(__xludf.DUMMYFUNCTION("""COMPUTED_VALUE"""),"H Wang, H Tianfield")</f>
        <v>H Wang, H Tianfield</v>
      </c>
      <c r="E223" s="131" t="str">
        <f>IFERROR(__xludf.DUMMYFUNCTION("""COMPUTED_VALUE"""),"Institute of Electrical and Electronics Engineers")</f>
        <v>Institute of Electrical and Electronics Engineers</v>
      </c>
      <c r="F223" s="126" t="str">
        <f>IFERROR(__xludf.DUMMYFUNCTION("""COMPUTED_VALUE"""),"IEEE Xplore")</f>
        <v>IEEE Xplore</v>
      </c>
      <c r="G223" s="128" t="str">
        <f>IFERROR(__xludf.DUMMYFUNCTION("""COMPUTED_VALUE"""),"J")</f>
        <v>J</v>
      </c>
      <c r="H223" s="130">
        <f>IFERROR(__xludf.DUMMYFUNCTION("""COMPUTED_VALUE"""),2018.0)</f>
        <v>2018</v>
      </c>
      <c r="I223" s="130">
        <f>IFERROR(__xludf.DUMMYFUNCTION("""COMPUTED_VALUE"""),1.0)</f>
        <v>1</v>
      </c>
      <c r="J223" s="130">
        <f>IFERROR(__xludf.DUMMYFUNCTION("""COMPUTED_VALUE"""),1.0)</f>
        <v>1</v>
      </c>
      <c r="K223" s="130">
        <f>IFERROR(__xludf.DUMMYFUNCTION("""COMPUTED_VALUE"""),1.0)</f>
        <v>1</v>
      </c>
      <c r="L223" s="129">
        <f>IFERROR(__xludf.DUMMYFUNCTION("""COMPUTED_VALUE"""),1.0)</f>
        <v>1</v>
      </c>
      <c r="M223" s="130">
        <f>IFERROR(__xludf.DUMMYFUNCTION("""COMPUTED_VALUE"""),1.0)</f>
        <v>1</v>
      </c>
      <c r="N223" s="130">
        <f>IFERROR(__xludf.DUMMYFUNCTION("""COMPUTED_VALUE"""),0.0)</f>
        <v>0</v>
      </c>
      <c r="O223" s="130">
        <f>IFERROR(__xludf.DUMMYFUNCTION("""COMPUTED_VALUE"""),0.0)</f>
        <v>0</v>
      </c>
      <c r="P223" s="130">
        <f>IFERROR(__xludf.DUMMYFUNCTION("""COMPUTED_VALUE"""),0.0)</f>
        <v>0</v>
      </c>
      <c r="Q223" s="130">
        <f>IFERROR(__xludf.DUMMYFUNCTION("""COMPUTED_VALUE"""),0.0)</f>
        <v>0</v>
      </c>
      <c r="R223" s="130">
        <f>IFERROR(__xludf.DUMMYFUNCTION("""COMPUTED_VALUE"""),0.0)</f>
        <v>0</v>
      </c>
      <c r="S223" s="130">
        <f>IFERROR(__xludf.DUMMYFUNCTION("""COMPUTED_VALUE"""),0.0)</f>
        <v>0</v>
      </c>
      <c r="T223" s="130">
        <f>IFERROR(__xludf.DUMMYFUNCTION("""COMPUTED_VALUE"""),0.0)</f>
        <v>0</v>
      </c>
      <c r="U223" s="130">
        <f>IFERROR(__xludf.DUMMYFUNCTION("""COMPUTED_VALUE"""),0.0)</f>
        <v>0</v>
      </c>
      <c r="V223" s="131">
        <f>IFERROR(__xludf.DUMMYFUNCTION("""COMPUTED_VALUE"""),0.0)</f>
        <v>0</v>
      </c>
      <c r="W223" s="131" t="str">
        <f>IFERROR(__xludf.DUMMYFUNCTION("""COMPUTED_VALUE"""),"Yes")</f>
        <v>Yes</v>
      </c>
      <c r="X223" s="131" t="str">
        <f>IFERROR(__xludf.DUMMYFUNCTION("""COMPUTED_VALUE"""),"Yes")</f>
        <v>Yes</v>
      </c>
      <c r="Y223" s="131" t="str">
        <f>IFERROR(__xludf.DUMMYFUNCTION("""COMPUTED_VALUE"""),"S")</f>
        <v>S</v>
      </c>
      <c r="Z223" s="131"/>
      <c r="AA223" s="131"/>
      <c r="AB223" s="131"/>
      <c r="AC223" s="131"/>
      <c r="AD223" s="131"/>
      <c r="AE223" s="131"/>
      <c r="AF223" s="131"/>
      <c r="AG223" s="131"/>
      <c r="AH223" s="131"/>
      <c r="AI223" s="131"/>
      <c r="AJ223" s="131"/>
    </row>
    <row r="224">
      <c r="A224" s="126">
        <f>IFERROR(__xludf.DUMMYFUNCTION("""COMPUTED_VALUE"""),647.0)</f>
        <v>647</v>
      </c>
      <c r="B224" s="126" t="str">
        <f>IFERROR(__xludf.DUMMYFUNCTION("""COMPUTED_VALUE"""),"An energy-efficient strategy for virtual machine allocation over cloud data centers")</f>
        <v>An energy-efficient strategy for virtual machine allocation over cloud data centers</v>
      </c>
      <c r="C224" s="127" t="str">
        <f>IFERROR(__xludf.DUMMYFUNCTION("""COMPUTED_VALUE"""),"https://link.springer.com/article/10.1007/s10922-019-09489-w")</f>
        <v>https://link.springer.com/article/10.1007/s10922-019-09489-w</v>
      </c>
      <c r="D224" s="131" t="str">
        <f>IFERROR(__xludf.DUMMYFUNCTION("""COMPUTED_VALUE"""),"X Qie, S Jin, W Yue")</f>
        <v>X Qie, S Jin, W Yue</v>
      </c>
      <c r="E224" s="131" t="str">
        <f>IFERROR(__xludf.DUMMYFUNCTION("""COMPUTED_VALUE"""),"Springer")</f>
        <v>Springer</v>
      </c>
      <c r="F224" s="126" t="str">
        <f>IFERROR(__xludf.DUMMYFUNCTION("""COMPUTED_VALUE"""),"Springer")</f>
        <v>Springer</v>
      </c>
      <c r="G224" s="128" t="str">
        <f>IFERROR(__xludf.DUMMYFUNCTION("""COMPUTED_VALUE"""),"J")</f>
        <v>J</v>
      </c>
      <c r="H224" s="130">
        <f>IFERROR(__xludf.DUMMYFUNCTION("""COMPUTED_VALUE"""),2019.0)</f>
        <v>2019</v>
      </c>
      <c r="I224" s="130">
        <f>IFERROR(__xludf.DUMMYFUNCTION("""COMPUTED_VALUE"""),1.0)</f>
        <v>1</v>
      </c>
      <c r="J224" s="130">
        <f>IFERROR(__xludf.DUMMYFUNCTION("""COMPUTED_VALUE"""),1.0)</f>
        <v>1</v>
      </c>
      <c r="K224" s="129">
        <f>IFERROR(__xludf.DUMMYFUNCTION("""COMPUTED_VALUE"""),1.0)</f>
        <v>1</v>
      </c>
      <c r="L224" s="129">
        <f>IFERROR(__xludf.DUMMYFUNCTION("""COMPUTED_VALUE"""),1.0)</f>
        <v>1</v>
      </c>
      <c r="M224" s="130">
        <f>IFERROR(__xludf.DUMMYFUNCTION("""COMPUTED_VALUE"""),1.0)</f>
        <v>1</v>
      </c>
      <c r="N224" s="130">
        <f>IFERROR(__xludf.DUMMYFUNCTION("""COMPUTED_VALUE"""),0.0)</f>
        <v>0</v>
      </c>
      <c r="O224" s="130">
        <f>IFERROR(__xludf.DUMMYFUNCTION("""COMPUTED_VALUE"""),0.0)</f>
        <v>0</v>
      </c>
      <c r="P224" s="130">
        <f>IFERROR(__xludf.DUMMYFUNCTION("""COMPUTED_VALUE"""),0.0)</f>
        <v>0</v>
      </c>
      <c r="Q224" s="130">
        <f>IFERROR(__xludf.DUMMYFUNCTION("""COMPUTED_VALUE"""),0.0)</f>
        <v>0</v>
      </c>
      <c r="R224" s="130">
        <f>IFERROR(__xludf.DUMMYFUNCTION("""COMPUTED_VALUE"""),0.0)</f>
        <v>0</v>
      </c>
      <c r="S224" s="130">
        <f>IFERROR(__xludf.DUMMYFUNCTION("""COMPUTED_VALUE"""),0.0)</f>
        <v>0</v>
      </c>
      <c r="T224" s="130">
        <f>IFERROR(__xludf.DUMMYFUNCTION("""COMPUTED_VALUE"""),0.0)</f>
        <v>0</v>
      </c>
      <c r="U224" s="130">
        <f>IFERROR(__xludf.DUMMYFUNCTION("""COMPUTED_VALUE"""),0.0)</f>
        <v>0</v>
      </c>
      <c r="V224" s="131">
        <f>IFERROR(__xludf.DUMMYFUNCTION("""COMPUTED_VALUE"""),0.0)</f>
        <v>0</v>
      </c>
      <c r="W224" s="131" t="str">
        <f>IFERROR(__xludf.DUMMYFUNCTION("""COMPUTED_VALUE"""),"Yes")</f>
        <v>Yes</v>
      </c>
      <c r="X224" s="131" t="str">
        <f>IFERROR(__xludf.DUMMYFUNCTION("""COMPUTED_VALUE"""),"Yes")</f>
        <v>Yes</v>
      </c>
      <c r="Y224" s="131" t="str">
        <f>IFERROR(__xludf.DUMMYFUNCTION("""COMPUTED_VALUE"""),"S")</f>
        <v>S</v>
      </c>
      <c r="Z224" s="131"/>
      <c r="AA224" s="131"/>
      <c r="AB224" s="131"/>
      <c r="AC224" s="131"/>
      <c r="AD224" s="131"/>
      <c r="AE224" s="131"/>
      <c r="AF224" s="131"/>
      <c r="AG224" s="131"/>
      <c r="AH224" s="131"/>
      <c r="AI224" s="131"/>
      <c r="AJ224" s="131"/>
    </row>
    <row r="225">
      <c r="A225" s="126">
        <f>IFERROR(__xludf.DUMMYFUNCTION("""COMPUTED_VALUE"""),650.0)</f>
        <v>650</v>
      </c>
      <c r="B225" s="126" t="str">
        <f>IFERROR(__xludf.DUMMYFUNCTION("""COMPUTED_VALUE"""),"Optimal energy-efficient policies for data centers through sensitivity-based optimization")</f>
        <v>Optimal energy-efficient policies for data centers through sensitivity-based optimization</v>
      </c>
      <c r="C225" s="127" t="str">
        <f>IFERROR(__xludf.DUMMYFUNCTION("""COMPUTED_VALUE"""),"https://link.springer.com/article/10.1007/s10626-019-00293-x")</f>
        <v>https://link.springer.com/article/10.1007/s10626-019-00293-x</v>
      </c>
      <c r="D225" s="131" t="str">
        <f>IFERROR(__xludf.DUMMYFUNCTION("""COMPUTED_VALUE"""),"JY Ma, L Xia, QL Li")</f>
        <v>JY Ma, L Xia, QL Li</v>
      </c>
      <c r="E225" s="131" t="str">
        <f>IFERROR(__xludf.DUMMYFUNCTION("""COMPUTED_VALUE"""),"Springer")</f>
        <v>Springer</v>
      </c>
      <c r="F225" s="126" t="str">
        <f>IFERROR(__xludf.DUMMYFUNCTION("""COMPUTED_VALUE"""),"Springer")</f>
        <v>Springer</v>
      </c>
      <c r="G225" s="128" t="str">
        <f>IFERROR(__xludf.DUMMYFUNCTION("""COMPUTED_VALUE"""),"J")</f>
        <v>J</v>
      </c>
      <c r="H225" s="130">
        <f>IFERROR(__xludf.DUMMYFUNCTION("""COMPUTED_VALUE"""),2019.0)</f>
        <v>2019</v>
      </c>
      <c r="I225" s="130">
        <f>IFERROR(__xludf.DUMMYFUNCTION("""COMPUTED_VALUE"""),1.0)</f>
        <v>1</v>
      </c>
      <c r="J225" s="130">
        <f>IFERROR(__xludf.DUMMYFUNCTION("""COMPUTED_VALUE"""),1.0)</f>
        <v>1</v>
      </c>
      <c r="K225" s="130">
        <f>IFERROR(__xludf.DUMMYFUNCTION("""COMPUTED_VALUE"""),1.0)</f>
        <v>1</v>
      </c>
      <c r="L225" s="129">
        <f>IFERROR(__xludf.DUMMYFUNCTION("""COMPUTED_VALUE"""),1.0)</f>
        <v>1</v>
      </c>
      <c r="M225" s="130">
        <f>IFERROR(__xludf.DUMMYFUNCTION("""COMPUTED_VALUE"""),1.0)</f>
        <v>1</v>
      </c>
      <c r="N225" s="130">
        <f>IFERROR(__xludf.DUMMYFUNCTION("""COMPUTED_VALUE"""),0.0)</f>
        <v>0</v>
      </c>
      <c r="O225" s="130">
        <f>IFERROR(__xludf.DUMMYFUNCTION("""COMPUTED_VALUE"""),0.0)</f>
        <v>0</v>
      </c>
      <c r="P225" s="130">
        <f>IFERROR(__xludf.DUMMYFUNCTION("""COMPUTED_VALUE"""),0.0)</f>
        <v>0</v>
      </c>
      <c r="Q225" s="130">
        <f>IFERROR(__xludf.DUMMYFUNCTION("""COMPUTED_VALUE"""),0.0)</f>
        <v>0</v>
      </c>
      <c r="R225" s="130">
        <f>IFERROR(__xludf.DUMMYFUNCTION("""COMPUTED_VALUE"""),0.0)</f>
        <v>0</v>
      </c>
      <c r="S225" s="130">
        <f>IFERROR(__xludf.DUMMYFUNCTION("""COMPUTED_VALUE"""),0.0)</f>
        <v>0</v>
      </c>
      <c r="T225" s="130">
        <f>IFERROR(__xludf.DUMMYFUNCTION("""COMPUTED_VALUE"""),0.0)</f>
        <v>0</v>
      </c>
      <c r="U225" s="130">
        <f>IFERROR(__xludf.DUMMYFUNCTION("""COMPUTED_VALUE"""),0.0)</f>
        <v>0</v>
      </c>
      <c r="V225" s="131">
        <f>IFERROR(__xludf.DUMMYFUNCTION("""COMPUTED_VALUE"""),0.0)</f>
        <v>0</v>
      </c>
      <c r="W225" s="131" t="str">
        <f>IFERROR(__xludf.DUMMYFUNCTION("""COMPUTED_VALUE"""),"Yes")</f>
        <v>Yes</v>
      </c>
      <c r="X225" s="131" t="str">
        <f>IFERROR(__xludf.DUMMYFUNCTION("""COMPUTED_VALUE"""),"Yes")</f>
        <v>Yes</v>
      </c>
      <c r="Y225" s="131" t="str">
        <f>IFERROR(__xludf.DUMMYFUNCTION("""COMPUTED_VALUE"""),"S")</f>
        <v>S</v>
      </c>
      <c r="Z225" s="131"/>
      <c r="AA225" s="131"/>
      <c r="AB225" s="131"/>
      <c r="AC225" s="131"/>
      <c r="AD225" s="131"/>
      <c r="AE225" s="131"/>
      <c r="AF225" s="131"/>
      <c r="AG225" s="131"/>
      <c r="AH225" s="131"/>
      <c r="AI225" s="131"/>
      <c r="AJ225" s="131"/>
    </row>
    <row r="226">
      <c r="A226" s="126"/>
      <c r="B226" s="126"/>
      <c r="C226" s="126"/>
      <c r="D226" s="126"/>
      <c r="E226" s="126"/>
      <c r="F226" s="126"/>
      <c r="G226" s="128"/>
      <c r="H226" s="130"/>
      <c r="I226" s="130"/>
      <c r="J226" s="130"/>
      <c r="K226" s="130"/>
      <c r="L226" s="129"/>
      <c r="M226" s="130"/>
      <c r="N226" s="130"/>
      <c r="O226" s="130"/>
      <c r="P226" s="130"/>
      <c r="Q226" s="130"/>
      <c r="R226" s="130"/>
      <c r="S226" s="130"/>
      <c r="T226" s="130"/>
      <c r="U226" s="130"/>
      <c r="V226" s="131"/>
      <c r="W226" s="131"/>
      <c r="X226" s="131"/>
      <c r="Y226" s="131"/>
      <c r="Z226" s="131"/>
      <c r="AA226" s="131"/>
      <c r="AB226" s="131"/>
      <c r="AC226" s="131"/>
      <c r="AD226" s="131"/>
      <c r="AE226" s="131"/>
      <c r="AF226" s="131"/>
      <c r="AG226" s="131"/>
      <c r="AH226" s="131"/>
      <c r="AI226" s="131"/>
      <c r="AJ226" s="131"/>
    </row>
    <row r="227">
      <c r="A227" s="126"/>
      <c r="B227" s="126"/>
      <c r="C227" s="126"/>
      <c r="D227" s="126"/>
      <c r="E227" s="126"/>
      <c r="F227" s="126"/>
      <c r="G227" s="128"/>
      <c r="H227" s="130"/>
      <c r="I227" s="129"/>
      <c r="J227" s="130"/>
      <c r="K227" s="130"/>
      <c r="L227" s="130"/>
      <c r="M227" s="130"/>
      <c r="N227" s="130"/>
      <c r="O227" s="130"/>
      <c r="P227" s="130"/>
      <c r="Q227" s="130"/>
      <c r="R227" s="130"/>
      <c r="S227" s="130"/>
      <c r="T227" s="130"/>
      <c r="U227" s="130"/>
      <c r="V227" s="131"/>
      <c r="W227" s="131"/>
      <c r="X227" s="131"/>
      <c r="Y227" s="131"/>
      <c r="Z227" s="131"/>
      <c r="AA227" s="131"/>
      <c r="AB227" s="131"/>
      <c r="AC227" s="131"/>
      <c r="AD227" s="131"/>
      <c r="AE227" s="131"/>
      <c r="AF227" s="131"/>
      <c r="AG227" s="131"/>
      <c r="AH227" s="131"/>
      <c r="AI227" s="131"/>
      <c r="AJ227" s="131"/>
    </row>
    <row r="228">
      <c r="A228" s="126"/>
      <c r="B228" s="126"/>
      <c r="C228" s="126"/>
      <c r="D228" s="126"/>
      <c r="E228" s="126"/>
      <c r="F228" s="126"/>
      <c r="G228" s="128"/>
      <c r="H228" s="130"/>
      <c r="I228" s="130"/>
      <c r="J228" s="130"/>
      <c r="K228" s="130"/>
      <c r="L228" s="129"/>
      <c r="M228" s="130"/>
      <c r="N228" s="130"/>
      <c r="O228" s="130"/>
      <c r="P228" s="130"/>
      <c r="Q228" s="129"/>
      <c r="R228" s="129"/>
      <c r="S228" s="129"/>
      <c r="T228" s="129"/>
      <c r="U228" s="129"/>
      <c r="V228" s="126"/>
      <c r="W228" s="126"/>
      <c r="X228" s="126"/>
      <c r="Y228" s="126"/>
      <c r="Z228" s="126"/>
      <c r="AA228" s="126"/>
      <c r="AB228" s="126"/>
      <c r="AC228" s="126"/>
      <c r="AD228" s="126"/>
      <c r="AE228" s="126"/>
      <c r="AF228" s="126"/>
      <c r="AG228" s="126"/>
      <c r="AH228" s="126"/>
      <c r="AI228" s="126"/>
      <c r="AJ228" s="126"/>
    </row>
    <row r="229">
      <c r="A229" s="126"/>
      <c r="B229" s="126"/>
      <c r="C229" s="126"/>
      <c r="D229" s="126"/>
      <c r="E229" s="126"/>
      <c r="F229" s="126"/>
      <c r="G229" s="128"/>
      <c r="H229" s="130"/>
      <c r="I229" s="129"/>
      <c r="J229" s="130"/>
      <c r="K229" s="130"/>
      <c r="L229" s="130"/>
      <c r="M229" s="130"/>
      <c r="N229" s="130"/>
      <c r="O229" s="130"/>
      <c r="P229" s="130"/>
      <c r="Q229" s="129"/>
      <c r="R229" s="129"/>
      <c r="S229" s="129"/>
      <c r="T229" s="129"/>
      <c r="U229" s="129"/>
      <c r="V229" s="126"/>
      <c r="W229" s="126"/>
      <c r="X229" s="126"/>
      <c r="Y229" s="126"/>
      <c r="Z229" s="126"/>
      <c r="AA229" s="126"/>
      <c r="AB229" s="126"/>
      <c r="AC229" s="126"/>
      <c r="AD229" s="126"/>
      <c r="AE229" s="126"/>
      <c r="AF229" s="126"/>
      <c r="AG229" s="126"/>
      <c r="AH229" s="126"/>
      <c r="AI229" s="126"/>
      <c r="AJ229" s="126"/>
    </row>
    <row r="230">
      <c r="A230" s="126"/>
      <c r="B230" s="126"/>
      <c r="C230" s="126"/>
      <c r="D230" s="126"/>
      <c r="E230" s="126"/>
      <c r="F230" s="126"/>
      <c r="G230" s="128"/>
      <c r="H230" s="130"/>
      <c r="I230" s="129"/>
      <c r="J230" s="130"/>
      <c r="K230" s="130"/>
      <c r="L230" s="130"/>
      <c r="M230" s="130"/>
      <c r="N230" s="130"/>
      <c r="O230" s="130"/>
      <c r="P230" s="130"/>
      <c r="Q230" s="130"/>
      <c r="R230" s="130"/>
      <c r="S230" s="130"/>
      <c r="T230" s="130"/>
      <c r="U230" s="130"/>
      <c r="V230" s="131"/>
      <c r="W230" s="131"/>
      <c r="X230" s="131"/>
      <c r="Y230" s="131"/>
      <c r="Z230" s="131"/>
      <c r="AA230" s="131"/>
      <c r="AB230" s="131"/>
      <c r="AC230" s="131"/>
      <c r="AD230" s="131"/>
      <c r="AE230" s="131"/>
      <c r="AF230" s="131"/>
      <c r="AG230" s="131"/>
      <c r="AH230" s="131"/>
      <c r="AI230" s="131"/>
      <c r="AJ230" s="131"/>
    </row>
    <row r="231">
      <c r="A231" s="126"/>
      <c r="B231" s="126"/>
      <c r="C231" s="126"/>
      <c r="D231" s="126"/>
      <c r="E231" s="126"/>
      <c r="F231" s="126"/>
      <c r="G231" s="128"/>
      <c r="H231" s="130"/>
      <c r="I231" s="129"/>
      <c r="J231" s="130"/>
      <c r="K231" s="130"/>
      <c r="L231" s="130"/>
      <c r="M231" s="130"/>
      <c r="N231" s="130"/>
      <c r="O231" s="130"/>
      <c r="P231" s="130"/>
      <c r="Q231" s="130"/>
      <c r="R231" s="130"/>
      <c r="S231" s="130"/>
      <c r="T231" s="130"/>
      <c r="U231" s="130"/>
      <c r="V231" s="131"/>
      <c r="W231" s="131"/>
      <c r="X231" s="131"/>
      <c r="Y231" s="131"/>
      <c r="Z231" s="131"/>
      <c r="AA231" s="131"/>
      <c r="AB231" s="131"/>
      <c r="AC231" s="131"/>
      <c r="AD231" s="131"/>
      <c r="AE231" s="131"/>
      <c r="AF231" s="131"/>
      <c r="AG231" s="131"/>
      <c r="AH231" s="131"/>
      <c r="AI231" s="131"/>
      <c r="AJ231" s="131"/>
    </row>
    <row r="232">
      <c r="A232" s="126"/>
      <c r="B232" s="126"/>
      <c r="C232" s="126"/>
      <c r="D232" s="131"/>
      <c r="E232" s="131"/>
      <c r="F232" s="126"/>
      <c r="G232" s="128"/>
      <c r="H232" s="130"/>
      <c r="I232" s="130"/>
      <c r="J232" s="130"/>
      <c r="K232" s="130"/>
      <c r="L232" s="129"/>
      <c r="M232" s="130"/>
      <c r="N232" s="130"/>
      <c r="O232" s="130"/>
      <c r="P232" s="130"/>
      <c r="Q232" s="130"/>
      <c r="R232" s="130"/>
      <c r="S232" s="130"/>
      <c r="T232" s="130"/>
      <c r="U232" s="130"/>
      <c r="V232" s="131"/>
      <c r="W232" s="131"/>
      <c r="X232" s="131"/>
      <c r="Y232" s="131"/>
      <c r="Z232" s="131"/>
      <c r="AA232" s="131"/>
      <c r="AB232" s="131"/>
      <c r="AC232" s="131"/>
      <c r="AD232" s="131"/>
      <c r="AE232" s="131"/>
      <c r="AF232" s="131"/>
      <c r="AG232" s="131"/>
      <c r="AH232" s="131"/>
      <c r="AI232" s="131"/>
      <c r="AJ232" s="131"/>
    </row>
    <row r="233">
      <c r="A233" s="126"/>
      <c r="B233" s="126"/>
      <c r="C233" s="126"/>
      <c r="D233" s="126"/>
      <c r="E233" s="126"/>
      <c r="F233" s="126"/>
      <c r="G233" s="126"/>
      <c r="H233" s="129"/>
      <c r="I233" s="129"/>
      <c r="J233" s="129"/>
      <c r="K233" s="129"/>
      <c r="L233" s="129"/>
      <c r="M233" s="129"/>
      <c r="N233" s="129"/>
      <c r="O233" s="129"/>
      <c r="P233" s="129"/>
      <c r="Q233" s="129"/>
      <c r="R233" s="129"/>
      <c r="S233" s="129"/>
      <c r="T233" s="129"/>
      <c r="U233" s="129"/>
      <c r="V233" s="126"/>
      <c r="W233" s="126"/>
      <c r="X233" s="126"/>
      <c r="Y233" s="126"/>
      <c r="Z233" s="126"/>
      <c r="AA233" s="126"/>
      <c r="AB233" s="126"/>
      <c r="AC233" s="126"/>
      <c r="AD233" s="126"/>
      <c r="AE233" s="126"/>
      <c r="AF233" s="126"/>
      <c r="AG233" s="126"/>
      <c r="AH233" s="126"/>
      <c r="AI233" s="126"/>
      <c r="AJ233" s="126"/>
    </row>
    <row r="234">
      <c r="A234" s="126"/>
      <c r="B234" s="126"/>
      <c r="C234" s="126"/>
      <c r="D234" s="126"/>
      <c r="E234" s="126"/>
      <c r="F234" s="126"/>
      <c r="G234" s="128"/>
      <c r="H234" s="130"/>
      <c r="I234" s="130"/>
      <c r="J234" s="130"/>
      <c r="K234" s="130"/>
      <c r="L234" s="129"/>
      <c r="M234" s="130"/>
      <c r="N234" s="130"/>
      <c r="O234" s="130"/>
      <c r="P234" s="130"/>
      <c r="Q234" s="130"/>
      <c r="R234" s="130"/>
      <c r="S234" s="130"/>
      <c r="T234" s="130"/>
      <c r="U234" s="130"/>
      <c r="V234" s="131"/>
      <c r="W234" s="131"/>
      <c r="X234" s="131"/>
      <c r="Y234" s="131"/>
      <c r="Z234" s="131"/>
      <c r="AA234" s="131"/>
      <c r="AB234" s="131"/>
      <c r="AC234" s="131"/>
      <c r="AD234" s="131"/>
      <c r="AE234" s="131"/>
      <c r="AF234" s="131"/>
      <c r="AG234" s="131"/>
      <c r="AH234" s="131"/>
      <c r="AI234" s="131"/>
      <c r="AJ234" s="131"/>
    </row>
    <row r="235">
      <c r="A235" s="126"/>
      <c r="B235" s="126"/>
      <c r="C235" s="126"/>
      <c r="D235" s="126"/>
      <c r="E235" s="126"/>
      <c r="F235" s="126"/>
      <c r="G235" s="128"/>
      <c r="H235" s="129"/>
      <c r="I235" s="130"/>
      <c r="J235" s="129"/>
      <c r="K235" s="130"/>
      <c r="L235" s="130"/>
      <c r="M235" s="130"/>
      <c r="N235" s="129"/>
      <c r="O235" s="130"/>
      <c r="P235" s="130"/>
      <c r="Q235" s="129"/>
      <c r="R235" s="129"/>
      <c r="S235" s="129"/>
      <c r="T235" s="129"/>
      <c r="U235" s="129"/>
      <c r="V235" s="126"/>
      <c r="W235" s="126"/>
      <c r="X235" s="126"/>
      <c r="Y235" s="126"/>
      <c r="Z235" s="126"/>
      <c r="AA235" s="126"/>
      <c r="AB235" s="126"/>
      <c r="AC235" s="126"/>
      <c r="AD235" s="126"/>
      <c r="AE235" s="126"/>
      <c r="AF235" s="126"/>
      <c r="AG235" s="126"/>
      <c r="AH235" s="126"/>
      <c r="AI235" s="126"/>
      <c r="AJ235" s="126"/>
    </row>
    <row r="236">
      <c r="A236" s="126"/>
      <c r="B236" s="126"/>
      <c r="C236" s="126"/>
      <c r="D236" s="126"/>
      <c r="E236" s="126"/>
      <c r="F236" s="126"/>
      <c r="G236" s="128"/>
      <c r="H236" s="129"/>
      <c r="I236" s="130"/>
      <c r="J236" s="129"/>
      <c r="K236" s="130"/>
      <c r="L236" s="130"/>
      <c r="M236" s="130"/>
      <c r="N236" s="130"/>
      <c r="O236" s="130"/>
      <c r="P236" s="130"/>
      <c r="Q236" s="130"/>
      <c r="R236" s="130"/>
      <c r="S236" s="130"/>
      <c r="T236" s="130"/>
      <c r="U236" s="130"/>
      <c r="V236" s="131"/>
      <c r="W236" s="131"/>
      <c r="X236" s="131"/>
      <c r="Y236" s="131"/>
      <c r="Z236" s="131"/>
      <c r="AA236" s="131"/>
      <c r="AB236" s="131"/>
      <c r="AC236" s="131"/>
      <c r="AD236" s="131"/>
      <c r="AE236" s="131"/>
      <c r="AF236" s="131"/>
      <c r="AG236" s="131"/>
      <c r="AH236" s="131"/>
      <c r="AI236" s="131"/>
      <c r="AJ236" s="131"/>
    </row>
    <row r="237">
      <c r="A237" s="126"/>
      <c r="B237" s="126"/>
      <c r="C237" s="126"/>
      <c r="D237" s="126"/>
      <c r="E237" s="126"/>
      <c r="F237" s="126"/>
      <c r="G237" s="128"/>
      <c r="H237" s="130"/>
      <c r="I237" s="129"/>
      <c r="J237" s="130"/>
      <c r="K237" s="130"/>
      <c r="L237" s="130"/>
      <c r="M237" s="130"/>
      <c r="N237" s="130"/>
      <c r="O237" s="130"/>
      <c r="P237" s="130"/>
      <c r="Q237" s="130"/>
      <c r="R237" s="130"/>
      <c r="S237" s="130"/>
      <c r="T237" s="130"/>
      <c r="U237" s="130"/>
      <c r="V237" s="131"/>
      <c r="W237" s="131"/>
      <c r="X237" s="131"/>
      <c r="Y237" s="131"/>
      <c r="Z237" s="131"/>
      <c r="AA237" s="131"/>
      <c r="AB237" s="131"/>
      <c r="AC237" s="131"/>
      <c r="AD237" s="131"/>
      <c r="AE237" s="131"/>
      <c r="AF237" s="131"/>
      <c r="AG237" s="131"/>
      <c r="AH237" s="131"/>
      <c r="AI237" s="131"/>
      <c r="AJ237" s="131"/>
    </row>
    <row r="238">
      <c r="A238" s="126"/>
      <c r="B238" s="126"/>
      <c r="C238" s="126"/>
      <c r="D238" s="126"/>
      <c r="E238" s="126"/>
      <c r="F238" s="126"/>
      <c r="G238" s="132"/>
      <c r="H238" s="129"/>
      <c r="I238" s="129"/>
      <c r="J238" s="129"/>
      <c r="K238" s="130"/>
      <c r="L238" s="130"/>
      <c r="M238" s="130"/>
      <c r="N238" s="130"/>
      <c r="O238" s="130"/>
      <c r="P238" s="129"/>
      <c r="Q238" s="129"/>
      <c r="R238" s="129"/>
      <c r="S238" s="129"/>
      <c r="T238" s="129"/>
      <c r="U238" s="129"/>
      <c r="V238" s="126"/>
      <c r="W238" s="126"/>
      <c r="X238" s="126"/>
      <c r="Y238" s="126"/>
      <c r="Z238" s="126"/>
      <c r="AA238" s="126"/>
      <c r="AB238" s="126"/>
      <c r="AC238" s="126"/>
      <c r="AD238" s="126"/>
      <c r="AE238" s="126"/>
      <c r="AF238" s="126"/>
      <c r="AG238" s="126"/>
      <c r="AH238" s="126"/>
      <c r="AI238" s="126"/>
      <c r="AJ238" s="126"/>
    </row>
    <row r="239">
      <c r="A239" s="126"/>
      <c r="B239" s="126"/>
      <c r="C239" s="126"/>
      <c r="D239" s="126"/>
      <c r="E239" s="126"/>
      <c r="F239" s="126"/>
      <c r="G239" s="128"/>
      <c r="H239" s="130"/>
      <c r="I239" s="129"/>
      <c r="J239" s="130"/>
      <c r="K239" s="130"/>
      <c r="L239" s="130"/>
      <c r="M239" s="130"/>
      <c r="N239" s="130"/>
      <c r="O239" s="130"/>
      <c r="P239" s="130"/>
      <c r="Q239" s="130"/>
      <c r="R239" s="130"/>
      <c r="S239" s="130"/>
      <c r="T239" s="130"/>
      <c r="U239" s="130"/>
      <c r="V239" s="131"/>
      <c r="W239" s="131"/>
      <c r="X239" s="131"/>
      <c r="Y239" s="131"/>
      <c r="Z239" s="131"/>
      <c r="AA239" s="131"/>
      <c r="AB239" s="131"/>
      <c r="AC239" s="131"/>
      <c r="AD239" s="131"/>
      <c r="AE239" s="131"/>
      <c r="AF239" s="131"/>
      <c r="AG239" s="131"/>
      <c r="AH239" s="131"/>
      <c r="AI239" s="131"/>
      <c r="AJ239" s="131"/>
    </row>
    <row r="240">
      <c r="A240" s="126"/>
      <c r="B240" s="126"/>
      <c r="C240" s="126"/>
      <c r="D240" s="126"/>
      <c r="E240" s="126"/>
      <c r="F240" s="126"/>
      <c r="G240" s="132"/>
      <c r="H240" s="129"/>
      <c r="I240" s="129"/>
      <c r="J240" s="129"/>
      <c r="K240" s="130"/>
      <c r="L240" s="130"/>
      <c r="M240" s="130"/>
      <c r="N240" s="130"/>
      <c r="O240" s="130"/>
      <c r="P240" s="129"/>
      <c r="Q240" s="129"/>
      <c r="R240" s="129"/>
      <c r="S240" s="129"/>
      <c r="T240" s="129"/>
      <c r="U240" s="129"/>
      <c r="V240" s="126"/>
      <c r="W240" s="126"/>
      <c r="X240" s="126"/>
      <c r="Y240" s="126"/>
      <c r="Z240" s="126"/>
      <c r="AA240" s="126"/>
      <c r="AB240" s="126"/>
      <c r="AC240" s="126"/>
      <c r="AD240" s="126"/>
      <c r="AE240" s="126"/>
      <c r="AF240" s="126"/>
      <c r="AG240" s="126"/>
      <c r="AH240" s="126"/>
      <c r="AI240" s="126"/>
      <c r="AJ240" s="126"/>
    </row>
    <row r="241">
      <c r="A241" s="126"/>
      <c r="B241" s="126"/>
      <c r="C241" s="126"/>
      <c r="D241" s="126"/>
      <c r="E241" s="126"/>
      <c r="F241" s="126"/>
      <c r="G241" s="128"/>
      <c r="H241" s="129"/>
      <c r="I241" s="130"/>
      <c r="J241" s="129"/>
      <c r="K241" s="130"/>
      <c r="L241" s="130"/>
      <c r="M241" s="130"/>
      <c r="N241" s="130"/>
      <c r="O241" s="130"/>
      <c r="P241" s="130"/>
      <c r="Q241" s="130"/>
      <c r="R241" s="130"/>
      <c r="S241" s="130"/>
      <c r="T241" s="130"/>
      <c r="U241" s="130"/>
      <c r="V241" s="131"/>
      <c r="W241" s="131"/>
      <c r="X241" s="131"/>
      <c r="Y241" s="131"/>
      <c r="Z241" s="131"/>
      <c r="AA241" s="131"/>
      <c r="AB241" s="131"/>
      <c r="AC241" s="131"/>
      <c r="AD241" s="131"/>
      <c r="AE241" s="131"/>
      <c r="AF241" s="131"/>
      <c r="AG241" s="131"/>
      <c r="AH241" s="131"/>
      <c r="AI241" s="131"/>
      <c r="AJ241" s="131"/>
    </row>
    <row r="242">
      <c r="A242" s="126"/>
      <c r="B242" s="126"/>
      <c r="C242" s="126"/>
      <c r="D242" s="126"/>
      <c r="E242" s="126"/>
      <c r="F242" s="126"/>
      <c r="G242" s="128"/>
      <c r="H242" s="130"/>
      <c r="I242" s="129"/>
      <c r="J242" s="130"/>
      <c r="K242" s="130"/>
      <c r="L242" s="129"/>
      <c r="M242" s="130"/>
      <c r="N242" s="130"/>
      <c r="O242" s="130"/>
      <c r="P242" s="130"/>
      <c r="Q242" s="130"/>
      <c r="R242" s="130"/>
      <c r="S242" s="130"/>
      <c r="T242" s="130"/>
      <c r="U242" s="130"/>
      <c r="V242" s="131"/>
      <c r="W242" s="131"/>
      <c r="X242" s="131"/>
      <c r="Y242" s="131"/>
      <c r="Z242" s="131"/>
      <c r="AA242" s="131"/>
      <c r="AB242" s="131"/>
      <c r="AC242" s="131"/>
      <c r="AD242" s="131"/>
      <c r="AE242" s="131"/>
      <c r="AF242" s="131"/>
      <c r="AG242" s="131"/>
      <c r="AH242" s="131"/>
      <c r="AI242" s="131"/>
      <c r="AJ242" s="131"/>
    </row>
    <row r="243">
      <c r="A243" s="126"/>
      <c r="B243" s="126"/>
      <c r="C243" s="126"/>
      <c r="D243" s="126"/>
      <c r="E243" s="126"/>
      <c r="F243" s="126"/>
      <c r="G243" s="128"/>
      <c r="H243" s="130"/>
      <c r="I243" s="130"/>
      <c r="J243" s="130"/>
      <c r="K243" s="130"/>
      <c r="L243" s="129"/>
      <c r="M243" s="130"/>
      <c r="N243" s="130"/>
      <c r="O243" s="130"/>
      <c r="P243" s="130"/>
      <c r="Q243" s="129"/>
      <c r="R243" s="129"/>
      <c r="S243" s="129"/>
      <c r="T243" s="129"/>
      <c r="U243" s="129"/>
      <c r="V243" s="126"/>
      <c r="W243" s="126"/>
      <c r="X243" s="126"/>
      <c r="Y243" s="126"/>
      <c r="Z243" s="126"/>
      <c r="AA243" s="126"/>
      <c r="AB243" s="126"/>
      <c r="AC243" s="126"/>
      <c r="AD243" s="126"/>
      <c r="AE243" s="126"/>
      <c r="AF243" s="126"/>
      <c r="AG243" s="126"/>
      <c r="AH243" s="126"/>
      <c r="AI243" s="126"/>
      <c r="AJ243" s="126"/>
    </row>
    <row r="244">
      <c r="A244" s="126"/>
      <c r="B244" s="126"/>
      <c r="C244" s="126"/>
      <c r="D244" s="131"/>
      <c r="E244" s="131"/>
      <c r="F244" s="126"/>
      <c r="G244" s="128"/>
      <c r="H244" s="130"/>
      <c r="I244" s="130"/>
      <c r="J244" s="130"/>
      <c r="K244" s="130"/>
      <c r="L244" s="129"/>
      <c r="M244" s="130"/>
      <c r="N244" s="130"/>
      <c r="O244" s="130"/>
      <c r="P244" s="130"/>
      <c r="Q244" s="130"/>
      <c r="R244" s="130"/>
      <c r="S244" s="130"/>
      <c r="T244" s="130"/>
      <c r="U244" s="130"/>
      <c r="V244" s="131"/>
      <c r="W244" s="131"/>
      <c r="X244" s="131"/>
      <c r="Y244" s="131"/>
      <c r="Z244" s="131"/>
      <c r="AA244" s="131"/>
      <c r="AB244" s="131"/>
      <c r="AC244" s="131"/>
      <c r="AD244" s="131"/>
      <c r="AE244" s="131"/>
      <c r="AF244" s="131"/>
      <c r="AG244" s="131"/>
      <c r="AH244" s="131"/>
      <c r="AI244" s="131"/>
      <c r="AJ244" s="131"/>
    </row>
    <row r="245">
      <c r="A245" s="126"/>
      <c r="B245" s="126"/>
      <c r="C245" s="126"/>
      <c r="D245" s="126"/>
      <c r="E245" s="126"/>
      <c r="F245" s="126"/>
      <c r="G245" s="128"/>
      <c r="H245" s="130"/>
      <c r="I245" s="129"/>
      <c r="J245" s="130"/>
      <c r="K245" s="130"/>
      <c r="L245" s="129"/>
      <c r="M245" s="130"/>
      <c r="N245" s="130"/>
      <c r="O245" s="130"/>
      <c r="P245" s="130"/>
      <c r="Q245" s="130"/>
      <c r="R245" s="130"/>
      <c r="S245" s="130"/>
      <c r="T245" s="130"/>
      <c r="U245" s="130"/>
      <c r="V245" s="131"/>
      <c r="W245" s="131"/>
      <c r="X245" s="131"/>
      <c r="Y245" s="131"/>
      <c r="Z245" s="131"/>
      <c r="AA245" s="131"/>
      <c r="AB245" s="131"/>
      <c r="AC245" s="131"/>
      <c r="AD245" s="131"/>
      <c r="AE245" s="131"/>
      <c r="AF245" s="131"/>
      <c r="AG245" s="131"/>
      <c r="AH245" s="131"/>
      <c r="AI245" s="131"/>
      <c r="AJ245" s="131"/>
    </row>
    <row r="246">
      <c r="A246" s="126"/>
      <c r="B246" s="126"/>
      <c r="C246" s="126"/>
      <c r="D246" s="126"/>
      <c r="E246" s="126"/>
      <c r="F246" s="126"/>
      <c r="G246" s="128"/>
      <c r="H246" s="130"/>
      <c r="I246" s="129"/>
      <c r="J246" s="130"/>
      <c r="K246" s="130"/>
      <c r="L246" s="129"/>
      <c r="M246" s="130"/>
      <c r="N246" s="130"/>
      <c r="O246" s="130"/>
      <c r="P246" s="130"/>
      <c r="Q246" s="130"/>
      <c r="R246" s="130"/>
      <c r="S246" s="130"/>
      <c r="T246" s="130"/>
      <c r="U246" s="130"/>
      <c r="V246" s="131"/>
      <c r="W246" s="131"/>
      <c r="X246" s="131"/>
      <c r="Y246" s="131"/>
      <c r="Z246" s="131"/>
      <c r="AA246" s="131"/>
      <c r="AB246" s="131"/>
      <c r="AC246" s="131"/>
      <c r="AD246" s="131"/>
      <c r="AE246" s="131"/>
      <c r="AF246" s="131"/>
      <c r="AG246" s="131"/>
      <c r="AH246" s="131"/>
      <c r="AI246" s="131"/>
      <c r="AJ246" s="131"/>
    </row>
    <row r="247">
      <c r="A247" s="126"/>
      <c r="B247" s="126"/>
      <c r="C247" s="126"/>
      <c r="D247" s="126"/>
      <c r="E247" s="126"/>
      <c r="F247" s="126"/>
      <c r="G247" s="128"/>
      <c r="H247" s="130"/>
      <c r="I247" s="130"/>
      <c r="J247" s="130"/>
      <c r="K247" s="129"/>
      <c r="L247" s="130"/>
      <c r="M247" s="130"/>
      <c r="N247" s="130"/>
      <c r="O247" s="130"/>
      <c r="P247" s="130"/>
      <c r="Q247" s="130"/>
      <c r="R247" s="130"/>
      <c r="S247" s="130"/>
      <c r="T247" s="130"/>
      <c r="U247" s="130"/>
      <c r="V247" s="131"/>
      <c r="W247" s="131"/>
      <c r="X247" s="131"/>
      <c r="Y247" s="131"/>
      <c r="Z247" s="131"/>
      <c r="AA247" s="131"/>
      <c r="AB247" s="131"/>
      <c r="AC247" s="131"/>
      <c r="AD247" s="131"/>
      <c r="AE247" s="131"/>
      <c r="AF247" s="131"/>
      <c r="AG247" s="131"/>
      <c r="AH247" s="131"/>
      <c r="AI247" s="131"/>
      <c r="AJ247" s="131"/>
    </row>
    <row r="248">
      <c r="A248" s="126"/>
      <c r="B248" s="126"/>
      <c r="C248" s="126"/>
      <c r="D248" s="126"/>
      <c r="E248" s="126"/>
      <c r="F248" s="126"/>
      <c r="G248" s="128"/>
      <c r="H248" s="130"/>
      <c r="I248" s="130"/>
      <c r="J248" s="130"/>
      <c r="K248" s="129"/>
      <c r="L248" s="130"/>
      <c r="M248" s="130"/>
      <c r="N248" s="130"/>
      <c r="O248" s="130"/>
      <c r="P248" s="130"/>
      <c r="Q248" s="130"/>
      <c r="R248" s="130"/>
      <c r="S248" s="130"/>
      <c r="T248" s="130"/>
      <c r="U248" s="130"/>
      <c r="V248" s="131"/>
      <c r="W248" s="131"/>
      <c r="X248" s="131"/>
      <c r="Y248" s="131"/>
      <c r="Z248" s="131"/>
      <c r="AA248" s="131"/>
      <c r="AB248" s="131"/>
      <c r="AC248" s="131"/>
      <c r="AD248" s="131"/>
      <c r="AE248" s="131"/>
      <c r="AF248" s="131"/>
      <c r="AG248" s="131"/>
      <c r="AH248" s="131"/>
      <c r="AI248" s="131"/>
      <c r="AJ248" s="131"/>
    </row>
    <row r="249">
      <c r="A249" s="126"/>
      <c r="B249" s="126"/>
      <c r="C249" s="126"/>
      <c r="D249" s="126"/>
      <c r="E249" s="126"/>
      <c r="F249" s="126"/>
      <c r="G249" s="128"/>
      <c r="H249" s="129"/>
      <c r="I249" s="129"/>
      <c r="J249" s="129"/>
      <c r="K249" s="130"/>
      <c r="L249" s="130"/>
      <c r="M249" s="130"/>
      <c r="N249" s="129"/>
      <c r="O249" s="130"/>
      <c r="P249" s="129"/>
      <c r="Q249" s="129"/>
      <c r="R249" s="129"/>
      <c r="S249" s="129"/>
      <c r="T249" s="129"/>
      <c r="U249" s="129"/>
      <c r="V249" s="126"/>
      <c r="W249" s="126"/>
      <c r="X249" s="126"/>
      <c r="Y249" s="126"/>
      <c r="Z249" s="126"/>
      <c r="AA249" s="126"/>
      <c r="AB249" s="126"/>
      <c r="AC249" s="126"/>
      <c r="AD249" s="126"/>
      <c r="AE249" s="126"/>
      <c r="AF249" s="126"/>
      <c r="AG249" s="126"/>
      <c r="AH249" s="126"/>
      <c r="AI249" s="126"/>
      <c r="AJ249" s="126"/>
    </row>
    <row r="250">
      <c r="A250" s="126"/>
      <c r="B250" s="126"/>
      <c r="C250" s="126"/>
      <c r="D250" s="131"/>
      <c r="E250" s="131"/>
      <c r="F250" s="126"/>
      <c r="G250" s="128"/>
      <c r="H250" s="130"/>
      <c r="I250" s="130"/>
      <c r="J250" s="130"/>
      <c r="K250" s="129"/>
      <c r="L250" s="129"/>
      <c r="M250" s="130"/>
      <c r="N250" s="130"/>
      <c r="O250" s="130"/>
      <c r="P250" s="130"/>
      <c r="Q250" s="130"/>
      <c r="R250" s="130"/>
      <c r="S250" s="130"/>
      <c r="T250" s="130"/>
      <c r="U250" s="130"/>
      <c r="V250" s="131"/>
      <c r="W250" s="131"/>
      <c r="X250" s="131"/>
      <c r="Y250" s="131"/>
      <c r="Z250" s="131"/>
      <c r="AA250" s="131"/>
      <c r="AB250" s="131"/>
      <c r="AC250" s="131"/>
      <c r="AD250" s="131"/>
      <c r="AE250" s="131"/>
      <c r="AF250" s="131"/>
      <c r="AG250" s="131"/>
      <c r="AH250" s="131"/>
      <c r="AI250" s="131"/>
      <c r="AJ250" s="131"/>
    </row>
    <row r="251">
      <c r="A251" s="126"/>
      <c r="B251" s="126"/>
      <c r="C251" s="126"/>
      <c r="D251" s="126"/>
      <c r="E251" s="126"/>
      <c r="F251" s="126"/>
      <c r="G251" s="132"/>
      <c r="H251" s="129"/>
      <c r="I251" s="129"/>
      <c r="J251" s="129"/>
      <c r="K251" s="130"/>
      <c r="L251" s="130"/>
      <c r="M251" s="130"/>
      <c r="N251" s="130"/>
      <c r="O251" s="130"/>
      <c r="P251" s="129"/>
      <c r="Q251" s="129"/>
      <c r="R251" s="129"/>
      <c r="S251" s="129"/>
      <c r="T251" s="129"/>
      <c r="U251" s="129"/>
      <c r="V251" s="126"/>
      <c r="W251" s="126"/>
      <c r="X251" s="126"/>
      <c r="Y251" s="126"/>
      <c r="Z251" s="126"/>
      <c r="AA251" s="126"/>
      <c r="AB251" s="126"/>
      <c r="AC251" s="126"/>
      <c r="AD251" s="126"/>
      <c r="AE251" s="126"/>
      <c r="AF251" s="126"/>
      <c r="AG251" s="126"/>
      <c r="AH251" s="126"/>
      <c r="AI251" s="126"/>
      <c r="AJ251" s="126"/>
    </row>
    <row r="252">
      <c r="A252" s="126"/>
      <c r="B252" s="126"/>
      <c r="C252" s="126"/>
      <c r="D252" s="126"/>
      <c r="E252" s="126"/>
      <c r="F252" s="126"/>
      <c r="G252" s="132"/>
      <c r="H252" s="129"/>
      <c r="I252" s="129"/>
      <c r="J252" s="129"/>
      <c r="K252" s="130"/>
      <c r="L252" s="130"/>
      <c r="M252" s="130"/>
      <c r="N252" s="130"/>
      <c r="O252" s="130"/>
      <c r="P252" s="129"/>
      <c r="Q252" s="129"/>
      <c r="R252" s="129"/>
      <c r="S252" s="129"/>
      <c r="T252" s="129"/>
      <c r="U252" s="129"/>
      <c r="V252" s="126"/>
      <c r="W252" s="126"/>
      <c r="X252" s="126"/>
      <c r="Y252" s="126"/>
      <c r="Z252" s="126"/>
      <c r="AA252" s="126"/>
      <c r="AB252" s="126"/>
      <c r="AC252" s="126"/>
      <c r="AD252" s="126"/>
      <c r="AE252" s="126"/>
      <c r="AF252" s="126"/>
      <c r="AG252" s="126"/>
      <c r="AH252" s="126"/>
      <c r="AI252" s="126"/>
      <c r="AJ252" s="126"/>
    </row>
    <row r="253">
      <c r="A253" s="126"/>
      <c r="B253" s="126"/>
      <c r="C253" s="126"/>
      <c r="D253" s="131"/>
      <c r="E253" s="131"/>
      <c r="F253" s="126"/>
      <c r="G253" s="128"/>
      <c r="H253" s="130"/>
      <c r="I253" s="130"/>
      <c r="J253" s="130"/>
      <c r="K253" s="130"/>
      <c r="L253" s="129"/>
      <c r="M253" s="130"/>
      <c r="N253" s="130"/>
      <c r="O253" s="130"/>
      <c r="P253" s="130"/>
      <c r="Q253" s="130"/>
      <c r="R253" s="130"/>
      <c r="S253" s="130"/>
      <c r="T253" s="130"/>
      <c r="U253" s="130"/>
      <c r="V253" s="131"/>
      <c r="W253" s="131"/>
      <c r="X253" s="131"/>
      <c r="Y253" s="131"/>
      <c r="Z253" s="131"/>
      <c r="AA253" s="131"/>
      <c r="AB253" s="131"/>
      <c r="AC253" s="131"/>
      <c r="AD253" s="131"/>
      <c r="AE253" s="131"/>
      <c r="AF253" s="131"/>
      <c r="AG253" s="131"/>
      <c r="AH253" s="131"/>
      <c r="AI253" s="131"/>
      <c r="AJ253" s="131"/>
    </row>
    <row r="254">
      <c r="A254" s="126"/>
      <c r="B254" s="126"/>
      <c r="C254" s="126"/>
      <c r="D254" s="126"/>
      <c r="E254" s="126"/>
      <c r="F254" s="126"/>
      <c r="G254" s="128"/>
      <c r="H254" s="129"/>
      <c r="I254" s="130"/>
      <c r="J254" s="129"/>
      <c r="K254" s="130"/>
      <c r="L254" s="130"/>
      <c r="M254" s="130"/>
      <c r="N254" s="130"/>
      <c r="O254" s="130"/>
      <c r="P254" s="130"/>
      <c r="Q254" s="130"/>
      <c r="R254" s="130"/>
      <c r="S254" s="130"/>
      <c r="T254" s="130"/>
      <c r="U254" s="130"/>
      <c r="V254" s="131"/>
      <c r="W254" s="131"/>
      <c r="X254" s="131"/>
      <c r="Y254" s="131"/>
      <c r="Z254" s="131"/>
      <c r="AA254" s="131"/>
      <c r="AB254" s="131"/>
      <c r="AC254" s="131"/>
      <c r="AD254" s="131"/>
      <c r="AE254" s="131"/>
      <c r="AF254" s="131"/>
      <c r="AG254" s="131"/>
      <c r="AH254" s="131"/>
      <c r="AI254" s="131"/>
      <c r="AJ254" s="131"/>
    </row>
    <row r="255">
      <c r="A255" s="126"/>
      <c r="B255" s="126"/>
      <c r="C255" s="126"/>
      <c r="D255" s="126"/>
      <c r="E255" s="126"/>
      <c r="F255" s="126"/>
      <c r="G255" s="128"/>
      <c r="H255" s="130"/>
      <c r="I255" s="130"/>
      <c r="J255" s="130"/>
      <c r="K255" s="130"/>
      <c r="L255" s="130"/>
      <c r="M255" s="130"/>
      <c r="N255" s="130"/>
      <c r="O255" s="130"/>
      <c r="P255" s="130"/>
      <c r="Q255" s="130"/>
      <c r="R255" s="130"/>
      <c r="S255" s="130"/>
      <c r="T255" s="130"/>
      <c r="U255" s="130"/>
      <c r="V255" s="131"/>
      <c r="W255" s="131"/>
      <c r="X255" s="131"/>
      <c r="Y255" s="131"/>
      <c r="Z255" s="131"/>
      <c r="AA255" s="131"/>
      <c r="AB255" s="131"/>
      <c r="AC255" s="131"/>
      <c r="AD255" s="131"/>
      <c r="AE255" s="131"/>
      <c r="AF255" s="131"/>
      <c r="AG255" s="131"/>
      <c r="AH255" s="131"/>
      <c r="AI255" s="131"/>
      <c r="AJ255" s="131"/>
    </row>
    <row r="256">
      <c r="A256" s="126"/>
      <c r="B256" s="126"/>
      <c r="C256" s="126"/>
      <c r="D256" s="131"/>
      <c r="E256" s="131"/>
      <c r="F256" s="126"/>
      <c r="G256" s="128"/>
      <c r="H256" s="130"/>
      <c r="I256" s="130"/>
      <c r="J256" s="130"/>
      <c r="K256" s="130"/>
      <c r="L256" s="129"/>
      <c r="M256" s="130"/>
      <c r="N256" s="130"/>
      <c r="O256" s="130"/>
      <c r="P256" s="130"/>
      <c r="Q256" s="130"/>
      <c r="R256" s="130"/>
      <c r="S256" s="130"/>
      <c r="T256" s="130"/>
      <c r="U256" s="130"/>
      <c r="V256" s="131"/>
      <c r="W256" s="131"/>
      <c r="X256" s="131"/>
      <c r="Y256" s="131"/>
      <c r="Z256" s="131"/>
      <c r="AA256" s="131"/>
      <c r="AB256" s="131"/>
      <c r="AC256" s="131"/>
      <c r="AD256" s="131"/>
      <c r="AE256" s="131"/>
      <c r="AF256" s="131"/>
      <c r="AG256" s="131"/>
      <c r="AH256" s="131"/>
      <c r="AI256" s="131"/>
      <c r="AJ256" s="131"/>
    </row>
    <row r="257">
      <c r="A257" s="126"/>
      <c r="B257" s="126"/>
      <c r="C257" s="126"/>
      <c r="D257" s="126"/>
      <c r="E257" s="126"/>
      <c r="F257" s="126"/>
      <c r="G257" s="128"/>
      <c r="H257" s="130"/>
      <c r="I257" s="130"/>
      <c r="J257" s="130"/>
      <c r="K257" s="130"/>
      <c r="L257" s="130"/>
      <c r="M257" s="130"/>
      <c r="N257" s="129"/>
      <c r="O257" s="130"/>
      <c r="P257" s="130"/>
      <c r="Q257" s="129"/>
      <c r="R257" s="129"/>
      <c r="S257" s="129"/>
      <c r="T257" s="129"/>
      <c r="U257" s="129"/>
      <c r="V257" s="126"/>
      <c r="W257" s="126"/>
      <c r="X257" s="126"/>
      <c r="Y257" s="126"/>
      <c r="Z257" s="126"/>
      <c r="AA257" s="126"/>
      <c r="AB257" s="126"/>
      <c r="AC257" s="126"/>
      <c r="AD257" s="126"/>
      <c r="AE257" s="126"/>
      <c r="AF257" s="126"/>
      <c r="AG257" s="126"/>
      <c r="AH257" s="126"/>
      <c r="AI257" s="126"/>
      <c r="AJ257" s="126"/>
    </row>
    <row r="258">
      <c r="A258" s="126"/>
      <c r="B258" s="126"/>
      <c r="C258" s="126"/>
      <c r="D258" s="126"/>
      <c r="E258" s="126"/>
      <c r="F258" s="126"/>
      <c r="G258" s="128"/>
      <c r="H258" s="129"/>
      <c r="I258" s="129"/>
      <c r="J258" s="129"/>
      <c r="K258" s="130"/>
      <c r="L258" s="129"/>
      <c r="M258" s="130"/>
      <c r="N258" s="130"/>
      <c r="O258" s="130"/>
      <c r="P258" s="130"/>
      <c r="Q258" s="130"/>
      <c r="R258" s="130"/>
      <c r="S258" s="130"/>
      <c r="T258" s="130"/>
      <c r="U258" s="130"/>
      <c r="V258" s="131"/>
      <c r="W258" s="131"/>
      <c r="X258" s="131"/>
      <c r="Y258" s="131"/>
      <c r="Z258" s="131"/>
      <c r="AA258" s="131"/>
      <c r="AB258" s="131"/>
      <c r="AC258" s="131"/>
      <c r="AD258" s="131"/>
      <c r="AE258" s="131"/>
      <c r="AF258" s="131"/>
      <c r="AG258" s="131"/>
      <c r="AH258" s="131"/>
      <c r="AI258" s="131"/>
      <c r="AJ258" s="131"/>
    </row>
    <row r="259">
      <c r="A259" s="126"/>
      <c r="B259" s="126"/>
      <c r="C259" s="126"/>
      <c r="D259" s="131"/>
      <c r="E259" s="131"/>
      <c r="F259" s="126"/>
      <c r="G259" s="128"/>
      <c r="H259" s="130"/>
      <c r="I259" s="130"/>
      <c r="J259" s="130"/>
      <c r="K259" s="130"/>
      <c r="L259" s="129"/>
      <c r="M259" s="130"/>
      <c r="N259" s="130"/>
      <c r="O259" s="130"/>
      <c r="P259" s="130"/>
      <c r="Q259" s="130"/>
      <c r="R259" s="130"/>
      <c r="S259" s="130"/>
      <c r="T259" s="130"/>
      <c r="U259" s="130"/>
      <c r="V259" s="131"/>
      <c r="W259" s="131"/>
      <c r="X259" s="131"/>
      <c r="Y259" s="131"/>
      <c r="Z259" s="131"/>
      <c r="AA259" s="131"/>
      <c r="AB259" s="131"/>
      <c r="AC259" s="131"/>
      <c r="AD259" s="131"/>
      <c r="AE259" s="131"/>
      <c r="AF259" s="131"/>
      <c r="AG259" s="131"/>
      <c r="AH259" s="131"/>
      <c r="AI259" s="131"/>
      <c r="AJ259" s="131"/>
    </row>
    <row r="260">
      <c r="A260" s="126"/>
      <c r="B260" s="126"/>
      <c r="C260" s="126"/>
      <c r="D260" s="126"/>
      <c r="E260" s="126"/>
      <c r="F260" s="126"/>
      <c r="G260" s="132"/>
      <c r="H260" s="129"/>
      <c r="I260" s="129"/>
      <c r="J260" s="129"/>
      <c r="K260" s="130"/>
      <c r="L260" s="130"/>
      <c r="M260" s="130"/>
      <c r="N260" s="130"/>
      <c r="O260" s="130"/>
      <c r="P260" s="129"/>
      <c r="Q260" s="129"/>
      <c r="R260" s="129"/>
      <c r="S260" s="129"/>
      <c r="T260" s="129"/>
      <c r="U260" s="129"/>
      <c r="V260" s="126"/>
      <c r="W260" s="126"/>
      <c r="X260" s="126"/>
      <c r="Y260" s="126"/>
      <c r="Z260" s="126"/>
      <c r="AA260" s="126"/>
      <c r="AB260" s="126"/>
      <c r="AC260" s="126"/>
      <c r="AD260" s="126"/>
      <c r="AE260" s="126"/>
      <c r="AF260" s="126"/>
      <c r="AG260" s="126"/>
      <c r="AH260" s="126"/>
      <c r="AI260" s="126"/>
      <c r="AJ260" s="126"/>
    </row>
    <row r="261">
      <c r="A261" s="126"/>
      <c r="B261" s="126"/>
      <c r="C261" s="126"/>
      <c r="D261" s="126"/>
      <c r="E261" s="126"/>
      <c r="F261" s="126"/>
      <c r="G261" s="128"/>
      <c r="H261" s="130"/>
      <c r="I261" s="129"/>
      <c r="J261" s="130"/>
      <c r="K261" s="130"/>
      <c r="L261" s="129"/>
      <c r="M261" s="130"/>
      <c r="N261" s="130"/>
      <c r="O261" s="130"/>
      <c r="P261" s="130"/>
      <c r="Q261" s="130"/>
      <c r="R261" s="130"/>
      <c r="S261" s="130"/>
      <c r="T261" s="130"/>
      <c r="U261" s="130"/>
      <c r="V261" s="131"/>
      <c r="W261" s="131"/>
      <c r="X261" s="131"/>
      <c r="Y261" s="131"/>
      <c r="Z261" s="131"/>
      <c r="AA261" s="131"/>
      <c r="AB261" s="131"/>
      <c r="AC261" s="131"/>
      <c r="AD261" s="131"/>
      <c r="AE261" s="131"/>
      <c r="AF261" s="131"/>
      <c r="AG261" s="131"/>
      <c r="AH261" s="131"/>
      <c r="AI261" s="131"/>
      <c r="AJ261" s="131"/>
    </row>
    <row r="262">
      <c r="A262" s="126"/>
      <c r="B262" s="126"/>
      <c r="C262" s="126"/>
      <c r="D262" s="126"/>
      <c r="E262" s="126"/>
      <c r="F262" s="126"/>
      <c r="G262" s="128"/>
      <c r="H262" s="130"/>
      <c r="I262" s="129"/>
      <c r="J262" s="130"/>
      <c r="K262" s="130"/>
      <c r="L262" s="129"/>
      <c r="M262" s="130"/>
      <c r="N262" s="130"/>
      <c r="O262" s="130"/>
      <c r="P262" s="130"/>
      <c r="Q262" s="130"/>
      <c r="R262" s="130"/>
      <c r="S262" s="130"/>
      <c r="T262" s="130"/>
      <c r="U262" s="130"/>
      <c r="V262" s="131"/>
      <c r="W262" s="131"/>
      <c r="X262" s="131"/>
      <c r="Y262" s="131"/>
      <c r="Z262" s="131"/>
      <c r="AA262" s="131"/>
      <c r="AB262" s="131"/>
      <c r="AC262" s="131"/>
      <c r="AD262" s="131"/>
      <c r="AE262" s="131"/>
      <c r="AF262" s="131"/>
      <c r="AG262" s="131"/>
      <c r="AH262" s="131"/>
      <c r="AI262" s="131"/>
      <c r="AJ262" s="131"/>
    </row>
    <row r="263">
      <c r="A263" s="126"/>
      <c r="B263" s="126"/>
      <c r="C263" s="126"/>
      <c r="D263" s="126"/>
      <c r="E263" s="126"/>
      <c r="F263" s="126"/>
      <c r="G263" s="128"/>
      <c r="H263" s="129"/>
      <c r="I263" s="129"/>
      <c r="J263" s="129"/>
      <c r="K263" s="130"/>
      <c r="L263" s="130"/>
      <c r="M263" s="130"/>
      <c r="N263" s="130"/>
      <c r="O263" s="130"/>
      <c r="P263" s="130"/>
      <c r="Q263" s="130"/>
      <c r="R263" s="130"/>
      <c r="S263" s="130"/>
      <c r="T263" s="130"/>
      <c r="U263" s="130"/>
      <c r="V263" s="131"/>
      <c r="W263" s="131"/>
      <c r="X263" s="131"/>
      <c r="Y263" s="131"/>
      <c r="Z263" s="131"/>
      <c r="AA263" s="131"/>
      <c r="AB263" s="131"/>
      <c r="AC263" s="131"/>
      <c r="AD263" s="131"/>
      <c r="AE263" s="131"/>
      <c r="AF263" s="131"/>
      <c r="AG263" s="131"/>
      <c r="AH263" s="131"/>
      <c r="AI263" s="131"/>
      <c r="AJ263" s="131"/>
    </row>
    <row r="264">
      <c r="A264" s="126"/>
      <c r="B264" s="126"/>
      <c r="C264" s="126"/>
      <c r="D264" s="126"/>
      <c r="E264" s="126"/>
      <c r="F264" s="126"/>
      <c r="G264" s="128"/>
      <c r="H264" s="129"/>
      <c r="I264" s="130"/>
      <c r="J264" s="129"/>
      <c r="K264" s="130"/>
      <c r="L264" s="130"/>
      <c r="M264" s="130"/>
      <c r="N264" s="130"/>
      <c r="O264" s="130"/>
      <c r="P264" s="130"/>
      <c r="Q264" s="130"/>
      <c r="R264" s="130"/>
      <c r="S264" s="130"/>
      <c r="T264" s="130"/>
      <c r="U264" s="130"/>
      <c r="V264" s="131"/>
      <c r="W264" s="131"/>
      <c r="X264" s="131"/>
      <c r="Y264" s="131"/>
      <c r="Z264" s="131"/>
      <c r="AA264" s="131"/>
      <c r="AB264" s="131"/>
      <c r="AC264" s="131"/>
      <c r="AD264" s="131"/>
      <c r="AE264" s="131"/>
      <c r="AF264" s="131"/>
      <c r="AG264" s="131"/>
      <c r="AH264" s="131"/>
      <c r="AI264" s="131"/>
      <c r="AJ264" s="131"/>
    </row>
    <row r="265">
      <c r="A265" s="126"/>
      <c r="B265" s="126"/>
      <c r="C265" s="126"/>
      <c r="D265" s="131"/>
      <c r="E265" s="131"/>
      <c r="F265" s="126"/>
      <c r="G265" s="132"/>
      <c r="H265" s="129"/>
      <c r="I265" s="129"/>
      <c r="J265" s="129"/>
      <c r="K265" s="130"/>
      <c r="L265" s="130"/>
      <c r="M265" s="130"/>
      <c r="N265" s="130"/>
      <c r="O265" s="130"/>
      <c r="P265" s="129"/>
      <c r="Q265" s="129"/>
      <c r="R265" s="129"/>
      <c r="S265" s="129"/>
      <c r="T265" s="129"/>
      <c r="U265" s="129"/>
      <c r="V265" s="126"/>
      <c r="W265" s="126"/>
      <c r="X265" s="126"/>
      <c r="Y265" s="126"/>
      <c r="Z265" s="126"/>
      <c r="AA265" s="126"/>
      <c r="AB265" s="126"/>
      <c r="AC265" s="126"/>
      <c r="AD265" s="126"/>
      <c r="AE265" s="126"/>
      <c r="AF265" s="126"/>
      <c r="AG265" s="126"/>
      <c r="AH265" s="126"/>
      <c r="AI265" s="126"/>
      <c r="AJ265" s="126"/>
    </row>
    <row r="266">
      <c r="A266" s="126"/>
      <c r="B266" s="126"/>
      <c r="C266" s="126"/>
      <c r="D266" s="126"/>
      <c r="E266" s="126"/>
      <c r="F266" s="126"/>
      <c r="G266" s="128"/>
      <c r="H266" s="129"/>
      <c r="I266" s="129"/>
      <c r="J266" s="129"/>
      <c r="K266" s="130"/>
      <c r="L266" s="130"/>
      <c r="M266" s="130"/>
      <c r="N266" s="130"/>
      <c r="O266" s="130"/>
      <c r="P266" s="130"/>
      <c r="Q266" s="129"/>
      <c r="R266" s="129"/>
      <c r="S266" s="129"/>
      <c r="T266" s="129"/>
      <c r="U266" s="129"/>
      <c r="V266" s="126"/>
      <c r="W266" s="126"/>
      <c r="X266" s="126"/>
      <c r="Y266" s="126"/>
      <c r="Z266" s="126"/>
      <c r="AA266" s="126"/>
      <c r="AB266" s="126"/>
      <c r="AC266" s="126"/>
      <c r="AD266" s="126"/>
      <c r="AE266" s="126"/>
      <c r="AF266" s="126"/>
      <c r="AG266" s="126"/>
      <c r="AH266" s="126"/>
      <c r="AI266" s="126"/>
      <c r="AJ266" s="126"/>
    </row>
    <row r="267">
      <c r="A267" s="126"/>
      <c r="B267" s="126"/>
      <c r="C267" s="126"/>
      <c r="D267" s="131"/>
      <c r="E267" s="131"/>
      <c r="F267" s="126"/>
      <c r="G267" s="132"/>
      <c r="H267" s="130"/>
      <c r="I267" s="130"/>
      <c r="J267" s="130"/>
      <c r="K267" s="130"/>
      <c r="L267" s="129"/>
      <c r="M267" s="130"/>
      <c r="N267" s="130"/>
      <c r="O267" s="130"/>
      <c r="P267" s="130"/>
      <c r="Q267" s="130"/>
      <c r="R267" s="130"/>
      <c r="S267" s="130"/>
      <c r="T267" s="130"/>
      <c r="U267" s="130"/>
      <c r="V267" s="131"/>
      <c r="W267" s="131"/>
      <c r="X267" s="131"/>
      <c r="Y267" s="131"/>
      <c r="Z267" s="131"/>
      <c r="AA267" s="131"/>
      <c r="AB267" s="131"/>
      <c r="AC267" s="131"/>
      <c r="AD267" s="131"/>
      <c r="AE267" s="131"/>
      <c r="AF267" s="131"/>
      <c r="AG267" s="131"/>
      <c r="AH267" s="131"/>
      <c r="AI267" s="131"/>
      <c r="AJ267" s="131"/>
    </row>
    <row r="268">
      <c r="A268" s="126"/>
      <c r="B268" s="126"/>
      <c r="C268" s="126"/>
      <c r="D268" s="126"/>
      <c r="E268" s="126"/>
      <c r="F268" s="126"/>
      <c r="G268" s="128"/>
      <c r="H268" s="130"/>
      <c r="I268" s="129"/>
      <c r="J268" s="130"/>
      <c r="K268" s="130"/>
      <c r="L268" s="130"/>
      <c r="M268" s="130"/>
      <c r="N268" s="130"/>
      <c r="O268" s="130"/>
      <c r="P268" s="130"/>
      <c r="Q268" s="129"/>
      <c r="R268" s="129"/>
      <c r="S268" s="129"/>
      <c r="T268" s="129"/>
      <c r="U268" s="129"/>
      <c r="V268" s="126"/>
      <c r="W268" s="126"/>
      <c r="X268" s="126"/>
      <c r="Y268" s="126"/>
      <c r="Z268" s="126"/>
      <c r="AA268" s="126"/>
      <c r="AB268" s="126"/>
      <c r="AC268" s="126"/>
      <c r="AD268" s="126"/>
      <c r="AE268" s="126"/>
      <c r="AF268" s="126"/>
      <c r="AG268" s="126"/>
      <c r="AH268" s="126"/>
      <c r="AI268" s="126"/>
      <c r="AJ268" s="126"/>
    </row>
    <row r="269">
      <c r="A269" s="126"/>
      <c r="B269" s="126"/>
      <c r="C269" s="126"/>
      <c r="D269" s="126"/>
      <c r="E269" s="126"/>
      <c r="F269" s="126"/>
      <c r="G269" s="128"/>
      <c r="H269" s="130"/>
      <c r="I269" s="130"/>
      <c r="J269" s="130"/>
      <c r="K269" s="130"/>
      <c r="L269" s="129"/>
      <c r="M269" s="130"/>
      <c r="N269" s="130"/>
      <c r="O269" s="130"/>
      <c r="P269" s="130"/>
      <c r="Q269" s="129"/>
      <c r="R269" s="129"/>
      <c r="S269" s="129"/>
      <c r="T269" s="129"/>
      <c r="U269" s="129"/>
      <c r="V269" s="126"/>
      <c r="W269" s="126"/>
      <c r="X269" s="126"/>
      <c r="Y269" s="126"/>
      <c r="Z269" s="126"/>
      <c r="AA269" s="126"/>
      <c r="AB269" s="126"/>
      <c r="AC269" s="126"/>
      <c r="AD269" s="126"/>
      <c r="AE269" s="126"/>
      <c r="AF269" s="126"/>
      <c r="AG269" s="126"/>
      <c r="AH269" s="126"/>
      <c r="AI269" s="126"/>
      <c r="AJ269" s="126"/>
    </row>
    <row r="270">
      <c r="A270" s="126"/>
      <c r="B270" s="126"/>
      <c r="C270" s="126"/>
      <c r="D270" s="131"/>
      <c r="E270" s="131"/>
      <c r="F270" s="126"/>
      <c r="G270" s="128"/>
      <c r="H270" s="130"/>
      <c r="I270" s="130"/>
      <c r="J270" s="130"/>
      <c r="K270" s="130"/>
      <c r="L270" s="129"/>
      <c r="M270" s="130"/>
      <c r="N270" s="130"/>
      <c r="O270" s="130"/>
      <c r="P270" s="130"/>
      <c r="Q270" s="130"/>
      <c r="R270" s="130"/>
      <c r="S270" s="130"/>
      <c r="T270" s="130"/>
      <c r="U270" s="130"/>
      <c r="V270" s="131"/>
      <c r="W270" s="131"/>
      <c r="X270" s="131"/>
      <c r="Y270" s="131"/>
      <c r="Z270" s="131"/>
      <c r="AA270" s="131"/>
      <c r="AB270" s="131"/>
      <c r="AC270" s="131"/>
      <c r="AD270" s="131"/>
      <c r="AE270" s="131"/>
      <c r="AF270" s="131"/>
      <c r="AG270" s="131"/>
      <c r="AH270" s="131"/>
      <c r="AI270" s="131"/>
      <c r="AJ270" s="131"/>
    </row>
    <row r="271">
      <c r="A271" s="126"/>
      <c r="B271" s="126"/>
      <c r="C271" s="126"/>
      <c r="D271" s="126"/>
      <c r="E271" s="126"/>
      <c r="F271" s="126"/>
      <c r="G271" s="132"/>
      <c r="H271" s="129"/>
      <c r="I271" s="129"/>
      <c r="J271" s="129"/>
      <c r="K271" s="130"/>
      <c r="L271" s="130"/>
      <c r="M271" s="130"/>
      <c r="N271" s="130"/>
      <c r="O271" s="130"/>
      <c r="P271" s="129"/>
      <c r="Q271" s="129"/>
      <c r="R271" s="129"/>
      <c r="S271" s="129"/>
      <c r="T271" s="129"/>
      <c r="U271" s="129"/>
      <c r="V271" s="126"/>
      <c r="W271" s="126"/>
      <c r="X271" s="126"/>
      <c r="Y271" s="126"/>
      <c r="Z271" s="126"/>
      <c r="AA271" s="126"/>
      <c r="AB271" s="126"/>
      <c r="AC271" s="126"/>
      <c r="AD271" s="126"/>
      <c r="AE271" s="126"/>
      <c r="AF271" s="126"/>
      <c r="AG271" s="126"/>
      <c r="AH271" s="126"/>
      <c r="AI271" s="126"/>
      <c r="AJ271" s="126"/>
    </row>
    <row r="272">
      <c r="A272" s="126"/>
      <c r="B272" s="126"/>
      <c r="C272" s="126"/>
      <c r="D272" s="126"/>
      <c r="E272" s="126"/>
      <c r="F272" s="126"/>
      <c r="G272" s="128"/>
      <c r="H272" s="129"/>
      <c r="I272" s="130"/>
      <c r="J272" s="129"/>
      <c r="K272" s="130"/>
      <c r="L272" s="129"/>
      <c r="M272" s="130"/>
      <c r="N272" s="130"/>
      <c r="O272" s="130"/>
      <c r="P272" s="130"/>
      <c r="Q272" s="130"/>
      <c r="R272" s="130"/>
      <c r="S272" s="130"/>
      <c r="T272" s="130"/>
      <c r="U272" s="130"/>
      <c r="V272" s="131"/>
      <c r="W272" s="131"/>
      <c r="X272" s="131"/>
      <c r="Y272" s="131"/>
      <c r="Z272" s="131"/>
      <c r="AA272" s="131"/>
      <c r="AB272" s="131"/>
      <c r="AC272" s="131"/>
      <c r="AD272" s="131"/>
      <c r="AE272" s="131"/>
      <c r="AF272" s="131"/>
      <c r="AG272" s="131"/>
      <c r="AH272" s="131"/>
      <c r="AI272" s="131"/>
      <c r="AJ272" s="131"/>
    </row>
    <row r="273">
      <c r="A273" s="126"/>
      <c r="B273" s="126"/>
      <c r="C273" s="126"/>
      <c r="D273" s="131"/>
      <c r="E273" s="131"/>
      <c r="F273" s="126"/>
      <c r="G273" s="128"/>
      <c r="H273" s="130"/>
      <c r="I273" s="130"/>
      <c r="J273" s="130"/>
      <c r="K273" s="130"/>
      <c r="L273" s="129"/>
      <c r="M273" s="130"/>
      <c r="N273" s="130"/>
      <c r="O273" s="130"/>
      <c r="P273" s="130"/>
      <c r="Q273" s="130"/>
      <c r="R273" s="130"/>
      <c r="S273" s="130"/>
      <c r="T273" s="130"/>
      <c r="U273" s="130"/>
      <c r="V273" s="131"/>
      <c r="W273" s="131"/>
      <c r="X273" s="131"/>
      <c r="Y273" s="131"/>
      <c r="Z273" s="131"/>
      <c r="AA273" s="131"/>
      <c r="AB273" s="131"/>
      <c r="AC273" s="131"/>
      <c r="AD273" s="131"/>
      <c r="AE273" s="131"/>
      <c r="AF273" s="131"/>
      <c r="AG273" s="131"/>
      <c r="AH273" s="131"/>
      <c r="AI273" s="131"/>
      <c r="AJ273" s="131"/>
    </row>
    <row r="274">
      <c r="A274" s="126"/>
      <c r="B274" s="126"/>
      <c r="C274" s="126"/>
      <c r="D274" s="131"/>
      <c r="E274" s="131"/>
      <c r="F274" s="126"/>
      <c r="G274" s="128"/>
      <c r="H274" s="130"/>
      <c r="I274" s="130"/>
      <c r="J274" s="130"/>
      <c r="K274" s="130"/>
      <c r="L274" s="129"/>
      <c r="M274" s="130"/>
      <c r="N274" s="130"/>
      <c r="O274" s="130"/>
      <c r="P274" s="130"/>
      <c r="Q274" s="130"/>
      <c r="R274" s="130"/>
      <c r="S274" s="130"/>
      <c r="T274" s="130"/>
      <c r="U274" s="130"/>
      <c r="V274" s="131"/>
      <c r="W274" s="131"/>
      <c r="X274" s="131"/>
      <c r="Y274" s="131"/>
      <c r="Z274" s="131"/>
      <c r="AA274" s="131"/>
      <c r="AB274" s="131"/>
      <c r="AC274" s="131"/>
      <c r="AD274" s="131"/>
      <c r="AE274" s="131"/>
      <c r="AF274" s="131"/>
      <c r="AG274" s="131"/>
      <c r="AH274" s="131"/>
      <c r="AI274" s="131"/>
      <c r="AJ274" s="131"/>
    </row>
    <row r="275">
      <c r="A275" s="126"/>
      <c r="B275" s="126"/>
      <c r="C275" s="126"/>
      <c r="D275" s="126"/>
      <c r="E275" s="126"/>
      <c r="F275" s="126"/>
      <c r="G275" s="128"/>
      <c r="H275" s="130"/>
      <c r="I275" s="129"/>
      <c r="J275" s="130"/>
      <c r="K275" s="130"/>
      <c r="L275" s="130"/>
      <c r="M275" s="130"/>
      <c r="N275" s="130"/>
      <c r="O275" s="130"/>
      <c r="P275" s="130"/>
      <c r="Q275" s="129"/>
      <c r="R275" s="129"/>
      <c r="S275" s="129"/>
      <c r="T275" s="129"/>
      <c r="U275" s="129"/>
      <c r="V275" s="126"/>
      <c r="W275" s="126"/>
      <c r="X275" s="126"/>
      <c r="Y275" s="126"/>
      <c r="Z275" s="126"/>
      <c r="AA275" s="126"/>
      <c r="AB275" s="126"/>
      <c r="AC275" s="126"/>
      <c r="AD275" s="126"/>
      <c r="AE275" s="126"/>
      <c r="AF275" s="126"/>
      <c r="AG275" s="126"/>
      <c r="AH275" s="126"/>
      <c r="AI275" s="126"/>
      <c r="AJ275" s="126"/>
    </row>
    <row r="276">
      <c r="A276" s="126"/>
      <c r="B276" s="126"/>
      <c r="C276" s="126"/>
      <c r="D276" s="126"/>
      <c r="E276" s="126"/>
      <c r="F276" s="126"/>
      <c r="G276" s="128"/>
      <c r="H276" s="130"/>
      <c r="I276" s="129"/>
      <c r="J276" s="130"/>
      <c r="K276" s="130"/>
      <c r="L276" s="129"/>
      <c r="M276" s="130"/>
      <c r="N276" s="130"/>
      <c r="O276" s="130"/>
      <c r="P276" s="130"/>
      <c r="Q276" s="129"/>
      <c r="R276" s="129"/>
      <c r="S276" s="129"/>
      <c r="T276" s="129"/>
      <c r="U276" s="129"/>
      <c r="V276" s="126"/>
      <c r="W276" s="126"/>
      <c r="X276" s="126"/>
      <c r="Y276" s="126"/>
      <c r="Z276" s="126"/>
      <c r="AA276" s="126"/>
      <c r="AB276" s="126"/>
      <c r="AC276" s="126"/>
      <c r="AD276" s="126"/>
      <c r="AE276" s="126"/>
      <c r="AF276" s="126"/>
      <c r="AG276" s="126"/>
      <c r="AH276" s="126"/>
      <c r="AI276" s="126"/>
      <c r="AJ276" s="126"/>
    </row>
    <row r="277">
      <c r="A277" s="126"/>
      <c r="B277" s="126"/>
      <c r="C277" s="126"/>
      <c r="D277" s="131"/>
      <c r="E277" s="131"/>
      <c r="F277" s="126"/>
      <c r="G277" s="128"/>
      <c r="H277" s="130"/>
      <c r="I277" s="130"/>
      <c r="J277" s="130"/>
      <c r="K277" s="130"/>
      <c r="L277" s="129"/>
      <c r="M277" s="130"/>
      <c r="N277" s="130"/>
      <c r="O277" s="130"/>
      <c r="P277" s="130"/>
      <c r="Q277" s="130"/>
      <c r="R277" s="130"/>
      <c r="S277" s="130"/>
      <c r="T277" s="130"/>
      <c r="U277" s="130"/>
      <c r="V277" s="131"/>
      <c r="W277" s="131"/>
      <c r="X277" s="131"/>
      <c r="Y277" s="131"/>
      <c r="Z277" s="131"/>
      <c r="AA277" s="131"/>
      <c r="AB277" s="131"/>
      <c r="AC277" s="131"/>
      <c r="AD277" s="131"/>
      <c r="AE277" s="131"/>
      <c r="AF277" s="131"/>
      <c r="AG277" s="131"/>
      <c r="AH277" s="131"/>
      <c r="AI277" s="131"/>
      <c r="AJ277" s="131"/>
    </row>
    <row r="278">
      <c r="A278" s="126"/>
      <c r="B278" s="126"/>
      <c r="C278" s="126"/>
      <c r="D278" s="131"/>
      <c r="E278" s="131"/>
      <c r="F278" s="126"/>
      <c r="G278" s="128"/>
      <c r="H278" s="130"/>
      <c r="I278" s="130"/>
      <c r="J278" s="130"/>
      <c r="K278" s="130"/>
      <c r="L278" s="129"/>
      <c r="M278" s="130"/>
      <c r="N278" s="130"/>
      <c r="O278" s="130"/>
      <c r="P278" s="130"/>
      <c r="Q278" s="130"/>
      <c r="R278" s="130"/>
      <c r="S278" s="130"/>
      <c r="T278" s="130"/>
      <c r="U278" s="130"/>
      <c r="V278" s="131"/>
      <c r="W278" s="131"/>
      <c r="X278" s="131"/>
      <c r="Y278" s="131"/>
      <c r="Z278" s="131"/>
      <c r="AA278" s="131"/>
      <c r="AB278" s="131"/>
      <c r="AC278" s="131"/>
      <c r="AD278" s="131"/>
      <c r="AE278" s="131"/>
      <c r="AF278" s="131"/>
      <c r="AG278" s="131"/>
      <c r="AH278" s="131"/>
      <c r="AI278" s="131"/>
      <c r="AJ278" s="131"/>
    </row>
    <row r="279">
      <c r="A279" s="126"/>
      <c r="B279" s="126"/>
      <c r="C279" s="126"/>
      <c r="D279" s="131"/>
      <c r="E279" s="131"/>
      <c r="F279" s="126"/>
      <c r="G279" s="128"/>
      <c r="H279" s="130"/>
      <c r="I279" s="130"/>
      <c r="J279" s="130"/>
      <c r="K279" s="130"/>
      <c r="L279" s="129"/>
      <c r="M279" s="130"/>
      <c r="N279" s="130"/>
      <c r="O279" s="130"/>
      <c r="P279" s="130"/>
      <c r="Q279" s="130"/>
      <c r="R279" s="130"/>
      <c r="S279" s="130"/>
      <c r="T279" s="130"/>
      <c r="U279" s="130"/>
      <c r="V279" s="131"/>
      <c r="W279" s="131"/>
      <c r="X279" s="131"/>
      <c r="Y279" s="131"/>
      <c r="Z279" s="131"/>
      <c r="AA279" s="131"/>
      <c r="AB279" s="131"/>
      <c r="AC279" s="131"/>
      <c r="AD279" s="131"/>
      <c r="AE279" s="131"/>
      <c r="AF279" s="131"/>
      <c r="AG279" s="131"/>
      <c r="AH279" s="131"/>
      <c r="AI279" s="131"/>
      <c r="AJ279" s="131"/>
    </row>
    <row r="280">
      <c r="A280" s="126"/>
      <c r="B280" s="126"/>
      <c r="C280" s="126"/>
      <c r="D280" s="126"/>
      <c r="E280" s="126"/>
      <c r="F280" s="126"/>
      <c r="G280" s="128"/>
      <c r="H280" s="130"/>
      <c r="I280" s="129"/>
      <c r="J280" s="130"/>
      <c r="K280" s="130"/>
      <c r="L280" s="130"/>
      <c r="M280" s="130"/>
      <c r="N280" s="130"/>
      <c r="O280" s="130"/>
      <c r="P280" s="130"/>
      <c r="Q280" s="130"/>
      <c r="R280" s="130"/>
      <c r="S280" s="130"/>
      <c r="T280" s="130"/>
      <c r="U280" s="130"/>
      <c r="V280" s="131"/>
      <c r="W280" s="131"/>
      <c r="X280" s="131"/>
      <c r="Y280" s="131"/>
      <c r="Z280" s="131"/>
      <c r="AA280" s="131"/>
      <c r="AB280" s="131"/>
      <c r="AC280" s="131"/>
      <c r="AD280" s="131"/>
      <c r="AE280" s="131"/>
      <c r="AF280" s="131"/>
      <c r="AG280" s="131"/>
      <c r="AH280" s="131"/>
      <c r="AI280" s="131"/>
      <c r="AJ280" s="131"/>
    </row>
    <row r="281">
      <c r="A281" s="126"/>
      <c r="B281" s="126"/>
      <c r="C281" s="126"/>
      <c r="D281" s="126"/>
      <c r="E281" s="126"/>
      <c r="F281" s="126"/>
      <c r="G281" s="128"/>
      <c r="H281" s="130"/>
      <c r="I281" s="130"/>
      <c r="J281" s="130"/>
      <c r="K281" s="130"/>
      <c r="L281" s="129"/>
      <c r="M281" s="130"/>
      <c r="N281" s="130"/>
      <c r="O281" s="129"/>
      <c r="P281" s="130"/>
      <c r="Q281" s="129"/>
      <c r="R281" s="129"/>
      <c r="S281" s="129"/>
      <c r="T281" s="129"/>
      <c r="U281" s="129"/>
      <c r="V281" s="126"/>
      <c r="W281" s="126"/>
      <c r="X281" s="126"/>
      <c r="Y281" s="126"/>
      <c r="Z281" s="126"/>
      <c r="AA281" s="126"/>
      <c r="AB281" s="126"/>
      <c r="AC281" s="126"/>
      <c r="AD281" s="126"/>
      <c r="AE281" s="126"/>
      <c r="AF281" s="126"/>
      <c r="AG281" s="126"/>
      <c r="AH281" s="126"/>
      <c r="AI281" s="126"/>
      <c r="AJ281" s="126"/>
    </row>
    <row r="282">
      <c r="A282" s="126"/>
      <c r="B282" s="126"/>
      <c r="C282" s="126"/>
      <c r="D282" s="131"/>
      <c r="E282" s="131"/>
      <c r="F282" s="126"/>
      <c r="G282" s="128"/>
      <c r="H282" s="129"/>
      <c r="I282" s="130"/>
      <c r="J282" s="129"/>
      <c r="K282" s="130"/>
      <c r="L282" s="129"/>
      <c r="M282" s="130"/>
      <c r="N282" s="130"/>
      <c r="O282" s="130"/>
      <c r="P282" s="130"/>
      <c r="Q282" s="130"/>
      <c r="R282" s="130"/>
      <c r="S282" s="130"/>
      <c r="T282" s="130"/>
      <c r="U282" s="130"/>
      <c r="V282" s="131"/>
      <c r="W282" s="131"/>
      <c r="X282" s="131"/>
      <c r="Y282" s="131"/>
      <c r="Z282" s="131"/>
      <c r="AA282" s="131"/>
      <c r="AB282" s="131"/>
      <c r="AC282" s="131"/>
      <c r="AD282" s="131"/>
      <c r="AE282" s="131"/>
      <c r="AF282" s="131"/>
      <c r="AG282" s="131"/>
      <c r="AH282" s="131"/>
      <c r="AI282" s="131"/>
      <c r="AJ282" s="131"/>
    </row>
    <row r="283">
      <c r="A283" s="126"/>
      <c r="B283" s="126"/>
      <c r="C283" s="126"/>
      <c r="D283" s="126"/>
      <c r="E283" s="126"/>
      <c r="F283" s="126"/>
      <c r="G283" s="128"/>
      <c r="H283" s="130"/>
      <c r="I283" s="130"/>
      <c r="J283" s="130"/>
      <c r="K283" s="130"/>
      <c r="L283" s="129"/>
      <c r="M283" s="130"/>
      <c r="N283" s="130"/>
      <c r="O283" s="130"/>
      <c r="P283" s="130"/>
      <c r="Q283" s="130"/>
      <c r="R283" s="130"/>
      <c r="S283" s="130"/>
      <c r="T283" s="130"/>
      <c r="U283" s="130"/>
      <c r="V283" s="131"/>
      <c r="W283" s="131"/>
      <c r="X283" s="131"/>
      <c r="Y283" s="131"/>
      <c r="Z283" s="131"/>
      <c r="AA283" s="131"/>
      <c r="AB283" s="131"/>
      <c r="AC283" s="131"/>
      <c r="AD283" s="131"/>
      <c r="AE283" s="131"/>
      <c r="AF283" s="131"/>
      <c r="AG283" s="131"/>
      <c r="AH283" s="131"/>
      <c r="AI283" s="131"/>
      <c r="AJ283" s="131"/>
    </row>
  </sheetData>
  <conditionalFormatting sqref="A1:P1 Q1 R1:Z1">
    <cfRule type="expression" dxfId="0" priority="1">
      <formula>$W1="Yes"</formula>
    </cfRule>
  </conditionalFormatting>
  <conditionalFormatting sqref="A1:P1 Q1 R1:Z1">
    <cfRule type="expression" dxfId="1" priority="2">
      <formula>$X1="No"</formula>
    </cfRule>
  </conditionalFormatting>
  <conditionalFormatting sqref="A1:P1 Q1 R1:Z1">
    <cfRule type="expression" dxfId="2" priority="3">
      <formula>$X1="Yes"</formula>
    </cfRule>
  </conditionalFormatting>
  <conditionalFormatting sqref="A1:AJ1">
    <cfRule type="expression" dxfId="0" priority="4">
      <formula>$V1="Yes"</formula>
    </cfRule>
  </conditionalFormatting>
  <conditionalFormatting sqref="A1:AJ1">
    <cfRule type="expression" dxfId="1" priority="5">
      <formula>$W1="No"</formula>
    </cfRule>
  </conditionalFormatting>
  <conditionalFormatting sqref="A1:AJ1">
    <cfRule type="expression" dxfId="2" priority="6">
      <formula>$W1="Yes"</formula>
    </cfRule>
  </conditionalFormatting>
  <conditionalFormatting sqref="A1:X1">
    <cfRule type="expression" dxfId="1" priority="7">
      <formula>$V1="No"</formula>
    </cfRule>
  </conditionalFormatting>
  <conditionalFormatting sqref="A1:H1">
    <cfRule type="notContainsBlanks" dxfId="7" priority="8">
      <formula>LEN(TRIM(A1))&gt;0</formula>
    </cfRule>
  </conditionalFormatting>
  <conditionalFormatting sqref="A1:X1">
    <cfRule type="expression" dxfId="2" priority="9">
      <formula>$V1="Yes"</formula>
    </cfRule>
  </conditionalFormatting>
  <hyperlinks>
    <hyperlink r:id="rId2" ref="C2"/>
    <hyperlink r:id="rId3" ref="C3"/>
    <hyperlink r:id="rId4" ref="C4"/>
    <hyperlink r:id="rId5" ref="C5"/>
    <hyperlink r:id="rId6" ref="C6"/>
    <hyperlink r:id="rId7" ref="C7"/>
    <hyperlink r:id="rId8" ref="C8"/>
    <hyperlink r:id="rId9" ref="C9"/>
    <hyperlink r:id="rId10" ref="C10"/>
    <hyperlink r:id="rId11" ref="C11"/>
    <hyperlink r:id="rId12" ref="C12"/>
    <hyperlink r:id="rId13" ref="C13"/>
    <hyperlink r:id="rId14" ref="C14"/>
    <hyperlink r:id="rId15" ref="C15"/>
    <hyperlink r:id="rId16" ref="C16"/>
    <hyperlink r:id="rId17" ref="C17"/>
    <hyperlink r:id="rId18" ref="C18"/>
    <hyperlink r:id="rId19" ref="C19"/>
    <hyperlink r:id="rId20" ref="C20"/>
    <hyperlink r:id="rId21" ref="C21"/>
    <hyperlink r:id="rId22" ref="C22"/>
    <hyperlink r:id="rId23" ref="C23"/>
    <hyperlink r:id="rId24" ref="C24"/>
    <hyperlink r:id="rId25" ref="C25"/>
    <hyperlink r:id="rId26" ref="C26"/>
    <hyperlink r:id="rId27" ref="C27"/>
    <hyperlink r:id="rId28" ref="C28"/>
    <hyperlink r:id="rId29" ref="C29"/>
    <hyperlink r:id="rId30" ref="C30"/>
    <hyperlink r:id="rId31" ref="C31"/>
    <hyperlink r:id="rId32" ref="C32"/>
    <hyperlink r:id="rId33" ref="C33"/>
    <hyperlink r:id="rId34" ref="C34"/>
    <hyperlink r:id="rId35" ref="C35"/>
    <hyperlink r:id="rId36" ref="C36"/>
    <hyperlink r:id="rId37" ref="C37"/>
    <hyperlink r:id="rId38" ref="C38"/>
    <hyperlink r:id="rId39" ref="C39"/>
    <hyperlink r:id="rId40" ref="C40"/>
    <hyperlink r:id="rId41" ref="C41"/>
    <hyperlink r:id="rId42" ref="C42"/>
    <hyperlink r:id="rId43" ref="C43"/>
    <hyperlink r:id="rId44" ref="C44"/>
    <hyperlink r:id="rId45" ref="C45"/>
    <hyperlink r:id="rId46" ref="C46"/>
    <hyperlink r:id="rId47" ref="C47"/>
    <hyperlink r:id="rId48" ref="C48"/>
    <hyperlink r:id="rId49" ref="C49"/>
    <hyperlink r:id="rId50" ref="C50"/>
    <hyperlink r:id="rId51" ref="C51"/>
    <hyperlink r:id="rId52" ref="C52"/>
    <hyperlink r:id="rId53" ref="C53"/>
    <hyperlink r:id="rId54" ref="C54"/>
    <hyperlink r:id="rId55" ref="C55"/>
    <hyperlink r:id="rId56" ref="C56"/>
    <hyperlink r:id="rId57" ref="C57"/>
    <hyperlink r:id="rId58" ref="C58"/>
    <hyperlink r:id="rId59" ref="C59"/>
    <hyperlink r:id="rId60" ref="C60"/>
    <hyperlink r:id="rId61" ref="C61"/>
    <hyperlink r:id="rId62" ref="E61"/>
    <hyperlink r:id="rId63" ref="F61"/>
    <hyperlink r:id="rId64" ref="C62"/>
    <hyperlink r:id="rId65" ref="C63"/>
    <hyperlink r:id="rId66" ref="C64"/>
    <hyperlink r:id="rId67" ref="C65"/>
    <hyperlink r:id="rId68" ref="C66"/>
    <hyperlink r:id="rId69" ref="C67"/>
    <hyperlink r:id="rId70" ref="C68"/>
    <hyperlink r:id="rId71" ref="C69"/>
    <hyperlink r:id="rId72" ref="C70"/>
    <hyperlink r:id="rId73" ref="C71"/>
    <hyperlink r:id="rId74" ref="C72"/>
    <hyperlink r:id="rId75" ref="C73"/>
    <hyperlink r:id="rId76" ref="C74"/>
    <hyperlink r:id="rId77" ref="C75"/>
    <hyperlink r:id="rId78" ref="C76"/>
    <hyperlink r:id="rId79" ref="C77"/>
    <hyperlink r:id="rId80" ref="C78"/>
    <hyperlink r:id="rId81" ref="C79"/>
    <hyperlink r:id="rId82" ref="C80"/>
    <hyperlink r:id="rId83" ref="C81"/>
    <hyperlink r:id="rId84" ref="C82"/>
    <hyperlink r:id="rId85" ref="C83"/>
    <hyperlink r:id="rId86" ref="C84"/>
    <hyperlink r:id="rId87" ref="C85"/>
    <hyperlink r:id="rId88" ref="C86"/>
    <hyperlink r:id="rId89" ref="E86"/>
    <hyperlink r:id="rId90" ref="F86"/>
    <hyperlink r:id="rId91" ref="C87"/>
    <hyperlink r:id="rId92" ref="C88"/>
    <hyperlink r:id="rId93" ref="E88"/>
    <hyperlink r:id="rId94" ref="F88"/>
    <hyperlink r:id="rId95" ref="C89"/>
    <hyperlink r:id="rId96" ref="C90"/>
    <hyperlink r:id="rId97" ref="F90"/>
    <hyperlink r:id="rId98" ref="C91"/>
    <hyperlink r:id="rId99" ref="C92"/>
    <hyperlink r:id="rId100" ref="C93"/>
    <hyperlink r:id="rId101" ref="C94"/>
    <hyperlink r:id="rId102" ref="C95"/>
    <hyperlink r:id="rId103" ref="C96"/>
    <hyperlink r:id="rId104" ref="C97"/>
    <hyperlink r:id="rId105" ref="C98"/>
    <hyperlink r:id="rId106" ref="C99"/>
    <hyperlink r:id="rId107" ref="C100"/>
    <hyperlink r:id="rId108" ref="C101"/>
    <hyperlink r:id="rId109" ref="C102"/>
    <hyperlink r:id="rId110" ref="C103"/>
    <hyperlink r:id="rId111" ref="C104"/>
    <hyperlink r:id="rId112" ref="C105"/>
    <hyperlink r:id="rId113" ref="C106"/>
    <hyperlink r:id="rId114" ref="C107"/>
    <hyperlink r:id="rId115" ref="C108"/>
    <hyperlink r:id="rId116" ref="C109"/>
    <hyperlink r:id="rId117" ref="C110"/>
    <hyperlink r:id="rId118" ref="C111"/>
    <hyperlink r:id="rId119" ref="C112"/>
    <hyperlink r:id="rId120" ref="C113"/>
    <hyperlink r:id="rId121" ref="C114"/>
    <hyperlink r:id="rId122" ref="C115"/>
    <hyperlink r:id="rId123" ref="E115"/>
    <hyperlink r:id="rId124" ref="F115"/>
    <hyperlink r:id="rId125" ref="C116"/>
    <hyperlink r:id="rId126" ref="C117"/>
    <hyperlink r:id="rId127" ref="C118"/>
    <hyperlink r:id="rId128" ref="C119"/>
    <hyperlink r:id="rId129" ref="C120"/>
    <hyperlink r:id="rId130" ref="C121"/>
    <hyperlink r:id="rId131" ref="C122"/>
    <hyperlink r:id="rId132" ref="C123"/>
    <hyperlink r:id="rId133" ref="C124"/>
    <hyperlink r:id="rId134" ref="C125"/>
    <hyperlink r:id="rId135" ref="C126"/>
    <hyperlink r:id="rId136" ref="C127"/>
    <hyperlink r:id="rId137" ref="C128"/>
    <hyperlink r:id="rId138" ref="C129"/>
    <hyperlink r:id="rId139" ref="C130"/>
    <hyperlink r:id="rId140" ref="C131"/>
    <hyperlink r:id="rId141" ref="C132"/>
    <hyperlink r:id="rId142" ref="C133"/>
    <hyperlink r:id="rId143" ref="C134"/>
    <hyperlink r:id="rId144" ref="C135"/>
    <hyperlink r:id="rId145" ref="C136"/>
    <hyperlink r:id="rId146" ref="C137"/>
    <hyperlink r:id="rId147" ref="C138"/>
    <hyperlink r:id="rId148" ref="C139"/>
    <hyperlink r:id="rId149" ref="E139"/>
    <hyperlink r:id="rId150" ref="F139"/>
    <hyperlink r:id="rId151" ref="C140"/>
    <hyperlink r:id="rId152" ref="C141"/>
    <hyperlink r:id="rId153" ref="C142"/>
    <hyperlink r:id="rId154" ref="C143"/>
    <hyperlink r:id="rId155" ref="C144"/>
    <hyperlink r:id="rId156" ref="C145"/>
    <hyperlink r:id="rId157" ref="C146"/>
    <hyperlink r:id="rId158" ref="C147"/>
    <hyperlink r:id="rId159" ref="C148"/>
    <hyperlink r:id="rId160" ref="C149"/>
    <hyperlink r:id="rId161" ref="C150"/>
    <hyperlink r:id="rId162" ref="C151"/>
    <hyperlink r:id="rId163" ref="C152"/>
    <hyperlink r:id="rId164" ref="C153"/>
    <hyperlink r:id="rId165" ref="C154"/>
    <hyperlink r:id="rId166" ref="C155"/>
    <hyperlink r:id="rId167" ref="C156"/>
    <hyperlink r:id="rId168" ref="C157"/>
    <hyperlink r:id="rId169" ref="C158"/>
    <hyperlink r:id="rId170" ref="C159"/>
    <hyperlink r:id="rId171" ref="C160"/>
    <hyperlink r:id="rId172" ref="C161"/>
    <hyperlink r:id="rId173" ref="C162"/>
    <hyperlink r:id="rId174" ref="C163"/>
    <hyperlink r:id="rId175" ref="C164"/>
    <hyperlink r:id="rId176" ref="C165"/>
    <hyperlink r:id="rId177" ref="C166"/>
    <hyperlink r:id="rId178" ref="C167"/>
    <hyperlink r:id="rId179" ref="C168"/>
    <hyperlink r:id="rId180" ref="C169"/>
    <hyperlink r:id="rId181" ref="C170"/>
    <hyperlink r:id="rId182" ref="C171"/>
    <hyperlink r:id="rId183" ref="C172"/>
    <hyperlink r:id="rId184" ref="C173"/>
    <hyperlink r:id="rId185" ref="C174"/>
    <hyperlink r:id="rId186" ref="C175"/>
    <hyperlink r:id="rId187" ref="C176"/>
    <hyperlink r:id="rId188" ref="C177"/>
    <hyperlink r:id="rId189" ref="C178"/>
    <hyperlink r:id="rId190" ref="C179"/>
    <hyperlink r:id="rId191" ref="C180"/>
    <hyperlink r:id="rId192" ref="C181"/>
    <hyperlink r:id="rId193" ref="C182"/>
    <hyperlink r:id="rId194" ref="C183"/>
    <hyperlink r:id="rId195" ref="C184"/>
    <hyperlink r:id="rId196" ref="C185"/>
    <hyperlink r:id="rId197" ref="C186"/>
    <hyperlink r:id="rId198" ref="C187"/>
    <hyperlink r:id="rId199" ref="C188"/>
    <hyperlink r:id="rId200" ref="C189"/>
    <hyperlink r:id="rId201" ref="C190"/>
    <hyperlink r:id="rId202" ref="C191"/>
    <hyperlink r:id="rId203" ref="C192"/>
    <hyperlink r:id="rId204" ref="C193"/>
    <hyperlink r:id="rId205" ref="C194"/>
    <hyperlink r:id="rId206" ref="C195"/>
    <hyperlink r:id="rId207" ref="C196"/>
    <hyperlink r:id="rId208" ref="C197"/>
    <hyperlink r:id="rId209" ref="C198"/>
    <hyperlink r:id="rId210" ref="C199"/>
    <hyperlink r:id="rId211" ref="C200"/>
    <hyperlink r:id="rId212" ref="C201"/>
    <hyperlink r:id="rId213" ref="C202"/>
    <hyperlink r:id="rId214" ref="C203"/>
    <hyperlink r:id="rId215" ref="C204"/>
    <hyperlink r:id="rId216" ref="C205"/>
    <hyperlink r:id="rId217" ref="C206"/>
    <hyperlink r:id="rId218" ref="C207"/>
    <hyperlink r:id="rId219" ref="C208"/>
    <hyperlink r:id="rId220" ref="C209"/>
    <hyperlink r:id="rId221" ref="C210"/>
    <hyperlink r:id="rId222" ref="C211"/>
    <hyperlink r:id="rId223" ref="C212"/>
    <hyperlink r:id="rId224" ref="C213"/>
    <hyperlink r:id="rId225" ref="C214"/>
    <hyperlink r:id="rId226" ref="C215"/>
    <hyperlink r:id="rId227" ref="C216"/>
    <hyperlink r:id="rId228" ref="C217"/>
    <hyperlink r:id="rId229" ref="C218"/>
    <hyperlink r:id="rId230" ref="C219"/>
    <hyperlink r:id="rId231" ref="C220"/>
    <hyperlink r:id="rId232" ref="C221"/>
    <hyperlink r:id="rId233" ref="C222"/>
    <hyperlink r:id="rId234" ref="C223"/>
    <hyperlink r:id="rId235" ref="C224"/>
    <hyperlink r:id="rId236" ref="C225"/>
  </hyperlinks>
  <drawing r:id="rId237"/>
  <legacyDrawing r:id="rId238"/>
  <tableParts count="1">
    <tablePart r:id="rId24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5.43"/>
    <col customWidth="1" min="2" max="2" width="33.43"/>
  </cols>
  <sheetData>
    <row r="1">
      <c r="A1" s="36" t="s">
        <v>4410</v>
      </c>
      <c r="B1" s="77" t="s">
        <v>4411</v>
      </c>
    </row>
    <row r="2">
      <c r="A2" s="135" t="s">
        <v>4412</v>
      </c>
      <c r="B2" s="77"/>
      <c r="O2" s="36"/>
    </row>
    <row r="3">
      <c r="A3" s="36" t="s">
        <v>3150</v>
      </c>
      <c r="B3" s="77" t="s">
        <v>4413</v>
      </c>
      <c r="O3" s="36"/>
    </row>
    <row r="4">
      <c r="A4" s="36" t="s">
        <v>58</v>
      </c>
      <c r="B4" s="77" t="s">
        <v>4414</v>
      </c>
      <c r="O4" s="36"/>
    </row>
    <row r="5">
      <c r="A5" s="36" t="s">
        <v>38</v>
      </c>
      <c r="B5" s="77" t="s">
        <v>4415</v>
      </c>
      <c r="O5" s="36"/>
    </row>
    <row r="6">
      <c r="A6" s="135"/>
      <c r="B6" s="77"/>
      <c r="O6" s="36"/>
    </row>
    <row r="7">
      <c r="A7" s="135" t="s">
        <v>4416</v>
      </c>
      <c r="B7" s="77"/>
    </row>
    <row r="8">
      <c r="A8" s="136"/>
      <c r="B8" s="77" t="s">
        <v>4417</v>
      </c>
      <c r="O8" s="36"/>
    </row>
    <row r="9">
      <c r="A9" s="137"/>
      <c r="B9" s="138" t="s">
        <v>4418</v>
      </c>
      <c r="O9" s="36"/>
    </row>
    <row r="10">
      <c r="A10" s="139"/>
      <c r="B10" s="138" t="s">
        <v>4419</v>
      </c>
      <c r="O10" s="36"/>
    </row>
    <row r="11">
      <c r="A11" s="140"/>
      <c r="B11" s="138"/>
      <c r="O11" s="36"/>
    </row>
    <row r="12">
      <c r="A12" s="141" t="s">
        <v>24</v>
      </c>
      <c r="B12" s="138"/>
      <c r="O12" s="36"/>
    </row>
    <row r="13">
      <c r="A13" s="36" t="s">
        <v>58</v>
      </c>
      <c r="B13" s="77" t="s">
        <v>4420</v>
      </c>
      <c r="O13" s="36"/>
    </row>
    <row r="14">
      <c r="A14" s="36" t="s">
        <v>412</v>
      </c>
      <c r="B14" s="142" t="s">
        <v>4421</v>
      </c>
      <c r="O14" s="36"/>
    </row>
    <row r="15">
      <c r="A15" s="36" t="s">
        <v>32</v>
      </c>
      <c r="B15" s="142" t="s">
        <v>4422</v>
      </c>
      <c r="O15" s="36"/>
    </row>
    <row r="16">
      <c r="B16" s="142"/>
      <c r="O16" s="36"/>
    </row>
    <row r="17">
      <c r="A17" s="140"/>
      <c r="B17" s="143"/>
      <c r="O17" s="36"/>
    </row>
    <row r="18">
      <c r="A18" s="135"/>
      <c r="B18" s="144"/>
      <c r="O18" s="36"/>
    </row>
    <row r="19">
      <c r="B19" s="142"/>
      <c r="O19" s="36"/>
    </row>
    <row r="20">
      <c r="B20" s="142"/>
      <c r="O20" s="36"/>
    </row>
    <row r="21">
      <c r="B21" s="142"/>
      <c r="O21" s="36"/>
    </row>
    <row r="22">
      <c r="B22" s="142"/>
      <c r="O22" s="36"/>
    </row>
    <row r="23">
      <c r="B23" s="142"/>
      <c r="O23" s="36"/>
    </row>
    <row r="24">
      <c r="B24" s="142"/>
      <c r="O24" s="36"/>
    </row>
    <row r="25">
      <c r="B25" s="142"/>
      <c r="O25" s="36"/>
    </row>
    <row r="26">
      <c r="B26" s="142"/>
      <c r="O26" s="36"/>
    </row>
    <row r="27">
      <c r="B27" s="142"/>
      <c r="O27" s="36"/>
    </row>
    <row r="28">
      <c r="B28" s="145"/>
      <c r="O28" s="36"/>
    </row>
    <row r="29">
      <c r="B29" s="77"/>
      <c r="O29" s="36"/>
    </row>
    <row r="30">
      <c r="B30" s="77"/>
      <c r="O30" s="36"/>
    </row>
    <row r="31">
      <c r="B31" s="77"/>
      <c r="O31" s="36"/>
    </row>
    <row r="32">
      <c r="B32" s="146"/>
      <c r="O32" s="36"/>
    </row>
    <row r="33">
      <c r="B33" s="146"/>
      <c r="O33" s="36"/>
    </row>
    <row r="34">
      <c r="B34" s="146"/>
      <c r="O34" s="36"/>
    </row>
    <row r="35">
      <c r="B35" s="146"/>
      <c r="O35" s="36"/>
    </row>
    <row r="36">
      <c r="B36" s="146"/>
      <c r="O36" s="36"/>
    </row>
    <row r="37">
      <c r="B37" s="146"/>
      <c r="O37" s="36"/>
    </row>
    <row r="38">
      <c r="B38" s="146"/>
      <c r="O38" s="36"/>
    </row>
    <row r="39">
      <c r="B39" s="146"/>
      <c r="O39" s="36"/>
    </row>
    <row r="40">
      <c r="B40" s="146"/>
      <c r="O40" s="36"/>
    </row>
    <row r="41">
      <c r="B41" s="146"/>
      <c r="O41" s="36"/>
    </row>
    <row r="42">
      <c r="B42" s="146"/>
      <c r="O42" s="36"/>
    </row>
    <row r="43">
      <c r="B43" s="146"/>
      <c r="O43" s="36"/>
    </row>
    <row r="44">
      <c r="B44" s="146"/>
      <c r="O44" s="36"/>
    </row>
    <row r="45">
      <c r="B45" s="146"/>
      <c r="O45" s="36"/>
    </row>
    <row r="46">
      <c r="B46" s="146"/>
      <c r="O46" s="36"/>
    </row>
    <row r="47">
      <c r="B47" s="146"/>
      <c r="O47" s="36"/>
    </row>
    <row r="48">
      <c r="B48" s="146"/>
      <c r="O48" s="36"/>
    </row>
    <row r="49">
      <c r="B49" s="146"/>
      <c r="O49" s="36"/>
    </row>
    <row r="50">
      <c r="B50" s="146"/>
      <c r="O50" s="36"/>
    </row>
    <row r="51">
      <c r="B51" s="146"/>
      <c r="O51" s="36"/>
    </row>
    <row r="52">
      <c r="B52" s="146"/>
      <c r="O52" s="36"/>
    </row>
    <row r="53">
      <c r="B53" s="146"/>
      <c r="O53" s="36"/>
    </row>
    <row r="54">
      <c r="B54" s="146"/>
      <c r="O54" s="36"/>
    </row>
    <row r="55">
      <c r="B55" s="146"/>
      <c r="O55" s="36"/>
    </row>
    <row r="56">
      <c r="B56" s="146"/>
      <c r="O56" s="36"/>
    </row>
    <row r="57">
      <c r="B57" s="146"/>
      <c r="O57" s="36"/>
    </row>
    <row r="58">
      <c r="B58" s="146"/>
      <c r="O58" s="36"/>
    </row>
    <row r="59">
      <c r="B59" s="146"/>
      <c r="O59" s="36"/>
    </row>
    <row r="60">
      <c r="B60" s="146"/>
      <c r="O60" s="36"/>
    </row>
    <row r="61">
      <c r="B61" s="146"/>
      <c r="O61" s="36"/>
    </row>
    <row r="62">
      <c r="B62" s="146"/>
      <c r="O62" s="36"/>
    </row>
    <row r="63">
      <c r="B63" s="146"/>
      <c r="O63" s="36"/>
    </row>
    <row r="64">
      <c r="B64" s="146"/>
      <c r="O64" s="36"/>
    </row>
    <row r="65">
      <c r="B65" s="146"/>
      <c r="O65" s="36"/>
    </row>
    <row r="66">
      <c r="B66" s="146"/>
      <c r="O66" s="36"/>
    </row>
    <row r="67">
      <c r="B67" s="146"/>
      <c r="O67" s="36"/>
    </row>
    <row r="68">
      <c r="B68" s="146"/>
      <c r="O68" s="36"/>
    </row>
    <row r="69">
      <c r="B69" s="146"/>
      <c r="O69" s="36"/>
    </row>
    <row r="70">
      <c r="B70" s="146"/>
      <c r="O70" s="36"/>
    </row>
    <row r="71">
      <c r="B71" s="146"/>
      <c r="O71" s="36"/>
    </row>
    <row r="72">
      <c r="B72" s="146"/>
      <c r="O72" s="36"/>
    </row>
    <row r="73">
      <c r="B73" s="146"/>
      <c r="O73" s="36"/>
    </row>
    <row r="74">
      <c r="B74" s="146"/>
      <c r="O74" s="36"/>
    </row>
    <row r="75">
      <c r="B75" s="146"/>
      <c r="O75" s="36"/>
    </row>
    <row r="76">
      <c r="B76" s="146"/>
      <c r="O76" s="36"/>
    </row>
    <row r="77">
      <c r="B77" s="146"/>
      <c r="O77" s="36"/>
    </row>
    <row r="78">
      <c r="B78" s="146"/>
      <c r="O78" s="36"/>
    </row>
    <row r="79">
      <c r="B79" s="146"/>
      <c r="O79" s="36"/>
    </row>
    <row r="80">
      <c r="B80" s="146"/>
      <c r="O80" s="36"/>
    </row>
    <row r="81">
      <c r="B81" s="146"/>
      <c r="O81" s="36"/>
    </row>
    <row r="82">
      <c r="B82" s="146"/>
      <c r="O82" s="36"/>
    </row>
    <row r="83">
      <c r="B83" s="146"/>
      <c r="O83" s="36"/>
    </row>
    <row r="84">
      <c r="B84" s="146"/>
      <c r="O84" s="36"/>
    </row>
    <row r="85">
      <c r="B85" s="146"/>
      <c r="O85" s="36"/>
    </row>
    <row r="86">
      <c r="B86" s="146"/>
      <c r="O86" s="36"/>
    </row>
    <row r="87">
      <c r="B87" s="146"/>
      <c r="O87" s="36"/>
    </row>
    <row r="88">
      <c r="B88" s="146"/>
      <c r="O88" s="36"/>
    </row>
    <row r="89">
      <c r="B89" s="146"/>
      <c r="O89" s="36"/>
    </row>
    <row r="90">
      <c r="B90" s="146"/>
      <c r="O90" s="36"/>
    </row>
    <row r="91">
      <c r="B91" s="146"/>
      <c r="O91" s="36"/>
    </row>
    <row r="92">
      <c r="B92" s="146"/>
      <c r="O92" s="36"/>
    </row>
    <row r="93">
      <c r="B93" s="146"/>
      <c r="O93" s="36"/>
    </row>
    <row r="94">
      <c r="B94" s="146"/>
      <c r="O94" s="36"/>
    </row>
    <row r="95">
      <c r="B95" s="146"/>
      <c r="O95" s="36"/>
    </row>
    <row r="96">
      <c r="B96" s="146"/>
      <c r="O96" s="36"/>
    </row>
    <row r="97">
      <c r="B97" s="146"/>
      <c r="O97" s="36"/>
    </row>
    <row r="98">
      <c r="B98" s="146"/>
      <c r="O98" s="36"/>
    </row>
    <row r="99">
      <c r="B99" s="146"/>
      <c r="O99" s="36"/>
    </row>
    <row r="100">
      <c r="B100" s="146"/>
      <c r="O100" s="36"/>
    </row>
    <row r="101">
      <c r="B101" s="146"/>
      <c r="O101" s="36"/>
    </row>
    <row r="102">
      <c r="B102" s="146"/>
      <c r="O102" s="36"/>
    </row>
    <row r="103">
      <c r="B103" s="146"/>
      <c r="O103" s="36"/>
    </row>
    <row r="104">
      <c r="B104" s="146"/>
      <c r="O104" s="36"/>
    </row>
    <row r="105">
      <c r="B105" s="146"/>
      <c r="O105" s="36"/>
    </row>
    <row r="106">
      <c r="B106" s="146"/>
      <c r="O106" s="36"/>
    </row>
    <row r="107">
      <c r="B107" s="146"/>
      <c r="O107" s="36"/>
    </row>
    <row r="108">
      <c r="B108" s="146"/>
      <c r="O108" s="36"/>
    </row>
    <row r="109">
      <c r="B109" s="146"/>
      <c r="O109" s="36"/>
    </row>
    <row r="110">
      <c r="B110" s="146"/>
      <c r="O110" s="36"/>
    </row>
    <row r="111">
      <c r="B111" s="146"/>
      <c r="O111" s="36"/>
    </row>
    <row r="112">
      <c r="B112" s="146"/>
      <c r="O112" s="36"/>
    </row>
    <row r="113">
      <c r="B113" s="146"/>
      <c r="O113" s="36"/>
    </row>
    <row r="114">
      <c r="B114" s="146"/>
      <c r="O114" s="36"/>
    </row>
    <row r="115">
      <c r="B115" s="146"/>
      <c r="O115" s="36"/>
    </row>
    <row r="116">
      <c r="B116" s="146"/>
      <c r="O116" s="36"/>
    </row>
    <row r="117">
      <c r="B117" s="146"/>
      <c r="O117" s="36"/>
    </row>
    <row r="118">
      <c r="B118" s="146"/>
      <c r="O118" s="36"/>
    </row>
    <row r="119">
      <c r="B119" s="146"/>
      <c r="O119" s="36"/>
    </row>
    <row r="120">
      <c r="B120" s="146"/>
      <c r="O120" s="36"/>
    </row>
    <row r="121">
      <c r="B121" s="146"/>
      <c r="O121" s="36"/>
    </row>
    <row r="122">
      <c r="B122" s="146"/>
      <c r="O122" s="36"/>
    </row>
    <row r="123">
      <c r="B123" s="146"/>
      <c r="O123" s="36"/>
    </row>
    <row r="124">
      <c r="B124" s="146"/>
      <c r="O124" s="36"/>
    </row>
    <row r="125">
      <c r="B125" s="146"/>
      <c r="O125" s="36"/>
    </row>
    <row r="126">
      <c r="B126" s="146"/>
      <c r="O126" s="36"/>
    </row>
    <row r="127">
      <c r="B127" s="146"/>
    </row>
    <row r="128">
      <c r="B128" s="146"/>
    </row>
    <row r="129">
      <c r="B129" s="146"/>
    </row>
    <row r="130">
      <c r="B130" s="146"/>
    </row>
    <row r="131">
      <c r="B131" s="146"/>
    </row>
    <row r="132">
      <c r="B132" s="146"/>
    </row>
    <row r="133">
      <c r="B133" s="146"/>
    </row>
    <row r="134">
      <c r="B134" s="146"/>
    </row>
    <row r="135">
      <c r="B135" s="146"/>
    </row>
    <row r="136">
      <c r="B136" s="146"/>
    </row>
    <row r="137">
      <c r="B137" s="146"/>
    </row>
    <row r="138">
      <c r="B138" s="146"/>
    </row>
    <row r="139">
      <c r="B139" s="146"/>
    </row>
    <row r="140">
      <c r="B140" s="146"/>
    </row>
    <row r="141">
      <c r="B141" s="146"/>
    </row>
    <row r="142">
      <c r="B142" s="146"/>
    </row>
    <row r="143">
      <c r="B143" s="146"/>
    </row>
    <row r="144">
      <c r="B144" s="146"/>
    </row>
    <row r="145">
      <c r="B145" s="146"/>
    </row>
    <row r="146">
      <c r="B146" s="146"/>
    </row>
    <row r="147">
      <c r="B147" s="146"/>
    </row>
    <row r="148">
      <c r="B148" s="146"/>
    </row>
    <row r="149">
      <c r="B149" s="146"/>
    </row>
    <row r="150">
      <c r="B150" s="146"/>
    </row>
    <row r="151">
      <c r="B151" s="146"/>
    </row>
    <row r="152">
      <c r="B152" s="146"/>
    </row>
    <row r="153">
      <c r="B153" s="146"/>
    </row>
    <row r="154">
      <c r="B154" s="146"/>
    </row>
    <row r="155">
      <c r="B155" s="146"/>
    </row>
    <row r="156">
      <c r="B156" s="146"/>
    </row>
    <row r="157">
      <c r="B157" s="146"/>
    </row>
    <row r="158">
      <c r="B158" s="146"/>
    </row>
    <row r="159">
      <c r="B159" s="146"/>
    </row>
    <row r="160">
      <c r="B160" s="146"/>
    </row>
    <row r="161">
      <c r="B161" s="146"/>
    </row>
    <row r="162">
      <c r="B162" s="146"/>
    </row>
    <row r="163">
      <c r="B163" s="146"/>
    </row>
    <row r="164">
      <c r="B164" s="146"/>
    </row>
    <row r="165">
      <c r="B165" s="146"/>
    </row>
    <row r="166">
      <c r="B166" s="146"/>
    </row>
    <row r="167">
      <c r="B167" s="146"/>
    </row>
    <row r="168">
      <c r="B168" s="146"/>
    </row>
    <row r="169">
      <c r="B169" s="146"/>
    </row>
    <row r="170">
      <c r="B170" s="146"/>
    </row>
    <row r="171">
      <c r="B171" s="146"/>
    </row>
    <row r="172">
      <c r="B172" s="146"/>
    </row>
    <row r="173">
      <c r="B173" s="146"/>
    </row>
    <row r="174">
      <c r="B174" s="146"/>
    </row>
    <row r="175">
      <c r="B175" s="146"/>
    </row>
    <row r="176">
      <c r="B176" s="146"/>
    </row>
    <row r="177">
      <c r="B177" s="146"/>
    </row>
    <row r="178">
      <c r="B178" s="146"/>
    </row>
    <row r="179">
      <c r="B179" s="146"/>
    </row>
    <row r="180">
      <c r="B180" s="146"/>
    </row>
    <row r="181">
      <c r="B181" s="146"/>
    </row>
    <row r="182">
      <c r="B182" s="146"/>
    </row>
    <row r="183">
      <c r="B183" s="146"/>
    </row>
    <row r="184">
      <c r="B184" s="146"/>
    </row>
    <row r="185">
      <c r="B185" s="146"/>
    </row>
    <row r="186">
      <c r="B186" s="146"/>
    </row>
    <row r="187">
      <c r="B187" s="146"/>
    </row>
    <row r="188">
      <c r="B188" s="146"/>
    </row>
    <row r="189">
      <c r="B189" s="146"/>
    </row>
    <row r="190">
      <c r="B190" s="146"/>
    </row>
    <row r="191">
      <c r="B191" s="146"/>
    </row>
    <row r="192">
      <c r="B192" s="146"/>
    </row>
    <row r="193">
      <c r="B193" s="146"/>
    </row>
    <row r="194">
      <c r="B194" s="146"/>
    </row>
    <row r="195">
      <c r="B195" s="146"/>
    </row>
    <row r="196">
      <c r="B196" s="146"/>
    </row>
    <row r="197">
      <c r="B197" s="146"/>
    </row>
    <row r="198">
      <c r="B198" s="146"/>
    </row>
    <row r="199">
      <c r="B199" s="146"/>
    </row>
    <row r="200">
      <c r="B200" s="146"/>
    </row>
    <row r="201">
      <c r="B201" s="146"/>
    </row>
    <row r="202">
      <c r="B202" s="146"/>
    </row>
    <row r="203">
      <c r="B203" s="146"/>
    </row>
    <row r="204">
      <c r="B204" s="146"/>
    </row>
    <row r="205">
      <c r="B205" s="146"/>
    </row>
    <row r="206">
      <c r="B206" s="146"/>
    </row>
    <row r="207">
      <c r="B207" s="146"/>
    </row>
    <row r="208">
      <c r="B208" s="146"/>
    </row>
    <row r="209">
      <c r="B209" s="146"/>
    </row>
    <row r="210">
      <c r="B210" s="146"/>
    </row>
    <row r="211">
      <c r="B211" s="146"/>
    </row>
    <row r="212">
      <c r="B212" s="146"/>
    </row>
    <row r="213">
      <c r="B213" s="146"/>
    </row>
    <row r="214">
      <c r="B214" s="146"/>
    </row>
    <row r="215">
      <c r="B215" s="146"/>
    </row>
    <row r="216">
      <c r="B216" s="146"/>
    </row>
    <row r="217">
      <c r="B217" s="146"/>
    </row>
    <row r="218">
      <c r="B218" s="146"/>
    </row>
    <row r="219">
      <c r="B219" s="146"/>
    </row>
    <row r="220">
      <c r="B220" s="146"/>
    </row>
    <row r="221">
      <c r="B221" s="146"/>
    </row>
    <row r="222">
      <c r="B222" s="146"/>
    </row>
    <row r="223">
      <c r="B223" s="146"/>
    </row>
    <row r="224">
      <c r="B224" s="146"/>
    </row>
    <row r="225">
      <c r="B225" s="146"/>
    </row>
    <row r="226">
      <c r="B226" s="146"/>
    </row>
    <row r="227">
      <c r="B227" s="146"/>
    </row>
    <row r="228">
      <c r="B228" s="146"/>
    </row>
    <row r="229">
      <c r="B229" s="146"/>
    </row>
    <row r="230">
      <c r="B230" s="146"/>
    </row>
    <row r="231">
      <c r="B231" s="146"/>
    </row>
    <row r="232">
      <c r="B232" s="146"/>
    </row>
    <row r="233">
      <c r="B233" s="146"/>
    </row>
    <row r="234">
      <c r="B234" s="146"/>
    </row>
    <row r="235">
      <c r="B235" s="146"/>
    </row>
    <row r="236">
      <c r="B236" s="146"/>
    </row>
    <row r="237">
      <c r="B237" s="146"/>
    </row>
    <row r="238">
      <c r="B238" s="146"/>
    </row>
    <row r="239">
      <c r="B239" s="146"/>
    </row>
    <row r="240">
      <c r="B240" s="146"/>
    </row>
    <row r="241">
      <c r="B241" s="146"/>
    </row>
    <row r="242">
      <c r="B242" s="146"/>
    </row>
    <row r="243">
      <c r="B243" s="146"/>
    </row>
    <row r="244">
      <c r="B244" s="146"/>
    </row>
    <row r="245">
      <c r="B245" s="146"/>
    </row>
    <row r="246">
      <c r="B246" s="146"/>
    </row>
    <row r="247">
      <c r="B247" s="146"/>
    </row>
    <row r="248">
      <c r="B248" s="146"/>
    </row>
    <row r="249">
      <c r="B249" s="146"/>
    </row>
    <row r="250">
      <c r="B250" s="146"/>
    </row>
    <row r="251">
      <c r="B251" s="146"/>
    </row>
    <row r="252">
      <c r="B252" s="146"/>
    </row>
    <row r="253">
      <c r="B253" s="146"/>
    </row>
    <row r="254">
      <c r="B254" s="146"/>
    </row>
    <row r="255">
      <c r="B255" s="146"/>
    </row>
    <row r="256">
      <c r="B256" s="146"/>
    </row>
    <row r="257">
      <c r="B257" s="146"/>
    </row>
    <row r="258">
      <c r="B258" s="146"/>
    </row>
    <row r="259">
      <c r="B259" s="146"/>
    </row>
    <row r="260">
      <c r="B260" s="146"/>
    </row>
    <row r="261">
      <c r="B261" s="146"/>
    </row>
    <row r="262">
      <c r="B262" s="146"/>
    </row>
    <row r="263">
      <c r="B263" s="146"/>
    </row>
    <row r="264">
      <c r="B264" s="146"/>
    </row>
    <row r="265">
      <c r="B265" s="146"/>
    </row>
    <row r="266">
      <c r="B266" s="146"/>
    </row>
    <row r="267">
      <c r="B267" s="146"/>
    </row>
    <row r="268">
      <c r="B268" s="146"/>
    </row>
    <row r="269">
      <c r="B269" s="146"/>
    </row>
    <row r="270">
      <c r="B270" s="146"/>
    </row>
    <row r="271">
      <c r="B271" s="146"/>
    </row>
    <row r="272">
      <c r="B272" s="146"/>
    </row>
    <row r="273">
      <c r="B273" s="146"/>
    </row>
    <row r="274">
      <c r="B274" s="146"/>
    </row>
    <row r="275">
      <c r="B275" s="146"/>
    </row>
    <row r="276">
      <c r="B276" s="146"/>
    </row>
    <row r="277">
      <c r="B277" s="146"/>
    </row>
    <row r="278">
      <c r="B278" s="146"/>
    </row>
    <row r="279">
      <c r="B279" s="146"/>
    </row>
    <row r="280">
      <c r="B280" s="146"/>
    </row>
    <row r="281">
      <c r="B281" s="146"/>
    </row>
    <row r="282">
      <c r="B282" s="146"/>
    </row>
    <row r="283">
      <c r="B283" s="146"/>
    </row>
    <row r="284">
      <c r="B284" s="146"/>
    </row>
    <row r="285">
      <c r="B285" s="146"/>
    </row>
    <row r="286">
      <c r="B286" s="146"/>
    </row>
    <row r="287">
      <c r="B287" s="146"/>
    </row>
    <row r="288">
      <c r="B288" s="146"/>
    </row>
    <row r="289">
      <c r="B289" s="146"/>
    </row>
    <row r="290">
      <c r="B290" s="146"/>
    </row>
    <row r="291">
      <c r="B291" s="146"/>
    </row>
    <row r="292">
      <c r="B292" s="146"/>
    </row>
    <row r="293">
      <c r="B293" s="146"/>
    </row>
    <row r="294">
      <c r="B294" s="146"/>
    </row>
    <row r="295">
      <c r="B295" s="146"/>
    </row>
    <row r="296">
      <c r="B296" s="146"/>
    </row>
    <row r="297">
      <c r="B297" s="146"/>
    </row>
    <row r="298">
      <c r="B298" s="146"/>
    </row>
    <row r="299">
      <c r="B299" s="146"/>
    </row>
    <row r="300">
      <c r="B300" s="146"/>
    </row>
    <row r="301">
      <c r="B301" s="146"/>
    </row>
    <row r="302">
      <c r="B302" s="146"/>
    </row>
    <row r="303">
      <c r="B303" s="146"/>
    </row>
    <row r="304">
      <c r="B304" s="146"/>
    </row>
    <row r="305">
      <c r="B305" s="146"/>
    </row>
    <row r="306">
      <c r="B306" s="146"/>
    </row>
    <row r="307">
      <c r="B307" s="146"/>
    </row>
    <row r="308">
      <c r="B308" s="146"/>
    </row>
    <row r="309">
      <c r="B309" s="146"/>
    </row>
    <row r="310">
      <c r="B310" s="146"/>
    </row>
    <row r="311">
      <c r="B311" s="146"/>
    </row>
    <row r="312">
      <c r="B312" s="146"/>
    </row>
    <row r="313">
      <c r="B313" s="146"/>
    </row>
    <row r="314">
      <c r="B314" s="146"/>
    </row>
    <row r="315">
      <c r="B315" s="146"/>
    </row>
    <row r="316">
      <c r="B316" s="146"/>
    </row>
    <row r="317">
      <c r="B317" s="146"/>
    </row>
    <row r="318">
      <c r="B318" s="146"/>
    </row>
    <row r="319">
      <c r="B319" s="146"/>
    </row>
    <row r="320">
      <c r="B320" s="146"/>
    </row>
    <row r="321">
      <c r="B321" s="146"/>
    </row>
    <row r="322">
      <c r="B322" s="146"/>
    </row>
    <row r="323">
      <c r="B323" s="146"/>
    </row>
    <row r="324">
      <c r="B324" s="146"/>
    </row>
    <row r="325">
      <c r="B325" s="146"/>
    </row>
    <row r="326">
      <c r="B326" s="146"/>
    </row>
    <row r="327">
      <c r="B327" s="146"/>
    </row>
    <row r="328">
      <c r="B328" s="146"/>
    </row>
    <row r="329">
      <c r="B329" s="146"/>
    </row>
    <row r="330">
      <c r="B330" s="146"/>
    </row>
    <row r="331">
      <c r="B331" s="146"/>
    </row>
    <row r="332">
      <c r="B332" s="146"/>
    </row>
    <row r="333">
      <c r="B333" s="146"/>
    </row>
    <row r="334">
      <c r="B334" s="146"/>
    </row>
    <row r="335">
      <c r="B335" s="146"/>
    </row>
    <row r="336">
      <c r="B336" s="146"/>
    </row>
    <row r="337">
      <c r="B337" s="146"/>
    </row>
    <row r="338">
      <c r="B338" s="146"/>
    </row>
    <row r="339">
      <c r="B339" s="146"/>
    </row>
    <row r="340">
      <c r="B340" s="146"/>
    </row>
    <row r="341">
      <c r="B341" s="146"/>
    </row>
    <row r="342">
      <c r="B342" s="146"/>
    </row>
    <row r="343">
      <c r="B343" s="146"/>
    </row>
    <row r="344">
      <c r="B344" s="146"/>
    </row>
    <row r="345">
      <c r="B345" s="146"/>
    </row>
    <row r="346">
      <c r="B346" s="146"/>
    </row>
    <row r="347">
      <c r="B347" s="146"/>
    </row>
    <row r="348">
      <c r="B348" s="146"/>
    </row>
    <row r="349">
      <c r="B349" s="146"/>
    </row>
    <row r="350">
      <c r="B350" s="146"/>
    </row>
    <row r="351">
      <c r="B351" s="146"/>
    </row>
    <row r="352">
      <c r="B352" s="146"/>
    </row>
    <row r="353">
      <c r="B353" s="146"/>
    </row>
    <row r="354">
      <c r="B354" s="146"/>
    </row>
    <row r="355">
      <c r="B355" s="146"/>
    </row>
    <row r="356">
      <c r="B356" s="146"/>
    </row>
    <row r="357">
      <c r="B357" s="146"/>
    </row>
    <row r="358">
      <c r="B358" s="146"/>
    </row>
    <row r="359">
      <c r="B359" s="146"/>
    </row>
    <row r="360">
      <c r="B360" s="146"/>
    </row>
    <row r="361">
      <c r="B361" s="146"/>
    </row>
    <row r="362">
      <c r="B362" s="146"/>
    </row>
    <row r="363">
      <c r="B363" s="146"/>
    </row>
    <row r="364">
      <c r="B364" s="146"/>
    </row>
    <row r="365">
      <c r="B365" s="146"/>
    </row>
    <row r="366">
      <c r="B366" s="146"/>
    </row>
    <row r="367">
      <c r="B367" s="146"/>
    </row>
    <row r="368">
      <c r="B368" s="146"/>
    </row>
    <row r="369">
      <c r="B369" s="146"/>
    </row>
    <row r="370">
      <c r="B370" s="146"/>
    </row>
    <row r="371">
      <c r="B371" s="146"/>
    </row>
    <row r="372">
      <c r="B372" s="146"/>
    </row>
    <row r="373">
      <c r="B373" s="146"/>
    </row>
    <row r="374">
      <c r="B374" s="146"/>
    </row>
    <row r="375">
      <c r="B375" s="146"/>
    </row>
    <row r="376">
      <c r="B376" s="146"/>
    </row>
    <row r="377">
      <c r="B377" s="146"/>
    </row>
    <row r="378">
      <c r="B378" s="146"/>
    </row>
    <row r="379">
      <c r="B379" s="146"/>
    </row>
    <row r="380">
      <c r="B380" s="146"/>
    </row>
    <row r="381">
      <c r="B381" s="146"/>
    </row>
    <row r="382">
      <c r="B382" s="146"/>
    </row>
    <row r="383">
      <c r="B383" s="146"/>
    </row>
    <row r="384">
      <c r="B384" s="146"/>
    </row>
    <row r="385">
      <c r="B385" s="146"/>
    </row>
    <row r="386">
      <c r="B386" s="146"/>
    </row>
    <row r="387">
      <c r="B387" s="146"/>
    </row>
    <row r="388">
      <c r="B388" s="146"/>
    </row>
    <row r="389">
      <c r="B389" s="146"/>
    </row>
    <row r="390">
      <c r="B390" s="146"/>
    </row>
    <row r="391">
      <c r="B391" s="146"/>
    </row>
    <row r="392">
      <c r="B392" s="146"/>
    </row>
    <row r="393">
      <c r="B393" s="146"/>
    </row>
    <row r="394">
      <c r="B394" s="146"/>
    </row>
    <row r="395">
      <c r="B395" s="146"/>
    </row>
    <row r="396">
      <c r="B396" s="146"/>
    </row>
    <row r="397">
      <c r="B397" s="146"/>
    </row>
    <row r="398">
      <c r="B398" s="146"/>
    </row>
    <row r="399">
      <c r="B399" s="146"/>
    </row>
    <row r="400">
      <c r="B400" s="146"/>
    </row>
    <row r="401">
      <c r="B401" s="146"/>
    </row>
    <row r="402">
      <c r="B402" s="146"/>
    </row>
    <row r="403">
      <c r="B403" s="146"/>
    </row>
    <row r="404">
      <c r="B404" s="146"/>
    </row>
    <row r="405">
      <c r="B405" s="146"/>
    </row>
    <row r="406">
      <c r="B406" s="146"/>
    </row>
    <row r="407">
      <c r="B407" s="146"/>
    </row>
    <row r="408">
      <c r="B408" s="146"/>
    </row>
    <row r="409">
      <c r="B409" s="146"/>
    </row>
    <row r="410">
      <c r="B410" s="146"/>
    </row>
    <row r="411">
      <c r="B411" s="146"/>
    </row>
    <row r="412">
      <c r="B412" s="146"/>
    </row>
    <row r="413">
      <c r="B413" s="146"/>
    </row>
    <row r="414">
      <c r="B414" s="146"/>
    </row>
    <row r="415">
      <c r="B415" s="146"/>
    </row>
    <row r="416">
      <c r="B416" s="146"/>
    </row>
    <row r="417">
      <c r="B417" s="146"/>
    </row>
    <row r="418">
      <c r="B418" s="146"/>
    </row>
    <row r="419">
      <c r="B419" s="146"/>
    </row>
    <row r="420">
      <c r="B420" s="146"/>
    </row>
    <row r="421">
      <c r="B421" s="146"/>
    </row>
    <row r="422">
      <c r="B422" s="146"/>
    </row>
    <row r="423">
      <c r="B423" s="146"/>
    </row>
    <row r="424">
      <c r="B424" s="146"/>
    </row>
    <row r="425">
      <c r="B425" s="146"/>
    </row>
    <row r="426">
      <c r="B426" s="146"/>
    </row>
    <row r="427">
      <c r="B427" s="146"/>
    </row>
    <row r="428">
      <c r="B428" s="146"/>
    </row>
    <row r="429">
      <c r="B429" s="146"/>
    </row>
    <row r="430">
      <c r="B430" s="146"/>
    </row>
    <row r="431">
      <c r="B431" s="146"/>
    </row>
    <row r="432">
      <c r="B432" s="146"/>
    </row>
    <row r="433">
      <c r="B433" s="146"/>
    </row>
    <row r="434">
      <c r="B434" s="146"/>
    </row>
    <row r="435">
      <c r="B435" s="146"/>
    </row>
    <row r="436">
      <c r="B436" s="146"/>
    </row>
    <row r="437">
      <c r="B437" s="146"/>
    </row>
    <row r="438">
      <c r="B438" s="146"/>
    </row>
    <row r="439">
      <c r="B439" s="146"/>
    </row>
    <row r="440">
      <c r="B440" s="146"/>
    </row>
    <row r="441">
      <c r="B441" s="146"/>
    </row>
    <row r="442">
      <c r="B442" s="146"/>
    </row>
    <row r="443">
      <c r="B443" s="146"/>
    </row>
    <row r="444">
      <c r="B444" s="146"/>
    </row>
    <row r="445">
      <c r="B445" s="146"/>
    </row>
    <row r="446">
      <c r="B446" s="146"/>
    </row>
    <row r="447">
      <c r="B447" s="146"/>
    </row>
    <row r="448">
      <c r="B448" s="146"/>
    </row>
    <row r="449">
      <c r="B449" s="146"/>
    </row>
    <row r="450">
      <c r="B450" s="146"/>
    </row>
    <row r="451">
      <c r="B451" s="146"/>
    </row>
    <row r="452">
      <c r="B452" s="146"/>
    </row>
    <row r="453">
      <c r="B453" s="146"/>
    </row>
    <row r="454">
      <c r="B454" s="146"/>
    </row>
    <row r="455">
      <c r="B455" s="146"/>
    </row>
    <row r="456">
      <c r="B456" s="146"/>
    </row>
    <row r="457">
      <c r="B457" s="146"/>
    </row>
    <row r="458">
      <c r="B458" s="146"/>
    </row>
    <row r="459">
      <c r="B459" s="146"/>
    </row>
    <row r="460">
      <c r="B460" s="146"/>
    </row>
    <row r="461">
      <c r="B461" s="146"/>
    </row>
    <row r="462">
      <c r="B462" s="146"/>
    </row>
    <row r="463">
      <c r="B463" s="146"/>
    </row>
    <row r="464">
      <c r="B464" s="146"/>
    </row>
    <row r="465">
      <c r="B465" s="146"/>
    </row>
    <row r="466">
      <c r="B466" s="146"/>
    </row>
    <row r="467">
      <c r="B467" s="146"/>
    </row>
    <row r="468">
      <c r="B468" s="146"/>
    </row>
    <row r="469">
      <c r="B469" s="146"/>
    </row>
    <row r="470">
      <c r="B470" s="146"/>
    </row>
    <row r="471">
      <c r="B471" s="146"/>
    </row>
    <row r="472">
      <c r="B472" s="146"/>
    </row>
    <row r="473">
      <c r="B473" s="146"/>
    </row>
    <row r="474">
      <c r="B474" s="146"/>
    </row>
    <row r="475">
      <c r="B475" s="146"/>
    </row>
    <row r="476">
      <c r="B476" s="146"/>
    </row>
    <row r="477">
      <c r="B477" s="146"/>
    </row>
    <row r="478">
      <c r="B478" s="146"/>
    </row>
    <row r="479">
      <c r="B479" s="146"/>
    </row>
    <row r="480">
      <c r="B480" s="146"/>
    </row>
    <row r="481">
      <c r="B481" s="146"/>
    </row>
    <row r="482">
      <c r="B482" s="146"/>
    </row>
    <row r="483">
      <c r="B483" s="146"/>
    </row>
    <row r="484">
      <c r="B484" s="146"/>
    </row>
    <row r="485">
      <c r="B485" s="146"/>
    </row>
    <row r="486">
      <c r="B486" s="146"/>
    </row>
    <row r="487">
      <c r="B487" s="146"/>
    </row>
    <row r="488">
      <c r="B488" s="146"/>
    </row>
    <row r="489">
      <c r="B489" s="146"/>
    </row>
    <row r="490">
      <c r="B490" s="146"/>
    </row>
    <row r="491">
      <c r="B491" s="146"/>
    </row>
    <row r="492">
      <c r="B492" s="146"/>
    </row>
    <row r="493">
      <c r="B493" s="146"/>
    </row>
    <row r="494">
      <c r="B494" s="146"/>
    </row>
    <row r="495">
      <c r="B495" s="146"/>
    </row>
    <row r="496">
      <c r="B496" s="146"/>
    </row>
    <row r="497">
      <c r="B497" s="146"/>
    </row>
    <row r="498">
      <c r="B498" s="146"/>
    </row>
    <row r="499">
      <c r="B499" s="146"/>
    </row>
    <row r="500">
      <c r="B500" s="146"/>
    </row>
    <row r="501">
      <c r="B501" s="146"/>
    </row>
    <row r="502">
      <c r="B502" s="146"/>
    </row>
    <row r="503">
      <c r="B503" s="146"/>
    </row>
    <row r="504">
      <c r="B504" s="146"/>
    </row>
    <row r="505">
      <c r="B505" s="146"/>
    </row>
    <row r="506">
      <c r="B506" s="146"/>
    </row>
    <row r="507">
      <c r="B507" s="146"/>
    </row>
    <row r="508">
      <c r="B508" s="146"/>
    </row>
    <row r="509">
      <c r="B509" s="146"/>
    </row>
    <row r="510">
      <c r="B510" s="146"/>
    </row>
    <row r="511">
      <c r="B511" s="146"/>
    </row>
    <row r="512">
      <c r="B512" s="146"/>
    </row>
    <row r="513">
      <c r="B513" s="146"/>
    </row>
    <row r="514">
      <c r="B514" s="146"/>
    </row>
    <row r="515">
      <c r="B515" s="146"/>
    </row>
    <row r="516">
      <c r="B516" s="146"/>
    </row>
    <row r="517">
      <c r="B517" s="146"/>
    </row>
    <row r="518">
      <c r="B518" s="146"/>
    </row>
    <row r="519">
      <c r="B519" s="146"/>
    </row>
    <row r="520">
      <c r="B520" s="146"/>
    </row>
    <row r="521">
      <c r="B521" s="146"/>
    </row>
    <row r="522">
      <c r="B522" s="146"/>
    </row>
    <row r="523">
      <c r="B523" s="146"/>
    </row>
    <row r="524">
      <c r="B524" s="146"/>
    </row>
    <row r="525">
      <c r="B525" s="146"/>
    </row>
    <row r="526">
      <c r="B526" s="146"/>
    </row>
    <row r="527">
      <c r="B527" s="146"/>
    </row>
    <row r="528">
      <c r="B528" s="146"/>
    </row>
    <row r="529">
      <c r="B529" s="146"/>
    </row>
    <row r="530">
      <c r="B530" s="146"/>
    </row>
    <row r="531">
      <c r="B531" s="146"/>
    </row>
    <row r="532">
      <c r="B532" s="146"/>
    </row>
    <row r="533">
      <c r="B533" s="146"/>
    </row>
    <row r="534">
      <c r="B534" s="146"/>
    </row>
    <row r="535">
      <c r="B535" s="146"/>
    </row>
    <row r="536">
      <c r="B536" s="146"/>
    </row>
    <row r="537">
      <c r="B537" s="146"/>
    </row>
    <row r="538">
      <c r="B538" s="146"/>
    </row>
    <row r="539">
      <c r="B539" s="146"/>
    </row>
    <row r="540">
      <c r="B540" s="146"/>
    </row>
    <row r="541">
      <c r="B541" s="146"/>
    </row>
    <row r="542">
      <c r="B542" s="146"/>
    </row>
    <row r="543">
      <c r="B543" s="146"/>
    </row>
    <row r="544">
      <c r="B544" s="146"/>
    </row>
    <row r="545">
      <c r="B545" s="146"/>
    </row>
    <row r="546">
      <c r="B546" s="146"/>
    </row>
    <row r="547">
      <c r="B547" s="146"/>
    </row>
    <row r="548">
      <c r="B548" s="146"/>
    </row>
    <row r="549">
      <c r="B549" s="146"/>
    </row>
    <row r="550">
      <c r="B550" s="146"/>
    </row>
    <row r="551">
      <c r="B551" s="146"/>
    </row>
    <row r="552">
      <c r="B552" s="146"/>
    </row>
    <row r="553">
      <c r="B553" s="146"/>
    </row>
    <row r="554">
      <c r="B554" s="146"/>
    </row>
    <row r="555">
      <c r="B555" s="146"/>
    </row>
    <row r="556">
      <c r="B556" s="146"/>
    </row>
    <row r="557">
      <c r="B557" s="146"/>
    </row>
    <row r="558">
      <c r="B558" s="146"/>
    </row>
    <row r="559">
      <c r="B559" s="146"/>
    </row>
    <row r="560">
      <c r="B560" s="146"/>
    </row>
    <row r="561">
      <c r="B561" s="146"/>
    </row>
    <row r="562">
      <c r="B562" s="146"/>
    </row>
    <row r="563">
      <c r="B563" s="146"/>
    </row>
    <row r="564">
      <c r="B564" s="146"/>
    </row>
    <row r="565">
      <c r="B565" s="146"/>
    </row>
    <row r="566">
      <c r="B566" s="146"/>
    </row>
    <row r="567">
      <c r="B567" s="146"/>
    </row>
    <row r="568">
      <c r="B568" s="146"/>
    </row>
    <row r="569">
      <c r="B569" s="146"/>
    </row>
    <row r="570">
      <c r="B570" s="146"/>
    </row>
    <row r="571">
      <c r="B571" s="146"/>
    </row>
    <row r="572">
      <c r="B572" s="146"/>
    </row>
    <row r="573">
      <c r="B573" s="146"/>
    </row>
    <row r="574">
      <c r="B574" s="146"/>
    </row>
    <row r="575">
      <c r="B575" s="146"/>
    </row>
    <row r="576">
      <c r="B576" s="146"/>
    </row>
    <row r="577">
      <c r="B577" s="146"/>
    </row>
    <row r="578">
      <c r="B578" s="146"/>
    </row>
    <row r="579">
      <c r="B579" s="146"/>
    </row>
    <row r="580">
      <c r="B580" s="146"/>
    </row>
    <row r="581">
      <c r="B581" s="146"/>
    </row>
    <row r="582">
      <c r="B582" s="146"/>
    </row>
    <row r="583">
      <c r="B583" s="146"/>
    </row>
    <row r="584">
      <c r="B584" s="146"/>
    </row>
    <row r="585">
      <c r="B585" s="146"/>
    </row>
    <row r="586">
      <c r="B586" s="146"/>
    </row>
    <row r="587">
      <c r="B587" s="146"/>
    </row>
    <row r="588">
      <c r="B588" s="146"/>
    </row>
    <row r="589">
      <c r="B589" s="146"/>
    </row>
    <row r="590">
      <c r="B590" s="146"/>
    </row>
    <row r="591">
      <c r="B591" s="146"/>
    </row>
    <row r="592">
      <c r="B592" s="146"/>
    </row>
    <row r="593">
      <c r="B593" s="146"/>
    </row>
    <row r="594">
      <c r="B594" s="146"/>
    </row>
    <row r="595">
      <c r="B595" s="146"/>
    </row>
    <row r="596">
      <c r="B596" s="146"/>
    </row>
    <row r="597">
      <c r="B597" s="146"/>
    </row>
    <row r="598">
      <c r="B598" s="146"/>
    </row>
    <row r="599">
      <c r="B599" s="146"/>
    </row>
    <row r="600">
      <c r="B600" s="146"/>
    </row>
    <row r="601">
      <c r="B601" s="146"/>
    </row>
    <row r="602">
      <c r="B602" s="146"/>
    </row>
    <row r="603">
      <c r="B603" s="146"/>
    </row>
    <row r="604">
      <c r="B604" s="146"/>
    </row>
    <row r="605">
      <c r="B605" s="146"/>
    </row>
    <row r="606">
      <c r="B606" s="146"/>
    </row>
    <row r="607">
      <c r="B607" s="146"/>
    </row>
    <row r="608">
      <c r="B608" s="146"/>
    </row>
    <row r="609">
      <c r="B609" s="146"/>
    </row>
    <row r="610">
      <c r="B610" s="146"/>
    </row>
    <row r="611">
      <c r="B611" s="146"/>
    </row>
    <row r="612">
      <c r="B612" s="146"/>
    </row>
    <row r="613">
      <c r="B613" s="146"/>
    </row>
    <row r="614">
      <c r="B614" s="146"/>
    </row>
    <row r="615">
      <c r="B615" s="146"/>
    </row>
    <row r="616">
      <c r="B616" s="146"/>
    </row>
    <row r="617">
      <c r="B617" s="146"/>
    </row>
    <row r="618">
      <c r="B618" s="146"/>
    </row>
    <row r="619">
      <c r="B619" s="146"/>
    </row>
    <row r="620">
      <c r="B620" s="146"/>
    </row>
    <row r="621">
      <c r="B621" s="146"/>
    </row>
    <row r="622">
      <c r="B622" s="146"/>
    </row>
    <row r="623">
      <c r="B623" s="146"/>
    </row>
    <row r="624">
      <c r="B624" s="146"/>
    </row>
    <row r="625">
      <c r="B625" s="146"/>
    </row>
    <row r="626">
      <c r="B626" s="146"/>
    </row>
    <row r="627">
      <c r="B627" s="146"/>
    </row>
    <row r="628">
      <c r="B628" s="146"/>
    </row>
    <row r="629">
      <c r="B629" s="146"/>
    </row>
    <row r="630">
      <c r="B630" s="146"/>
    </row>
    <row r="631">
      <c r="B631" s="146"/>
    </row>
    <row r="632">
      <c r="B632" s="146"/>
    </row>
    <row r="633">
      <c r="B633" s="146"/>
    </row>
    <row r="634">
      <c r="B634" s="146"/>
    </row>
    <row r="635">
      <c r="B635" s="146"/>
    </row>
    <row r="636">
      <c r="B636" s="146"/>
    </row>
    <row r="637">
      <c r="B637" s="146"/>
    </row>
    <row r="638">
      <c r="B638" s="146"/>
    </row>
    <row r="639">
      <c r="B639" s="146"/>
    </row>
    <row r="640">
      <c r="B640" s="146"/>
    </row>
    <row r="641">
      <c r="B641" s="146"/>
    </row>
    <row r="642">
      <c r="B642" s="146"/>
    </row>
    <row r="643">
      <c r="B643" s="146"/>
    </row>
    <row r="644">
      <c r="B644" s="146"/>
    </row>
    <row r="645">
      <c r="B645" s="146"/>
    </row>
    <row r="646">
      <c r="B646" s="146"/>
    </row>
    <row r="647">
      <c r="B647" s="146"/>
    </row>
    <row r="648">
      <c r="B648" s="146"/>
    </row>
    <row r="649">
      <c r="B649" s="146"/>
    </row>
    <row r="650">
      <c r="B650" s="146"/>
    </row>
    <row r="651">
      <c r="B651" s="146"/>
    </row>
    <row r="652">
      <c r="B652" s="146"/>
    </row>
    <row r="653">
      <c r="B653" s="146"/>
    </row>
    <row r="654">
      <c r="B654" s="146"/>
    </row>
    <row r="655">
      <c r="B655" s="146"/>
    </row>
    <row r="656">
      <c r="B656" s="146"/>
    </row>
    <row r="657">
      <c r="B657" s="146"/>
    </row>
    <row r="658">
      <c r="B658" s="146"/>
    </row>
    <row r="659">
      <c r="B659" s="146"/>
    </row>
    <row r="660">
      <c r="B660" s="146"/>
    </row>
    <row r="661">
      <c r="B661" s="146"/>
    </row>
    <row r="662">
      <c r="B662" s="146"/>
    </row>
    <row r="663">
      <c r="B663" s="146"/>
    </row>
    <row r="664">
      <c r="B664" s="146"/>
    </row>
    <row r="665">
      <c r="B665" s="146"/>
    </row>
    <row r="666">
      <c r="B666" s="146"/>
    </row>
    <row r="667">
      <c r="B667" s="146"/>
    </row>
    <row r="668">
      <c r="B668" s="146"/>
    </row>
    <row r="669">
      <c r="B669" s="146"/>
    </row>
    <row r="670">
      <c r="B670" s="146"/>
    </row>
    <row r="671">
      <c r="B671" s="146"/>
    </row>
    <row r="672">
      <c r="B672" s="146"/>
    </row>
    <row r="673">
      <c r="B673" s="146"/>
    </row>
    <row r="674">
      <c r="B674" s="146"/>
    </row>
    <row r="675">
      <c r="B675" s="146"/>
    </row>
    <row r="676">
      <c r="B676" s="146"/>
    </row>
    <row r="677">
      <c r="B677" s="146"/>
    </row>
    <row r="678">
      <c r="B678" s="146"/>
    </row>
    <row r="679">
      <c r="B679" s="146"/>
    </row>
    <row r="680">
      <c r="B680" s="146"/>
    </row>
    <row r="681">
      <c r="B681" s="146"/>
    </row>
    <row r="682">
      <c r="B682" s="146"/>
    </row>
    <row r="683">
      <c r="B683" s="146"/>
    </row>
    <row r="684">
      <c r="B684" s="146"/>
    </row>
    <row r="685">
      <c r="B685" s="146"/>
    </row>
    <row r="686">
      <c r="B686" s="146"/>
    </row>
    <row r="687">
      <c r="B687" s="146"/>
    </row>
    <row r="688">
      <c r="B688" s="146"/>
    </row>
    <row r="689">
      <c r="B689" s="146"/>
    </row>
    <row r="690">
      <c r="B690" s="146"/>
    </row>
    <row r="691">
      <c r="B691" s="146"/>
    </row>
    <row r="692">
      <c r="B692" s="146"/>
    </row>
    <row r="693">
      <c r="B693" s="146"/>
    </row>
    <row r="694">
      <c r="B694" s="146"/>
    </row>
    <row r="695">
      <c r="B695" s="146"/>
    </row>
    <row r="696">
      <c r="B696" s="146"/>
    </row>
    <row r="697">
      <c r="B697" s="146"/>
    </row>
    <row r="698">
      <c r="B698" s="146"/>
    </row>
    <row r="699">
      <c r="B699" s="146"/>
    </row>
    <row r="700">
      <c r="B700" s="146"/>
    </row>
    <row r="701">
      <c r="B701" s="146"/>
    </row>
    <row r="702">
      <c r="B702" s="146"/>
    </row>
    <row r="703">
      <c r="B703" s="146"/>
    </row>
    <row r="704">
      <c r="B704" s="146"/>
    </row>
    <row r="705">
      <c r="B705" s="146"/>
    </row>
    <row r="706">
      <c r="B706" s="146"/>
    </row>
    <row r="707">
      <c r="B707" s="146"/>
    </row>
    <row r="708">
      <c r="B708" s="146"/>
    </row>
    <row r="709">
      <c r="B709" s="146"/>
    </row>
    <row r="710">
      <c r="B710" s="146"/>
    </row>
    <row r="711">
      <c r="B711" s="146"/>
    </row>
    <row r="712">
      <c r="B712" s="146"/>
    </row>
    <row r="713">
      <c r="B713" s="146"/>
    </row>
    <row r="714">
      <c r="B714" s="146"/>
    </row>
    <row r="715">
      <c r="B715" s="146"/>
    </row>
    <row r="716">
      <c r="B716" s="146"/>
    </row>
    <row r="717">
      <c r="B717" s="146"/>
    </row>
    <row r="718">
      <c r="B718" s="146"/>
    </row>
    <row r="719">
      <c r="B719" s="146"/>
    </row>
    <row r="720">
      <c r="B720" s="146"/>
    </row>
    <row r="721">
      <c r="B721" s="146"/>
    </row>
    <row r="722">
      <c r="B722" s="146"/>
    </row>
    <row r="723">
      <c r="B723" s="146"/>
    </row>
    <row r="724">
      <c r="B724" s="146"/>
    </row>
    <row r="725">
      <c r="B725" s="146"/>
    </row>
    <row r="726">
      <c r="B726" s="146"/>
    </row>
    <row r="727">
      <c r="B727" s="146"/>
    </row>
    <row r="728">
      <c r="B728" s="146"/>
    </row>
    <row r="729">
      <c r="B729" s="146"/>
    </row>
    <row r="730">
      <c r="B730" s="146"/>
    </row>
    <row r="731">
      <c r="B731" s="146"/>
    </row>
    <row r="732">
      <c r="B732" s="146"/>
    </row>
    <row r="733">
      <c r="B733" s="146"/>
    </row>
    <row r="734">
      <c r="B734" s="146"/>
    </row>
    <row r="735">
      <c r="B735" s="146"/>
    </row>
    <row r="736">
      <c r="B736" s="146"/>
    </row>
    <row r="737">
      <c r="B737" s="146"/>
    </row>
    <row r="738">
      <c r="B738" s="146"/>
    </row>
    <row r="739">
      <c r="B739" s="146"/>
    </row>
    <row r="740">
      <c r="B740" s="146"/>
    </row>
    <row r="741">
      <c r="B741" s="146"/>
    </row>
    <row r="742">
      <c r="B742" s="146"/>
    </row>
    <row r="743">
      <c r="B743" s="146"/>
    </row>
    <row r="744">
      <c r="B744" s="146"/>
    </row>
    <row r="745">
      <c r="B745" s="146"/>
    </row>
    <row r="746">
      <c r="B746" s="146"/>
    </row>
    <row r="747">
      <c r="B747" s="146"/>
    </row>
    <row r="748">
      <c r="B748" s="146"/>
    </row>
    <row r="749">
      <c r="B749" s="146"/>
    </row>
    <row r="750">
      <c r="B750" s="146"/>
    </row>
    <row r="751">
      <c r="B751" s="146"/>
    </row>
    <row r="752">
      <c r="B752" s="146"/>
    </row>
    <row r="753">
      <c r="B753" s="146"/>
    </row>
    <row r="754">
      <c r="B754" s="146"/>
    </row>
    <row r="755">
      <c r="B755" s="146"/>
    </row>
    <row r="756">
      <c r="B756" s="146"/>
    </row>
    <row r="757">
      <c r="B757" s="146"/>
    </row>
    <row r="758">
      <c r="B758" s="146"/>
    </row>
    <row r="759">
      <c r="B759" s="146"/>
    </row>
    <row r="760">
      <c r="B760" s="146"/>
    </row>
    <row r="761">
      <c r="B761" s="146"/>
    </row>
    <row r="762">
      <c r="B762" s="146"/>
    </row>
    <row r="763">
      <c r="B763" s="146"/>
    </row>
    <row r="764">
      <c r="B764" s="146"/>
    </row>
    <row r="765">
      <c r="B765" s="146"/>
    </row>
    <row r="766">
      <c r="B766" s="146"/>
    </row>
    <row r="767">
      <c r="B767" s="146"/>
    </row>
    <row r="768">
      <c r="B768" s="146"/>
    </row>
    <row r="769">
      <c r="B769" s="146"/>
    </row>
    <row r="770">
      <c r="B770" s="146"/>
    </row>
    <row r="771">
      <c r="B771" s="146"/>
    </row>
    <row r="772">
      <c r="B772" s="146"/>
    </row>
    <row r="773">
      <c r="B773" s="146"/>
    </row>
    <row r="774">
      <c r="B774" s="146"/>
    </row>
    <row r="775">
      <c r="B775" s="146"/>
    </row>
    <row r="776">
      <c r="B776" s="146"/>
    </row>
    <row r="777">
      <c r="B777" s="146"/>
    </row>
    <row r="778">
      <c r="B778" s="146"/>
    </row>
    <row r="779">
      <c r="B779" s="146"/>
    </row>
    <row r="780">
      <c r="B780" s="146"/>
    </row>
    <row r="781">
      <c r="B781" s="146"/>
    </row>
    <row r="782">
      <c r="B782" s="146"/>
    </row>
    <row r="783">
      <c r="B783" s="146"/>
    </row>
    <row r="784">
      <c r="B784" s="146"/>
    </row>
    <row r="785">
      <c r="B785" s="146"/>
    </row>
    <row r="786">
      <c r="B786" s="146"/>
    </row>
    <row r="787">
      <c r="B787" s="146"/>
    </row>
    <row r="788">
      <c r="B788" s="146"/>
    </row>
    <row r="789">
      <c r="B789" s="146"/>
    </row>
    <row r="790">
      <c r="B790" s="146"/>
    </row>
    <row r="791">
      <c r="B791" s="146"/>
    </row>
    <row r="792">
      <c r="B792" s="146"/>
    </row>
    <row r="793">
      <c r="B793" s="146"/>
    </row>
    <row r="794">
      <c r="B794" s="146"/>
    </row>
    <row r="795">
      <c r="B795" s="146"/>
    </row>
    <row r="796">
      <c r="B796" s="146"/>
    </row>
    <row r="797">
      <c r="B797" s="146"/>
    </row>
    <row r="798">
      <c r="B798" s="146"/>
    </row>
    <row r="799">
      <c r="B799" s="146"/>
    </row>
    <row r="800">
      <c r="B800" s="146"/>
    </row>
    <row r="801">
      <c r="B801" s="146"/>
    </row>
    <row r="802">
      <c r="B802" s="146"/>
    </row>
    <row r="803">
      <c r="B803" s="146"/>
    </row>
    <row r="804">
      <c r="B804" s="146"/>
    </row>
    <row r="805">
      <c r="B805" s="146"/>
    </row>
    <row r="806">
      <c r="B806" s="146"/>
    </row>
    <row r="807">
      <c r="B807" s="146"/>
    </row>
    <row r="808">
      <c r="B808" s="146"/>
    </row>
    <row r="809">
      <c r="B809" s="146"/>
    </row>
    <row r="810">
      <c r="B810" s="146"/>
    </row>
    <row r="811">
      <c r="B811" s="146"/>
    </row>
    <row r="812">
      <c r="B812" s="146"/>
    </row>
    <row r="813">
      <c r="B813" s="146"/>
    </row>
    <row r="814">
      <c r="B814" s="146"/>
    </row>
    <row r="815">
      <c r="B815" s="146"/>
    </row>
    <row r="816">
      <c r="B816" s="146"/>
    </row>
    <row r="817">
      <c r="B817" s="146"/>
    </row>
    <row r="818">
      <c r="B818" s="146"/>
    </row>
    <row r="819">
      <c r="B819" s="146"/>
    </row>
    <row r="820">
      <c r="B820" s="146"/>
    </row>
    <row r="821">
      <c r="B821" s="146"/>
    </row>
    <row r="822">
      <c r="B822" s="146"/>
    </row>
    <row r="823">
      <c r="B823" s="146"/>
    </row>
    <row r="824">
      <c r="B824" s="146"/>
    </row>
    <row r="825">
      <c r="B825" s="146"/>
    </row>
    <row r="826">
      <c r="B826" s="146"/>
    </row>
    <row r="827">
      <c r="B827" s="146"/>
    </row>
    <row r="828">
      <c r="B828" s="146"/>
    </row>
    <row r="829">
      <c r="B829" s="146"/>
    </row>
    <row r="830">
      <c r="B830" s="146"/>
    </row>
    <row r="831">
      <c r="B831" s="146"/>
    </row>
    <row r="832">
      <c r="B832" s="146"/>
    </row>
    <row r="833">
      <c r="B833" s="146"/>
    </row>
    <row r="834">
      <c r="B834" s="146"/>
    </row>
    <row r="835">
      <c r="B835" s="146"/>
    </row>
    <row r="836">
      <c r="B836" s="146"/>
    </row>
    <row r="837">
      <c r="B837" s="146"/>
    </row>
    <row r="838">
      <c r="B838" s="146"/>
    </row>
    <row r="839">
      <c r="B839" s="146"/>
    </row>
    <row r="840">
      <c r="B840" s="146"/>
    </row>
    <row r="841">
      <c r="B841" s="146"/>
    </row>
    <row r="842">
      <c r="B842" s="146"/>
    </row>
    <row r="843">
      <c r="B843" s="146"/>
    </row>
    <row r="844">
      <c r="B844" s="146"/>
    </row>
    <row r="845">
      <c r="B845" s="146"/>
    </row>
    <row r="846">
      <c r="B846" s="146"/>
    </row>
    <row r="847">
      <c r="B847" s="146"/>
    </row>
    <row r="848">
      <c r="B848" s="146"/>
    </row>
    <row r="849">
      <c r="B849" s="146"/>
    </row>
    <row r="850">
      <c r="B850" s="146"/>
    </row>
    <row r="851">
      <c r="B851" s="146"/>
    </row>
    <row r="852">
      <c r="B852" s="146"/>
    </row>
    <row r="853">
      <c r="B853" s="146"/>
    </row>
    <row r="854">
      <c r="B854" s="146"/>
    </row>
    <row r="855">
      <c r="B855" s="146"/>
    </row>
    <row r="856">
      <c r="B856" s="146"/>
    </row>
    <row r="857">
      <c r="B857" s="146"/>
    </row>
    <row r="858">
      <c r="B858" s="146"/>
    </row>
    <row r="859">
      <c r="B859" s="146"/>
    </row>
    <row r="860">
      <c r="B860" s="146"/>
    </row>
    <row r="861">
      <c r="B861" s="146"/>
    </row>
    <row r="862">
      <c r="B862" s="146"/>
    </row>
    <row r="863">
      <c r="B863" s="146"/>
    </row>
    <row r="864">
      <c r="B864" s="146"/>
    </row>
    <row r="865">
      <c r="B865" s="146"/>
    </row>
    <row r="866">
      <c r="B866" s="146"/>
    </row>
    <row r="867">
      <c r="B867" s="146"/>
    </row>
    <row r="868">
      <c r="B868" s="146"/>
    </row>
    <row r="869">
      <c r="B869" s="146"/>
    </row>
    <row r="870">
      <c r="B870" s="146"/>
    </row>
    <row r="871">
      <c r="B871" s="146"/>
    </row>
    <row r="872">
      <c r="B872" s="146"/>
    </row>
    <row r="873">
      <c r="B873" s="146"/>
    </row>
    <row r="874">
      <c r="B874" s="146"/>
    </row>
    <row r="875">
      <c r="B875" s="146"/>
    </row>
    <row r="876">
      <c r="B876" s="146"/>
    </row>
    <row r="877">
      <c r="B877" s="146"/>
    </row>
    <row r="878">
      <c r="B878" s="146"/>
    </row>
    <row r="879">
      <c r="B879" s="146"/>
    </row>
    <row r="880">
      <c r="B880" s="146"/>
    </row>
    <row r="881">
      <c r="B881" s="146"/>
    </row>
    <row r="882">
      <c r="B882" s="146"/>
    </row>
    <row r="883">
      <c r="B883" s="146"/>
    </row>
    <row r="884">
      <c r="B884" s="146"/>
    </row>
    <row r="885">
      <c r="B885" s="146"/>
    </row>
    <row r="886">
      <c r="B886" s="146"/>
    </row>
    <row r="887">
      <c r="B887" s="146"/>
    </row>
    <row r="888">
      <c r="B888" s="146"/>
    </row>
    <row r="889">
      <c r="B889" s="146"/>
    </row>
    <row r="890">
      <c r="B890" s="146"/>
    </row>
    <row r="891">
      <c r="B891" s="146"/>
    </row>
    <row r="892">
      <c r="B892" s="146"/>
    </row>
    <row r="893">
      <c r="B893" s="146"/>
    </row>
    <row r="894">
      <c r="B894" s="146"/>
    </row>
    <row r="895">
      <c r="B895" s="146"/>
    </row>
    <row r="896">
      <c r="B896" s="146"/>
    </row>
    <row r="897">
      <c r="B897" s="146"/>
    </row>
    <row r="898">
      <c r="B898" s="146"/>
    </row>
    <row r="899">
      <c r="B899" s="146"/>
    </row>
    <row r="900">
      <c r="B900" s="146"/>
    </row>
    <row r="901">
      <c r="B901" s="146"/>
    </row>
    <row r="902">
      <c r="B902" s="146"/>
    </row>
    <row r="903">
      <c r="B903" s="146"/>
    </row>
    <row r="904">
      <c r="B904" s="146"/>
    </row>
    <row r="905">
      <c r="B905" s="146"/>
    </row>
    <row r="906">
      <c r="B906" s="146"/>
    </row>
    <row r="907">
      <c r="B907" s="146"/>
    </row>
    <row r="908">
      <c r="B908" s="146"/>
    </row>
    <row r="909">
      <c r="B909" s="146"/>
    </row>
    <row r="910">
      <c r="B910" s="146"/>
    </row>
    <row r="911">
      <c r="B911" s="146"/>
    </row>
    <row r="912">
      <c r="B912" s="146"/>
    </row>
    <row r="913">
      <c r="B913" s="146"/>
    </row>
    <row r="914">
      <c r="B914" s="146"/>
    </row>
    <row r="915">
      <c r="B915" s="146"/>
    </row>
    <row r="916">
      <c r="B916" s="146"/>
    </row>
    <row r="917">
      <c r="B917" s="146"/>
    </row>
    <row r="918">
      <c r="B918" s="146"/>
    </row>
    <row r="919">
      <c r="B919" s="146"/>
    </row>
    <row r="920">
      <c r="B920" s="146"/>
    </row>
    <row r="921">
      <c r="B921" s="146"/>
    </row>
    <row r="922">
      <c r="B922" s="146"/>
    </row>
    <row r="923">
      <c r="B923" s="146"/>
    </row>
    <row r="924">
      <c r="B924" s="146"/>
    </row>
    <row r="925">
      <c r="B925" s="146"/>
    </row>
    <row r="926">
      <c r="B926" s="146"/>
    </row>
    <row r="927">
      <c r="B927" s="146"/>
    </row>
    <row r="928">
      <c r="B928" s="146"/>
    </row>
    <row r="929">
      <c r="B929" s="146"/>
    </row>
    <row r="930">
      <c r="B930" s="146"/>
    </row>
    <row r="931">
      <c r="B931" s="146"/>
    </row>
    <row r="932">
      <c r="B932" s="146"/>
    </row>
    <row r="933">
      <c r="B933" s="146"/>
    </row>
    <row r="934">
      <c r="B934" s="146"/>
    </row>
    <row r="935">
      <c r="B935" s="146"/>
    </row>
    <row r="936">
      <c r="B936" s="146"/>
    </row>
    <row r="937">
      <c r="B937" s="146"/>
    </row>
    <row r="938">
      <c r="B938" s="146"/>
    </row>
    <row r="939">
      <c r="B939" s="146"/>
    </row>
    <row r="940">
      <c r="B940" s="146"/>
    </row>
    <row r="941">
      <c r="B941" s="146"/>
    </row>
    <row r="942">
      <c r="B942" s="146"/>
    </row>
    <row r="943">
      <c r="B943" s="146"/>
    </row>
    <row r="944">
      <c r="B944" s="146"/>
    </row>
    <row r="945">
      <c r="B945" s="146"/>
    </row>
    <row r="946">
      <c r="B946" s="146"/>
    </row>
    <row r="947">
      <c r="B947" s="146"/>
    </row>
    <row r="948">
      <c r="B948" s="146"/>
    </row>
    <row r="949">
      <c r="B949" s="146"/>
    </row>
    <row r="950">
      <c r="B950" s="146"/>
    </row>
    <row r="951">
      <c r="B951" s="146"/>
    </row>
    <row r="952">
      <c r="B952" s="146"/>
    </row>
    <row r="953">
      <c r="B953" s="146"/>
    </row>
    <row r="954">
      <c r="B954" s="146"/>
    </row>
    <row r="955">
      <c r="B955" s="146"/>
    </row>
    <row r="956">
      <c r="B956" s="146"/>
    </row>
    <row r="957">
      <c r="B957" s="146"/>
    </row>
    <row r="958">
      <c r="B958" s="146"/>
    </row>
    <row r="959">
      <c r="B959" s="146"/>
    </row>
    <row r="960">
      <c r="B960" s="146"/>
    </row>
    <row r="961">
      <c r="B961" s="146"/>
    </row>
    <row r="962">
      <c r="B962" s="146"/>
    </row>
    <row r="963">
      <c r="B963" s="146"/>
    </row>
    <row r="964">
      <c r="B964" s="146"/>
    </row>
    <row r="965">
      <c r="B965" s="146"/>
    </row>
    <row r="966">
      <c r="B966" s="146"/>
    </row>
    <row r="967">
      <c r="B967" s="146"/>
    </row>
    <row r="968">
      <c r="B968" s="146"/>
    </row>
    <row r="969">
      <c r="B969" s="146"/>
    </row>
    <row r="970">
      <c r="B970" s="146"/>
    </row>
    <row r="971">
      <c r="B971" s="146"/>
    </row>
    <row r="972">
      <c r="B972" s="146"/>
    </row>
    <row r="973">
      <c r="B973" s="146"/>
    </row>
    <row r="974">
      <c r="B974" s="146"/>
    </row>
    <row r="975">
      <c r="B975" s="146"/>
    </row>
    <row r="976">
      <c r="B976" s="146"/>
    </row>
    <row r="977">
      <c r="B977" s="146"/>
    </row>
    <row r="978">
      <c r="B978" s="146"/>
    </row>
    <row r="979">
      <c r="B979" s="146"/>
    </row>
    <row r="980">
      <c r="B980" s="146"/>
    </row>
    <row r="981">
      <c r="B981" s="146"/>
    </row>
    <row r="982">
      <c r="B982" s="146"/>
    </row>
    <row r="983">
      <c r="B983" s="146"/>
    </row>
    <row r="984">
      <c r="B984" s="146"/>
    </row>
    <row r="985">
      <c r="B985" s="146"/>
    </row>
    <row r="986">
      <c r="B986" s="146"/>
    </row>
    <row r="987">
      <c r="B987" s="146"/>
    </row>
    <row r="988">
      <c r="B988" s="146"/>
    </row>
    <row r="989">
      <c r="B989" s="146"/>
    </row>
    <row r="990">
      <c r="B990" s="146"/>
    </row>
    <row r="991">
      <c r="B991" s="146"/>
    </row>
    <row r="992">
      <c r="B992" s="146"/>
    </row>
    <row r="993">
      <c r="B993" s="146"/>
    </row>
    <row r="994">
      <c r="B994" s="146"/>
    </row>
    <row r="995">
      <c r="B995" s="146"/>
    </row>
    <row r="996">
      <c r="B996" s="146"/>
    </row>
    <row r="997">
      <c r="B997" s="146"/>
    </row>
    <row r="998">
      <c r="B998" s="146"/>
    </row>
    <row r="999">
      <c r="B999" s="146"/>
    </row>
    <row r="1000">
      <c r="B1000" s="146"/>
    </row>
    <row r="1001">
      <c r="B1001" s="146"/>
    </row>
    <row r="1002">
      <c r="B1002" s="146"/>
    </row>
    <row r="1003">
      <c r="B1003" s="146"/>
    </row>
    <row r="1004">
      <c r="B1004" s="146"/>
    </row>
  </sheetData>
  <drawing r:id="rId1"/>
</worksheet>
</file>