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ml.chartshapes+xml"/>
  <Override PartName="/xl/charts/chart2.xml" ContentType="application/vnd.openxmlformats-officedocument.drawingml.chart+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embeddings/oleObject3.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embeddings/oleObject4.bin" ContentType="application/vnd.openxmlformats-officedocument.oleObject"/>
  <Override PartName="/xl/comments4.xml" ContentType="application/vnd.openxmlformats-officedocument.spreadsheetml.comments+xml"/>
  <Override PartName="/xl/charts/chart5.xml" ContentType="application/vnd.openxmlformats-officedocument.drawingml.chart+xml"/>
  <Override PartName="/xl/drawings/drawing10.xml" ContentType="application/vnd.openxmlformats-officedocument.drawingml.chartshapes+xml"/>
  <Override PartName="/xl/charts/chart6.xml" ContentType="application/vnd.openxmlformats-officedocument.drawingml.chart+xml"/>
  <Override PartName="/xl/drawings/drawing11.xml" ContentType="application/vnd.openxmlformats-officedocument.drawingml.chartshapes+xml"/>
  <Override PartName="/xl/charts/chart7.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embeddings/oleObject5.bin" ContentType="application/vnd.openxmlformats-officedocument.oleObject"/>
  <Override PartName="/xl/comments5.xml" ContentType="application/vnd.openxmlformats-officedocument.spreadsheetml.comments+xml"/>
  <Override PartName="/xl/comments6.xml" ContentType="application/vnd.openxmlformats-officedocument.spreadsheetml.comments+xml"/>
  <Override PartName="/xl/drawings/drawing14.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defaultThemeVersion="124226"/>
  <mc:AlternateContent xmlns:mc="http://schemas.openxmlformats.org/markup-compatibility/2006">
    <mc:Choice Requires="x15">
      <x15ac:absPath xmlns:x15ac="http://schemas.microsoft.com/office/spreadsheetml/2010/11/ac" url="C:\Users\tonys\Downloads\slyc137g\"/>
    </mc:Choice>
  </mc:AlternateContent>
  <xr:revisionPtr revIDLastSave="0" documentId="13_ncr:1_{D94067F2-9E6A-4521-95F3-E80A2196FC7D}" xr6:coauthVersionLast="47" xr6:coauthVersionMax="47" xr10:uidLastSave="{00000000-0000-0000-0000-000000000000}"/>
  <workbookProtection workbookAlgorithmName="SHA-512" workbookHashValue="7qZTQzaVtu5I+i6P62G9ULbxVATh3B394mq2No6DSuhQyUnnFfcUgc5/BfGihJvPtMSZMokxPPWtnBoXgDxbIA==" workbookSaltValue="r5fDL7f4LhKjbKLVwTercg==" workbookSpinCount="100000" lockStructure="1"/>
  <bookViews>
    <workbookView xWindow="-90" yWindow="0" windowWidth="12980" windowHeight="13770" tabRatio="932" firstSheet="2" activeTab="6" xr2:uid="{00000000-000D-0000-FFFF-FFFF00000000}"/>
  </bookViews>
  <sheets>
    <sheet name="Rev History" sheetId="28" r:id="rId1"/>
    <sheet name="Contents" sheetId="11" r:id="rId2"/>
    <sheet name="Spiral_Inductor_Designer" sheetId="27" r:id="rId3"/>
    <sheet name="SkinDepth" sheetId="14" r:id="rId4"/>
    <sheet name="LDC3114_Config_tool" sheetId="41" r:id="rId5"/>
    <sheet name="LDC2114_Config_tool" sheetId="34" r:id="rId6"/>
    <sheet name="LDC131x-LDC161x_Config" sheetId="35" r:id="rId7"/>
    <sheet name="LDC0851_calc" sheetId="26" r:id="rId8"/>
    <sheet name="Encoder_Calc_Tool" sheetId="37" r:id="rId9"/>
    <sheet name="LDC1101_Calc" sheetId="33" r:id="rId10"/>
    <sheet name="LDC1000_Tools" sheetId="36" r:id="rId11"/>
    <sheet name="Dial_Calc_Tool" sheetId="39" r:id="rId12"/>
    <sheet name="Metal_Deflection" sheetId="31" r:id="rId13"/>
    <sheet name="Spring Sensor" sheetId="9" r:id="rId14"/>
  </sheets>
  <definedNames>
    <definedName name="abr_units" localSheetId="12">Metal_Deflection!$F$9</definedName>
    <definedName name="ac" localSheetId="11">#REF!</definedName>
    <definedName name="ac" localSheetId="10">#REF!</definedName>
    <definedName name="ac" localSheetId="9">#REF!</definedName>
    <definedName name="ac" localSheetId="6">#REF!</definedName>
    <definedName name="ac" localSheetId="5">#REF!</definedName>
    <definedName name="ac" localSheetId="4">#REF!</definedName>
    <definedName name="ac" localSheetId="12">Metal_Deflection!$E$25</definedName>
    <definedName name="ac">#REF!</definedName>
    <definedName name="alphac" localSheetId="11">#REF!</definedName>
    <definedName name="alphac" localSheetId="10">#REF!</definedName>
    <definedName name="alphac" localSheetId="9">#REF!</definedName>
    <definedName name="alphac" localSheetId="6">#REF!</definedName>
    <definedName name="alphac" localSheetId="5">#REF!</definedName>
    <definedName name="alphac" localSheetId="4">#REF!</definedName>
    <definedName name="alphac" localSheetId="12">Metal_Deflection!#REF!</definedName>
    <definedName name="alphac">#REF!</definedName>
    <definedName name="alphap" localSheetId="12">Metal_Deflection!$E$35</definedName>
    <definedName name="alphar" localSheetId="11">#REF!</definedName>
    <definedName name="alphar" localSheetId="10">#REF!</definedName>
    <definedName name="alphar" localSheetId="9">#REF!</definedName>
    <definedName name="alphar" localSheetId="6">#REF!</definedName>
    <definedName name="alphar" localSheetId="5">#REF!</definedName>
    <definedName name="alphar" localSheetId="4">#REF!</definedName>
    <definedName name="alphar" localSheetId="12">Metal_Deflection!#REF!</definedName>
    <definedName name="alphar">#REF!</definedName>
    <definedName name="alphau" localSheetId="12">Metal_Deflection!$E$34</definedName>
    <definedName name="ar" localSheetId="11">#REF!</definedName>
    <definedName name="ar" localSheetId="10">#REF!</definedName>
    <definedName name="ar" localSheetId="9">#REF!</definedName>
    <definedName name="ar" localSheetId="6">#REF!</definedName>
    <definedName name="ar" localSheetId="5">#REF!</definedName>
    <definedName name="ar" localSheetId="4">#REF!</definedName>
    <definedName name="ar" localSheetId="12">Metal_Deflection!$E$26</definedName>
    <definedName name="ar">#REF!</definedName>
    <definedName name="area" localSheetId="11">#REF!</definedName>
    <definedName name="area" localSheetId="10">#REF!</definedName>
    <definedName name="area" localSheetId="9">#REF!</definedName>
    <definedName name="area" localSheetId="6">#REF!</definedName>
    <definedName name="area" localSheetId="5">#REF!</definedName>
    <definedName name="area" localSheetId="4">#REF!</definedName>
    <definedName name="area" localSheetId="12">Metal_Deflection!$E$32</definedName>
    <definedName name="area">#REF!</definedName>
    <definedName name="area_c" localSheetId="12">Metal_Deflection!$E$30</definedName>
    <definedName name="area_r" localSheetId="12">Metal_Deflection!$E$31</definedName>
    <definedName name="boa" localSheetId="11">#REF!</definedName>
    <definedName name="boa" localSheetId="10">#REF!</definedName>
    <definedName name="boa" localSheetId="9">#REF!</definedName>
    <definedName name="boa" localSheetId="6">#REF!</definedName>
    <definedName name="boa" localSheetId="5">#REF!</definedName>
    <definedName name="boa" localSheetId="4">#REF!</definedName>
    <definedName name="boa" localSheetId="12">Metal_Deflection!$E$28</definedName>
    <definedName name="boa">#REF!</definedName>
    <definedName name="br" localSheetId="11">#REF!</definedName>
    <definedName name="br" localSheetId="10">#REF!</definedName>
    <definedName name="br" localSheetId="9">#REF!</definedName>
    <definedName name="br" localSheetId="6">#REF!</definedName>
    <definedName name="br" localSheetId="5">#REF!</definedName>
    <definedName name="br" localSheetId="4">#REF!</definedName>
    <definedName name="br" localSheetId="12">Metal_Deflection!$E$27</definedName>
    <definedName name="br">#REF!</definedName>
    <definedName name="button_materials" localSheetId="11">#REF!</definedName>
    <definedName name="button_materials" localSheetId="10">#REF!</definedName>
    <definedName name="button_materials" localSheetId="9">#REF!</definedName>
    <definedName name="button_materials" localSheetId="6">#REF!</definedName>
    <definedName name="button_materials" localSheetId="5">#REF!</definedName>
    <definedName name="button_materials" localSheetId="4">#REF!</definedName>
    <definedName name="button_materials">#REF!</definedName>
    <definedName name="button_shapes" localSheetId="11">#REF!</definedName>
    <definedName name="button_shapes" localSheetId="10">#REF!</definedName>
    <definedName name="button_shapes" localSheetId="9">#REF!</definedName>
    <definedName name="button_shapes" localSheetId="6">#REF!</definedName>
    <definedName name="button_shapes" localSheetId="5">#REF!</definedName>
    <definedName name="button_shapes" localSheetId="4">#REF!</definedName>
    <definedName name="button_shapes">#REF!</definedName>
    <definedName name="CMAX" localSheetId="11">#REF!</definedName>
    <definedName name="CMAX" localSheetId="10">#REF!</definedName>
    <definedName name="CMAX" localSheetId="9">#REF!</definedName>
    <definedName name="CMAX" localSheetId="6">#REF!</definedName>
    <definedName name="CMAX" localSheetId="5">#REF!</definedName>
    <definedName name="CMAX" localSheetId="4">#REF!</definedName>
    <definedName name="CMAX">#REF!</definedName>
    <definedName name="CMIN" localSheetId="11">#REF!</definedName>
    <definedName name="CMIN" localSheetId="10">#REF!</definedName>
    <definedName name="CMIN" localSheetId="9">#REF!</definedName>
    <definedName name="CMIN" localSheetId="6">#REF!</definedName>
    <definedName name="CMIN" localSheetId="5">#REF!</definedName>
    <definedName name="CMIN" localSheetId="4">#REF!</definedName>
    <definedName name="CMIN">#REF!</definedName>
    <definedName name="D" localSheetId="12">Metal_Deflection!$E$33</definedName>
    <definedName name="Dc_units" localSheetId="12">Metal_Deflection!$F$8</definedName>
    <definedName name="E" localSheetId="11">#REF!</definedName>
    <definedName name="E" localSheetId="10">#REF!</definedName>
    <definedName name="E" localSheetId="9">#REF!</definedName>
    <definedName name="E" localSheetId="6">#REF!</definedName>
    <definedName name="E" localSheetId="5">#REF!</definedName>
    <definedName name="E" localSheetId="4">#REF!</definedName>
    <definedName name="E" localSheetId="12">Metal_Deflection!$E$36</definedName>
    <definedName name="E">#REF!</definedName>
    <definedName name="F" localSheetId="12">Metal_Deflection!$E$37</definedName>
    <definedName name="force" localSheetId="12">Metal_Deflection!$E$21</definedName>
    <definedName name="force_functions" localSheetId="11">#REF!</definedName>
    <definedName name="force_functions" localSheetId="10">#REF!</definedName>
    <definedName name="force_functions" localSheetId="9">#REF!</definedName>
    <definedName name="force_functions" localSheetId="6">#REF!</definedName>
    <definedName name="force_functions" localSheetId="5">#REF!</definedName>
    <definedName name="force_functions" localSheetId="4">#REF!</definedName>
    <definedName name="force_functions" localSheetId="12">Metal_Deflection!#REF!</definedName>
    <definedName name="force_functions">#REF!</definedName>
    <definedName name="h" localSheetId="11">#REF!</definedName>
    <definedName name="h" localSheetId="10">#REF!</definedName>
    <definedName name="h" localSheetId="9">#REF!</definedName>
    <definedName name="h" localSheetId="6">#REF!</definedName>
    <definedName name="h" localSheetId="5">#REF!</definedName>
    <definedName name="h" localSheetId="4">#REF!</definedName>
    <definedName name="h" localSheetId="12">Metal_Deflection!$E$29</definedName>
    <definedName name="h">#REF!</definedName>
    <definedName name="h_units" localSheetId="12">Metal_Deflection!$F$11</definedName>
    <definedName name="LDC3114_Config_tool" localSheetId="4">#REF!</definedName>
    <definedName name="LDC3114_Config_tool">#REF!</definedName>
    <definedName name="length_units" localSheetId="12">Metal_Deflection!#REF!</definedName>
    <definedName name="mat" localSheetId="12">Metal_Deflection!$E$12</definedName>
    <definedName name="Mega" localSheetId="11">#REF!</definedName>
    <definedName name="Mega" localSheetId="10">#REF!</definedName>
    <definedName name="Mega" localSheetId="9">LDC1101_Calc!$C$51</definedName>
    <definedName name="Mega" localSheetId="6">#REF!</definedName>
    <definedName name="Mega" localSheetId="5">#REF!</definedName>
    <definedName name="Mega" localSheetId="4">#REF!</definedName>
    <definedName name="Mega" localSheetId="2">#REF!</definedName>
    <definedName name="Mega">#REF!</definedName>
    <definedName name="micro" localSheetId="11">#REF!</definedName>
    <definedName name="micro" localSheetId="10">#REF!</definedName>
    <definedName name="micro" localSheetId="9">LDC1101_Calc!$C$50</definedName>
    <definedName name="micro" localSheetId="6">#REF!</definedName>
    <definedName name="micro" localSheetId="5">#REF!</definedName>
    <definedName name="micro" localSheetId="4">#REF!</definedName>
    <definedName name="micro">#REF!</definedName>
    <definedName name="N" localSheetId="11">#REF!</definedName>
    <definedName name="N" localSheetId="10">#REF!</definedName>
    <definedName name="N" localSheetId="9">#REF!</definedName>
    <definedName name="N" localSheetId="6">#REF!</definedName>
    <definedName name="N" localSheetId="5">#REF!</definedName>
    <definedName name="N" localSheetId="4">#REF!</definedName>
    <definedName name="N">#REF!</definedName>
    <definedName name="nu" localSheetId="11">#REF!</definedName>
    <definedName name="nu" localSheetId="10">#REF!</definedName>
    <definedName name="nu" localSheetId="9">#REF!</definedName>
    <definedName name="nu" localSheetId="6">#REF!</definedName>
    <definedName name="nu" localSheetId="5">#REF!</definedName>
    <definedName name="nu" localSheetId="4">#REF!</definedName>
    <definedName name="nu" localSheetId="12">Metal_Deflection!$E$14</definedName>
    <definedName name="nu">#REF!</definedName>
    <definedName name="pico" localSheetId="11">#REF!</definedName>
    <definedName name="pico" localSheetId="10">#REF!</definedName>
    <definedName name="pico" localSheetId="9">LDC1101_Calc!$C$49</definedName>
    <definedName name="pico" localSheetId="6">#REF!</definedName>
    <definedName name="pico" localSheetId="5">#REF!</definedName>
    <definedName name="pico" localSheetId="4">#REF!</definedName>
    <definedName name="pico" localSheetId="2">#REF!</definedName>
    <definedName name="pico">#REF!</definedName>
    <definedName name="q" localSheetId="12">Metal_Deflection!$E$38</definedName>
    <definedName name="shape" localSheetId="12">Metal_Deflection!$E$7</definedName>
    <definedName name="solver_adj" localSheetId="11" hidden="1">Dial_Calc_Tool!$U$88</definedName>
    <definedName name="solver_adj" localSheetId="7" hidden="1">LDC0851_calc!$C$25</definedName>
    <definedName name="solver_adj" localSheetId="2" hidden="1">Spiral_Inductor_Designer!$D$24</definedName>
    <definedName name="solver_cvg" localSheetId="11" hidden="1">0.0001</definedName>
    <definedName name="solver_cvg" localSheetId="7" hidden="1">0.0001</definedName>
    <definedName name="solver_cvg" localSheetId="2" hidden="1">0.0001</definedName>
    <definedName name="solver_drv" localSheetId="11" hidden="1">1</definedName>
    <definedName name="solver_drv" localSheetId="7" hidden="1">1</definedName>
    <definedName name="solver_drv" localSheetId="2" hidden="1">1</definedName>
    <definedName name="solver_eng" localSheetId="11" hidden="1">1</definedName>
    <definedName name="solver_eng" localSheetId="7" hidden="1">1</definedName>
    <definedName name="solver_eng" localSheetId="2" hidden="1">1</definedName>
    <definedName name="solver_est" localSheetId="11" hidden="1">1</definedName>
    <definedName name="solver_est" localSheetId="7" hidden="1">1</definedName>
    <definedName name="solver_est" localSheetId="2" hidden="1">1</definedName>
    <definedName name="solver_itr" localSheetId="11" hidden="1">2147483647</definedName>
    <definedName name="solver_itr" localSheetId="7" hidden="1">2147483647</definedName>
    <definedName name="solver_itr" localSheetId="2" hidden="1">2147483647</definedName>
    <definedName name="solver_mip" localSheetId="11" hidden="1">2147483647</definedName>
    <definedName name="solver_mip" localSheetId="7" hidden="1">2147483647</definedName>
    <definedName name="solver_mip" localSheetId="2" hidden="1">2147483647</definedName>
    <definedName name="solver_mni" localSheetId="11" hidden="1">30</definedName>
    <definedName name="solver_mni" localSheetId="7" hidden="1">30</definedName>
    <definedName name="solver_mni" localSheetId="2" hidden="1">30</definedName>
    <definedName name="solver_mrt" localSheetId="11" hidden="1">0.075</definedName>
    <definedName name="solver_mrt" localSheetId="7" hidden="1">0.075</definedName>
    <definedName name="solver_mrt" localSheetId="2" hidden="1">0.075</definedName>
    <definedName name="solver_msl" localSheetId="11" hidden="1">2</definedName>
    <definedName name="solver_msl" localSheetId="7" hidden="1">2</definedName>
    <definedName name="solver_msl" localSheetId="2" hidden="1">2</definedName>
    <definedName name="solver_neg" localSheetId="11" hidden="1">1</definedName>
    <definedName name="solver_neg" localSheetId="7" hidden="1">1</definedName>
    <definedName name="solver_neg" localSheetId="2" hidden="1">1</definedName>
    <definedName name="solver_nod" localSheetId="11" hidden="1">2147483647</definedName>
    <definedName name="solver_nod" localSheetId="7" hidden="1">2147483647</definedName>
    <definedName name="solver_nod" localSheetId="2" hidden="1">2147483647</definedName>
    <definedName name="solver_num" localSheetId="11" hidden="1">0</definedName>
    <definedName name="solver_num" localSheetId="7" hidden="1">0</definedName>
    <definedName name="solver_num" localSheetId="2" hidden="1">0</definedName>
    <definedName name="solver_nwt" localSheetId="11" hidden="1">1</definedName>
    <definedName name="solver_nwt" localSheetId="7" hidden="1">1</definedName>
    <definedName name="solver_nwt" localSheetId="2" hidden="1">1</definedName>
    <definedName name="solver_opt" localSheetId="11" hidden="1">Dial_Calc_Tool!$S$85</definedName>
    <definedName name="solver_opt" localSheetId="7" hidden="1">LDC0851_calc!$C$30</definedName>
    <definedName name="solver_opt" localSheetId="2" hidden="1">Spiral_Inductor_Designer!$D$204</definedName>
    <definedName name="solver_pre" localSheetId="11" hidden="1">0.000001</definedName>
    <definedName name="solver_pre" localSheetId="7" hidden="1">0.000001</definedName>
    <definedName name="solver_pre" localSheetId="2" hidden="1">0.000001</definedName>
    <definedName name="solver_rbv" localSheetId="11" hidden="1">1</definedName>
    <definedName name="solver_rbv" localSheetId="7" hidden="1">1</definedName>
    <definedName name="solver_rbv" localSheetId="2" hidden="1">1</definedName>
    <definedName name="solver_rlx" localSheetId="11" hidden="1">2</definedName>
    <definedName name="solver_rlx" localSheetId="7" hidden="1">2</definedName>
    <definedName name="solver_rlx" localSheetId="2" hidden="1">2</definedName>
    <definedName name="solver_rsd" localSheetId="11" hidden="1">0</definedName>
    <definedName name="solver_rsd" localSheetId="7" hidden="1">0</definedName>
    <definedName name="solver_rsd" localSheetId="2" hidden="1">0</definedName>
    <definedName name="solver_scl" localSheetId="11" hidden="1">1</definedName>
    <definedName name="solver_scl" localSheetId="7" hidden="1">1</definedName>
    <definedName name="solver_scl" localSheetId="2" hidden="1">1</definedName>
    <definedName name="solver_sho" localSheetId="11" hidden="1">2</definedName>
    <definedName name="solver_sho" localSheetId="7" hidden="1">2</definedName>
    <definedName name="solver_sho" localSheetId="2" hidden="1">2</definedName>
    <definedName name="solver_ssz" localSheetId="11" hidden="1">100</definedName>
    <definedName name="solver_ssz" localSheetId="7" hidden="1">100</definedName>
    <definedName name="solver_ssz" localSheetId="2" hidden="1">100</definedName>
    <definedName name="solver_tim" localSheetId="11" hidden="1">2147483647</definedName>
    <definedName name="solver_tim" localSheetId="7" hidden="1">2147483647</definedName>
    <definedName name="solver_tim" localSheetId="2" hidden="1">2147483647</definedName>
    <definedName name="solver_tol" localSheetId="11" hidden="1">0.01</definedName>
    <definedName name="solver_tol" localSheetId="7" hidden="1">0.01</definedName>
    <definedName name="solver_tol" localSheetId="2" hidden="1">0.01</definedName>
    <definedName name="solver_typ" localSheetId="11" hidden="1">2</definedName>
    <definedName name="solver_typ" localSheetId="7" hidden="1">3</definedName>
    <definedName name="solver_typ" localSheetId="2" hidden="1">1</definedName>
    <definedName name="solver_val" localSheetId="11" hidden="1">0</definedName>
    <definedName name="solver_val" localSheetId="7" hidden="1">2.09</definedName>
    <definedName name="solver_val" localSheetId="2" hidden="1">0</definedName>
    <definedName name="solver_ver" localSheetId="11" hidden="1">3</definedName>
    <definedName name="solver_ver" localSheetId="7" hidden="1">3</definedName>
    <definedName name="solver_ver" localSheetId="2" hidden="1">3</definedName>
    <definedName name="wpkcp" localSheetId="12">Metal_Deflection!$E$40</definedName>
    <definedName name="wpkcu" localSheetId="12">Metal_Deflection!$E$39</definedName>
    <definedName name="wpkrp" localSheetId="12">Metal_Deflection!$E$42</definedName>
    <definedName name="wpkru" localSheetId="12">Metal_Deflection!$E$41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8" i="27" l="1"/>
  <c r="D223" i="27" l="1"/>
  <c r="D222" i="27"/>
  <c r="D221" i="27"/>
  <c r="D220" i="27"/>
  <c r="D219" i="27"/>
  <c r="N16" i="41"/>
  <c r="C88" i="41" l="1"/>
  <c r="C97" i="41"/>
  <c r="C153" i="41"/>
  <c r="D153" i="41"/>
  <c r="E152" i="41" l="1"/>
  <c r="C102" i="41"/>
  <c r="B107" i="41" l="1"/>
  <c r="D106" i="41"/>
  <c r="E100" i="41"/>
  <c r="D107" i="41" l="1"/>
  <c r="C108" i="41"/>
  <c r="F141" i="41" l="1"/>
  <c r="R223" i="41" l="1"/>
  <c r="R224" i="41" s="1"/>
  <c r="R218" i="41"/>
  <c r="R219" i="41" s="1"/>
  <c r="M219" i="41"/>
  <c r="P175" i="41"/>
  <c r="R175" i="41"/>
  <c r="S175" i="41"/>
  <c r="S176" i="41" s="1"/>
  <c r="T175" i="41"/>
  <c r="T176" i="41" s="1"/>
  <c r="U175" i="41"/>
  <c r="U176" i="41" s="1"/>
  <c r="V175" i="41"/>
  <c r="V176" i="41" s="1"/>
  <c r="P176" i="41"/>
  <c r="R176" i="41"/>
  <c r="M220" i="41" l="1"/>
  <c r="D155" i="33"/>
  <c r="M221" i="41" l="1"/>
  <c r="F5" i="41"/>
  <c r="M222" i="41" l="1"/>
  <c r="D15" i="41"/>
  <c r="D18" i="41" s="1"/>
  <c r="C90" i="41"/>
  <c r="C91" i="41" s="1"/>
  <c r="C89" i="41"/>
  <c r="D88" i="41"/>
  <c r="D87" i="41"/>
  <c r="B87" i="41"/>
  <c r="D76" i="41"/>
  <c r="D74" i="41"/>
  <c r="D73" i="41"/>
  <c r="D72" i="41"/>
  <c r="D71" i="41"/>
  <c r="D70" i="41"/>
  <c r="D69" i="41"/>
  <c r="D68" i="41"/>
  <c r="D67" i="41"/>
  <c r="D66" i="41"/>
  <c r="D59" i="41"/>
  <c r="D61" i="41" s="1"/>
  <c r="J39" i="41"/>
  <c r="J42" i="41" s="1"/>
  <c r="H39" i="41"/>
  <c r="H42" i="41" s="1"/>
  <c r="F39" i="41"/>
  <c r="F42" i="41" s="1"/>
  <c r="D39" i="41"/>
  <c r="D42" i="41" s="1"/>
  <c r="J28" i="41"/>
  <c r="H28" i="41"/>
  <c r="F28" i="41"/>
  <c r="D28" i="41"/>
  <c r="J22" i="41"/>
  <c r="J20" i="41"/>
  <c r="J23" i="41" s="1"/>
  <c r="J24" i="41" s="1"/>
  <c r="H20" i="41"/>
  <c r="H23" i="41" s="1"/>
  <c r="H24" i="41" s="1"/>
  <c r="F20" i="41"/>
  <c r="F23" i="41" s="1"/>
  <c r="F24" i="41" s="1"/>
  <c r="D20" i="41"/>
  <c r="D21" i="41" s="1"/>
  <c r="J19" i="41"/>
  <c r="H19" i="41"/>
  <c r="F19" i="41"/>
  <c r="D19" i="41"/>
  <c r="J15" i="41"/>
  <c r="J18" i="41" s="1"/>
  <c r="H15" i="41"/>
  <c r="H18" i="41" s="1"/>
  <c r="F15" i="41"/>
  <c r="F18" i="41" s="1"/>
  <c r="J13" i="41"/>
  <c r="H13" i="41"/>
  <c r="F13" i="41"/>
  <c r="D13" i="41"/>
  <c r="J12" i="41"/>
  <c r="H12" i="41"/>
  <c r="F12" i="41"/>
  <c r="D12" i="41"/>
  <c r="J11" i="41"/>
  <c r="H11" i="41"/>
  <c r="F11" i="41"/>
  <c r="D11" i="41"/>
  <c r="K8" i="41"/>
  <c r="D41" i="41" l="1"/>
  <c r="M223" i="41"/>
  <c r="H21" i="41"/>
  <c r="H22" i="41" s="1"/>
  <c r="H78" i="41"/>
  <c r="D81" i="41" s="1"/>
  <c r="F21" i="41"/>
  <c r="F22" i="41" s="1"/>
  <c r="J21" i="41"/>
  <c r="J26" i="41" s="1"/>
  <c r="J27" i="41" s="1"/>
  <c r="F78" i="41"/>
  <c r="D80" i="41" s="1"/>
  <c r="J78" i="41"/>
  <c r="D82" i="41" s="1"/>
  <c r="D23" i="41"/>
  <c r="D24" i="41" s="1"/>
  <c r="C145" i="41" s="1"/>
  <c r="C156" i="41" s="1"/>
  <c r="D50" i="41"/>
  <c r="K9" i="41"/>
  <c r="D47" i="41"/>
  <c r="D49" i="41"/>
  <c r="D46" i="41"/>
  <c r="F41" i="41"/>
  <c r="H41" i="41"/>
  <c r="D43" i="41"/>
  <c r="F43" i="41"/>
  <c r="H43" i="41"/>
  <c r="D75" i="41"/>
  <c r="D22" i="41"/>
  <c r="J41" i="41"/>
  <c r="J43" i="41"/>
  <c r="D60" i="41"/>
  <c r="C92" i="41"/>
  <c r="D75" i="34"/>
  <c r="D58" i="34"/>
  <c r="D59" i="34" s="1"/>
  <c r="D78" i="41" l="1"/>
  <c r="D79" i="41" s="1"/>
  <c r="M224" i="41"/>
  <c r="F25" i="41"/>
  <c r="Q175" i="41" s="1"/>
  <c r="Q176" i="41" s="1"/>
  <c r="H25" i="41"/>
  <c r="H29" i="41" s="1"/>
  <c r="H26" i="41"/>
  <c r="H27" i="41" s="1"/>
  <c r="F26" i="41"/>
  <c r="F27" i="41" s="1"/>
  <c r="J25" i="41"/>
  <c r="J29" i="41" s="1"/>
  <c r="J30" i="41" s="1"/>
  <c r="D60" i="34"/>
  <c r="D25" i="41"/>
  <c r="D26" i="41"/>
  <c r="D65" i="41"/>
  <c r="L22" i="41"/>
  <c r="K22" i="41"/>
  <c r="D71" i="27"/>
  <c r="D63" i="27"/>
  <c r="D84" i="27" s="1"/>
  <c r="C157" i="41" l="1"/>
  <c r="M225" i="41"/>
  <c r="D29" i="41"/>
  <c r="D31" i="41" s="1"/>
  <c r="O175" i="41"/>
  <c r="O176" i="41" s="1"/>
  <c r="F29" i="41"/>
  <c r="F30" i="41" s="1"/>
  <c r="J31" i="41"/>
  <c r="D27" i="41"/>
  <c r="D77" i="41" s="1"/>
  <c r="D35" i="41"/>
  <c r="L25" i="41" s="1"/>
  <c r="D32" i="41"/>
  <c r="D33" i="41" s="1"/>
  <c r="K21" i="41"/>
  <c r="H30" i="41"/>
  <c r="H31" i="41"/>
  <c r="D76" i="27"/>
  <c r="D38" i="34"/>
  <c r="D42" i="34" s="1"/>
  <c r="F31" i="41" l="1"/>
  <c r="M226" i="41"/>
  <c r="D30" i="41"/>
  <c r="D34" i="41" s="1"/>
  <c r="D52" i="41" s="1"/>
  <c r="D36" i="41"/>
  <c r="D41" i="34"/>
  <c r="J38" i="34"/>
  <c r="H38" i="34"/>
  <c r="H41" i="34" s="1"/>
  <c r="F38" i="34"/>
  <c r="D40" i="34"/>
  <c r="D73" i="34"/>
  <c r="D69" i="34"/>
  <c r="D71" i="34"/>
  <c r="D70" i="34"/>
  <c r="D72" i="34"/>
  <c r="D68" i="34"/>
  <c r="D66" i="34"/>
  <c r="C157" i="39"/>
  <c r="D157" i="39" s="1"/>
  <c r="C145" i="39"/>
  <c r="C146" i="39" s="1"/>
  <c r="C147" i="39" s="1"/>
  <c r="C148" i="39" s="1"/>
  <c r="C149" i="39" s="1"/>
  <c r="D149" i="39" s="1"/>
  <c r="D144" i="39"/>
  <c r="D143" i="39"/>
  <c r="D142" i="39"/>
  <c r="U141" i="39"/>
  <c r="N143" i="39" s="1"/>
  <c r="C141" i="39"/>
  <c r="D141" i="39" s="1"/>
  <c r="N141" i="39" s="1"/>
  <c r="C137" i="39"/>
  <c r="U91" i="39"/>
  <c r="C89" i="39"/>
  <c r="C90" i="39" s="1"/>
  <c r="C91" i="39" s="1"/>
  <c r="D88" i="39"/>
  <c r="M88" i="39" s="1"/>
  <c r="D87" i="39"/>
  <c r="N87" i="39" s="1"/>
  <c r="D86" i="39"/>
  <c r="N86" i="39" s="1"/>
  <c r="U85" i="39"/>
  <c r="C85" i="39"/>
  <c r="D85" i="39" s="1"/>
  <c r="C77" i="39"/>
  <c r="F27" i="39"/>
  <c r="C31" i="39" s="1"/>
  <c r="D27" i="39"/>
  <c r="C30" i="39" s="1"/>
  <c r="D14" i="39"/>
  <c r="C14" i="39"/>
  <c r="C17" i="39" s="1"/>
  <c r="D13" i="39"/>
  <c r="C13" i="39"/>
  <c r="D12" i="39"/>
  <c r="C12" i="39"/>
  <c r="D11" i="39"/>
  <c r="C11" i="39"/>
  <c r="M143" i="39" l="1"/>
  <c r="N144" i="39"/>
  <c r="D148" i="39"/>
  <c r="C150" i="39"/>
  <c r="D145" i="39"/>
  <c r="N145" i="39" s="1"/>
  <c r="D146" i="39"/>
  <c r="D89" i="39"/>
  <c r="N89" i="39" s="1"/>
  <c r="D147" i="39"/>
  <c r="N147" i="39" s="1"/>
  <c r="C158" i="39"/>
  <c r="C159" i="39" s="1"/>
  <c r="M157" i="39"/>
  <c r="N157" i="39"/>
  <c r="E157" i="39"/>
  <c r="J157" i="39" s="1"/>
  <c r="U157" i="39" s="1"/>
  <c r="N88" i="39"/>
  <c r="G88" i="39"/>
  <c r="K88" i="39" s="1"/>
  <c r="Q88" i="39" s="1"/>
  <c r="N146" i="39"/>
  <c r="D90" i="39"/>
  <c r="E90" i="39" s="1"/>
  <c r="J90" i="39" s="1"/>
  <c r="E87" i="39"/>
  <c r="J87" i="39" s="1"/>
  <c r="P87" i="39" s="1"/>
  <c r="M87" i="39"/>
  <c r="D37" i="41"/>
  <c r="D53" i="41" s="1"/>
  <c r="M227" i="41"/>
  <c r="J42" i="34"/>
  <c r="J41" i="34"/>
  <c r="H42" i="34"/>
  <c r="F41" i="34"/>
  <c r="F42" i="34"/>
  <c r="J40" i="34"/>
  <c r="F40" i="34"/>
  <c r="H40" i="34"/>
  <c r="C18" i="39"/>
  <c r="E149" i="39" s="1"/>
  <c r="J149" i="39" s="1"/>
  <c r="P149" i="39" s="1"/>
  <c r="N85" i="39"/>
  <c r="G85" i="39"/>
  <c r="K85" i="39" s="1"/>
  <c r="Q85" i="39" s="1"/>
  <c r="M85" i="39"/>
  <c r="E85" i="39"/>
  <c r="J85" i="39" s="1"/>
  <c r="C92" i="39"/>
  <c r="D91" i="39"/>
  <c r="M149" i="39"/>
  <c r="N149" i="39"/>
  <c r="M142" i="39"/>
  <c r="M145" i="39"/>
  <c r="M147" i="39"/>
  <c r="C151" i="39"/>
  <c r="D150" i="39"/>
  <c r="D17" i="39"/>
  <c r="E86" i="39"/>
  <c r="J86" i="39" s="1"/>
  <c r="M86" i="39"/>
  <c r="M141" i="39"/>
  <c r="M144" i="39"/>
  <c r="G86" i="39"/>
  <c r="K86" i="39" s="1"/>
  <c r="Q86" i="39" s="1"/>
  <c r="G89" i="39"/>
  <c r="K89" i="39" s="1"/>
  <c r="Q89" i="39" s="1"/>
  <c r="M146" i="39"/>
  <c r="M148" i="39"/>
  <c r="N148" i="39"/>
  <c r="D18" i="39"/>
  <c r="G87" i="39"/>
  <c r="K87" i="39" s="1"/>
  <c r="Q87" i="39" s="1"/>
  <c r="E88" i="39"/>
  <c r="J88" i="39" s="1"/>
  <c r="P88" i="39" s="1"/>
  <c r="N142" i="39"/>
  <c r="G157" i="39"/>
  <c r="K157" i="39" s="1"/>
  <c r="P157" i="39" l="1"/>
  <c r="C22" i="39"/>
  <c r="C49" i="39" s="1"/>
  <c r="D158" i="39"/>
  <c r="G144" i="39"/>
  <c r="K144" i="39" s="1"/>
  <c r="Q144" i="39" s="1"/>
  <c r="M89" i="39"/>
  <c r="E146" i="39"/>
  <c r="J146" i="39" s="1"/>
  <c r="P146" i="39" s="1"/>
  <c r="E89" i="39"/>
  <c r="J89" i="39" s="1"/>
  <c r="P89" i="39" s="1"/>
  <c r="P85" i="39"/>
  <c r="E147" i="39"/>
  <c r="J147" i="39" s="1"/>
  <c r="P147" i="39" s="1"/>
  <c r="P86" i="39"/>
  <c r="E145" i="39"/>
  <c r="J145" i="39" s="1"/>
  <c r="P145" i="39" s="1"/>
  <c r="M90" i="39"/>
  <c r="P90" i="39" s="1"/>
  <c r="G90" i="39"/>
  <c r="K90" i="39" s="1"/>
  <c r="N90" i="39"/>
  <c r="E141" i="39"/>
  <c r="J141" i="39" s="1"/>
  <c r="P141" i="39" s="1"/>
  <c r="D21" i="39"/>
  <c r="D48" i="39" s="1"/>
  <c r="E142" i="39"/>
  <c r="J142" i="39" s="1"/>
  <c r="P142" i="39" s="1"/>
  <c r="M228" i="41"/>
  <c r="G145" i="39"/>
  <c r="K145" i="39" s="1"/>
  <c r="Q145" i="39" s="1"/>
  <c r="G143" i="39"/>
  <c r="K143" i="39" s="1"/>
  <c r="Q143" i="39" s="1"/>
  <c r="D24" i="39"/>
  <c r="D51" i="39" s="1"/>
  <c r="C23" i="39"/>
  <c r="C50" i="39" s="1"/>
  <c r="G146" i="39"/>
  <c r="K146" i="39" s="1"/>
  <c r="Q146" i="39" s="1"/>
  <c r="E148" i="39"/>
  <c r="J148" i="39" s="1"/>
  <c r="P148" i="39" s="1"/>
  <c r="C160" i="39"/>
  <c r="D159" i="39"/>
  <c r="E144" i="39"/>
  <c r="J144" i="39" s="1"/>
  <c r="P144" i="39" s="1"/>
  <c r="G142" i="39"/>
  <c r="K142" i="39" s="1"/>
  <c r="Q142" i="39" s="1"/>
  <c r="C34" i="39"/>
  <c r="C39" i="39" s="1"/>
  <c r="D22" i="39"/>
  <c r="D49" i="39" s="1"/>
  <c r="C54" i="39" s="1"/>
  <c r="C59" i="39" s="1"/>
  <c r="C21" i="39"/>
  <c r="C48" i="39" s="1"/>
  <c r="V157" i="39"/>
  <c r="W157" i="39" s="1"/>
  <c r="X157" i="39" s="1"/>
  <c r="Q157" i="39"/>
  <c r="S157" i="39"/>
  <c r="N158" i="39"/>
  <c r="E158" i="39"/>
  <c r="J158" i="39" s="1"/>
  <c r="M158" i="39"/>
  <c r="G158" i="39"/>
  <c r="K158" i="39" s="1"/>
  <c r="M150" i="39"/>
  <c r="E150" i="39"/>
  <c r="J150" i="39" s="1"/>
  <c r="N150" i="39"/>
  <c r="G150" i="39"/>
  <c r="K150" i="39" s="1"/>
  <c r="C35" i="39"/>
  <c r="C40" i="39" s="1"/>
  <c r="G149" i="39"/>
  <c r="K149" i="39" s="1"/>
  <c r="Q149" i="39" s="1"/>
  <c r="D23" i="39"/>
  <c r="D50" i="39" s="1"/>
  <c r="N91" i="39"/>
  <c r="G91" i="39"/>
  <c r="K91" i="39" s="1"/>
  <c r="M91" i="39"/>
  <c r="E91" i="39"/>
  <c r="J91" i="39" s="1"/>
  <c r="G148" i="39"/>
  <c r="K148" i="39" s="1"/>
  <c r="Q148" i="39" s="1"/>
  <c r="E143" i="39"/>
  <c r="J143" i="39" s="1"/>
  <c r="P143" i="39" s="1"/>
  <c r="G147" i="39"/>
  <c r="K147" i="39" s="1"/>
  <c r="Q147" i="39" s="1"/>
  <c r="C152" i="39"/>
  <c r="D152" i="39" s="1"/>
  <c r="D151" i="39"/>
  <c r="C24" i="39"/>
  <c r="C51" i="39" s="1"/>
  <c r="D92" i="39"/>
  <c r="C93" i="39"/>
  <c r="G141" i="39"/>
  <c r="K141" i="39" s="1"/>
  <c r="Q141" i="39" s="1"/>
  <c r="C53" i="39" l="1"/>
  <c r="C57" i="39" s="1"/>
  <c r="Q90" i="39"/>
  <c r="Q150" i="39"/>
  <c r="P150" i="39"/>
  <c r="C56" i="39"/>
  <c r="C60" i="39" s="1"/>
  <c r="C62" i="39" s="1"/>
  <c r="M229" i="41"/>
  <c r="M151" i="39"/>
  <c r="E151" i="39"/>
  <c r="J151" i="39" s="1"/>
  <c r="G151" i="39"/>
  <c r="K151" i="39" s="1"/>
  <c r="N151" i="39"/>
  <c r="Q158" i="39"/>
  <c r="V158" i="39"/>
  <c r="S158" i="39"/>
  <c r="C94" i="39"/>
  <c r="D93" i="39"/>
  <c r="M152" i="39"/>
  <c r="E152" i="39"/>
  <c r="J152" i="39" s="1"/>
  <c r="N152" i="39"/>
  <c r="G152" i="39"/>
  <c r="K152" i="39" s="1"/>
  <c r="Q152" i="39" s="1"/>
  <c r="P91" i="39"/>
  <c r="M159" i="39"/>
  <c r="N159" i="39"/>
  <c r="E159" i="39"/>
  <c r="J159" i="39" s="1"/>
  <c r="G159" i="39"/>
  <c r="K159" i="39" s="1"/>
  <c r="C55" i="39"/>
  <c r="C58" i="39" s="1"/>
  <c r="C61" i="39" s="1"/>
  <c r="E92" i="39"/>
  <c r="J92" i="39" s="1"/>
  <c r="N92" i="39"/>
  <c r="G92" i="39"/>
  <c r="K92" i="39" s="1"/>
  <c r="M92" i="39"/>
  <c r="U158" i="39"/>
  <c r="P158" i="39"/>
  <c r="C42" i="39"/>
  <c r="C43" i="39"/>
  <c r="C44" i="39" s="1"/>
  <c r="C161" i="39"/>
  <c r="D160" i="39"/>
  <c r="Q91" i="39"/>
  <c r="P152" i="39" l="1"/>
  <c r="Q151" i="39"/>
  <c r="M230" i="41"/>
  <c r="N160" i="39"/>
  <c r="G160" i="39"/>
  <c r="K160" i="39" s="1"/>
  <c r="E160" i="39"/>
  <c r="J160" i="39" s="1"/>
  <c r="M160" i="39"/>
  <c r="C63" i="39"/>
  <c r="C65" i="39" s="1"/>
  <c r="Q92" i="39"/>
  <c r="S159" i="39"/>
  <c r="V159" i="39"/>
  <c r="Q159" i="39"/>
  <c r="P151" i="39"/>
  <c r="S141" i="39" s="1"/>
  <c r="C162" i="39"/>
  <c r="D161" i="39"/>
  <c r="U159" i="39"/>
  <c r="P159" i="39"/>
  <c r="N93" i="39"/>
  <c r="G93" i="39"/>
  <c r="K93" i="39" s="1"/>
  <c r="M93" i="39"/>
  <c r="E93" i="39"/>
  <c r="J93" i="39" s="1"/>
  <c r="W158" i="39"/>
  <c r="X158" i="39" s="1"/>
  <c r="P92" i="39"/>
  <c r="D94" i="39"/>
  <c r="C95" i="39"/>
  <c r="M231" i="41" l="1"/>
  <c r="C96" i="39"/>
  <c r="D96" i="39" s="1"/>
  <c r="D95" i="39"/>
  <c r="D162" i="39"/>
  <c r="C163" i="39"/>
  <c r="M94" i="39"/>
  <c r="N94" i="39"/>
  <c r="G94" i="39"/>
  <c r="K94" i="39" s="1"/>
  <c r="Q94" i="39" s="1"/>
  <c r="E94" i="39"/>
  <c r="J94" i="39" s="1"/>
  <c r="P93" i="39"/>
  <c r="U160" i="39"/>
  <c r="P160" i="39"/>
  <c r="W159" i="39"/>
  <c r="X159" i="39" s="1"/>
  <c r="Q160" i="39"/>
  <c r="V160" i="39"/>
  <c r="S160" i="39"/>
  <c r="Q93" i="39"/>
  <c r="G161" i="39"/>
  <c r="K161" i="39" s="1"/>
  <c r="N161" i="39"/>
  <c r="M161" i="39"/>
  <c r="E161" i="39"/>
  <c r="J161" i="39" s="1"/>
  <c r="M232" i="41" l="1"/>
  <c r="V161" i="39"/>
  <c r="Q161" i="39"/>
  <c r="S161" i="39"/>
  <c r="M96" i="39"/>
  <c r="E96" i="39"/>
  <c r="J96" i="39" s="1"/>
  <c r="N96" i="39"/>
  <c r="G96" i="39"/>
  <c r="K96" i="39" s="1"/>
  <c r="N162" i="39"/>
  <c r="G162" i="39"/>
  <c r="K162" i="39" s="1"/>
  <c r="M162" i="39"/>
  <c r="E162" i="39"/>
  <c r="J162" i="39" s="1"/>
  <c r="W160" i="39"/>
  <c r="X160" i="39" s="1"/>
  <c r="N95" i="39"/>
  <c r="G95" i="39"/>
  <c r="K95" i="39" s="1"/>
  <c r="M95" i="39"/>
  <c r="E95" i="39"/>
  <c r="J95" i="39" s="1"/>
  <c r="P161" i="39"/>
  <c r="U161" i="39"/>
  <c r="P94" i="39"/>
  <c r="C164" i="39"/>
  <c r="D163" i="39"/>
  <c r="W161" i="39" l="1"/>
  <c r="X161" i="39" s="1"/>
  <c r="P95" i="39"/>
  <c r="Q95" i="39"/>
  <c r="M233" i="41"/>
  <c r="C165" i="39"/>
  <c r="D164" i="39"/>
  <c r="U162" i="39"/>
  <c r="P162" i="39"/>
  <c r="Q96" i="39"/>
  <c r="M163" i="39"/>
  <c r="E163" i="39"/>
  <c r="J163" i="39" s="1"/>
  <c r="N163" i="39"/>
  <c r="G163" i="39"/>
  <c r="K163" i="39" s="1"/>
  <c r="Q162" i="39"/>
  <c r="S162" i="39"/>
  <c r="V162" i="39"/>
  <c r="P96" i="39"/>
  <c r="M234" i="41" l="1"/>
  <c r="S163" i="39"/>
  <c r="Q163" i="39"/>
  <c r="V163" i="39"/>
  <c r="C166" i="39"/>
  <c r="D165" i="39"/>
  <c r="U163" i="39"/>
  <c r="P163" i="39"/>
  <c r="W162" i="39"/>
  <c r="X162" i="39" s="1"/>
  <c r="S85" i="39"/>
  <c r="N164" i="39"/>
  <c r="G164" i="39"/>
  <c r="K164" i="39" s="1"/>
  <c r="M164" i="39"/>
  <c r="E164" i="39"/>
  <c r="J164" i="39" s="1"/>
  <c r="W163" i="39" l="1"/>
  <c r="X163" i="39" s="1"/>
  <c r="M235" i="41"/>
  <c r="D166" i="39"/>
  <c r="C167" i="39"/>
  <c r="V164" i="39"/>
  <c r="Q164" i="39"/>
  <c r="S164" i="39"/>
  <c r="U164" i="39"/>
  <c r="P164" i="39"/>
  <c r="N165" i="39"/>
  <c r="E165" i="39"/>
  <c r="J165" i="39" s="1"/>
  <c r="M165" i="39"/>
  <c r="G165" i="39"/>
  <c r="K165" i="39" s="1"/>
  <c r="W164" i="39" l="1"/>
  <c r="X164" i="39" s="1"/>
  <c r="M236" i="41"/>
  <c r="V165" i="39"/>
  <c r="Q165" i="39"/>
  <c r="S165" i="39"/>
  <c r="C168" i="39"/>
  <c r="D167" i="39"/>
  <c r="P165" i="39"/>
  <c r="U165" i="39"/>
  <c r="G166" i="39"/>
  <c r="K166" i="39" s="1"/>
  <c r="N166" i="39"/>
  <c r="M166" i="39"/>
  <c r="E166" i="39"/>
  <c r="J166" i="39" s="1"/>
  <c r="M237" i="41" l="1"/>
  <c r="Q166" i="39"/>
  <c r="S166" i="39"/>
  <c r="V166" i="39"/>
  <c r="C169" i="39"/>
  <c r="D168" i="39"/>
  <c r="P166" i="39"/>
  <c r="U166" i="39"/>
  <c r="W165" i="39"/>
  <c r="X165" i="39" s="1"/>
  <c r="M167" i="39"/>
  <c r="E167" i="39"/>
  <c r="J167" i="39" s="1"/>
  <c r="G167" i="39"/>
  <c r="K167" i="39" s="1"/>
  <c r="N167" i="39"/>
  <c r="M238" i="41" l="1"/>
  <c r="D169" i="39"/>
  <c r="C170" i="39"/>
  <c r="S167" i="39"/>
  <c r="Q167" i="39"/>
  <c r="V167" i="39"/>
  <c r="W166" i="39"/>
  <c r="X166" i="39" s="1"/>
  <c r="U167" i="39"/>
  <c r="P167" i="39"/>
  <c r="N168" i="39"/>
  <c r="G168" i="39"/>
  <c r="K168" i="39" s="1"/>
  <c r="E168" i="39"/>
  <c r="J168" i="39" s="1"/>
  <c r="M168" i="39"/>
  <c r="M239" i="41" l="1"/>
  <c r="U168" i="39"/>
  <c r="P168" i="39"/>
  <c r="W167" i="39"/>
  <c r="X167" i="39" s="1"/>
  <c r="S168" i="39"/>
  <c r="Q168" i="39"/>
  <c r="V168" i="39"/>
  <c r="D170" i="39"/>
  <c r="C171" i="39"/>
  <c r="M169" i="39"/>
  <c r="E169" i="39"/>
  <c r="J169" i="39" s="1"/>
  <c r="N169" i="39"/>
  <c r="G169" i="39"/>
  <c r="K169" i="39" s="1"/>
  <c r="M240" i="41" l="1"/>
  <c r="P169" i="39"/>
  <c r="U169" i="39"/>
  <c r="V169" i="39"/>
  <c r="Q169" i="39"/>
  <c r="S169" i="39"/>
  <c r="C172" i="39"/>
  <c r="D171" i="39"/>
  <c r="N170" i="39"/>
  <c r="E170" i="39"/>
  <c r="J170" i="39" s="1"/>
  <c r="M170" i="39"/>
  <c r="G170" i="39"/>
  <c r="K170" i="39" s="1"/>
  <c r="W168" i="39"/>
  <c r="X168" i="39" s="1"/>
  <c r="W169" i="39" l="1"/>
  <c r="X169" i="39" s="1"/>
  <c r="M241" i="41"/>
  <c r="Q170" i="39"/>
  <c r="V170" i="39"/>
  <c r="S170" i="39"/>
  <c r="M171" i="39"/>
  <c r="E171" i="39"/>
  <c r="J171" i="39" s="1"/>
  <c r="G171" i="39"/>
  <c r="K171" i="39" s="1"/>
  <c r="N171" i="39"/>
  <c r="C173" i="39"/>
  <c r="D172" i="39"/>
  <c r="P170" i="39"/>
  <c r="U170" i="39"/>
  <c r="M242" i="41" l="1"/>
  <c r="C174" i="39"/>
  <c r="D173" i="39"/>
  <c r="W170" i="39"/>
  <c r="X170" i="39" s="1"/>
  <c r="S171" i="39"/>
  <c r="V171" i="39"/>
  <c r="Q171" i="39"/>
  <c r="N172" i="39"/>
  <c r="G172" i="39"/>
  <c r="K172" i="39" s="1"/>
  <c r="M172" i="39"/>
  <c r="E172" i="39"/>
  <c r="J172" i="39" s="1"/>
  <c r="P171" i="39"/>
  <c r="U171" i="39"/>
  <c r="W171" i="39" l="1"/>
  <c r="X171" i="39" s="1"/>
  <c r="M243" i="41"/>
  <c r="Q172" i="39"/>
  <c r="S172" i="39"/>
  <c r="V172" i="39"/>
  <c r="U172" i="39"/>
  <c r="W172" i="39" s="1"/>
  <c r="X172" i="39" s="1"/>
  <c r="P172" i="39"/>
  <c r="M173" i="39"/>
  <c r="E173" i="39"/>
  <c r="J173" i="39" s="1"/>
  <c r="G173" i="39"/>
  <c r="K173" i="39" s="1"/>
  <c r="N173" i="39"/>
  <c r="D174" i="39"/>
  <c r="C175" i="39"/>
  <c r="M244" i="41" l="1"/>
  <c r="D175" i="39"/>
  <c r="C176" i="39"/>
  <c r="P173" i="39"/>
  <c r="U173" i="39"/>
  <c r="V173" i="39"/>
  <c r="S173" i="39"/>
  <c r="Q173" i="39"/>
  <c r="M174" i="39"/>
  <c r="E174" i="39"/>
  <c r="J174" i="39" s="1"/>
  <c r="G174" i="39"/>
  <c r="K174" i="39" s="1"/>
  <c r="N174" i="39"/>
  <c r="M245" i="41" l="1"/>
  <c r="W173" i="39"/>
  <c r="X173" i="39" s="1"/>
  <c r="U174" i="39"/>
  <c r="P174" i="39"/>
  <c r="M175" i="39"/>
  <c r="E175" i="39"/>
  <c r="J175" i="39" s="1"/>
  <c r="N175" i="39"/>
  <c r="G175" i="39"/>
  <c r="K175" i="39" s="1"/>
  <c r="Q174" i="39"/>
  <c r="V174" i="39"/>
  <c r="S174" i="39"/>
  <c r="C177" i="39"/>
  <c r="D176" i="39"/>
  <c r="M246" i="41" l="1"/>
  <c r="W174" i="39"/>
  <c r="X174" i="39" s="1"/>
  <c r="N176" i="39"/>
  <c r="G176" i="39"/>
  <c r="K176" i="39" s="1"/>
  <c r="E176" i="39"/>
  <c r="J176" i="39" s="1"/>
  <c r="M176" i="39"/>
  <c r="C178" i="39"/>
  <c r="D177" i="39"/>
  <c r="S175" i="39"/>
  <c r="V175" i="39"/>
  <c r="Q175" i="39"/>
  <c r="U175" i="39"/>
  <c r="P175" i="39"/>
  <c r="M247" i="41" l="1"/>
  <c r="U176" i="39"/>
  <c r="P176" i="39"/>
  <c r="W175" i="39"/>
  <c r="X175" i="39" s="1"/>
  <c r="G177" i="39"/>
  <c r="K177" i="39" s="1"/>
  <c r="E177" i="39"/>
  <c r="J177" i="39" s="1"/>
  <c r="M177" i="39"/>
  <c r="N177" i="39"/>
  <c r="S176" i="39"/>
  <c r="V176" i="39"/>
  <c r="Q176" i="39"/>
  <c r="D178" i="39"/>
  <c r="C179" i="39"/>
  <c r="C180" i="39" l="1"/>
  <c r="D179" i="39"/>
  <c r="V177" i="39"/>
  <c r="Q177" i="39"/>
  <c r="S177" i="39"/>
  <c r="E178" i="39"/>
  <c r="J178" i="39" s="1"/>
  <c r="M178" i="39"/>
  <c r="N178" i="39"/>
  <c r="G178" i="39"/>
  <c r="K178" i="39" s="1"/>
  <c r="P177" i="39"/>
  <c r="U177" i="39"/>
  <c r="W176" i="39"/>
  <c r="X176" i="39" s="1"/>
  <c r="W177" i="39" l="1"/>
  <c r="X177" i="39" s="1"/>
  <c r="P178" i="39"/>
  <c r="U178" i="39"/>
  <c r="M179" i="39"/>
  <c r="E179" i="39"/>
  <c r="J179" i="39" s="1"/>
  <c r="N179" i="39"/>
  <c r="G179" i="39"/>
  <c r="K179" i="39" s="1"/>
  <c r="Q178" i="39"/>
  <c r="S178" i="39"/>
  <c r="V178" i="39"/>
  <c r="C181" i="39"/>
  <c r="D181" i="39" s="1"/>
  <c r="D180" i="39"/>
  <c r="W178" i="39" l="1"/>
  <c r="X178" i="39" s="1"/>
  <c r="S179" i="39"/>
  <c r="V179" i="39"/>
  <c r="Q179" i="39"/>
  <c r="U179" i="39"/>
  <c r="P179" i="39"/>
  <c r="N180" i="39"/>
  <c r="G180" i="39"/>
  <c r="K180" i="39" s="1"/>
  <c r="M180" i="39"/>
  <c r="E180" i="39"/>
  <c r="J180" i="39" s="1"/>
  <c r="N181" i="39"/>
  <c r="E181" i="39"/>
  <c r="J181" i="39" s="1"/>
  <c r="M181" i="39"/>
  <c r="G181" i="39"/>
  <c r="K181" i="39" s="1"/>
  <c r="W179" i="39" l="1"/>
  <c r="X179" i="39" s="1"/>
  <c r="P181" i="39"/>
  <c r="U181" i="39"/>
  <c r="V180" i="39"/>
  <c r="S180" i="39"/>
  <c r="Q180" i="39"/>
  <c r="V181" i="39"/>
  <c r="S181" i="39"/>
  <c r="Q181" i="39"/>
  <c r="U180" i="39"/>
  <c r="P180" i="39"/>
  <c r="W181" i="39" l="1"/>
  <c r="X181" i="39" s="1"/>
  <c r="W180" i="39"/>
  <c r="X180" i="39" s="1"/>
  <c r="D134" i="35" l="1"/>
  <c r="D98" i="35"/>
  <c r="C207" i="27" l="1"/>
  <c r="D207" i="27" s="1"/>
  <c r="D208" i="27" s="1"/>
  <c r="F29" i="27" l="1"/>
  <c r="B25" i="27"/>
  <c r="E29" i="27"/>
  <c r="D30" i="27" s="1"/>
  <c r="C58" i="27"/>
  <c r="D58" i="27" s="1"/>
  <c r="C47" i="27"/>
  <c r="D47" i="27" s="1"/>
  <c r="D48" i="27" s="1"/>
  <c r="C37" i="27"/>
  <c r="D37" i="27" s="1"/>
  <c r="D38" i="27" s="1"/>
  <c r="C34" i="27"/>
  <c r="D34" i="27" s="1"/>
  <c r="D35" i="27" s="1"/>
  <c r="C26" i="27"/>
  <c r="D26" i="27" s="1"/>
  <c r="D27" i="27" s="1"/>
  <c r="C113" i="41" s="1"/>
  <c r="C141" i="41" l="1"/>
  <c r="O121" i="41" s="1"/>
  <c r="C118" i="41"/>
  <c r="C119" i="41" s="1"/>
  <c r="N215" i="41"/>
  <c r="C123" i="41"/>
  <c r="C124" i="41" s="1"/>
  <c r="D31" i="27"/>
  <c r="D32" i="27" s="1"/>
  <c r="D74" i="27"/>
  <c r="D125" i="27" s="1"/>
  <c r="D72" i="27"/>
  <c r="D91" i="27" s="1"/>
  <c r="D82" i="27"/>
  <c r="C142" i="41" l="1"/>
  <c r="O218" i="41"/>
  <c r="N218" i="41"/>
  <c r="N219" i="41"/>
  <c r="O219" i="41"/>
  <c r="N220" i="41"/>
  <c r="O220" i="41"/>
  <c r="N221" i="41"/>
  <c r="O221" i="41"/>
  <c r="N222" i="41"/>
  <c r="O222" i="41"/>
  <c r="O223" i="41"/>
  <c r="N223" i="41"/>
  <c r="N224" i="41"/>
  <c r="O224" i="41"/>
  <c r="O225" i="41"/>
  <c r="N225" i="41"/>
  <c r="O226" i="41"/>
  <c r="N226" i="41"/>
  <c r="O227" i="41"/>
  <c r="N227" i="41"/>
  <c r="N228" i="41"/>
  <c r="O228" i="41"/>
  <c r="N229" i="41"/>
  <c r="O229" i="41"/>
  <c r="N230" i="41"/>
  <c r="O230" i="41"/>
  <c r="N231" i="41"/>
  <c r="O231" i="41"/>
  <c r="O232" i="41"/>
  <c r="N232" i="41"/>
  <c r="N233" i="41"/>
  <c r="O233" i="41"/>
  <c r="N234" i="41"/>
  <c r="O234" i="41"/>
  <c r="N235" i="41"/>
  <c r="O235" i="41"/>
  <c r="N236" i="41"/>
  <c r="O236" i="41"/>
  <c r="N237" i="41"/>
  <c r="O237" i="41"/>
  <c r="N238" i="41"/>
  <c r="O238" i="41"/>
  <c r="O239" i="41"/>
  <c r="N239" i="41"/>
  <c r="N240" i="41"/>
  <c r="O240" i="41"/>
  <c r="O241" i="41"/>
  <c r="N241" i="41"/>
  <c r="N242" i="41"/>
  <c r="O242" i="41"/>
  <c r="N243" i="41"/>
  <c r="O243" i="41"/>
  <c r="N244" i="41"/>
  <c r="O244" i="41"/>
  <c r="N245" i="41"/>
  <c r="O245" i="41"/>
  <c r="O246" i="41"/>
  <c r="N246" i="41"/>
  <c r="N247" i="41"/>
  <c r="O247" i="41"/>
  <c r="D116" i="27"/>
  <c r="D120" i="27"/>
  <c r="D121" i="27"/>
  <c r="D124" i="27"/>
  <c r="D104" i="27"/>
  <c r="D112" i="27"/>
  <c r="D105" i="27"/>
  <c r="D113" i="27"/>
  <c r="D100" i="27"/>
  <c r="D108" i="27"/>
  <c r="D101" i="27"/>
  <c r="D109" i="27"/>
  <c r="D117" i="27"/>
  <c r="D75" i="27"/>
  <c r="D182" i="27"/>
  <c r="D102" i="27"/>
  <c r="D106" i="27"/>
  <c r="D110" i="27"/>
  <c r="D114" i="27"/>
  <c r="D118" i="27"/>
  <c r="D122" i="27"/>
  <c r="D126" i="27"/>
  <c r="D163" i="27"/>
  <c r="D99" i="27"/>
  <c r="D103" i="27"/>
  <c r="D107" i="27"/>
  <c r="D111" i="27"/>
  <c r="D115" i="27"/>
  <c r="D119" i="27"/>
  <c r="D123" i="27"/>
  <c r="D190" i="27" l="1"/>
  <c r="D83" i="27"/>
  <c r="D129" i="27" s="1"/>
  <c r="D184" i="27"/>
  <c r="D162" i="27"/>
  <c r="D147" i="27"/>
  <c r="D168" i="27"/>
  <c r="D177" i="27"/>
  <c r="D133" i="27"/>
  <c r="D161" i="27"/>
  <c r="D179" i="27"/>
  <c r="D150" i="27"/>
  <c r="D157" i="27"/>
  <c r="D180" i="27"/>
  <c r="D164" i="27"/>
  <c r="D148" i="27"/>
  <c r="D132" i="27"/>
  <c r="D175" i="27"/>
  <c r="D159" i="27"/>
  <c r="D143" i="27"/>
  <c r="D174" i="27"/>
  <c r="D142" i="27"/>
  <c r="D165" i="27"/>
  <c r="D188" i="27"/>
  <c r="D149" i="27"/>
  <c r="D153" i="27"/>
  <c r="D189" i="27"/>
  <c r="D176" i="27"/>
  <c r="D160" i="27"/>
  <c r="D144" i="27"/>
  <c r="D187" i="27"/>
  <c r="D171" i="27"/>
  <c r="D155" i="27"/>
  <c r="D139" i="27"/>
  <c r="D166" i="27"/>
  <c r="D134" i="27"/>
  <c r="D154" i="27"/>
  <c r="D181" i="27"/>
  <c r="D138" i="27"/>
  <c r="D185" i="27"/>
  <c r="D141" i="27"/>
  <c r="D169" i="27"/>
  <c r="D172" i="27"/>
  <c r="D156" i="27"/>
  <c r="D140" i="27"/>
  <c r="D183" i="27"/>
  <c r="D167" i="27"/>
  <c r="D151" i="27"/>
  <c r="D135" i="27"/>
  <c r="D158" i="27"/>
  <c r="D186" i="27"/>
  <c r="D145" i="27"/>
  <c r="D170" i="27"/>
  <c r="D178" i="27"/>
  <c r="D173" i="27"/>
  <c r="D130" i="27"/>
  <c r="D146" i="27"/>
  <c r="D92" i="27"/>
  <c r="D128" i="27" l="1"/>
  <c r="D131" i="27"/>
  <c r="D152" i="27"/>
  <c r="D137" i="27"/>
  <c r="D136" i="27"/>
  <c r="D93" i="27"/>
  <c r="D95" i="27" l="1"/>
  <c r="D96" i="27" s="1"/>
  <c r="D22" i="37"/>
  <c r="C75" i="26" l="1"/>
  <c r="G83" i="26"/>
  <c r="G81" i="26"/>
  <c r="C39" i="26" l="1"/>
  <c r="C68" i="26"/>
  <c r="H86" i="26" s="1"/>
  <c r="G88" i="26" s="1"/>
  <c r="G89" i="26" s="1"/>
  <c r="R86" i="26" l="1"/>
  <c r="Q88" i="26" s="1"/>
  <c r="Q89" i="26" s="1"/>
  <c r="AB86" i="26"/>
  <c r="AA88" i="26" s="1"/>
  <c r="AA89" i="26" s="1"/>
  <c r="C80" i="26"/>
  <c r="C69" i="26"/>
  <c r="AC86" i="26" l="1"/>
  <c r="AE88" i="26"/>
  <c r="S86" i="26"/>
  <c r="U88" i="26"/>
  <c r="I86" i="26"/>
  <c r="G82" i="26"/>
  <c r="K88" i="26" l="1"/>
  <c r="AC88" i="26"/>
  <c r="AD88" i="26"/>
  <c r="T88" i="26"/>
  <c r="S88" i="26"/>
  <c r="J88" i="26"/>
  <c r="I88" i="26"/>
  <c r="E17" i="37"/>
  <c r="E18" i="37" s="1"/>
  <c r="D30" i="37" s="1"/>
  <c r="D27" i="37"/>
  <c r="D256" i="37"/>
  <c r="AD89" i="26" l="1"/>
  <c r="AC89" i="26"/>
  <c r="AE89" i="26"/>
  <c r="S89" i="26"/>
  <c r="T89" i="26"/>
  <c r="U89" i="26"/>
  <c r="D29" i="37"/>
  <c r="D81" i="37" s="1"/>
  <c r="D296" i="37"/>
  <c r="D196" i="37"/>
  <c r="D41" i="37" l="1"/>
  <c r="D234" i="37" s="1"/>
  <c r="D235" i="37" s="1"/>
  <c r="D297" i="37" l="1"/>
  <c r="D298" i="37" s="1"/>
  <c r="D77" i="37"/>
  <c r="D75" i="37"/>
  <c r="D74" i="37"/>
  <c r="D73" i="37"/>
  <c r="D72" i="37"/>
  <c r="D71" i="37"/>
  <c r="D79" i="37" s="1"/>
  <c r="D70" i="37"/>
  <c r="D183" i="37" s="1"/>
  <c r="D101" i="37" l="1"/>
  <c r="D112" i="37"/>
  <c r="D161" i="37"/>
  <c r="D172" i="37"/>
  <c r="D104" i="37"/>
  <c r="D115" i="37"/>
  <c r="D129" i="37"/>
  <c r="D153" i="37"/>
  <c r="D164" i="37"/>
  <c r="D174" i="37"/>
  <c r="D107" i="37"/>
  <c r="D117" i="37"/>
  <c r="D145" i="37"/>
  <c r="D156" i="37"/>
  <c r="D166" i="37"/>
  <c r="D177" i="37"/>
  <c r="D99" i="37"/>
  <c r="D109" i="37"/>
  <c r="D120" i="37"/>
  <c r="D137" i="37"/>
  <c r="D158" i="37"/>
  <c r="D169" i="37"/>
  <c r="D182" i="37"/>
  <c r="D113" i="37"/>
  <c r="D119" i="37"/>
  <c r="D128" i="37"/>
  <c r="D136" i="37"/>
  <c r="D146" i="37"/>
  <c r="D152" i="37"/>
  <c r="D157" i="37"/>
  <c r="D162" i="37"/>
  <c r="D168" i="37"/>
  <c r="D173" i="37"/>
  <c r="D178" i="37"/>
  <c r="D184" i="37"/>
  <c r="D180" i="37"/>
  <c r="D185" i="37"/>
  <c r="D100" i="37"/>
  <c r="D105" i="37"/>
  <c r="D111" i="37"/>
  <c r="D116" i="37"/>
  <c r="D121" i="37"/>
  <c r="D130" i="37"/>
  <c r="D138" i="37"/>
  <c r="D144" i="37"/>
  <c r="D154" i="37"/>
  <c r="D160" i="37"/>
  <c r="D165" i="37"/>
  <c r="D170" i="37"/>
  <c r="D176" i="37"/>
  <c r="D181" i="37"/>
  <c r="D186" i="37"/>
  <c r="D124" i="37"/>
  <c r="D98" i="37"/>
  <c r="D102" i="37"/>
  <c r="D106" i="37"/>
  <c r="D110" i="37"/>
  <c r="D114" i="37"/>
  <c r="D118" i="37"/>
  <c r="D122" i="37"/>
  <c r="D131" i="37"/>
  <c r="D139" i="37"/>
  <c r="D147" i="37"/>
  <c r="D155" i="37"/>
  <c r="D159" i="37"/>
  <c r="D163" i="37"/>
  <c r="D167" i="37"/>
  <c r="D171" i="37"/>
  <c r="D175" i="37"/>
  <c r="D179" i="37"/>
  <c r="D254" i="37"/>
  <c r="D258" i="37"/>
  <c r="D200" i="37"/>
  <c r="D33" i="37"/>
  <c r="D290" i="37" l="1"/>
  <c r="D291" i="37" s="1"/>
  <c r="D66" i="37" l="1"/>
  <c r="D32" i="37" l="1"/>
  <c r="D44" i="37" s="1"/>
  <c r="D31" i="37"/>
  <c r="D28" i="37"/>
  <c r="D26" i="37"/>
  <c r="D25" i="37"/>
  <c r="D24" i="37"/>
  <c r="D45" i="37" l="1"/>
  <c r="D82" i="37"/>
  <c r="D80" i="37"/>
  <c r="C28" i="37"/>
  <c r="D78" i="37" l="1"/>
  <c r="D95" i="37"/>
  <c r="D127" i="37"/>
  <c r="D126" i="37"/>
  <c r="D96" i="37"/>
  <c r="D97" i="37"/>
  <c r="D125" i="37"/>
  <c r="D76" i="37"/>
  <c r="D108" i="37"/>
  <c r="D103" i="37"/>
  <c r="D34" i="37"/>
  <c r="D328" i="37" s="1"/>
  <c r="D23" i="37"/>
  <c r="D36" i="37" s="1"/>
  <c r="D37" i="37" l="1"/>
  <c r="D47" i="37" s="1"/>
  <c r="D35" i="37"/>
  <c r="G6" i="37"/>
  <c r="D88" i="37"/>
  <c r="D150" i="37"/>
  <c r="D149" i="37"/>
  <c r="D148" i="37"/>
  <c r="D151" i="37"/>
  <c r="D143" i="37"/>
  <c r="D135" i="37"/>
  <c r="D140" i="37"/>
  <c r="D132" i="37"/>
  <c r="D134" i="37"/>
  <c r="D141" i="37"/>
  <c r="D133" i="37"/>
  <c r="D142" i="37"/>
  <c r="G8" i="37"/>
  <c r="D40" i="37" l="1"/>
  <c r="D43" i="37"/>
  <c r="D329" i="37" s="1"/>
  <c r="D327" i="37"/>
  <c r="D91" i="37"/>
  <c r="D38" i="37"/>
  <c r="D39" i="37" s="1"/>
  <c r="D56" i="37" s="1"/>
  <c r="E149" i="33"/>
  <c r="D52" i="37" l="1"/>
  <c r="D51" i="37"/>
  <c r="D48" i="37"/>
  <c r="D49" i="37"/>
  <c r="D50" i="37" s="1"/>
  <c r="D57" i="37"/>
  <c r="D46" i="37"/>
  <c r="H108" i="14"/>
  <c r="D53" i="37" l="1"/>
  <c r="D54" i="37" s="1"/>
  <c r="D330" i="37" s="1"/>
  <c r="D55" i="37" l="1"/>
  <c r="D59" i="37" s="1"/>
  <c r="D42" i="37"/>
  <c r="D68" i="37"/>
  <c r="D87" i="37" s="1"/>
  <c r="D92" i="37" s="1"/>
  <c r="C32" i="26"/>
  <c r="C76" i="26"/>
  <c r="C73" i="26"/>
  <c r="D89" i="37" l="1"/>
  <c r="D62" i="37"/>
  <c r="D67" i="37" s="1"/>
  <c r="D58" i="37"/>
  <c r="D60" i="37"/>
  <c r="D61" i="37" s="1"/>
  <c r="D69" i="37" s="1"/>
  <c r="D90" i="37" s="1"/>
  <c r="D188" i="37" s="1"/>
  <c r="D304" i="37" s="1"/>
  <c r="AI88" i="26"/>
  <c r="Y88" i="26"/>
  <c r="AI89" i="26"/>
  <c r="Y89" i="26"/>
  <c r="L88" i="26"/>
  <c r="V88" i="26"/>
  <c r="AF88" i="26"/>
  <c r="AF89" i="26"/>
  <c r="V89" i="26"/>
  <c r="O88" i="26"/>
  <c r="F32" i="35"/>
  <c r="W89" i="26" l="1"/>
  <c r="X89" i="26"/>
  <c r="AG89" i="26"/>
  <c r="AH89" i="26"/>
  <c r="W88" i="26"/>
  <c r="X88" i="26"/>
  <c r="AG88" i="26"/>
  <c r="AH88" i="26"/>
  <c r="N88" i="26"/>
  <c r="D93" i="37"/>
  <c r="D189" i="37" s="1"/>
  <c r="D261" i="37" s="1"/>
  <c r="D262" i="37" s="1"/>
  <c r="D331" i="37"/>
  <c r="D72" i="36"/>
  <c r="D73" i="36" s="1"/>
  <c r="D65" i="36"/>
  <c r="D64" i="36"/>
  <c r="D60" i="36"/>
  <c r="D59" i="36"/>
  <c r="C111" i="36"/>
  <c r="C112" i="36"/>
  <c r="C113" i="36"/>
  <c r="C114" i="36"/>
  <c r="C115" i="36"/>
  <c r="C116" i="36"/>
  <c r="C117" i="36"/>
  <c r="C118" i="36"/>
  <c r="C119" i="36"/>
  <c r="C120" i="36"/>
  <c r="C121" i="36"/>
  <c r="C122" i="36"/>
  <c r="C123" i="36"/>
  <c r="C124" i="36"/>
  <c r="C125" i="36"/>
  <c r="C126" i="36"/>
  <c r="C127" i="36"/>
  <c r="C128" i="36"/>
  <c r="C129" i="36"/>
  <c r="C130" i="36"/>
  <c r="C131" i="36"/>
  <c r="C132" i="36"/>
  <c r="C133" i="36"/>
  <c r="C134" i="36"/>
  <c r="C135" i="36"/>
  <c r="C136" i="36"/>
  <c r="C137" i="36"/>
  <c r="C138" i="36"/>
  <c r="C139" i="36"/>
  <c r="D14" i="36"/>
  <c r="D13" i="36"/>
  <c r="D15" i="36" s="1"/>
  <c r="E17" i="36" s="1"/>
  <c r="E18" i="36" s="1"/>
  <c r="D10" i="36"/>
  <c r="D8" i="36"/>
  <c r="C142" i="36"/>
  <c r="C141" i="36"/>
  <c r="C140" i="36"/>
  <c r="Q43" i="36"/>
  <c r="P43" i="36"/>
  <c r="D45" i="36"/>
  <c r="C44" i="36"/>
  <c r="D43" i="36"/>
  <c r="F42" i="36"/>
  <c r="F41" i="36"/>
  <c r="D34" i="36"/>
  <c r="D31" i="36"/>
  <c r="D29" i="36"/>
  <c r="D28" i="36"/>
  <c r="D32" i="36" s="1"/>
  <c r="C27" i="36"/>
  <c r="D20" i="36" l="1"/>
  <c r="D19" i="36"/>
  <c r="D17" i="36"/>
  <c r="D18" i="36" s="1"/>
  <c r="Z88" i="26"/>
  <c r="R88" i="26" s="1"/>
  <c r="AJ88" i="26"/>
  <c r="AB88" i="26" s="1"/>
  <c r="M88" i="26"/>
  <c r="D303" i="37"/>
  <c r="D307" i="37" s="1"/>
  <c r="D308" i="37" s="1"/>
  <c r="D305" i="37"/>
  <c r="D306" i="37" s="1"/>
  <c r="D332" i="37"/>
  <c r="D259" i="37"/>
  <c r="D74" i="36"/>
  <c r="D75" i="36" s="1"/>
  <c r="D76" i="36" s="1"/>
  <c r="D66" i="36"/>
  <c r="D67" i="36" s="1"/>
  <c r="D68" i="36" s="1"/>
  <c r="D35" i="36"/>
  <c r="D36" i="36" s="1"/>
  <c r="F44" i="36"/>
  <c r="F32" i="36"/>
  <c r="D37" i="36"/>
  <c r="D46" i="36"/>
  <c r="D47" i="36"/>
  <c r="D48" i="36" s="1"/>
  <c r="D217" i="35"/>
  <c r="D309" i="37" l="1"/>
  <c r="D311" i="37" s="1"/>
  <c r="D260" i="37"/>
  <c r="D57" i="35"/>
  <c r="D236" i="35" s="1"/>
  <c r="D41" i="35"/>
  <c r="F44" i="35" s="1"/>
  <c r="D46" i="35"/>
  <c r="F34" i="35"/>
  <c r="D310" i="37" l="1"/>
  <c r="D312" i="37" s="1"/>
  <c r="D313" i="37" s="1"/>
  <c r="D62" i="35"/>
  <c r="D63" i="35" s="1"/>
  <c r="E239" i="35"/>
  <c r="D67" i="35"/>
  <c r="D68" i="35" s="1"/>
  <c r="D239" i="35"/>
  <c r="D107" i="35"/>
  <c r="D110" i="35"/>
  <c r="D99" i="35"/>
  <c r="D314" i="37" l="1"/>
  <c r="D315" i="37" s="1"/>
  <c r="D316" i="37" s="1"/>
  <c r="D354" i="37"/>
  <c r="F106" i="35"/>
  <c r="C118" i="26"/>
  <c r="D324" i="37" l="1"/>
  <c r="D319" i="37"/>
  <c r="D320" i="37" s="1"/>
  <c r="C240" i="35"/>
  <c r="H244" i="35"/>
  <c r="H245" i="35" s="1"/>
  <c r="H239" i="35"/>
  <c r="H240" i="35" s="1"/>
  <c r="D321" i="37" l="1"/>
  <c r="D322" i="37" s="1"/>
  <c r="D356" i="37"/>
  <c r="D317" i="37"/>
  <c r="D355" i="37"/>
  <c r="C241" i="35"/>
  <c r="D240" i="35"/>
  <c r="E240" i="35"/>
  <c r="D325" i="37" l="1"/>
  <c r="D352" i="37"/>
  <c r="D318" i="37"/>
  <c r="D323" i="37" s="1"/>
  <c r="E352" i="37" s="1"/>
  <c r="C242" i="35"/>
  <c r="E241" i="35"/>
  <c r="D241" i="35"/>
  <c r="D11" i="35"/>
  <c r="D357" i="37" l="1"/>
  <c r="G324" i="37"/>
  <c r="C243" i="35"/>
  <c r="D242" i="35"/>
  <c r="E242" i="35"/>
  <c r="D27" i="35"/>
  <c r="C148" i="35"/>
  <c r="D24" i="35"/>
  <c r="D23" i="35"/>
  <c r="D22" i="35"/>
  <c r="D21" i="35"/>
  <c r="F37" i="35" s="1"/>
  <c r="D10" i="35"/>
  <c r="D8" i="35"/>
  <c r="C244" i="35" l="1"/>
  <c r="E243" i="35"/>
  <c r="D243" i="35"/>
  <c r="F9" i="35"/>
  <c r="D37" i="35"/>
  <c r="D35" i="35" s="1"/>
  <c r="D36" i="35" s="1"/>
  <c r="D38" i="35" s="1"/>
  <c r="D181" i="35" s="1"/>
  <c r="D184" i="35"/>
  <c r="D100" i="35"/>
  <c r="D143" i="35" s="1"/>
  <c r="C245" i="35" l="1"/>
  <c r="D244" i="35"/>
  <c r="E244" i="35"/>
  <c r="D10" i="33"/>
  <c r="C59" i="33" s="1"/>
  <c r="D24" i="33" s="1"/>
  <c r="D11" i="33"/>
  <c r="E10" i="33"/>
  <c r="C11" i="33"/>
  <c r="E11" i="33" s="1"/>
  <c r="C246" i="35" l="1"/>
  <c r="D245" i="35"/>
  <c r="E245" i="35"/>
  <c r="F22" i="33"/>
  <c r="C158" i="33"/>
  <c r="C156" i="33"/>
  <c r="C247" i="35" l="1"/>
  <c r="E246" i="35"/>
  <c r="D246" i="35"/>
  <c r="D133" i="33"/>
  <c r="D140" i="33"/>
  <c r="D129" i="33"/>
  <c r="D132" i="33" s="1"/>
  <c r="D134" i="33" s="1"/>
  <c r="D139" i="33" s="1"/>
  <c r="D147" i="33" s="1"/>
  <c r="D154" i="33"/>
  <c r="D163" i="33" s="1"/>
  <c r="D157" i="33"/>
  <c r="D159" i="33"/>
  <c r="D160" i="33"/>
  <c r="D168" i="33"/>
  <c r="C169" i="33"/>
  <c r="D170" i="33"/>
  <c r="D171" i="33"/>
  <c r="D173" i="33"/>
  <c r="D174" i="33" s="1"/>
  <c r="D177" i="33"/>
  <c r="D178" i="33"/>
  <c r="C180" i="33"/>
  <c r="D181" i="33"/>
  <c r="C248" i="35" l="1"/>
  <c r="D247" i="35"/>
  <c r="E247" i="35"/>
  <c r="D182" i="33"/>
  <c r="D172" i="33"/>
  <c r="D175" i="33" s="1"/>
  <c r="D176" i="33" s="1"/>
  <c r="C249" i="35" l="1"/>
  <c r="E248" i="35"/>
  <c r="D248" i="35"/>
  <c r="D194" i="35"/>
  <c r="D190" i="35"/>
  <c r="D192" i="35" s="1"/>
  <c r="D189" i="35"/>
  <c r="D219" i="35"/>
  <c r="F220" i="35"/>
  <c r="D222" i="35"/>
  <c r="D224" i="35"/>
  <c r="C51" i="35"/>
  <c r="E50" i="35"/>
  <c r="C250" i="35" l="1"/>
  <c r="E249" i="35"/>
  <c r="D249" i="35"/>
  <c r="E51" i="35"/>
  <c r="D52" i="35"/>
  <c r="D191" i="35"/>
  <c r="D193" i="35" s="1"/>
  <c r="D199" i="35" s="1"/>
  <c r="D225" i="35"/>
  <c r="F226" i="35" s="1"/>
  <c r="F221" i="35"/>
  <c r="D18" i="34"/>
  <c r="F18" i="34"/>
  <c r="H18" i="34"/>
  <c r="J18" i="34"/>
  <c r="D19" i="34"/>
  <c r="F19" i="34"/>
  <c r="H19" i="34"/>
  <c r="J19" i="34"/>
  <c r="D207" i="35" l="1"/>
  <c r="C251" i="35"/>
  <c r="D250" i="35"/>
  <c r="E250" i="35"/>
  <c r="D230" i="35"/>
  <c r="C252" i="35" l="1"/>
  <c r="D251" i="35"/>
  <c r="E251" i="35"/>
  <c r="D195" i="35"/>
  <c r="D201" i="35"/>
  <c r="D229" i="35"/>
  <c r="F229" i="35" s="1"/>
  <c r="D15" i="33"/>
  <c r="D14" i="33"/>
  <c r="D116" i="35" l="1"/>
  <c r="D133" i="35" s="1"/>
  <c r="C253" i="35"/>
  <c r="D252" i="35"/>
  <c r="E252" i="35"/>
  <c r="D231" i="35"/>
  <c r="D232" i="35" s="1"/>
  <c r="D16" i="33"/>
  <c r="D17" i="33" s="1"/>
  <c r="D117" i="35" l="1"/>
  <c r="E168" i="35" s="1"/>
  <c r="D123" i="35"/>
  <c r="C254" i="35"/>
  <c r="D253" i="35"/>
  <c r="E253" i="35"/>
  <c r="D27" i="34"/>
  <c r="C255" i="35" l="1"/>
  <c r="E254" i="35"/>
  <c r="D254" i="35"/>
  <c r="R111" i="34"/>
  <c r="P111" i="34"/>
  <c r="V110" i="34"/>
  <c r="V111" i="34" s="1"/>
  <c r="U110" i="34"/>
  <c r="U111" i="34" s="1"/>
  <c r="T110" i="34"/>
  <c r="T111" i="34" s="1"/>
  <c r="R110" i="34"/>
  <c r="P110" i="34"/>
  <c r="C89" i="34"/>
  <c r="C88" i="34"/>
  <c r="D87" i="34"/>
  <c r="C87" i="34"/>
  <c r="D86" i="34"/>
  <c r="B86" i="34"/>
  <c r="D67" i="34"/>
  <c r="D65" i="34"/>
  <c r="J27" i="34"/>
  <c r="H27" i="34"/>
  <c r="F27" i="34"/>
  <c r="J20" i="34"/>
  <c r="J21" i="34" s="1"/>
  <c r="H22" i="34"/>
  <c r="H23" i="34" s="1"/>
  <c r="F20" i="34"/>
  <c r="F21" i="34" s="1"/>
  <c r="D22" i="34"/>
  <c r="D23" i="34" s="1"/>
  <c r="J14" i="34"/>
  <c r="J17" i="34" s="1"/>
  <c r="H14" i="34"/>
  <c r="H17" i="34" s="1"/>
  <c r="F14" i="34"/>
  <c r="F17" i="34" s="1"/>
  <c r="D14" i="34"/>
  <c r="D17" i="34" s="1"/>
  <c r="J12" i="34"/>
  <c r="H12" i="34"/>
  <c r="F12" i="34"/>
  <c r="D12" i="34"/>
  <c r="J11" i="34"/>
  <c r="H11" i="34"/>
  <c r="F11" i="34"/>
  <c r="D11" i="34"/>
  <c r="J10" i="34"/>
  <c r="H10" i="34"/>
  <c r="F10" i="34"/>
  <c r="D10" i="34"/>
  <c r="K7" i="34"/>
  <c r="C90" i="34" l="1"/>
  <c r="C91" i="34"/>
  <c r="C256" i="35"/>
  <c r="E255" i="35"/>
  <c r="D255" i="35"/>
  <c r="D77" i="34"/>
  <c r="D78" i="34" s="1"/>
  <c r="J22" i="34"/>
  <c r="J23" i="34" s="1"/>
  <c r="J25" i="34" s="1"/>
  <c r="J26" i="34" s="1"/>
  <c r="H77" i="34"/>
  <c r="D80" i="34" s="1"/>
  <c r="F22" i="34"/>
  <c r="F23" i="34" s="1"/>
  <c r="F25" i="34" s="1"/>
  <c r="F26" i="34" s="1"/>
  <c r="D48" i="34"/>
  <c r="D45" i="34"/>
  <c r="D46" i="34"/>
  <c r="K8" i="34"/>
  <c r="D49" i="34"/>
  <c r="H20" i="34"/>
  <c r="D20" i="34"/>
  <c r="D24" i="34" s="1"/>
  <c r="C257" i="35" l="1"/>
  <c r="E256" i="35"/>
  <c r="D256" i="35"/>
  <c r="D21" i="34"/>
  <c r="D28" i="34"/>
  <c r="H24" i="34"/>
  <c r="H28" i="34" s="1"/>
  <c r="H21" i="34"/>
  <c r="J24" i="34"/>
  <c r="J28" i="34" s="1"/>
  <c r="J77" i="34"/>
  <c r="D81" i="34" s="1"/>
  <c r="F24" i="34"/>
  <c r="F28" i="34" s="1"/>
  <c r="F77" i="34"/>
  <c r="D79" i="34" s="1"/>
  <c r="D64" i="34"/>
  <c r="D74" i="34"/>
  <c r="D25" i="34"/>
  <c r="D26" i="34" s="1"/>
  <c r="H25" i="34"/>
  <c r="H26" i="34" s="1"/>
  <c r="C258" i="35" l="1"/>
  <c r="D257" i="35"/>
  <c r="E257" i="35"/>
  <c r="K21" i="34"/>
  <c r="H29" i="34"/>
  <c r="L21" i="34"/>
  <c r="S110" i="34"/>
  <c r="S111" i="34" s="1"/>
  <c r="J29" i="34"/>
  <c r="J30" i="34"/>
  <c r="Q110" i="34"/>
  <c r="Q111" i="34" s="1"/>
  <c r="D76" i="34"/>
  <c r="D31" i="34"/>
  <c r="D32" i="34" s="1"/>
  <c r="O110" i="34"/>
  <c r="O111" i="34" s="1"/>
  <c r="D34" i="34"/>
  <c r="L24" i="34" s="1"/>
  <c r="C259" i="35" l="1"/>
  <c r="D258" i="35"/>
  <c r="E258" i="35"/>
  <c r="K20" i="34"/>
  <c r="H30" i="34"/>
  <c r="D35" i="34"/>
  <c r="F30" i="34"/>
  <c r="F29" i="34"/>
  <c r="D30" i="34"/>
  <c r="D29" i="34"/>
  <c r="C260" i="35" l="1"/>
  <c r="E259" i="35"/>
  <c r="D259" i="35"/>
  <c r="D33" i="34"/>
  <c r="D51" i="34" s="1"/>
  <c r="D36" i="34"/>
  <c r="D52" i="34" s="1"/>
  <c r="C261" i="35" l="1"/>
  <c r="D260" i="35"/>
  <c r="E260" i="35"/>
  <c r="E17" i="11"/>
  <c r="D115" i="33"/>
  <c r="D116" i="33" s="1"/>
  <c r="D108" i="33"/>
  <c r="C107" i="33"/>
  <c r="D99" i="33"/>
  <c r="C64" i="33"/>
  <c r="D63" i="33"/>
  <c r="C63" i="33" s="1"/>
  <c r="D57" i="33" s="1"/>
  <c r="D142" i="33"/>
  <c r="D40" i="33"/>
  <c r="D39" i="33"/>
  <c r="D34" i="33"/>
  <c r="D41" i="33" s="1"/>
  <c r="D28" i="33"/>
  <c r="F28" i="33" s="1"/>
  <c r="D23" i="33"/>
  <c r="K7" i="33" s="1"/>
  <c r="C22" i="33"/>
  <c r="D8" i="33"/>
  <c r="E9" i="33" s="1"/>
  <c r="F7" i="33"/>
  <c r="F6" i="33"/>
  <c r="C262" i="35" l="1"/>
  <c r="D261" i="35"/>
  <c r="E261" i="35"/>
  <c r="D35" i="33"/>
  <c r="F35" i="33" s="1"/>
  <c r="D59" i="33"/>
  <c r="D37" i="33" s="1"/>
  <c r="F40" i="33" s="1"/>
  <c r="F41" i="33"/>
  <c r="D100" i="33"/>
  <c r="F34" i="33"/>
  <c r="D29" i="33"/>
  <c r="F29" i="33" s="1"/>
  <c r="D109" i="33"/>
  <c r="D110" i="33" s="1"/>
  <c r="K13" i="33" s="1"/>
  <c r="F107" i="33"/>
  <c r="D18" i="33"/>
  <c r="C65" i="33"/>
  <c r="F21" i="33" s="1"/>
  <c r="D44" i="33"/>
  <c r="F44" i="33" s="1"/>
  <c r="C57" i="33"/>
  <c r="D105" i="33"/>
  <c r="D126" i="33" s="1"/>
  <c r="F8" i="33"/>
  <c r="C263" i="35" l="1"/>
  <c r="E262" i="35"/>
  <c r="D262" i="35"/>
  <c r="D30" i="33"/>
  <c r="K9" i="33" s="1"/>
  <c r="D25" i="33"/>
  <c r="D26" i="33" s="1"/>
  <c r="F26" i="33" s="1"/>
  <c r="D45" i="33"/>
  <c r="F45" i="33" s="1"/>
  <c r="D65" i="33"/>
  <c r="F39" i="33" s="1"/>
  <c r="D111" i="33"/>
  <c r="K12" i="33" s="1"/>
  <c r="D106" i="33"/>
  <c r="D112" i="33"/>
  <c r="D114" i="33" s="1"/>
  <c r="D127" i="33" s="1"/>
  <c r="D102" i="33"/>
  <c r="K11" i="33"/>
  <c r="F24" i="33"/>
  <c r="D42" i="33" l="1"/>
  <c r="F42" i="33" s="1"/>
  <c r="C264" i="35"/>
  <c r="E263" i="35"/>
  <c r="D263" i="35"/>
  <c r="D43" i="33"/>
  <c r="F43" i="33" s="1"/>
  <c r="D27" i="33"/>
  <c r="K8" i="33" s="1"/>
  <c r="F25" i="33"/>
  <c r="D103" i="33"/>
  <c r="D195" i="33"/>
  <c r="D198" i="33" s="1"/>
  <c r="D199" i="33" s="1"/>
  <c r="D200" i="33" s="1"/>
  <c r="D117" i="33"/>
  <c r="D118" i="33" s="1"/>
  <c r="D136" i="33"/>
  <c r="E117" i="33"/>
  <c r="E118" i="33" s="1"/>
  <c r="F101" i="33"/>
  <c r="C13" i="26"/>
  <c r="E13" i="26" s="1"/>
  <c r="D104" i="33" l="1"/>
  <c r="K18" i="33" s="1"/>
  <c r="C265" i="35"/>
  <c r="E264" i="35"/>
  <c r="D264" i="35"/>
  <c r="D161" i="33" l="1"/>
  <c r="D162" i="33" s="1"/>
  <c r="C266" i="35"/>
  <c r="E265" i="35"/>
  <c r="D265" i="35"/>
  <c r="E22" i="11"/>
  <c r="C95" i="31"/>
  <c r="F94" i="31"/>
  <c r="G94" i="31" s="1"/>
  <c r="E94" i="31"/>
  <c r="D94" i="31"/>
  <c r="H93" i="31"/>
  <c r="E37" i="31"/>
  <c r="E29" i="31"/>
  <c r="E27" i="31"/>
  <c r="E26" i="31"/>
  <c r="E25" i="31"/>
  <c r="E14" i="31"/>
  <c r="E18" i="31" s="1"/>
  <c r="E13" i="31"/>
  <c r="E17" i="31" s="1"/>
  <c r="E36" i="31" s="1"/>
  <c r="D135" i="33" l="1"/>
  <c r="D137" i="33" s="1"/>
  <c r="C267" i="35"/>
  <c r="D266" i="35"/>
  <c r="E266" i="35"/>
  <c r="E31" i="31"/>
  <c r="F95" i="31"/>
  <c r="F96" i="31" s="1"/>
  <c r="F97" i="31" s="1"/>
  <c r="E30" i="31"/>
  <c r="E33" i="31"/>
  <c r="C96" i="31"/>
  <c r="E95" i="31"/>
  <c r="D95" i="31"/>
  <c r="E28" i="31"/>
  <c r="D138" i="33" l="1"/>
  <c r="D145" i="33" s="1"/>
  <c r="E124" i="33" s="1"/>
  <c r="D149" i="33"/>
  <c r="E32" i="31"/>
  <c r="E38" i="31" s="1"/>
  <c r="E39" i="31" s="1"/>
  <c r="D164" i="33"/>
  <c r="D165" i="33" s="1"/>
  <c r="F162" i="33"/>
  <c r="C268" i="35"/>
  <c r="E267" i="35"/>
  <c r="D267" i="35"/>
  <c r="G95" i="31"/>
  <c r="E35" i="31"/>
  <c r="E34" i="31"/>
  <c r="E96" i="31"/>
  <c r="D96" i="31"/>
  <c r="C97" i="31"/>
  <c r="G96" i="31"/>
  <c r="F98" i="31"/>
  <c r="D146" i="33" l="1"/>
  <c r="D148" i="33"/>
  <c r="D151" i="33" s="1"/>
  <c r="C269" i="35"/>
  <c r="E268" i="35"/>
  <c r="D268" i="35"/>
  <c r="C98" i="31"/>
  <c r="G98" i="31" s="1"/>
  <c r="E97" i="31"/>
  <c r="D97" i="31"/>
  <c r="F99" i="31"/>
  <c r="E42" i="31"/>
  <c r="E40" i="31"/>
  <c r="E43" i="31" s="1"/>
  <c r="G97" i="31"/>
  <c r="E41" i="31"/>
  <c r="D150" i="33" l="1"/>
  <c r="D269" i="35"/>
  <c r="E269" i="35"/>
  <c r="E44" i="31"/>
  <c r="F100" i="31"/>
  <c r="C99" i="31"/>
  <c r="G99" i="31" s="1"/>
  <c r="E98" i="31"/>
  <c r="D98" i="31"/>
  <c r="E45" i="31" l="1"/>
  <c r="F101" i="31"/>
  <c r="E99" i="31"/>
  <c r="C100" i="31"/>
  <c r="G100" i="31" s="1"/>
  <c r="D99" i="31"/>
  <c r="H99" i="31" l="1"/>
  <c r="E47" i="31"/>
  <c r="H94" i="31"/>
  <c r="H95" i="31"/>
  <c r="H96" i="31"/>
  <c r="H97" i="31"/>
  <c r="H98" i="31"/>
  <c r="D100" i="31"/>
  <c r="E100" i="31"/>
  <c r="H100" i="31" s="1"/>
  <c r="C101" i="31"/>
  <c r="F102" i="31"/>
  <c r="C102" i="31" l="1"/>
  <c r="D101" i="31"/>
  <c r="E101" i="31"/>
  <c r="H101" i="31" s="1"/>
  <c r="E46" i="31"/>
  <c r="G101" i="31"/>
  <c r="F103" i="31"/>
  <c r="D102" i="31" l="1"/>
  <c r="C103" i="31"/>
  <c r="E102" i="31"/>
  <c r="H102" i="31" s="1"/>
  <c r="G102" i="31"/>
  <c r="F104" i="31"/>
  <c r="G103" i="31"/>
  <c r="F105" i="31" l="1"/>
  <c r="C104" i="31"/>
  <c r="G104" i="31" s="1"/>
  <c r="E103" i="31"/>
  <c r="H103" i="31" s="1"/>
  <c r="D103" i="31"/>
  <c r="F106" i="31" l="1"/>
  <c r="D104" i="31"/>
  <c r="E104" i="31"/>
  <c r="H104" i="31" s="1"/>
  <c r="C105" i="31"/>
  <c r="G105" i="31" s="1"/>
  <c r="E105" i="31" l="1"/>
  <c r="H105" i="31" s="1"/>
  <c r="C106" i="31"/>
  <c r="G106" i="31" s="1"/>
  <c r="D105" i="31"/>
  <c r="F107" i="31"/>
  <c r="F108" i="31" l="1"/>
  <c r="D106" i="31"/>
  <c r="E106" i="31"/>
  <c r="H106" i="31" s="1"/>
  <c r="C107" i="31"/>
  <c r="F109" i="31" l="1"/>
  <c r="E107" i="31"/>
  <c r="H107" i="31" s="1"/>
  <c r="C108" i="31"/>
  <c r="G108" i="31" s="1"/>
  <c r="D107" i="31"/>
  <c r="G107" i="31"/>
  <c r="F110" i="31" l="1"/>
  <c r="D108" i="31"/>
  <c r="E108" i="31"/>
  <c r="H108" i="31" s="1"/>
  <c r="C109" i="31"/>
  <c r="F111" i="31" l="1"/>
  <c r="C110" i="31"/>
  <c r="G110" i="31" s="1"/>
  <c r="D109" i="31"/>
  <c r="E109" i="31"/>
  <c r="H109" i="31" s="1"/>
  <c r="G109" i="31"/>
  <c r="F112" i="31" l="1"/>
  <c r="D110" i="31"/>
  <c r="C111" i="31"/>
  <c r="G111" i="31" s="1"/>
  <c r="E110" i="31"/>
  <c r="H110" i="31" s="1"/>
  <c r="F113" i="31" l="1"/>
  <c r="E111" i="31"/>
  <c r="H111" i="31" s="1"/>
  <c r="D111" i="31"/>
  <c r="C112" i="31"/>
  <c r="G112" i="31" s="1"/>
  <c r="D112" i="31" l="1"/>
  <c r="C113" i="31"/>
  <c r="E112" i="31"/>
  <c r="H112" i="31" s="1"/>
  <c r="F114" i="31"/>
  <c r="E113" i="31" l="1"/>
  <c r="H113" i="31" s="1"/>
  <c r="D113" i="31"/>
  <c r="C114" i="31"/>
  <c r="G114" i="31" s="1"/>
  <c r="G113" i="31"/>
  <c r="F115" i="31"/>
  <c r="D53" i="9"/>
  <c r="D52" i="9"/>
  <c r="D50" i="9"/>
  <c r="F116" i="31" l="1"/>
  <c r="D114" i="31"/>
  <c r="E114" i="31"/>
  <c r="H114" i="31" s="1"/>
  <c r="C115" i="31"/>
  <c r="G115" i="31" s="1"/>
  <c r="E115" i="31" l="1"/>
  <c r="H115" i="31" s="1"/>
  <c r="C116" i="31"/>
  <c r="D115" i="31"/>
  <c r="F117" i="31"/>
  <c r="E230" i="27"/>
  <c r="D116" i="31" l="1"/>
  <c r="E116" i="31"/>
  <c r="H116" i="31" s="1"/>
  <c r="C117" i="31"/>
  <c r="G116" i="31"/>
  <c r="G117" i="31"/>
  <c r="F118" i="31"/>
  <c r="F119" i="31" l="1"/>
  <c r="C118" i="31"/>
  <c r="G118" i="31" s="1"/>
  <c r="D117" i="31"/>
  <c r="E117" i="31"/>
  <c r="H117" i="31" s="1"/>
  <c r="D118" i="31" l="1"/>
  <c r="C119" i="31"/>
  <c r="E118" i="31"/>
  <c r="H118" i="31" s="1"/>
  <c r="F120" i="31"/>
  <c r="E119" i="31" l="1"/>
  <c r="H119" i="31" s="1"/>
  <c r="C120" i="31"/>
  <c r="D119" i="31"/>
  <c r="F121" i="31"/>
  <c r="G119" i="31"/>
  <c r="F122" i="31" l="1"/>
  <c r="D120" i="31"/>
  <c r="E120" i="31"/>
  <c r="H120" i="31" s="1"/>
  <c r="C121" i="31"/>
  <c r="G121" i="31" s="1"/>
  <c r="G120" i="31"/>
  <c r="E121" i="31" l="1"/>
  <c r="H121" i="31" s="1"/>
  <c r="C122" i="31"/>
  <c r="D121" i="31"/>
  <c r="F123" i="31"/>
  <c r="D122" i="31" l="1"/>
  <c r="E122" i="31"/>
  <c r="H122" i="31" s="1"/>
  <c r="C123" i="31"/>
  <c r="F124" i="31"/>
  <c r="G123" i="31"/>
  <c r="G122" i="31"/>
  <c r="F125" i="31" l="1"/>
  <c r="E123" i="31"/>
  <c r="H123" i="31" s="1"/>
  <c r="C124" i="31"/>
  <c r="G124" i="31" s="1"/>
  <c r="D123" i="31"/>
  <c r="D124" i="31" l="1"/>
  <c r="E124" i="31"/>
  <c r="H124" i="31" s="1"/>
  <c r="C125" i="31"/>
  <c r="G125" i="31" s="1"/>
  <c r="F126" i="31"/>
  <c r="F127" i="31" l="1"/>
  <c r="C126" i="31"/>
  <c r="G126" i="31" s="1"/>
  <c r="D125" i="31"/>
  <c r="E125" i="31"/>
  <c r="H125" i="31" s="1"/>
  <c r="D126" i="31" l="1"/>
  <c r="C127" i="31"/>
  <c r="E126" i="31"/>
  <c r="H126" i="31" s="1"/>
  <c r="F128" i="31"/>
  <c r="E127" i="31" l="1"/>
  <c r="H127" i="31" s="1"/>
  <c r="C128" i="31"/>
  <c r="D127" i="31"/>
  <c r="F129" i="31"/>
  <c r="G127" i="31"/>
  <c r="E40" i="27"/>
  <c r="C230" i="27"/>
  <c r="B230" i="27"/>
  <c r="E41" i="27" l="1"/>
  <c r="D64" i="27"/>
  <c r="D85" i="27" s="1"/>
  <c r="D81" i="27" s="1"/>
  <c r="D128" i="31"/>
  <c r="E128" i="31"/>
  <c r="H128" i="31" s="1"/>
  <c r="C129" i="31"/>
  <c r="F130" i="31"/>
  <c r="G129" i="31"/>
  <c r="G128" i="31"/>
  <c r="E42" i="27" l="1"/>
  <c r="D65" i="27"/>
  <c r="D86" i="27" s="1"/>
  <c r="D80" i="27" s="1"/>
  <c r="E129" i="31"/>
  <c r="H129" i="31" s="1"/>
  <c r="C130" i="31"/>
  <c r="D129" i="31"/>
  <c r="F131" i="31"/>
  <c r="E117" i="26"/>
  <c r="E43" i="27" l="1"/>
  <c r="D66" i="27"/>
  <c r="D87" i="27" s="1"/>
  <c r="D79" i="27" s="1"/>
  <c r="D130" i="31"/>
  <c r="E130" i="31"/>
  <c r="H130" i="31" s="1"/>
  <c r="C131" i="31"/>
  <c r="F132" i="31"/>
  <c r="G130" i="31"/>
  <c r="E44" i="27" l="1"/>
  <c r="D67" i="27"/>
  <c r="D88" i="27" s="1"/>
  <c r="D78" i="27" s="1"/>
  <c r="F133" i="31"/>
  <c r="E131" i="31"/>
  <c r="H131" i="31" s="1"/>
  <c r="C132" i="31"/>
  <c r="G132" i="31" s="1"/>
  <c r="D131" i="31"/>
  <c r="G131" i="31"/>
  <c r="D53" i="27"/>
  <c r="D45" i="27"/>
  <c r="D44" i="27"/>
  <c r="E45" i="27" l="1"/>
  <c r="D69" i="27" s="1"/>
  <c r="D90" i="27" s="1"/>
  <c r="D68" i="27"/>
  <c r="D89" i="27" s="1"/>
  <c r="D77" i="27" s="1"/>
  <c r="D57" i="27"/>
  <c r="D209" i="27"/>
  <c r="D132" i="31"/>
  <c r="E132" i="31"/>
  <c r="H132" i="31" s="1"/>
  <c r="C133" i="31"/>
  <c r="G133" i="31" s="1"/>
  <c r="F134" i="31"/>
  <c r="D51" i="26"/>
  <c r="D49" i="26"/>
  <c r="D40" i="26"/>
  <c r="D59" i="27" l="1"/>
  <c r="D198" i="27"/>
  <c r="D199" i="27" s="1"/>
  <c r="D54" i="27"/>
  <c r="D55" i="27"/>
  <c r="D56" i="27"/>
  <c r="F135" i="31"/>
  <c r="C134" i="31"/>
  <c r="G134" i="31" s="1"/>
  <c r="D133" i="31"/>
  <c r="E133" i="31"/>
  <c r="H133" i="31" s="1"/>
  <c r="D210" i="27"/>
  <c r="D211" i="27" s="1"/>
  <c r="Z124" i="26"/>
  <c r="Y139" i="26"/>
  <c r="X139" i="26"/>
  <c r="W139" i="26"/>
  <c r="V139" i="26"/>
  <c r="Y138" i="26"/>
  <c r="X138" i="26"/>
  <c r="W138" i="26"/>
  <c r="V138" i="26"/>
  <c r="Y137" i="26"/>
  <c r="X137" i="26"/>
  <c r="W137" i="26"/>
  <c r="V137" i="26"/>
  <c r="Y136" i="26"/>
  <c r="X136" i="26"/>
  <c r="W136" i="26"/>
  <c r="V136" i="26"/>
  <c r="Y135" i="26"/>
  <c r="X135" i="26"/>
  <c r="W135" i="26"/>
  <c r="V135" i="26"/>
  <c r="Y134" i="26"/>
  <c r="X134" i="26"/>
  <c r="W134" i="26"/>
  <c r="V134" i="26"/>
  <c r="Y133" i="26"/>
  <c r="X133" i="26"/>
  <c r="W133" i="26"/>
  <c r="V133" i="26"/>
  <c r="Y132" i="26"/>
  <c r="X132" i="26"/>
  <c r="W132" i="26"/>
  <c r="V132" i="26"/>
  <c r="Y131" i="26"/>
  <c r="X131" i="26"/>
  <c r="W131" i="26"/>
  <c r="V131" i="26"/>
  <c r="Y130" i="26"/>
  <c r="X130" i="26"/>
  <c r="W130" i="26"/>
  <c r="V130" i="26"/>
  <c r="Y129" i="26"/>
  <c r="X129" i="26"/>
  <c r="W129" i="26"/>
  <c r="V129" i="26"/>
  <c r="Y128" i="26"/>
  <c r="X128" i="26"/>
  <c r="W128" i="26"/>
  <c r="V128" i="26"/>
  <c r="Y127" i="26"/>
  <c r="X127" i="26"/>
  <c r="W127" i="26"/>
  <c r="V127" i="26"/>
  <c r="Y126" i="26"/>
  <c r="X126" i="26"/>
  <c r="W126" i="26"/>
  <c r="V126" i="26"/>
  <c r="Y125" i="26"/>
  <c r="X125" i="26"/>
  <c r="W125" i="26"/>
  <c r="V125" i="26"/>
  <c r="S123" i="26"/>
  <c r="D134" i="31" l="1"/>
  <c r="C135" i="31"/>
  <c r="E134" i="31"/>
  <c r="H134" i="31" s="1"/>
  <c r="F136" i="31"/>
  <c r="F125" i="26"/>
  <c r="F137" i="31" l="1"/>
  <c r="E135" i="31"/>
  <c r="H135" i="31" s="1"/>
  <c r="C136" i="31"/>
  <c r="G136" i="31" s="1"/>
  <c r="D135" i="31"/>
  <c r="G135" i="31"/>
  <c r="C41" i="26"/>
  <c r="D136" i="31" l="1"/>
  <c r="E136" i="31"/>
  <c r="H136" i="31" s="1"/>
  <c r="C137" i="31"/>
  <c r="G137" i="31" s="1"/>
  <c r="F138" i="31"/>
  <c r="B127" i="26"/>
  <c r="D127" i="26" s="1"/>
  <c r="D126" i="26"/>
  <c r="D125" i="26"/>
  <c r="F139" i="31" l="1"/>
  <c r="C138" i="31"/>
  <c r="G138" i="31" s="1"/>
  <c r="D137" i="31"/>
  <c r="E137" i="31"/>
  <c r="H137" i="31" s="1"/>
  <c r="B128" i="26"/>
  <c r="B129" i="26" s="1"/>
  <c r="B130" i="26" s="1"/>
  <c r="B131" i="26" s="1"/>
  <c r="B132" i="26" s="1"/>
  <c r="B133" i="26" s="1"/>
  <c r="B134" i="26" s="1"/>
  <c r="B135" i="26" s="1"/>
  <c r="B136" i="26" s="1"/>
  <c r="B137" i="26" s="1"/>
  <c r="B138" i="26" s="1"/>
  <c r="B139" i="26" s="1"/>
  <c r="B140" i="26" s="1"/>
  <c r="B141" i="26" s="1"/>
  <c r="B142" i="26" s="1"/>
  <c r="B143" i="26" s="1"/>
  <c r="B144" i="26" s="1"/>
  <c r="B145" i="26" s="1"/>
  <c r="B146" i="26" s="1"/>
  <c r="B147" i="26" s="1"/>
  <c r="B148" i="26" s="1"/>
  <c r="B149" i="26" s="1"/>
  <c r="B150" i="26" s="1"/>
  <c r="B151" i="26" s="1"/>
  <c r="B152" i="26" s="1"/>
  <c r="B153" i="26" s="1"/>
  <c r="B154" i="26" s="1"/>
  <c r="B155" i="26" s="1"/>
  <c r="B156" i="26" s="1"/>
  <c r="B157" i="26" s="1"/>
  <c r="B158" i="26" s="1"/>
  <c r="B159" i="26" s="1"/>
  <c r="B160" i="26" s="1"/>
  <c r="B161" i="26" s="1"/>
  <c r="B162" i="26" s="1"/>
  <c r="B163" i="26" s="1"/>
  <c r="B164" i="26" s="1"/>
  <c r="B165" i="26" s="1"/>
  <c r="B166" i="26" s="1"/>
  <c r="B167" i="26" s="1"/>
  <c r="B168" i="26" s="1"/>
  <c r="B169" i="26" s="1"/>
  <c r="B170" i="26" s="1"/>
  <c r="B171" i="26" s="1"/>
  <c r="B172" i="26" s="1"/>
  <c r="B173" i="26" s="1"/>
  <c r="B174" i="26" s="1"/>
  <c r="B175" i="26" s="1"/>
  <c r="B176" i="26" s="1"/>
  <c r="B177" i="26" s="1"/>
  <c r="B178" i="26" s="1"/>
  <c r="B179" i="26" s="1"/>
  <c r="B180" i="26" s="1"/>
  <c r="B181" i="26" s="1"/>
  <c r="B182" i="26" s="1"/>
  <c r="B183" i="26" s="1"/>
  <c r="B184" i="26" s="1"/>
  <c r="B185" i="26" s="1"/>
  <c r="B186" i="26" s="1"/>
  <c r="B187" i="26" s="1"/>
  <c r="B188" i="26" s="1"/>
  <c r="B189" i="26" s="1"/>
  <c r="B190" i="26" s="1"/>
  <c r="B191" i="26" s="1"/>
  <c r="B192" i="26" s="1"/>
  <c r="B193" i="26" s="1"/>
  <c r="B194" i="26" s="1"/>
  <c r="B195" i="26" s="1"/>
  <c r="B196" i="26" s="1"/>
  <c r="B197" i="26" s="1"/>
  <c r="B198" i="26" s="1"/>
  <c r="B199" i="26" s="1"/>
  <c r="B200" i="26" s="1"/>
  <c r="B201" i="26" s="1"/>
  <c r="B202" i="26" s="1"/>
  <c r="B203" i="26" s="1"/>
  <c r="C8" i="26"/>
  <c r="C17" i="26"/>
  <c r="G90" i="26" l="1"/>
  <c r="G91" i="26" s="1"/>
  <c r="G92" i="26" s="1"/>
  <c r="G93" i="26" s="1"/>
  <c r="G94" i="26" s="1"/>
  <c r="G95" i="26" s="1"/>
  <c r="G96" i="26" s="1"/>
  <c r="G97" i="26" s="1"/>
  <c r="G98" i="26" s="1"/>
  <c r="G99" i="26" s="1"/>
  <c r="G100" i="26" s="1"/>
  <c r="G101" i="26" s="1"/>
  <c r="G102" i="26" s="1"/>
  <c r="G103" i="26" s="1"/>
  <c r="G104" i="26" s="1"/>
  <c r="G105" i="26" s="1"/>
  <c r="G106" i="26" s="1"/>
  <c r="G107" i="26" s="1"/>
  <c r="G108" i="26" s="1"/>
  <c r="Q90" i="26"/>
  <c r="AA90" i="26"/>
  <c r="C9" i="26"/>
  <c r="E10" i="26" s="1"/>
  <c r="D138" i="31"/>
  <c r="E138" i="31"/>
  <c r="H138" i="31" s="1"/>
  <c r="C139" i="31"/>
  <c r="G139" i="31" s="1"/>
  <c r="F140" i="31"/>
  <c r="C126" i="26"/>
  <c r="C127" i="26"/>
  <c r="C125" i="26"/>
  <c r="C128" i="26"/>
  <c r="D128" i="26"/>
  <c r="C26" i="26"/>
  <c r="E49" i="26" s="1"/>
  <c r="C24" i="26"/>
  <c r="C45" i="26" s="1"/>
  <c r="C14" i="26"/>
  <c r="AA91" i="26" l="1"/>
  <c r="AD90" i="26"/>
  <c r="AE90" i="26"/>
  <c r="AC90" i="26"/>
  <c r="Q91" i="26"/>
  <c r="T90" i="26"/>
  <c r="U90" i="26"/>
  <c r="S90" i="26"/>
  <c r="C19" i="26"/>
  <c r="C67" i="26"/>
  <c r="E125" i="26"/>
  <c r="E14" i="26"/>
  <c r="E139" i="31"/>
  <c r="H139" i="31" s="1"/>
  <c r="C140" i="31"/>
  <c r="D139" i="31"/>
  <c r="F141" i="31"/>
  <c r="E40" i="26"/>
  <c r="C46" i="26"/>
  <c r="C47" i="26" s="1"/>
  <c r="C42" i="26"/>
  <c r="C43" i="26" s="1"/>
  <c r="C44" i="26" s="1"/>
  <c r="C129" i="26"/>
  <c r="D129" i="26"/>
  <c r="C27" i="26"/>
  <c r="C18" i="26"/>
  <c r="C15" i="26"/>
  <c r="C16" i="26" s="1"/>
  <c r="Y90" i="26" l="1"/>
  <c r="V90" i="26"/>
  <c r="W90" i="26" s="1"/>
  <c r="Q92" i="26"/>
  <c r="T91" i="26"/>
  <c r="S91" i="26"/>
  <c r="U91" i="26"/>
  <c r="AI90" i="26"/>
  <c r="AF90" i="26"/>
  <c r="AG90" i="26" s="1"/>
  <c r="AA92" i="26"/>
  <c r="AD91" i="26"/>
  <c r="AE91" i="26"/>
  <c r="AC91" i="26"/>
  <c r="F132" i="26"/>
  <c r="E132" i="26" s="1"/>
  <c r="C82" i="26"/>
  <c r="E81" i="26" s="1"/>
  <c r="E66" i="26"/>
  <c r="E19" i="26"/>
  <c r="C20" i="26"/>
  <c r="C28" i="26"/>
  <c r="C29" i="26" s="1"/>
  <c r="D140" i="31"/>
  <c r="E140" i="31"/>
  <c r="H140" i="31" s="1"/>
  <c r="C141" i="31"/>
  <c r="F142" i="31"/>
  <c r="G141" i="31"/>
  <c r="G140" i="31"/>
  <c r="C120" i="26"/>
  <c r="C115" i="26"/>
  <c r="C130" i="26"/>
  <c r="D130" i="26"/>
  <c r="AF91" i="26" l="1"/>
  <c r="AG91" i="26" s="1"/>
  <c r="Y91" i="26"/>
  <c r="V91" i="26"/>
  <c r="W91" i="26" s="1"/>
  <c r="AI91" i="26"/>
  <c r="Q93" i="26"/>
  <c r="S92" i="26"/>
  <c r="U92" i="26"/>
  <c r="T92" i="26"/>
  <c r="AA93" i="26"/>
  <c r="AC92" i="26"/>
  <c r="AD92" i="26"/>
  <c r="AE92" i="26"/>
  <c r="X90" i="26"/>
  <c r="AH90" i="26"/>
  <c r="C31" i="26"/>
  <c r="C57" i="26"/>
  <c r="C58" i="26" s="1"/>
  <c r="C59" i="26" s="1"/>
  <c r="C30" i="26"/>
  <c r="F143" i="31"/>
  <c r="C142" i="31"/>
  <c r="G142" i="31" s="1"/>
  <c r="D141" i="31"/>
  <c r="E141" i="31"/>
  <c r="H141" i="31" s="1"/>
  <c r="C131" i="26"/>
  <c r="D131" i="26"/>
  <c r="AH91" i="26" l="1"/>
  <c r="AF92" i="26"/>
  <c r="AG92" i="26" s="1"/>
  <c r="Y92" i="26"/>
  <c r="Q94" i="26"/>
  <c r="S93" i="26"/>
  <c r="T93" i="26"/>
  <c r="U93" i="26"/>
  <c r="AI92" i="26"/>
  <c r="AA94" i="26"/>
  <c r="AC93" i="26"/>
  <c r="AD93" i="26"/>
  <c r="AE93" i="26"/>
  <c r="X91" i="26"/>
  <c r="V92" i="26"/>
  <c r="W92" i="26" s="1"/>
  <c r="C34" i="26"/>
  <c r="E35" i="26" s="1"/>
  <c r="E129" i="26"/>
  <c r="C33" i="26"/>
  <c r="F129" i="26"/>
  <c r="D142" i="31"/>
  <c r="C143" i="31"/>
  <c r="E142" i="31"/>
  <c r="H142" i="31" s="1"/>
  <c r="F144" i="31"/>
  <c r="C132" i="26"/>
  <c r="D132" i="26"/>
  <c r="AH92" i="26" l="1"/>
  <c r="AF93" i="26"/>
  <c r="AG93" i="26" s="1"/>
  <c r="V93" i="26"/>
  <c r="W93" i="26" s="1"/>
  <c r="Y93" i="26"/>
  <c r="Q95" i="26"/>
  <c r="U94" i="26"/>
  <c r="S94" i="26"/>
  <c r="T94" i="26"/>
  <c r="AI93" i="26"/>
  <c r="X92" i="26"/>
  <c r="AA95" i="26"/>
  <c r="AD94" i="26"/>
  <c r="AE94" i="26"/>
  <c r="AC94" i="26"/>
  <c r="C71" i="26"/>
  <c r="C77" i="26"/>
  <c r="C72" i="26"/>
  <c r="C35" i="26"/>
  <c r="E143" i="31"/>
  <c r="H143" i="31" s="1"/>
  <c r="D143" i="31"/>
  <c r="C144" i="31"/>
  <c r="F145" i="31"/>
  <c r="G144" i="31"/>
  <c r="G143" i="31"/>
  <c r="C133" i="26"/>
  <c r="D133" i="26"/>
  <c r="V94" i="26" l="1"/>
  <c r="W94" i="26" s="1"/>
  <c r="X93" i="26"/>
  <c r="AH93" i="26"/>
  <c r="AI94" i="26"/>
  <c r="Y94" i="26"/>
  <c r="AF94" i="26"/>
  <c r="AG94" i="26" s="1"/>
  <c r="Q96" i="26"/>
  <c r="S95" i="26"/>
  <c r="U95" i="26"/>
  <c r="T95" i="26"/>
  <c r="AA96" i="26"/>
  <c r="AC95" i="26"/>
  <c r="AD95" i="26"/>
  <c r="AE95" i="26"/>
  <c r="P88" i="26"/>
  <c r="H88" i="26" s="1"/>
  <c r="C74" i="26"/>
  <c r="F146" i="31"/>
  <c r="D144" i="31"/>
  <c r="E144" i="31"/>
  <c r="H144" i="31" s="1"/>
  <c r="C145" i="31"/>
  <c r="G145" i="31" s="1"/>
  <c r="C134" i="26"/>
  <c r="D134" i="26"/>
  <c r="X94" i="26" l="1"/>
  <c r="V95" i="26"/>
  <c r="W95" i="26" s="1"/>
  <c r="AF95" i="26"/>
  <c r="AG95" i="26" s="1"/>
  <c r="AH94" i="26"/>
  <c r="AA97" i="26"/>
  <c r="AC96" i="26"/>
  <c r="AD96" i="26"/>
  <c r="AE96" i="26"/>
  <c r="Y95" i="26"/>
  <c r="X95" i="26"/>
  <c r="Q97" i="26"/>
  <c r="T96" i="26"/>
  <c r="U96" i="26"/>
  <c r="S96" i="26"/>
  <c r="AI95" i="26"/>
  <c r="C78" i="26"/>
  <c r="C79" i="26"/>
  <c r="E145" i="31"/>
  <c r="H145" i="31" s="1"/>
  <c r="C146" i="31"/>
  <c r="D145" i="31"/>
  <c r="F147" i="31"/>
  <c r="D135" i="26"/>
  <c r="C135" i="26"/>
  <c r="AH95" i="26" l="1"/>
  <c r="AF96" i="26"/>
  <c r="AG96" i="26" s="1"/>
  <c r="Y96" i="26"/>
  <c r="AI96" i="26"/>
  <c r="V96" i="26"/>
  <c r="W96" i="26" s="1"/>
  <c r="Q98" i="26"/>
  <c r="T97" i="26"/>
  <c r="S97" i="26"/>
  <c r="U97" i="26"/>
  <c r="AA98" i="26"/>
  <c r="AD97" i="26"/>
  <c r="AE97" i="26"/>
  <c r="AC97" i="26"/>
  <c r="C83" i="26"/>
  <c r="C84" i="26" s="1"/>
  <c r="D146" i="31"/>
  <c r="C147" i="31"/>
  <c r="E146" i="31"/>
  <c r="H146" i="31" s="1"/>
  <c r="F148" i="31"/>
  <c r="G146" i="31"/>
  <c r="C136" i="26"/>
  <c r="D136" i="26"/>
  <c r="AH96" i="26" l="1"/>
  <c r="Y97" i="26"/>
  <c r="Q99" i="26"/>
  <c r="T98" i="26"/>
  <c r="S98" i="26"/>
  <c r="U98" i="26"/>
  <c r="AF97" i="26"/>
  <c r="AG97" i="26" s="1"/>
  <c r="V97" i="26"/>
  <c r="W97" i="26" s="1"/>
  <c r="AI97" i="26"/>
  <c r="AA99" i="26"/>
  <c r="AC98" i="26"/>
  <c r="AE98" i="26"/>
  <c r="AD98" i="26"/>
  <c r="X96" i="26"/>
  <c r="E147" i="31"/>
  <c r="H147" i="31" s="1"/>
  <c r="D147" i="31"/>
  <c r="C148" i="31"/>
  <c r="F149" i="31"/>
  <c r="G148" i="31"/>
  <c r="G147" i="31"/>
  <c r="C137" i="26"/>
  <c r="D137" i="26"/>
  <c r="AF98" i="26" l="1"/>
  <c r="AG98" i="26" s="1"/>
  <c r="V98" i="26"/>
  <c r="W98" i="26" s="1"/>
  <c r="AH97" i="26"/>
  <c r="X97" i="26"/>
  <c r="Q100" i="26"/>
  <c r="S99" i="26"/>
  <c r="U99" i="26"/>
  <c r="T99" i="26"/>
  <c r="Y98" i="26"/>
  <c r="X98" i="26"/>
  <c r="AI98" i="26"/>
  <c r="AA100" i="26"/>
  <c r="AD99" i="26"/>
  <c r="AC99" i="26"/>
  <c r="AE99" i="26"/>
  <c r="F150" i="31"/>
  <c r="D148" i="31"/>
  <c r="E148" i="31"/>
  <c r="H148" i="31" s="1"/>
  <c r="C149" i="31"/>
  <c r="G149" i="31" s="1"/>
  <c r="C138" i="26"/>
  <c r="D138" i="26"/>
  <c r="AH98" i="26" l="1"/>
  <c r="AF99" i="26"/>
  <c r="AG99" i="26" s="1"/>
  <c r="V99" i="26"/>
  <c r="W99" i="26" s="1"/>
  <c r="AI99" i="26"/>
  <c r="Y99" i="26"/>
  <c r="AA101" i="26"/>
  <c r="AC100" i="26"/>
  <c r="AE100" i="26"/>
  <c r="AD100" i="26"/>
  <c r="Q101" i="26"/>
  <c r="T100" i="26"/>
  <c r="S100" i="26"/>
  <c r="U100" i="26"/>
  <c r="C150" i="31"/>
  <c r="G150" i="31" s="1"/>
  <c r="D149" i="31"/>
  <c r="E149" i="31"/>
  <c r="H149" i="31" s="1"/>
  <c r="F151" i="31"/>
  <c r="C139" i="26"/>
  <c r="D139" i="26"/>
  <c r="V100" i="26" l="1"/>
  <c r="W100" i="26" s="1"/>
  <c r="AH99" i="26"/>
  <c r="AF100" i="26"/>
  <c r="AG100" i="26" s="1"/>
  <c r="Y100" i="26"/>
  <c r="X100" i="26"/>
  <c r="Q102" i="26"/>
  <c r="T101" i="26"/>
  <c r="S101" i="26"/>
  <c r="U101" i="26"/>
  <c r="AI100" i="26"/>
  <c r="AH100" i="26"/>
  <c r="AA102" i="26"/>
  <c r="AD101" i="26"/>
  <c r="AE101" i="26"/>
  <c r="AC101" i="26"/>
  <c r="X99" i="26"/>
  <c r="F152" i="31"/>
  <c r="D150" i="31"/>
  <c r="C151" i="31"/>
  <c r="G151" i="31" s="1"/>
  <c r="E150" i="31"/>
  <c r="H150" i="31" s="1"/>
  <c r="C140" i="26"/>
  <c r="D140" i="26"/>
  <c r="V101" i="26" l="1"/>
  <c r="W101" i="26" s="1"/>
  <c r="AA103" i="26"/>
  <c r="AC102" i="26"/>
  <c r="AE102" i="26"/>
  <c r="AD102" i="26"/>
  <c r="AI101" i="26"/>
  <c r="Q103" i="26"/>
  <c r="T102" i="26"/>
  <c r="U102" i="26"/>
  <c r="S102" i="26"/>
  <c r="AF101" i="26"/>
  <c r="AG101" i="26" s="1"/>
  <c r="Y101" i="26"/>
  <c r="X101" i="26"/>
  <c r="E151" i="31"/>
  <c r="H151" i="31" s="1"/>
  <c r="C152" i="31"/>
  <c r="D151" i="31"/>
  <c r="F153" i="31"/>
  <c r="C141" i="26"/>
  <c r="D141" i="26"/>
  <c r="AF102" i="26" l="1"/>
  <c r="AG102" i="26" s="1"/>
  <c r="Y102" i="26"/>
  <c r="AI102" i="26"/>
  <c r="AA104" i="26"/>
  <c r="AE103" i="26"/>
  <c r="AD103" i="26"/>
  <c r="AC103" i="26"/>
  <c r="V102" i="26"/>
  <c r="W102" i="26" s="1"/>
  <c r="Q104" i="26"/>
  <c r="S103" i="26"/>
  <c r="U103" i="26"/>
  <c r="T103" i="26"/>
  <c r="AH101" i="26"/>
  <c r="D152" i="31"/>
  <c r="E152" i="31"/>
  <c r="H152" i="31" s="1"/>
  <c r="C153" i="31"/>
  <c r="G153" i="31" s="1"/>
  <c r="F154" i="31"/>
  <c r="G152" i="31"/>
  <c r="D142" i="26"/>
  <c r="C142" i="26"/>
  <c r="AH102" i="26" l="1"/>
  <c r="AF103" i="26"/>
  <c r="AG103" i="26" s="1"/>
  <c r="X102" i="26"/>
  <c r="Y103" i="26"/>
  <c r="AI103" i="26"/>
  <c r="AH103" i="26"/>
  <c r="Q105" i="26"/>
  <c r="U104" i="26"/>
  <c r="T104" i="26"/>
  <c r="S104" i="26"/>
  <c r="V103" i="26"/>
  <c r="W103" i="26" s="1"/>
  <c r="AA105" i="26"/>
  <c r="AD104" i="26"/>
  <c r="AC104" i="26"/>
  <c r="AE104" i="26"/>
  <c r="F155" i="31"/>
  <c r="C154" i="31"/>
  <c r="G154" i="31" s="1"/>
  <c r="D153" i="31"/>
  <c r="E153" i="31"/>
  <c r="H153" i="31" s="1"/>
  <c r="D143" i="26"/>
  <c r="C143" i="26"/>
  <c r="AF104" i="26" l="1"/>
  <c r="AG104" i="26" s="1"/>
  <c r="X103" i="26"/>
  <c r="V104" i="26"/>
  <c r="W104" i="26" s="1"/>
  <c r="AI104" i="26"/>
  <c r="AA106" i="26"/>
  <c r="AE105" i="26"/>
  <c r="AD105" i="26"/>
  <c r="AC105" i="26"/>
  <c r="Y104" i="26"/>
  <c r="Q106" i="26"/>
  <c r="S105" i="26"/>
  <c r="U105" i="26"/>
  <c r="T105" i="26"/>
  <c r="D154" i="31"/>
  <c r="E154" i="31"/>
  <c r="H154" i="31" s="1"/>
  <c r="C155" i="31"/>
  <c r="G155" i="31" s="1"/>
  <c r="C144" i="26"/>
  <c r="D144" i="26"/>
  <c r="X104" i="26" l="1"/>
  <c r="AH104" i="26"/>
  <c r="V105" i="26"/>
  <c r="W105" i="26" s="1"/>
  <c r="AI105" i="26"/>
  <c r="AF105" i="26"/>
  <c r="AG105" i="26" s="1"/>
  <c r="Q107" i="26"/>
  <c r="S106" i="26"/>
  <c r="U106" i="26"/>
  <c r="T106" i="26"/>
  <c r="AA107" i="26"/>
  <c r="AC106" i="26"/>
  <c r="AE106" i="26"/>
  <c r="AD106" i="26"/>
  <c r="Y105" i="26"/>
  <c r="E155" i="31"/>
  <c r="H155" i="31" s="1"/>
  <c r="D155" i="31"/>
  <c r="C145" i="26"/>
  <c r="D145" i="26"/>
  <c r="AF106" i="26" l="1"/>
  <c r="AG106" i="26" s="1"/>
  <c r="V106" i="26"/>
  <c r="W106" i="26" s="1"/>
  <c r="X105" i="26"/>
  <c r="Y106" i="26"/>
  <c r="AI106" i="26"/>
  <c r="AA108" i="26"/>
  <c r="AD107" i="26"/>
  <c r="AC107" i="26"/>
  <c r="AE107" i="26"/>
  <c r="Q108" i="26"/>
  <c r="S107" i="26"/>
  <c r="T107" i="26"/>
  <c r="U107" i="26"/>
  <c r="AH105" i="26"/>
  <c r="C146" i="26"/>
  <c r="D146" i="26"/>
  <c r="AH106" i="26" l="1"/>
  <c r="X106" i="26"/>
  <c r="V107" i="26"/>
  <c r="W107" i="26" s="1"/>
  <c r="AI107" i="26"/>
  <c r="AF107" i="26"/>
  <c r="AG107" i="26" s="1"/>
  <c r="Y107" i="26"/>
  <c r="AE108" i="26"/>
  <c r="AC108" i="26"/>
  <c r="AD108" i="26"/>
  <c r="U108" i="26"/>
  <c r="T108" i="26"/>
  <c r="S108" i="26"/>
  <c r="C147" i="26"/>
  <c r="D147" i="26"/>
  <c r="V108" i="26" l="1"/>
  <c r="W108" i="26" s="1"/>
  <c r="AF108" i="26"/>
  <c r="AG108" i="26" s="1"/>
  <c r="X107" i="26"/>
  <c r="AI108" i="26"/>
  <c r="Y108" i="26"/>
  <c r="AH107" i="26"/>
  <c r="C148" i="26"/>
  <c r="D148" i="26"/>
  <c r="X108" i="26" l="1"/>
  <c r="AH108" i="26"/>
  <c r="C149" i="26"/>
  <c r="D149" i="26"/>
  <c r="C150" i="26" l="1"/>
  <c r="D150" i="26"/>
  <c r="D151" i="26" l="1"/>
  <c r="C151" i="26"/>
  <c r="C152" i="26" l="1"/>
  <c r="D152" i="26"/>
  <c r="C153" i="26" l="1"/>
  <c r="D153" i="26"/>
  <c r="C154" i="26" l="1"/>
  <c r="D154" i="26"/>
  <c r="C155" i="26" l="1"/>
  <c r="D155" i="26"/>
  <c r="D35" i="11"/>
  <c r="E33" i="11"/>
  <c r="C156" i="26" l="1"/>
  <c r="D156" i="26"/>
  <c r="C157" i="26" l="1"/>
  <c r="D157" i="26"/>
  <c r="D158" i="26" l="1"/>
  <c r="C158" i="26"/>
  <c r="D159" i="26" l="1"/>
  <c r="C159" i="26"/>
  <c r="C160" i="26" l="1"/>
  <c r="D160" i="26"/>
  <c r="C161" i="26" l="1"/>
  <c r="D161" i="26"/>
  <c r="C162" i="26" l="1"/>
  <c r="D162" i="26"/>
  <c r="C163" i="26" l="1"/>
  <c r="D163" i="26"/>
  <c r="C164" i="26" l="1"/>
  <c r="D164" i="26"/>
  <c r="C165" i="26" l="1"/>
  <c r="D165" i="26"/>
  <c r="C166" i="26" l="1"/>
  <c r="D166" i="26"/>
  <c r="D34" i="11"/>
  <c r="D36" i="11" s="1"/>
  <c r="C33" i="11"/>
  <c r="E34" i="11"/>
  <c r="D167" i="26" l="1"/>
  <c r="C167" i="26"/>
  <c r="E28" i="14"/>
  <c r="D28" i="14"/>
  <c r="C27" i="14"/>
  <c r="E27" i="14" s="1"/>
  <c r="C26" i="14"/>
  <c r="E26" i="14" s="1"/>
  <c r="C168" i="26" l="1"/>
  <c r="D168" i="26"/>
  <c r="D13" i="14"/>
  <c r="C169" i="26" l="1"/>
  <c r="D169" i="26"/>
  <c r="C170" i="26" l="1"/>
  <c r="D170" i="26"/>
  <c r="C171" i="26" l="1"/>
  <c r="D171" i="26"/>
  <c r="C172" i="26" l="1"/>
  <c r="D172" i="26"/>
  <c r="C173" i="26" l="1"/>
  <c r="D173" i="26"/>
  <c r="D174" i="26" l="1"/>
  <c r="C174" i="26"/>
  <c r="D175" i="26" l="1"/>
  <c r="C175" i="26"/>
  <c r="C176" i="26" l="1"/>
  <c r="D176" i="26"/>
  <c r="I36" i="9"/>
  <c r="H36" i="9"/>
  <c r="D29" i="9"/>
  <c r="D28" i="9"/>
  <c r="D25" i="9"/>
  <c r="D20" i="9"/>
  <c r="D17" i="9"/>
  <c r="C177" i="26" l="1"/>
  <c r="D177" i="26"/>
  <c r="F37" i="9"/>
  <c r="F36" i="9"/>
  <c r="D28" i="11"/>
  <c r="E28" i="11"/>
  <c r="C27" i="11"/>
  <c r="E27" i="11" s="1"/>
  <c r="C26" i="11"/>
  <c r="E26" i="11" s="1"/>
  <c r="C178" i="26" l="1"/>
  <c r="D178" i="26"/>
  <c r="D16" i="14"/>
  <c r="D15" i="14"/>
  <c r="D11" i="14"/>
  <c r="D12" i="14" s="1"/>
  <c r="C179" i="26" l="1"/>
  <c r="D179" i="26"/>
  <c r="D17" i="14"/>
  <c r="D20" i="14" l="1"/>
  <c r="D18" i="14"/>
  <c r="C180" i="26"/>
  <c r="D180" i="26"/>
  <c r="D21" i="14"/>
  <c r="D22" i="14" s="1"/>
  <c r="D181" i="26" l="1"/>
  <c r="C181" i="26"/>
  <c r="C182" i="26" l="1"/>
  <c r="D182" i="26"/>
  <c r="D21" i="9"/>
  <c r="D183" i="26" l="1"/>
  <c r="C183" i="26"/>
  <c r="D34" i="9"/>
  <c r="D37" i="9" s="1"/>
  <c r="D33" i="9"/>
  <c r="D36" i="9" s="1"/>
  <c r="C184" i="26" l="1"/>
  <c r="D184" i="26"/>
  <c r="D44" i="9"/>
  <c r="D45" i="9"/>
  <c r="D38" i="9"/>
  <c r="D51" i="9" s="1"/>
  <c r="C185" i="26" l="1"/>
  <c r="D185" i="26"/>
  <c r="C186" i="26" l="1"/>
  <c r="D186" i="26"/>
  <c r="C187" i="26" l="1"/>
  <c r="D187" i="26"/>
  <c r="C188" i="26" l="1"/>
  <c r="D188" i="26"/>
  <c r="C189" i="26" l="1"/>
  <c r="D189" i="26"/>
  <c r="C190" i="26" l="1"/>
  <c r="D190" i="26"/>
  <c r="D191" i="26" l="1"/>
  <c r="C191" i="26"/>
  <c r="C192" i="26" l="1"/>
  <c r="D192" i="26"/>
  <c r="C193" i="26" l="1"/>
  <c r="D193" i="26"/>
  <c r="C194" i="26" l="1"/>
  <c r="D194" i="26"/>
  <c r="C195" i="26" l="1"/>
  <c r="D195" i="26"/>
  <c r="C196" i="26" l="1"/>
  <c r="D196" i="26"/>
  <c r="C197" i="26" l="1"/>
  <c r="D197" i="26"/>
  <c r="C198" i="26" l="1"/>
  <c r="D198" i="26"/>
  <c r="D199" i="26" l="1"/>
  <c r="C199" i="26"/>
  <c r="C200" i="26" l="1"/>
  <c r="D200" i="26"/>
  <c r="C201" i="26" l="1"/>
  <c r="D201" i="26"/>
  <c r="C202" i="26" l="1"/>
  <c r="D202" i="26"/>
  <c r="C203" i="26" l="1"/>
  <c r="D203" i="26"/>
  <c r="C48" i="26" l="1"/>
  <c r="C49" i="26" s="1"/>
  <c r="C50" i="26" l="1"/>
  <c r="C52" i="26" s="1"/>
  <c r="C53" i="26" l="1"/>
  <c r="C54" i="26" s="1"/>
  <c r="F133" i="26" s="1"/>
  <c r="C51" i="26"/>
  <c r="E133" i="26" l="1"/>
  <c r="C56" i="26"/>
  <c r="F126" i="26" s="1"/>
  <c r="F127" i="26" s="1"/>
  <c r="E126" i="26" l="1"/>
  <c r="F128" i="26"/>
  <c r="E128" i="26" s="1"/>
  <c r="E127" i="26"/>
  <c r="D201" i="37" l="1"/>
  <c r="D202" i="37" s="1"/>
  <c r="D203" i="37" s="1"/>
  <c r="D209" i="37" l="1"/>
  <c r="D210" i="37" l="1"/>
  <c r="D335" i="37" s="1"/>
  <c r="D221" i="37"/>
  <c r="D212" i="37" s="1"/>
  <c r="D226" i="37"/>
  <c r="D219" i="37"/>
  <c r="D263" i="37" l="1"/>
  <c r="D265" i="37" s="1"/>
  <c r="D213" i="37"/>
  <c r="D215" i="37" l="1"/>
  <c r="D214" i="37"/>
  <c r="D264" i="37"/>
  <c r="D266" i="37" s="1"/>
  <c r="D267" i="37" s="1"/>
  <c r="D268" i="37" l="1"/>
  <c r="D347" i="37"/>
  <c r="D216" i="37"/>
  <c r="D217" i="37" s="1"/>
  <c r="D276" i="37"/>
  <c r="D270" i="37"/>
  <c r="D269" i="37"/>
  <c r="D218" i="37" l="1"/>
  <c r="D336" i="37"/>
  <c r="D271" i="37"/>
  <c r="D272" i="37" s="1"/>
  <c r="D273" i="37" s="1"/>
  <c r="D349" i="37" s="1"/>
  <c r="D348" i="37"/>
  <c r="D279" i="37"/>
  <c r="D280" i="37" s="1"/>
  <c r="D277" i="37"/>
  <c r="D278" i="37" s="1"/>
  <c r="D285" i="37"/>
  <c r="D286" i="37" s="1"/>
  <c r="D220" i="37"/>
  <c r="D224" i="37" s="1"/>
  <c r="D225" i="37" s="1"/>
  <c r="D228" i="37" s="1"/>
  <c r="D236" i="37" s="1"/>
  <c r="D341" i="37" s="1"/>
  <c r="D222" i="37"/>
  <c r="D337" i="37" s="1"/>
  <c r="D287" i="37" l="1"/>
  <c r="D288" i="37" s="1"/>
  <c r="D289" i="37"/>
  <c r="D350" i="37" s="1"/>
  <c r="D274" i="37"/>
  <c r="D275" i="37" s="1"/>
  <c r="D281" i="37"/>
  <c r="D282" i="37" s="1"/>
  <c r="D223" i="37"/>
  <c r="D238" i="37" s="1"/>
  <c r="D227" i="37"/>
  <c r="D230" i="37" s="1"/>
  <c r="D231" i="37" s="1"/>
  <c r="D232" i="37" s="1"/>
  <c r="D339" i="37" s="1"/>
  <c r="D292" i="37" l="1"/>
  <c r="D345" i="37" s="1"/>
  <c r="D229" i="37"/>
  <c r="D233" i="37" s="1"/>
  <c r="D338" i="37"/>
  <c r="D293" i="37"/>
  <c r="E345" i="37" s="1"/>
  <c r="D283" i="37"/>
  <c r="D342" i="37"/>
  <c r="D239" i="37"/>
  <c r="D237" i="37"/>
  <c r="D244" i="37" s="1"/>
  <c r="D245" i="37" s="1"/>
  <c r="D284" i="37" l="1"/>
  <c r="D346" i="37" s="1"/>
  <c r="D242" i="37"/>
  <c r="D240" i="37"/>
  <c r="D241" i="37" s="1"/>
  <c r="D340" i="37" s="1"/>
  <c r="D343" i="37" s="1"/>
  <c r="D246" i="37" l="1"/>
  <c r="D334" i="37" s="1"/>
  <c r="D243" i="37"/>
  <c r="D247" i="37" s="1"/>
  <c r="E334" i="37" s="1"/>
  <c r="K89" i="26" l="1"/>
  <c r="J89" i="26"/>
  <c r="I89" i="26"/>
  <c r="O89" i="26" s="1"/>
  <c r="Z89" i="26" s="1"/>
  <c r="R89" i="26" s="1"/>
  <c r="K90" i="26"/>
  <c r="J90" i="26"/>
  <c r="J91" i="26"/>
  <c r="I90" i="26"/>
  <c r="O90" i="26" s="1"/>
  <c r="K91" i="26"/>
  <c r="AJ89" i="26" l="1"/>
  <c r="AB89" i="26" s="1"/>
  <c r="L90" i="26"/>
  <c r="M90" i="26" s="1"/>
  <c r="L89" i="26"/>
  <c r="M89" i="26" s="1"/>
  <c r="L91" i="26"/>
  <c r="M91" i="26" s="1"/>
  <c r="Z90" i="26"/>
  <c r="R90" i="26" s="1"/>
  <c r="AJ90" i="26"/>
  <c r="AB90" i="26" s="1"/>
  <c r="I91" i="26"/>
  <c r="N90" i="26" l="1"/>
  <c r="P90" i="26" s="1"/>
  <c r="H90" i="26" s="1"/>
  <c r="N89" i="26"/>
  <c r="P89" i="26" s="1"/>
  <c r="H89" i="26" s="1"/>
  <c r="J92" i="26"/>
  <c r="I92" i="26"/>
  <c r="K92" i="26"/>
  <c r="N91" i="26"/>
  <c r="O91" i="26"/>
  <c r="Z91" i="26" l="1"/>
  <c r="R91" i="26" s="1"/>
  <c r="AJ91" i="26"/>
  <c r="AB91" i="26" s="1"/>
  <c r="P91" i="26"/>
  <c r="H91" i="26" s="1"/>
  <c r="I93" i="26"/>
  <c r="J93" i="26"/>
  <c r="K93" i="26"/>
  <c r="O92" i="26"/>
  <c r="L92" i="26"/>
  <c r="M92" i="26" s="1"/>
  <c r="L93" i="26" l="1"/>
  <c r="M93" i="26" s="1"/>
  <c r="N92" i="26"/>
  <c r="P92" i="26" s="1"/>
  <c r="H92" i="26" s="1"/>
  <c r="O93" i="26"/>
  <c r="J94" i="26"/>
  <c r="I94" i="26"/>
  <c r="K94" i="26"/>
  <c r="Z92" i="26"/>
  <c r="R92" i="26" s="1"/>
  <c r="AJ92" i="26"/>
  <c r="AB92" i="26" s="1"/>
  <c r="N93" i="26" l="1"/>
  <c r="P93" i="26" s="1"/>
  <c r="H93" i="26" s="1"/>
  <c r="L94" i="26"/>
  <c r="M94" i="26" s="1"/>
  <c r="K95" i="26"/>
  <c r="I95" i="26"/>
  <c r="J95" i="26"/>
  <c r="O94" i="26"/>
  <c r="Z93" i="26"/>
  <c r="R93" i="26" s="1"/>
  <c r="AJ93" i="26"/>
  <c r="AB93" i="26" s="1"/>
  <c r="L95" i="26" l="1"/>
  <c r="M95" i="26" s="1"/>
  <c r="AJ94" i="26"/>
  <c r="AB94" i="26" s="1"/>
  <c r="Z94" i="26"/>
  <c r="R94" i="26" s="1"/>
  <c r="I96" i="26"/>
  <c r="K96" i="26"/>
  <c r="J96" i="26"/>
  <c r="N94" i="26"/>
  <c r="P94" i="26" s="1"/>
  <c r="H94" i="26" s="1"/>
  <c r="O95" i="26"/>
  <c r="L96" i="26" l="1"/>
  <c r="M96" i="26" s="1"/>
  <c r="N95" i="26"/>
  <c r="P95" i="26" s="1"/>
  <c r="H95" i="26" s="1"/>
  <c r="O96" i="26"/>
  <c r="K97" i="26"/>
  <c r="I97" i="26"/>
  <c r="J97" i="26"/>
  <c r="Z95" i="26"/>
  <c r="R95" i="26" s="1"/>
  <c r="AJ95" i="26"/>
  <c r="AB95" i="26" s="1"/>
  <c r="N96" i="26" l="1"/>
  <c r="P96" i="26" s="1"/>
  <c r="H96" i="26" s="1"/>
  <c r="L97" i="26"/>
  <c r="M97" i="26" s="1"/>
  <c r="O97" i="26"/>
  <c r="AJ96" i="26"/>
  <c r="AB96" i="26" s="1"/>
  <c r="Z96" i="26"/>
  <c r="R96" i="26" s="1"/>
  <c r="K98" i="26"/>
  <c r="I98" i="26"/>
  <c r="J98" i="26"/>
  <c r="N97" i="26" l="1"/>
  <c r="P97" i="26" s="1"/>
  <c r="H97" i="26" s="1"/>
  <c r="O98" i="26"/>
  <c r="J99" i="26"/>
  <c r="I99" i="26"/>
  <c r="K99" i="26"/>
  <c r="L98" i="26"/>
  <c r="M98" i="26" s="1"/>
  <c r="Z97" i="26"/>
  <c r="R97" i="26" s="1"/>
  <c r="AJ97" i="26"/>
  <c r="AB97" i="26" s="1"/>
  <c r="L99" i="26" l="1"/>
  <c r="M99" i="26" s="1"/>
  <c r="AJ98" i="26"/>
  <c r="AB98" i="26" s="1"/>
  <c r="Z98" i="26"/>
  <c r="R98" i="26" s="1"/>
  <c r="J100" i="26"/>
  <c r="K100" i="26"/>
  <c r="I100" i="26"/>
  <c r="O99" i="26"/>
  <c r="N98" i="26"/>
  <c r="P98" i="26" s="1"/>
  <c r="H98" i="26" s="1"/>
  <c r="N99" i="26" l="1"/>
  <c r="P99" i="26" s="1"/>
  <c r="H99" i="26" s="1"/>
  <c r="L100" i="26"/>
  <c r="M100" i="26" s="1"/>
  <c r="K101" i="26"/>
  <c r="J101" i="26"/>
  <c r="I101" i="26"/>
  <c r="O100" i="26"/>
  <c r="AJ99" i="26"/>
  <c r="AB99" i="26" s="1"/>
  <c r="Z99" i="26"/>
  <c r="R99" i="26" s="1"/>
  <c r="N100" i="26" l="1"/>
  <c r="P100" i="26" s="1"/>
  <c r="H100" i="26" s="1"/>
  <c r="L101" i="26"/>
  <c r="M101" i="26" s="1"/>
  <c r="AJ100" i="26"/>
  <c r="AB100" i="26" s="1"/>
  <c r="Z100" i="26"/>
  <c r="R100" i="26" s="1"/>
  <c r="I102" i="26"/>
  <c r="K102" i="26"/>
  <c r="J102" i="26"/>
  <c r="O101" i="26"/>
  <c r="N101" i="26" l="1"/>
  <c r="P101" i="26" s="1"/>
  <c r="H101" i="26" s="1"/>
  <c r="L102" i="26"/>
  <c r="M102" i="26" s="1"/>
  <c r="O102" i="26"/>
  <c r="K103" i="26"/>
  <c r="I103" i="26"/>
  <c r="J103" i="26"/>
  <c r="Z101" i="26"/>
  <c r="R101" i="26" s="1"/>
  <c r="AJ101" i="26"/>
  <c r="AB101" i="26" s="1"/>
  <c r="L103" i="26" l="1"/>
  <c r="M103" i="26" s="1"/>
  <c r="N102" i="26"/>
  <c r="P102" i="26" s="1"/>
  <c r="H102" i="26" s="1"/>
  <c r="I104" i="26"/>
  <c r="K104" i="26"/>
  <c r="J104" i="26"/>
  <c r="O103" i="26"/>
  <c r="Z102" i="26"/>
  <c r="R102" i="26" s="1"/>
  <c r="AJ102" i="26"/>
  <c r="AB102" i="26" s="1"/>
  <c r="N103" i="26" l="1"/>
  <c r="P103" i="26" s="1"/>
  <c r="H103" i="26" s="1"/>
  <c r="L104" i="26"/>
  <c r="M104" i="26" s="1"/>
  <c r="J105" i="26"/>
  <c r="I105" i="26"/>
  <c r="K105" i="26"/>
  <c r="AJ103" i="26"/>
  <c r="AB103" i="26" s="1"/>
  <c r="Z103" i="26"/>
  <c r="R103" i="26" s="1"/>
  <c r="O104" i="26"/>
  <c r="N104" i="26" l="1"/>
  <c r="P104" i="26" s="1"/>
  <c r="H104" i="26" s="1"/>
  <c r="O105" i="26"/>
  <c r="L105" i="26"/>
  <c r="M105" i="26" s="1"/>
  <c r="I106" i="26"/>
  <c r="K106" i="26"/>
  <c r="J106" i="26"/>
  <c r="Z104" i="26"/>
  <c r="R104" i="26" s="1"/>
  <c r="AJ104" i="26"/>
  <c r="AB104" i="26" s="1"/>
  <c r="L106" i="26" l="1"/>
  <c r="M106" i="26" s="1"/>
  <c r="I107" i="26"/>
  <c r="J107" i="26"/>
  <c r="K107" i="26"/>
  <c r="O106" i="26"/>
  <c r="AJ105" i="26"/>
  <c r="AB105" i="26" s="1"/>
  <c r="Z105" i="26"/>
  <c r="R105" i="26" s="1"/>
  <c r="N105" i="26"/>
  <c r="P105" i="26" s="1"/>
  <c r="H105" i="26" s="1"/>
  <c r="N106" i="26" l="1"/>
  <c r="P106" i="26" s="1"/>
  <c r="H106" i="26" s="1"/>
  <c r="L107" i="26"/>
  <c r="M107" i="26" s="1"/>
  <c r="J108" i="26"/>
  <c r="I108" i="26"/>
  <c r="K108" i="26"/>
  <c r="Z106" i="26"/>
  <c r="R106" i="26" s="1"/>
  <c r="AJ106" i="26"/>
  <c r="AB106" i="26" s="1"/>
  <c r="O107" i="26"/>
  <c r="N107" i="26" l="1"/>
  <c r="P107" i="26" s="1"/>
  <c r="H107" i="26" s="1"/>
  <c r="O108" i="26"/>
  <c r="Z107" i="26"/>
  <c r="R107" i="26" s="1"/>
  <c r="AJ107" i="26"/>
  <c r="AB107" i="26" s="1"/>
  <c r="L108" i="26"/>
  <c r="M108" i="26" s="1"/>
  <c r="AJ108" i="26" l="1"/>
  <c r="AB108" i="26" s="1"/>
  <c r="Z108" i="26"/>
  <c r="R108" i="26" s="1"/>
  <c r="N108" i="26"/>
  <c r="P108" i="26" s="1"/>
  <c r="H108" i="26" s="1"/>
  <c r="D60" i="27" l="1"/>
  <c r="D73" i="27" s="1"/>
  <c r="D97" i="27" l="1"/>
  <c r="D193" i="27" s="1"/>
  <c r="D214" i="27" s="1"/>
  <c r="D224" i="27" s="1"/>
  <c r="D225" i="27" s="1"/>
  <c r="F225" i="27" s="1"/>
  <c r="D94" i="27"/>
  <c r="D195" i="27" s="1"/>
  <c r="D45" i="35" l="1"/>
  <c r="D235" i="35" s="1"/>
  <c r="C101" i="41"/>
  <c r="D192" i="27"/>
  <c r="D196" i="27"/>
  <c r="F195" i="27"/>
  <c r="D205" i="27"/>
  <c r="D215" i="27"/>
  <c r="D216" i="27" s="1"/>
  <c r="D217" i="27" s="1"/>
  <c r="D226" i="27" s="1"/>
  <c r="C143" i="41" l="1"/>
  <c r="C144" i="41" s="1"/>
  <c r="C147" i="41" s="1"/>
  <c r="C148" i="41" s="1"/>
  <c r="C149" i="41" s="1"/>
  <c r="N214" i="41"/>
  <c r="C158" i="41"/>
  <c r="F156" i="41"/>
  <c r="D51" i="35"/>
  <c r="D53" i="35" s="1"/>
  <c r="D64" i="35"/>
  <c r="D65" i="35" s="1"/>
  <c r="D69" i="35"/>
  <c r="D71" i="35" s="1"/>
  <c r="D49" i="35"/>
  <c r="F49" i="35" s="1"/>
  <c r="C105" i="41"/>
  <c r="E105" i="41" s="1"/>
  <c r="C107" i="41"/>
  <c r="C109" i="41" s="1"/>
  <c r="C125" i="41"/>
  <c r="C120" i="41"/>
  <c r="F239" i="35"/>
  <c r="I240" i="35"/>
  <c r="I241" i="35" s="1"/>
  <c r="F240" i="35"/>
  <c r="F241" i="35"/>
  <c r="I245" i="35"/>
  <c r="I246" i="35" s="1"/>
  <c r="F242" i="35"/>
  <c r="F243" i="35"/>
  <c r="F244" i="35"/>
  <c r="F245" i="35"/>
  <c r="F246" i="35"/>
  <c r="F247" i="35"/>
  <c r="F248" i="35"/>
  <c r="F249" i="35"/>
  <c r="F250" i="35"/>
  <c r="F251" i="35"/>
  <c r="F252" i="35"/>
  <c r="F253" i="35"/>
  <c r="F254" i="35"/>
  <c r="F255" i="35"/>
  <c r="F256" i="35"/>
  <c r="F257" i="35"/>
  <c r="F258" i="35"/>
  <c r="F259" i="35"/>
  <c r="F260" i="35"/>
  <c r="F261" i="35"/>
  <c r="F262" i="35"/>
  <c r="F263" i="35"/>
  <c r="F264" i="35"/>
  <c r="F265" i="35"/>
  <c r="F266" i="35"/>
  <c r="F267" i="35"/>
  <c r="F268" i="35"/>
  <c r="F269" i="35"/>
  <c r="D227" i="27"/>
  <c r="F226" i="27"/>
  <c r="E197" i="27"/>
  <c r="D200" i="27"/>
  <c r="D201" i="27" s="1"/>
  <c r="D197" i="27"/>
  <c r="F197" i="27" s="1"/>
  <c r="S224" i="41" l="1"/>
  <c r="S225" i="41" s="1"/>
  <c r="S219" i="41"/>
  <c r="S220" i="41" s="1"/>
  <c r="P220" i="41"/>
  <c r="P219" i="41"/>
  <c r="P234" i="41"/>
  <c r="P237" i="41"/>
  <c r="P233" i="41"/>
  <c r="P241" i="41"/>
  <c r="P242" i="41"/>
  <c r="P243" i="41"/>
  <c r="P223" i="41"/>
  <c r="P230" i="41"/>
  <c r="P246" i="41"/>
  <c r="P244" i="41"/>
  <c r="P247" i="41"/>
  <c r="P222" i="41"/>
  <c r="P229" i="41"/>
  <c r="P227" i="41"/>
  <c r="P240" i="41"/>
  <c r="P231" i="41"/>
  <c r="P218" i="41"/>
  <c r="P221" i="41"/>
  <c r="P225" i="41"/>
  <c r="P236" i="41"/>
  <c r="P239" i="41"/>
  <c r="P235" i="41"/>
  <c r="P226" i="41"/>
  <c r="P228" i="41"/>
  <c r="P224" i="41"/>
  <c r="P232" i="41"/>
  <c r="P238" i="41"/>
  <c r="P245" i="41"/>
  <c r="F64" i="35"/>
  <c r="D131" i="35"/>
  <c r="D132" i="35" s="1"/>
  <c r="F69" i="35"/>
  <c r="D70" i="35"/>
  <c r="D113" i="35" s="1"/>
  <c r="C165" i="41"/>
  <c r="C159" i="41"/>
  <c r="C160" i="41" s="1"/>
  <c r="D91" i="35"/>
  <c r="D92" i="35" s="1"/>
  <c r="D76" i="35"/>
  <c r="D79" i="35" s="1"/>
  <c r="D80" i="35" s="1"/>
  <c r="D81" i="35" s="1"/>
  <c r="E120" i="41"/>
  <c r="C121" i="41"/>
  <c r="E125" i="41"/>
  <c r="C132" i="41"/>
  <c r="C135" i="41" s="1"/>
  <c r="C136" i="41" s="1"/>
  <c r="C137" i="41" s="1"/>
  <c r="C126" i="41"/>
  <c r="C127" i="41"/>
  <c r="F60" i="35"/>
  <c r="D229" i="27"/>
  <c r="F227" i="27"/>
  <c r="D228" i="27"/>
  <c r="D230" i="27" s="1"/>
  <c r="D204" i="27"/>
  <c r="D55" i="35" s="1"/>
  <c r="D101" i="35" s="1"/>
  <c r="D102" i="35" s="1"/>
  <c r="D202" i="27"/>
  <c r="D203" i="27" s="1"/>
  <c r="E116" i="41" l="1"/>
  <c r="D167" i="41"/>
  <c r="C166" i="41"/>
  <c r="C167" i="41" s="1"/>
  <c r="C168" i="41" s="1"/>
  <c r="D93" i="35"/>
  <c r="E167" i="35" s="1"/>
  <c r="D139" i="35"/>
  <c r="D140" i="35" s="1"/>
  <c r="D118" i="35" s="1"/>
  <c r="D121" i="35" s="1"/>
  <c r="D54" i="35"/>
  <c r="D86" i="35" s="1"/>
  <c r="D87" i="35" s="1"/>
  <c r="C110" i="41"/>
  <c r="C111" i="41"/>
  <c r="D103" i="35"/>
  <c r="D174" i="35"/>
  <c r="D186" i="35"/>
  <c r="E165" i="35" l="1"/>
  <c r="E164" i="35"/>
  <c r="D72" i="35"/>
  <c r="D66" i="35"/>
  <c r="D135" i="35"/>
  <c r="F96" i="35" s="1"/>
  <c r="D119" i="35"/>
  <c r="D120" i="35" s="1"/>
  <c r="D122" i="35" s="1"/>
  <c r="D124" i="35" s="1"/>
  <c r="D126" i="35" s="1"/>
  <c r="D127" i="35" s="1"/>
  <c r="D128" i="35" s="1"/>
  <c r="D114" i="35"/>
  <c r="E162" i="35"/>
  <c r="E163" i="35"/>
  <c r="C128" i="41"/>
  <c r="C122" i="41"/>
  <c r="E160" i="35"/>
  <c r="E161" i="35"/>
  <c r="D187" i="35"/>
  <c r="D88" i="35"/>
  <c r="F88" i="35"/>
  <c r="D29" i="35"/>
  <c r="D30" i="35" s="1"/>
  <c r="E166" i="35" s="1"/>
  <c r="E158" i="35"/>
  <c r="E159" i="35"/>
  <c r="D136" i="35" l="1"/>
  <c r="D137" i="35" s="1"/>
  <c r="E154" i="35"/>
  <c r="E157" i="35"/>
  <c r="E156" i="35"/>
  <c r="E155" i="35"/>
  <c r="E153" i="35"/>
  <c r="E152" i="35"/>
  <c r="E171" i="35"/>
  <c r="E172" i="35"/>
  <c r="E150" i="35"/>
  <c r="D141" i="35"/>
  <c r="D182" i="35"/>
  <c r="D196" i="35" s="1"/>
  <c r="D197" i="35" s="1"/>
  <c r="D198" i="35" s="1"/>
  <c r="E151" i="35"/>
  <c r="D142" i="35"/>
  <c r="D144" i="35" s="1"/>
  <c r="D89" i="35"/>
  <c r="E169" i="35"/>
  <c r="E170" i="35"/>
  <c r="D210" i="35" l="1"/>
  <c r="D205" i="35"/>
  <c r="D145" i="35"/>
  <c r="F145" i="35"/>
  <c r="D90" i="35"/>
  <c r="F90" i="35" s="1"/>
  <c r="D200" i="35"/>
  <c r="D202" i="35" s="1"/>
  <c r="D209" i="35" l="1"/>
  <c r="D208" i="35"/>
  <c r="D212" i="35" s="1"/>
  <c r="D206" i="35"/>
  <c r="E183" i="35"/>
  <c r="D211" i="3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9" authorId="0" shapeId="0" xr:uid="{00000000-0006-0000-0300-000001000000}">
      <text>
        <r>
          <rPr>
            <b/>
            <sz val="9"/>
            <color indexed="81"/>
            <rFont val="Tahoma"/>
            <family val="2"/>
          </rPr>
          <t xml:space="preserve">Note: </t>
        </r>
        <r>
          <rPr>
            <sz val="9"/>
            <color indexed="81"/>
            <rFont val="Tahoma"/>
            <family val="2"/>
          </rPr>
          <t xml:space="preserve">1oz copper is 35.6µm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30" authorId="0" shapeId="0" xr:uid="{00000000-0006-0000-0400-000001000000}">
      <text>
        <r>
          <rPr>
            <sz val="9"/>
            <color indexed="81"/>
            <rFont val="Tahoma"/>
            <family val="2"/>
          </rPr>
          <t>This is typically between 0.5 and 0.85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D74" authorId="0" shapeId="0" xr:uid="{00000000-0006-0000-0600-000001000000}">
      <text>
        <r>
          <rPr>
            <sz val="9"/>
            <color indexed="81"/>
            <rFont val="Tahoma"/>
            <family val="2"/>
          </rPr>
          <t>This is typically between 0.5 and 0.85</t>
        </r>
      </text>
    </comment>
    <comment ref="C226" authorId="0" shapeId="0" xr:uid="{00000000-0006-0000-0600-000002000000}">
      <text>
        <r>
          <rPr>
            <b/>
            <sz val="9"/>
            <color indexed="81"/>
            <rFont val="Tahoma"/>
            <family val="2"/>
          </rPr>
          <t>Applied to CLKIN input</t>
        </r>
        <r>
          <rPr>
            <sz val="9"/>
            <color indexed="81"/>
            <rFont val="Tahoma"/>
            <family val="2"/>
          </rPr>
          <t xml:space="preserve">
Use 42MHz for Internal divider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23" authorId="0" shapeId="0" xr:uid="{00000000-0006-0000-0700-000001000000}">
      <text>
        <r>
          <rPr>
            <b/>
            <sz val="9"/>
            <color indexed="81"/>
            <rFont val="Tahoma"/>
            <family val="2"/>
          </rPr>
          <t>Larger Coils have improved sensing range</t>
        </r>
        <r>
          <rPr>
            <sz val="9"/>
            <color indexed="81"/>
            <rFont val="Tahoma"/>
            <family val="2"/>
          </rPr>
          <t xml:space="preserve">
</t>
        </r>
      </text>
    </comment>
    <comment ref="C25" authorId="0" shapeId="0" xr:uid="{00000000-0006-0000-0700-000002000000}">
      <text>
        <r>
          <rPr>
            <sz val="9"/>
            <color indexed="81"/>
            <rFont val="Tahoma"/>
            <family val="2"/>
          </rPr>
          <t xml:space="preserve">This must be closer than Switch-On distance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SVA Employee</author>
    <author>Chris Oberhauser</author>
  </authors>
  <commentList>
    <comment ref="C24" authorId="0" shapeId="0" xr:uid="{00000000-0006-0000-0900-000001000000}">
      <text>
        <r>
          <rPr>
            <b/>
            <sz val="9"/>
            <color indexed="81"/>
            <rFont val="Tahoma"/>
            <family val="2"/>
          </rPr>
          <t>Qmax = Rp_parasitic*</t>
        </r>
        <r>
          <rPr>
            <b/>
            <sz val="12"/>
            <color indexed="81"/>
            <rFont val="Symbol"/>
            <family val="1"/>
            <charset val="2"/>
          </rPr>
          <t>Ö</t>
        </r>
        <r>
          <rPr>
            <b/>
            <sz val="9"/>
            <color indexed="81"/>
            <rFont val="Tahoma"/>
            <family val="2"/>
          </rPr>
          <t>Csens/Lsens[initial]</t>
        </r>
      </text>
    </comment>
    <comment ref="C33" authorId="0" shapeId="0" xr:uid="{00000000-0006-0000-0900-000002000000}">
      <text>
        <r>
          <rPr>
            <b/>
            <sz val="9"/>
            <color indexed="81"/>
            <rFont val="Tahoma"/>
            <family val="2"/>
          </rPr>
          <t>Maximum Inductance
variation due to
target movement as a ratio compared to initial Lsen value</t>
        </r>
        <r>
          <rPr>
            <sz val="9"/>
            <color indexed="81"/>
            <rFont val="Tahoma"/>
            <family val="2"/>
          </rPr>
          <t xml:space="preserve">
</t>
        </r>
      </text>
    </comment>
    <comment ref="C34" authorId="0" shapeId="0" xr:uid="{00000000-0006-0000-0900-000003000000}">
      <text>
        <r>
          <rPr>
            <b/>
            <sz val="9"/>
            <color indexed="81"/>
            <rFont val="Tahoma"/>
            <family val="2"/>
          </rPr>
          <t>Sensor Inductance
(dist=0 to target)</t>
        </r>
        <r>
          <rPr>
            <sz val="9"/>
            <color indexed="81"/>
            <rFont val="Tahoma"/>
            <family val="2"/>
          </rPr>
          <t xml:space="preserve">
</t>
        </r>
        <r>
          <rPr>
            <b/>
            <sz val="9"/>
            <color indexed="81"/>
            <rFont val="Tahoma"/>
            <family val="2"/>
          </rPr>
          <t>Lfinal = Lvariation*Linitial</t>
        </r>
      </text>
    </comment>
    <comment ref="C35" authorId="0" shapeId="0" xr:uid="{00000000-0006-0000-0900-000004000000}">
      <text>
        <r>
          <rPr>
            <b/>
            <sz val="9"/>
            <color indexed="81"/>
            <rFont val="Tahoma"/>
            <family val="2"/>
          </rPr>
          <t>Oscillation Frequency:
Fosc =1/(2</t>
        </r>
        <r>
          <rPr>
            <b/>
            <sz val="9"/>
            <color indexed="81"/>
            <rFont val="Calibri"/>
            <family val="2"/>
          </rPr>
          <t>π</t>
        </r>
        <r>
          <rPr>
            <b/>
            <sz val="9"/>
            <color indexed="81"/>
            <rFont val="Symbol"/>
            <family val="1"/>
            <charset val="2"/>
          </rPr>
          <t>Ö</t>
        </r>
        <r>
          <rPr>
            <b/>
            <sz val="9"/>
            <color indexed="81"/>
            <rFont val="Tahoma"/>
            <family val="2"/>
          </rPr>
          <t>Lsens.Csens)</t>
        </r>
      </text>
    </comment>
    <comment ref="C37" authorId="0" shapeId="0" xr:uid="{00000000-0006-0000-0900-000005000000}">
      <text>
        <r>
          <rPr>
            <b/>
            <sz val="9"/>
            <color indexed="81"/>
            <rFont val="Tahoma"/>
            <family val="2"/>
          </rPr>
          <t>Equivalent Parallel 
Parasitic Resistance (d=0):
Rp = Lsens[final] / ( Csens.Rs )</t>
        </r>
        <r>
          <rPr>
            <sz val="9"/>
            <color indexed="81"/>
            <rFont val="Tahoma"/>
            <family val="2"/>
          </rPr>
          <t xml:space="preserve">
</t>
        </r>
      </text>
    </comment>
    <comment ref="C41" authorId="0" shapeId="0" xr:uid="{00000000-0006-0000-0900-000006000000}">
      <text>
        <r>
          <rPr>
            <b/>
            <sz val="9"/>
            <color indexed="81"/>
            <rFont val="Tahoma"/>
            <family val="2"/>
          </rPr>
          <t>Qmin = RpMIN*</t>
        </r>
        <r>
          <rPr>
            <b/>
            <sz val="9"/>
            <color indexed="81"/>
            <rFont val="Symbol"/>
            <family val="1"/>
            <charset val="2"/>
          </rPr>
          <t>Ö</t>
        </r>
        <r>
          <rPr>
            <b/>
            <sz val="9"/>
            <color indexed="81"/>
            <rFont val="Tahoma"/>
            <family val="2"/>
          </rPr>
          <t>Csens/Lsens[final]</t>
        </r>
        <r>
          <rPr>
            <sz val="9"/>
            <color indexed="81"/>
            <rFont val="Tahoma"/>
            <family val="2"/>
          </rPr>
          <t xml:space="preserve">
</t>
        </r>
      </text>
    </comment>
    <comment ref="C45" authorId="0" shapeId="0" xr:uid="{00000000-0006-0000-0900-000007000000}">
      <text>
        <r>
          <rPr>
            <b/>
            <sz val="9"/>
            <color indexed="81"/>
            <rFont val="Tahoma"/>
            <family val="2"/>
          </rPr>
          <t>Detector Resistance (d=0):
Rff = 1.66/( Fosc*</t>
        </r>
        <r>
          <rPr>
            <b/>
            <sz val="12"/>
            <color indexed="81"/>
            <rFont val="Symbol"/>
            <family val="1"/>
            <charset val="2"/>
          </rPr>
          <t>p</t>
        </r>
        <r>
          <rPr>
            <b/>
            <sz val="9"/>
            <color indexed="81"/>
            <rFont val="Tahoma"/>
            <family val="2"/>
          </rPr>
          <t>*Cff )</t>
        </r>
        <r>
          <rPr>
            <sz val="9"/>
            <color indexed="81"/>
            <rFont val="Tahoma"/>
            <family val="2"/>
          </rPr>
          <t xml:space="preserve">
</t>
        </r>
      </text>
    </comment>
    <comment ref="C160" authorId="1" shapeId="0" xr:uid="{00000000-0006-0000-0900-000008000000}">
      <text>
        <r>
          <rPr>
            <b/>
            <sz val="9"/>
            <color indexed="81"/>
            <rFont val="Tahoma"/>
            <family val="2"/>
          </rPr>
          <t>Applied to CLKIN input</t>
        </r>
        <r>
          <rPr>
            <sz val="9"/>
            <color indexed="81"/>
            <rFont val="Tahoma"/>
            <family val="2"/>
          </rPr>
          <t xml:space="preserve">
Use 42MHz for Internal divider value.</t>
        </r>
      </text>
    </comment>
    <comment ref="C171" authorId="1" shapeId="0" xr:uid="{00000000-0006-0000-0900-000009000000}">
      <text>
        <r>
          <rPr>
            <b/>
            <sz val="9"/>
            <color indexed="81"/>
            <rFont val="Tahoma"/>
            <family val="2"/>
          </rPr>
          <t>Applied to TBCLK input</t>
        </r>
        <r>
          <rPr>
            <sz val="9"/>
            <color indexed="81"/>
            <rFont val="Tahoma"/>
            <family val="2"/>
          </rPr>
          <t xml:space="preserve">
</t>
        </r>
      </text>
    </comment>
    <comment ref="D193" authorId="1" shapeId="0" xr:uid="{00000000-0006-0000-0900-00000A000000}">
      <text>
        <r>
          <rPr>
            <sz val="9"/>
            <color indexed="81"/>
            <rFont val="Tahoma"/>
            <family val="2"/>
          </rPr>
          <t>This is typically between 0.5 and 0.85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30" authorId="0" shapeId="0" xr:uid="{00000000-0006-0000-0A00-000001000000}">
      <text>
        <r>
          <rPr>
            <b/>
            <sz val="9"/>
            <color indexed="81"/>
            <rFont val="Tahoma"/>
            <family val="2"/>
          </rPr>
          <t>Applied to TBCLK input</t>
        </r>
        <r>
          <rPr>
            <sz val="9"/>
            <color indexed="81"/>
            <rFont val="Tahoma"/>
            <family val="2"/>
          </rPr>
          <t xml:space="preserve">
</t>
        </r>
      </text>
    </comment>
    <comment ref="D61" authorId="0" shapeId="0" xr:uid="{00000000-0006-0000-0A00-000002000000}">
      <text>
        <r>
          <rPr>
            <sz val="9"/>
            <color indexed="81"/>
            <rFont val="Tahoma"/>
            <family val="2"/>
          </rPr>
          <t>This is typically between 0.5 and 0.85</t>
        </r>
      </text>
    </comment>
  </commentList>
</comments>
</file>

<file path=xl/sharedStrings.xml><?xml version="1.0" encoding="utf-8"?>
<sst xmlns="http://schemas.openxmlformats.org/spreadsheetml/2006/main" count="2885" uniqueCount="1674">
  <si>
    <t>MHz</t>
  </si>
  <si>
    <t>Hz</t>
  </si>
  <si>
    <t>Sensor Frequency</t>
  </si>
  <si>
    <t>cm</t>
  </si>
  <si>
    <t>Remote Sensor Distance Calculator</t>
  </si>
  <si>
    <t>Maximum Distance:</t>
  </si>
  <si>
    <t>Solve for maximum distance with a given sensor frequency</t>
  </si>
  <si>
    <t>Device:</t>
  </si>
  <si>
    <t>Solve for sensor frequency for a given distance</t>
  </si>
  <si>
    <t>Maximum Sensor Frequency</t>
  </si>
  <si>
    <t>LDC1000</t>
  </si>
  <si>
    <t>This tool does not include effects from environmental noise, which could also reduce the maximum effective sensor distance.</t>
  </si>
  <si>
    <t>Use of twisted pair is recommended for remote sensor placement.</t>
  </si>
  <si>
    <t>Fmax (MHz)</t>
  </si>
  <si>
    <t>Fmin(MHz)</t>
  </si>
  <si>
    <t>Device</t>
  </si>
  <si>
    <r>
      <rPr>
        <sz val="11"/>
        <color theme="1"/>
        <rFont val="Calibri"/>
        <family val="2"/>
      </rPr>
      <t>×</t>
    </r>
    <r>
      <rPr>
        <sz val="11"/>
        <color theme="1"/>
        <rFont val="Calibri"/>
        <family val="2"/>
        <scheme val="minor"/>
      </rPr>
      <t xml:space="preserve"> speed of light</t>
    </r>
  </si>
  <si>
    <t xml:space="preserve">Reference Frequency </t>
  </si>
  <si>
    <t>LDC Response Setting</t>
  </si>
  <si>
    <t>Reference Frequency</t>
  </si>
  <si>
    <t>Layer Stackup</t>
  </si>
  <si>
    <t>Enter only in Yellow Fields (pull-down for mm or mil)</t>
  </si>
  <si>
    <t>Results in Orange Fields</t>
  </si>
  <si>
    <t>Operating temperature</t>
  </si>
  <si>
    <t>T</t>
  </si>
  <si>
    <t>Enter operating temperature</t>
  </si>
  <si>
    <t>C</t>
  </si>
  <si>
    <t>pF</t>
  </si>
  <si>
    <t>Select LC tank capacitance</t>
  </si>
  <si>
    <t>Layers</t>
  </si>
  <si>
    <t>M</t>
  </si>
  <si>
    <t>Turns</t>
  </si>
  <si>
    <t>N</t>
  </si>
  <si>
    <t>Number of turns per layer</t>
  </si>
  <si>
    <t>mm</t>
  </si>
  <si>
    <t>Outer Diameter of the spiral inductor</t>
  </si>
  <si>
    <t>din</t>
  </si>
  <si>
    <t>Inner diameter of the spiral inductor (mm or mil)</t>
  </si>
  <si>
    <t>spacing between traces</t>
  </si>
  <si>
    <t>S</t>
  </si>
  <si>
    <t>Space between traces (mm or mil)</t>
  </si>
  <si>
    <t>width of trace</t>
  </si>
  <si>
    <t>w</t>
  </si>
  <si>
    <t>Width of the trace  (mm or mil)</t>
  </si>
  <si>
    <t>Space between layer 1 and 2  (mm or mil)</t>
  </si>
  <si>
    <t>Space between layer 2 and 3  (mm or mil)</t>
  </si>
  <si>
    <t>Space between layer 3 and 4 (mm or mil)</t>
  </si>
  <si>
    <t>Space between layer 4 and 5  (mm or mil)</t>
  </si>
  <si>
    <t>Space between layer 5 and 6  (mm or mil)</t>
  </si>
  <si>
    <t>Space between layer 6 and 7  (mm or mil)</t>
  </si>
  <si>
    <t>Space between layer 7 and 8  (mm or mil)</t>
  </si>
  <si>
    <t>Copper thickness</t>
  </si>
  <si>
    <t>t</t>
  </si>
  <si>
    <t>oz-Cu</t>
  </si>
  <si>
    <t>Copper layer thickness  (mm,Oz-Cu, or mil)</t>
  </si>
  <si>
    <t>pr</t>
  </si>
  <si>
    <t>pr_tc</t>
  </si>
  <si>
    <t>Conductor relative permeability</t>
  </si>
  <si>
    <t>Parasitic capacitance</t>
  </si>
  <si>
    <t>Cpar</t>
  </si>
  <si>
    <t>Estimate - generally in the rage of 1 to 5 pf</t>
  </si>
  <si>
    <t>Copper resistivity at operating temperature</t>
  </si>
  <si>
    <t xml:space="preserve">pr_t </t>
  </si>
  <si>
    <t>Average diameter</t>
  </si>
  <si>
    <t>davg</t>
  </si>
  <si>
    <t>Geometric mean diameter</t>
  </si>
  <si>
    <t>p</t>
  </si>
  <si>
    <t>Inductor inner diameter</t>
  </si>
  <si>
    <t>Self inductance per layer</t>
  </si>
  <si>
    <t>L</t>
  </si>
  <si>
    <r>
      <rPr>
        <sz val="10"/>
        <color theme="1"/>
        <rFont val="Calibri"/>
        <family val="2"/>
      </rPr>
      <t>µ</t>
    </r>
    <r>
      <rPr>
        <sz val="10"/>
        <color theme="1"/>
        <rFont val="Calibri"/>
        <family val="2"/>
        <scheme val="minor"/>
      </rPr>
      <t>H</t>
    </r>
  </si>
  <si>
    <t>Sensor Operating Frequency</t>
  </si>
  <si>
    <t>kHz</t>
  </si>
  <si>
    <t>coil length per layer</t>
  </si>
  <si>
    <t>l</t>
  </si>
  <si>
    <t>DC resistance</t>
  </si>
  <si>
    <t>Rdc</t>
  </si>
  <si>
    <t>Ω</t>
  </si>
  <si>
    <t>Skin depth</t>
  </si>
  <si>
    <t>sd</t>
  </si>
  <si>
    <t>AC resistance (skin effect only)</t>
  </si>
  <si>
    <t>Rp</t>
  </si>
  <si>
    <t>Q factor</t>
  </si>
  <si>
    <t>Q</t>
  </si>
  <si>
    <t>SRF</t>
  </si>
  <si>
    <t>Spring inductance estimate according to Wheeler's formula</t>
  </si>
  <si>
    <t>L_series</t>
  </si>
  <si>
    <t>f_compressed</t>
  </si>
  <si>
    <t>f_extended</t>
  </si>
  <si>
    <t>d</t>
  </si>
  <si>
    <t>coil diameter</t>
  </si>
  <si>
    <t>number of turns</t>
  </si>
  <si>
    <t>length</t>
  </si>
  <si>
    <t>codewords difference</t>
  </si>
  <si>
    <t>LDC Calculations Tool</t>
  </si>
  <si>
    <t>Placing a capacitor of 10-50pF from the INA/INB pins to ground can mitigate noise issues.</t>
  </si>
  <si>
    <t>µH</t>
  </si>
  <si>
    <t>f</t>
  </si>
  <si>
    <t>Response Time</t>
  </si>
  <si>
    <t>pf</t>
  </si>
  <si>
    <t>Inductance</t>
  </si>
  <si>
    <t>Melting point</t>
  </si>
  <si>
    <t>°F</t>
  </si>
  <si>
    <t>Skin Depth Calculator</t>
  </si>
  <si>
    <t>Material</t>
  </si>
  <si>
    <t>Copper</t>
  </si>
  <si>
    <t>Conductivity</t>
  </si>
  <si>
    <t>µΩ-cm</t>
  </si>
  <si>
    <t>Ωm</t>
  </si>
  <si>
    <t>Relative Permeability</t>
  </si>
  <si>
    <t>u</t>
  </si>
  <si>
    <t>H/m</t>
  </si>
  <si>
    <t>Skin Depth</t>
  </si>
  <si>
    <t>m</t>
  </si>
  <si>
    <t>µm</t>
  </si>
  <si>
    <t>Material Thickness</t>
  </si>
  <si>
    <t xml:space="preserve">m </t>
  </si>
  <si>
    <t>Percentage of Current:</t>
  </si>
  <si>
    <t>skin depths</t>
  </si>
  <si>
    <t>Data Courtesy of Microwaves101.com</t>
  </si>
  <si>
    <t>Bulk resistivity</t>
  </si>
  <si>
    <t>°C</t>
  </si>
  <si>
    <t>Aluminum</t>
  </si>
  <si>
    <t>Al</t>
  </si>
  <si>
    <t>Carbon</t>
  </si>
  <si>
    <t>Chromium</t>
  </si>
  <si>
    <t>Cr</t>
  </si>
  <si>
    <t>Cu</t>
  </si>
  <si>
    <t>Gold</t>
  </si>
  <si>
    <t>Au</t>
  </si>
  <si>
    <t>Iron</t>
  </si>
  <si>
    <t>Fe</t>
  </si>
  <si>
    <t>Lead</t>
  </si>
  <si>
    <t>Pb</t>
  </si>
  <si>
    <t>Magnesium</t>
  </si>
  <si>
    <t>Mg</t>
  </si>
  <si>
    <t>Nickel</t>
  </si>
  <si>
    <t>Ni</t>
  </si>
  <si>
    <t>Nichrome</t>
  </si>
  <si>
    <t>Ni80/Cr20</t>
  </si>
  <si>
    <t>0 to 50</t>
  </si>
  <si>
    <t>Silver</t>
  </si>
  <si>
    <t>Ag</t>
  </si>
  <si>
    <t>Tantalum</t>
  </si>
  <si>
    <t>Ta</t>
  </si>
  <si>
    <t>Tantalum nitride</t>
  </si>
  <si>
    <t>TaN</t>
  </si>
  <si>
    <t>Tin (white)</t>
  </si>
  <si>
    <t>Sn</t>
  </si>
  <si>
    <t>Titanium</t>
  </si>
  <si>
    <t>Ti</t>
  </si>
  <si>
    <t>Tungsten</t>
  </si>
  <si>
    <t>W</t>
  </si>
  <si>
    <t>Zinc</t>
  </si>
  <si>
    <t>Zn</t>
  </si>
  <si>
    <t>Zirconium</t>
  </si>
  <si>
    <t>Zr</t>
  </si>
  <si>
    <t>Skin Depth Calculation</t>
  </si>
  <si>
    <t>Number of Skin Depths:</t>
  </si>
  <si>
    <t>Csensor</t>
  </si>
  <si>
    <r>
      <rPr>
        <sz val="11"/>
        <color theme="1"/>
        <rFont val="Calibri"/>
        <family val="2"/>
      </rPr>
      <t>µ</t>
    </r>
    <r>
      <rPr>
        <sz val="11"/>
        <color theme="1"/>
        <rFont val="Calibri"/>
        <family val="2"/>
        <scheme val="minor"/>
      </rPr>
      <t>H</t>
    </r>
  </si>
  <si>
    <t>Fdelta</t>
  </si>
  <si>
    <t>may be needed to satisfy boundary conditions</t>
  </si>
  <si>
    <t>%</t>
  </si>
  <si>
    <t>Target Material</t>
  </si>
  <si>
    <t>Courtesy of Microwaves101.com</t>
  </si>
  <si>
    <t>Set in Register 0x04</t>
  </si>
  <si>
    <t>LDC output from Registers [0x23:0x25]</t>
  </si>
  <si>
    <t>AC currents remain on the surface of conductor, decaying in an exponential manner. The</t>
  </si>
  <si>
    <t>depth of ~63% of the current is called the skin depth. A higher frequency will have a shallower skin</t>
  </si>
  <si>
    <t>An LDC can use a spring as a sensor, and measure contraction or expansion of the spring.</t>
  </si>
  <si>
    <t>Compressed Spring Settings</t>
  </si>
  <si>
    <t>Spring inductance</t>
  </si>
  <si>
    <t>First, enter the spring mechanical parameters at compressed and extended settings</t>
  </si>
  <si>
    <t xml:space="preserve">then then configure the LDC to calculate the codeword difference; the larger the </t>
  </si>
  <si>
    <t>code word difference between compressed and extended conditions, the more physical</t>
  </si>
  <si>
    <t xml:space="preserve">measurement resolution available. </t>
  </si>
  <si>
    <t>Extended Spring Settings</t>
  </si>
  <si>
    <t>Lmin</t>
  </si>
  <si>
    <t>Lmax</t>
  </si>
  <si>
    <t>Includes the L_series value</t>
  </si>
  <si>
    <t>Note that for some springs, a series inductor may be necessary for a compliant sensor frequency.</t>
  </si>
  <si>
    <t>LDC1000/LDC1041 Inductance Measurement</t>
  </si>
  <si>
    <t>LDC1041</t>
  </si>
  <si>
    <t>PCB thickness between 1st layer and 2nd layer</t>
  </si>
  <si>
    <t>PCB thickness between 2nd layer and 3rd layer</t>
  </si>
  <si>
    <t>PCB thickness between 3rd layer and 4th layer</t>
  </si>
  <si>
    <t>PCB thickness between 4th layer and 5th layer</t>
  </si>
  <si>
    <t>PCB thickness between 5th layer and 6th layer</t>
  </si>
  <si>
    <t>PCB thickness between 6th layer and 7th layer</t>
  </si>
  <si>
    <t>PCB thickness between 7th layer and 8th layer</t>
  </si>
  <si>
    <t>h12</t>
  </si>
  <si>
    <t>h23</t>
  </si>
  <si>
    <t>h34</t>
  </si>
  <si>
    <t>h45</t>
  </si>
  <si>
    <t>h56</t>
  </si>
  <si>
    <t>h67</t>
  </si>
  <si>
    <t>h78</t>
  </si>
  <si>
    <t>Return to Main Page</t>
  </si>
  <si>
    <t>Return to Main page</t>
  </si>
  <si>
    <t>Quick Sensor L/C/f Calculator</t>
  </si>
  <si>
    <t>Sample Rate</t>
  </si>
  <si>
    <t>ksps</t>
  </si>
  <si>
    <t xml:space="preserve">A lower Q sensor (&lt;15) will not be able to work at as a large a distance. </t>
  </si>
  <si>
    <t>IC Max Sensor Frequency:</t>
  </si>
  <si>
    <t>IC Min Sensor Frequency:</t>
  </si>
  <si>
    <t>Cable Velocity Factor:</t>
  </si>
  <si>
    <t>Sensor Frequency:</t>
  </si>
  <si>
    <t>Desired Distance:</t>
  </si>
  <si>
    <t>number of registers to set</t>
  </si>
  <si>
    <t>Number of channels of measurement</t>
  </si>
  <si>
    <t>Normalized Shutdown current</t>
  </si>
  <si>
    <t>Normalized Sleep current</t>
  </si>
  <si>
    <t>Normalized Active current</t>
  </si>
  <si>
    <t>LDC1612/4</t>
  </si>
  <si>
    <t>LDC1312/4</t>
  </si>
  <si>
    <t>LDCs can utilize a remote sensor. This tool calculates the absolute maximum</t>
  </si>
  <si>
    <t>other system characteristics can reduce this range significantly.</t>
  </si>
  <si>
    <t>distance the sensor can be located from the LDC. Note that environmental effects and</t>
  </si>
  <si>
    <t>Response time</t>
  </si>
  <si>
    <t>Reference Count</t>
  </si>
  <si>
    <t>Conversion Time</t>
  </si>
  <si>
    <t>µs</t>
  </si>
  <si>
    <t>Approx Sample Rate</t>
  </si>
  <si>
    <t>Select LDC Device:</t>
  </si>
  <si>
    <t>LDC131x/LDC161x</t>
  </si>
  <si>
    <t>Note: for LDC131x, values greater than 65535 do not provide improved resolution</t>
  </si>
  <si>
    <t>Effective Code Difference</t>
  </si>
  <si>
    <t>fsensor</t>
  </si>
  <si>
    <t>ms</t>
  </si>
  <si>
    <t>I2C Datarate</t>
  </si>
  <si>
    <t>kbit/s</t>
  </si>
  <si>
    <t>Desired Sample Rate</t>
  </si>
  <si>
    <t>POR time</t>
  </si>
  <si>
    <t>I2C config time</t>
  </si>
  <si>
    <t>i2C clocks to configure one register</t>
  </si>
  <si>
    <t>Active mode start time</t>
  </si>
  <si>
    <t>channel switching overhead time</t>
  </si>
  <si>
    <t>total active time per second</t>
  </si>
  <si>
    <t>LDC Device</t>
  </si>
  <si>
    <t>Total I2C IO time (in sleep mode)</t>
  </si>
  <si>
    <t xml:space="preserve">single conversion time  </t>
  </si>
  <si>
    <t>Sensor RP</t>
  </si>
  <si>
    <t>kΩ</t>
  </si>
  <si>
    <t>mA</t>
  </si>
  <si>
    <t>sensor current</t>
  </si>
  <si>
    <t>Shutdown current</t>
  </si>
  <si>
    <t>Sleep current</t>
  </si>
  <si>
    <t>Total Shutdown time</t>
  </si>
  <si>
    <t>settling time per channel</t>
  </si>
  <si>
    <t>Total Sleep time per second</t>
  </si>
  <si>
    <t>total time per all channels measurement</t>
  </si>
  <si>
    <t>Ideal Settle count</t>
  </si>
  <si>
    <r>
      <rPr>
        <sz val="10"/>
        <color theme="1"/>
        <rFont val="Calibri"/>
        <family val="2"/>
      </rPr>
      <t>µ</t>
    </r>
    <r>
      <rPr>
        <sz val="10"/>
        <color theme="1"/>
        <rFont val="Calibri"/>
        <family val="2"/>
        <scheme val="minor"/>
      </rPr>
      <t>A</t>
    </r>
  </si>
  <si>
    <t>LDC161x Inductive Measurement</t>
  </si>
  <si>
    <t>Conductor Resistivity temperature coef</t>
  </si>
  <si>
    <t>relative Permiablity</t>
  </si>
  <si>
    <t>LDC1000 Sample Rate</t>
  </si>
  <si>
    <t>ppm/°C</t>
  </si>
  <si>
    <t>Resistivity Tempco (TCR)</t>
  </si>
  <si>
    <t>Composition</t>
  </si>
  <si>
    <t>fullscale resolution</t>
  </si>
  <si>
    <t>LDC131x Gain</t>
  </si>
  <si>
    <t>Value programmed into OFFSET_CHx Register</t>
  </si>
  <si>
    <t>Sensor Capacitance</t>
  </si>
  <si>
    <t>Values below 100pf may exhibit parasitic interactions</t>
  </si>
  <si>
    <t>Reference Divider</t>
  </si>
  <si>
    <t>Fin Divider</t>
  </si>
  <si>
    <t>Select LDC</t>
  </si>
  <si>
    <t>CLKIN Frequency</t>
  </si>
  <si>
    <t>TI LDC InductanceCalculator</t>
  </si>
  <si>
    <t>Note on usage of these worksheets:</t>
  </si>
  <si>
    <t>Click on a tool from the list below:</t>
  </si>
  <si>
    <t>Quick Sensor L/C/f Calculator:</t>
  </si>
  <si>
    <t>If you want to minimize the effect of a conductor, use a target thickness of less than 0.5 skin depths</t>
  </si>
  <si>
    <t xml:space="preserve">depth. It is recommended to use a target thickness of at least 3 skin depths for a good LDC measurement. </t>
  </si>
  <si>
    <t>Resonance impedance estimate</t>
  </si>
  <si>
    <t>Quick Sensor Rp/Rs/Q Calculator:</t>
  </si>
  <si>
    <t>Sensor Inductance</t>
  </si>
  <si>
    <t>Calculated Sensor Frequency</t>
  </si>
  <si>
    <t>Sensor Frequency 
(copy from C11 if desired)</t>
  </si>
  <si>
    <t>bits</t>
  </si>
  <si>
    <t>Conversion Interval</t>
  </si>
  <si>
    <t xml:space="preserve">Device </t>
  </si>
  <si>
    <t>LDC131x Output Gain</t>
  </si>
  <si>
    <t>Approx. L Measurement Resolution</t>
  </si>
  <si>
    <t>Coil Fill Ratio</t>
  </si>
  <si>
    <t>Outer diameter of inductor in mm</t>
  </si>
  <si>
    <t>din/dout</t>
  </si>
  <si>
    <r>
      <t>Reminder: 1oz copper is ~35</t>
    </r>
    <r>
      <rPr>
        <sz val="11"/>
        <color theme="1"/>
        <rFont val="Calibri"/>
        <family val="2"/>
      </rPr>
      <t>µm thick.</t>
    </r>
  </si>
  <si>
    <t>Enter values or select settings in yellow cells only.</t>
  </si>
  <si>
    <t>Results provided in Orange cells. Do not edit these fields.</t>
  </si>
  <si>
    <t>Intermediate Calculation cells. Do not edit.</t>
  </si>
  <si>
    <t>Sensor Parameters:</t>
  </si>
  <si>
    <t>Lsensor (No Target)</t>
  </si>
  <si>
    <t>Lsensor (Closest target)</t>
  </si>
  <si>
    <t>Fsensor(Closest target)</t>
  </si>
  <si>
    <t xml:space="preserve">Qmax = </t>
  </si>
  <si>
    <t>C1 (initial) =</t>
  </si>
  <si>
    <t>C1 (final) =</t>
  </si>
  <si>
    <t>R1 (initial)=</t>
  </si>
  <si>
    <t>R1 (final) =</t>
  </si>
  <si>
    <t>C2 (initial) =</t>
  </si>
  <si>
    <t>C2 (final) =</t>
  </si>
  <si>
    <t>R2 (initial) =</t>
  </si>
  <si>
    <t>R2 (final) =</t>
  </si>
  <si>
    <t>Limits and Parameters</t>
  </si>
  <si>
    <t>pico</t>
  </si>
  <si>
    <t>micro</t>
  </si>
  <si>
    <t>Mega</t>
  </si>
  <si>
    <t>Limits</t>
  </si>
  <si>
    <t>Min</t>
  </si>
  <si>
    <t>Max</t>
  </si>
  <si>
    <t>Lsensor</t>
  </si>
  <si>
    <t>Fosc</t>
  </si>
  <si>
    <t>Qsensor</t>
  </si>
  <si>
    <t>Rpparasitic</t>
  </si>
  <si>
    <t>Vamp</t>
  </si>
  <si>
    <t>Vswing</t>
  </si>
  <si>
    <t>K1 limits</t>
  </si>
  <si>
    <t>F1</t>
  </si>
  <si>
    <t>K1=F1/Fosc</t>
  </si>
  <si>
    <t>RP Listing</t>
  </si>
  <si>
    <t>C1 List</t>
  </si>
  <si>
    <t>C2 List</t>
  </si>
  <si>
    <r>
      <t>k</t>
    </r>
    <r>
      <rPr>
        <sz val="10"/>
        <color theme="1"/>
        <rFont val="Calibri"/>
        <family val="2"/>
      </rPr>
      <t>Ω</t>
    </r>
  </si>
  <si>
    <t>RpMIN Setting</t>
  </si>
  <si>
    <t>RpMAX Setting</t>
  </si>
  <si>
    <t>Spring Sensor Calculation Tool</t>
  </si>
  <si>
    <t>Spring Sensor Calculator Tool</t>
  </si>
  <si>
    <t>For the LDC131x/LDC161x, set the input deglitch filter appropriately (Register 0x1B[2:0]).</t>
  </si>
  <si>
    <t>Target Movement Change:</t>
  </si>
  <si>
    <t>LDC1101</t>
  </si>
  <si>
    <t>Max Ref Frequency</t>
  </si>
  <si>
    <t>Max Sensor Frequency</t>
  </si>
  <si>
    <t>Calculate the L or RP measurement based on device output code and device settings.</t>
  </si>
  <si>
    <t>RP Max setting</t>
  </si>
  <si>
    <t>RP Min Setting</t>
  </si>
  <si>
    <t>LDC1000RP_SETTING(kΩ)</t>
  </si>
  <si>
    <t>Active RP List</t>
  </si>
  <si>
    <t>kΩ</t>
  </si>
  <si>
    <t>LDC1101 RP Calculation</t>
  </si>
  <si>
    <t>Max output code</t>
  </si>
  <si>
    <t>LDC1000/10x1 RP Calc</t>
  </si>
  <si>
    <t>RP Decimal Output Code</t>
  </si>
  <si>
    <t>Max fCLKIN</t>
  </si>
  <si>
    <t>(value in registers 0x08:0x0B)</t>
  </si>
  <si>
    <t>Hex</t>
  </si>
  <si>
    <t>Sensor capacitance</t>
  </si>
  <si>
    <t>Register TC1 setting</t>
  </si>
  <si>
    <t>Address 0x02</t>
  </si>
  <si>
    <t>Address 0x03</t>
  </si>
  <si>
    <t>Register TC2 setting</t>
  </si>
  <si>
    <t>Register RP_SET setting</t>
  </si>
  <si>
    <t>Address 0x01</t>
  </si>
  <si>
    <t>Lvariation</t>
  </si>
  <si>
    <r>
      <t>this is typically 80%</t>
    </r>
    <r>
      <rPr>
        <sz val="10"/>
        <color theme="1"/>
        <rFont val="Calibri"/>
        <family val="2"/>
      </rPr>
      <t>≤ x</t>
    </r>
    <r>
      <rPr>
        <sz val="10"/>
        <color theme="1"/>
        <rFont val="Calibri"/>
        <family val="2"/>
        <scheme val="minor"/>
      </rPr>
      <t xml:space="preserve"> ≤100%</t>
    </r>
  </si>
  <si>
    <r>
      <t>k</t>
    </r>
    <r>
      <rPr>
        <sz val="9"/>
        <color theme="1"/>
        <rFont val="Calibri"/>
        <family val="2"/>
      </rPr>
      <t>Ω</t>
    </r>
  </si>
  <si>
    <t>R1 Range</t>
  </si>
  <si>
    <t>R2 Range</t>
  </si>
  <si>
    <t>Decimal</t>
  </si>
  <si>
    <t xml:space="preserve">Set this value in Register 0x04 </t>
  </si>
  <si>
    <r>
      <t>this is typically 98%</t>
    </r>
    <r>
      <rPr>
        <sz val="10"/>
        <color theme="1"/>
        <rFont val="Calibri"/>
        <family val="2"/>
      </rPr>
      <t>≤ x</t>
    </r>
    <r>
      <rPr>
        <sz val="10"/>
        <color theme="1"/>
        <rFont val="Calibri"/>
        <family val="2"/>
        <scheme val="minor"/>
      </rPr>
      <t xml:space="preserve"> ≤100%: This is the Resistive shift only, ignoring any L shift</t>
    </r>
  </si>
  <si>
    <t>decimal</t>
  </si>
  <si>
    <r>
      <t>R</t>
    </r>
    <r>
      <rPr>
        <b/>
        <i/>
        <vertAlign val="subscript"/>
        <sz val="11"/>
        <rFont val="Calibri"/>
        <family val="2"/>
        <scheme val="minor"/>
      </rPr>
      <t>P</t>
    </r>
    <r>
      <rPr>
        <b/>
        <i/>
        <sz val="11"/>
        <rFont val="Calibri"/>
        <family val="2"/>
        <scheme val="minor"/>
      </rPr>
      <t xml:space="preserve"> Measurement</t>
    </r>
  </si>
  <si>
    <r>
      <rPr>
        <i/>
        <sz val="11"/>
        <color theme="1"/>
        <rFont val="Calibri"/>
        <family val="2"/>
        <scheme val="minor"/>
      </rPr>
      <t>f</t>
    </r>
    <r>
      <rPr>
        <vertAlign val="subscript"/>
        <sz val="11"/>
        <color theme="1"/>
        <rFont val="Calibri"/>
        <family val="2"/>
        <scheme val="minor"/>
      </rPr>
      <t>REFERENCE</t>
    </r>
    <r>
      <rPr>
        <sz val="11"/>
        <color theme="1"/>
        <rFont val="Calibri"/>
        <family val="2"/>
        <scheme val="minor"/>
      </rPr>
      <t xml:space="preserve"> input to CLKIN</t>
    </r>
  </si>
  <si>
    <t>Stainless Steel 316</t>
  </si>
  <si>
    <r>
      <t>µ</t>
    </r>
    <r>
      <rPr>
        <b/>
        <i/>
        <vertAlign val="subscript"/>
        <sz val="11"/>
        <color theme="1"/>
        <rFont val="Calibri"/>
        <family val="2"/>
        <scheme val="minor"/>
      </rPr>
      <t>r</t>
    </r>
  </si>
  <si>
    <t>FeCNiCrMo</t>
  </si>
  <si>
    <t>hex</t>
  </si>
  <si>
    <t>Effective settle count</t>
  </si>
  <si>
    <t>LDC161x</t>
  </si>
  <si>
    <t>Values below 100pf more likely to encounter parasitic interactions</t>
  </si>
  <si>
    <t>Stainless Steel 430</t>
  </si>
  <si>
    <t>Low carbon Steel 1006</t>
  </si>
  <si>
    <t>https://e2e.ti.com/blogs_/b/analogwire/archive/2014/06/10/inductive-sensing-how-to-use-a-tiny-2mm-pcb-inductor-as-a-sensor</t>
  </si>
  <si>
    <t>Vpk</t>
  </si>
  <si>
    <t>V</t>
  </si>
  <si>
    <t>decimal RCOUNT</t>
  </si>
  <si>
    <t>Maximum Reference Frequency</t>
  </si>
  <si>
    <t>Max fSENSOR</t>
  </si>
  <si>
    <t>LDC131x/LDC161x Sensor Configuration</t>
  </si>
  <si>
    <t>Recommended Settle Count Register Setting</t>
  </si>
  <si>
    <t>Conversion readback time (in active mode; includes sleep command)</t>
  </si>
  <si>
    <t>33f1</t>
  </si>
  <si>
    <t>Device Active current (mA)</t>
  </si>
  <si>
    <t>Total Active current - with sensor (mA)</t>
  </si>
  <si>
    <t>ratio of area to unit circle</t>
  </si>
  <si>
    <t>Rs</t>
  </si>
  <si>
    <t>Target Distance</t>
  </si>
  <si>
    <t>D</t>
  </si>
  <si>
    <t>Target Distance/Sensor Diameter Ratio</t>
  </si>
  <si>
    <t>RP Adjust Factor</t>
  </si>
  <si>
    <t>RP Adjust Factor (clipped)</t>
  </si>
  <si>
    <t>Target Conductivity (composition &amp; thickness)</t>
  </si>
  <si>
    <t>Sensor Inductance from Target Interaction</t>
  </si>
  <si>
    <t>L'</t>
  </si>
  <si>
    <t>Sensor Frequency with Target Interaction</t>
  </si>
  <si>
    <t>Rp with Target Interation</t>
  </si>
  <si>
    <t>Q Factor with target</t>
  </si>
  <si>
    <t>Q'</t>
  </si>
  <si>
    <t>For aluminum target of at least 5 skin depths</t>
  </si>
  <si>
    <t>LC Sensor calculations</t>
  </si>
  <si>
    <t>Sensor Diameter</t>
  </si>
  <si>
    <t>sec</t>
  </si>
  <si>
    <t>sps</t>
  </si>
  <si>
    <t>Supply Voltage</t>
  </si>
  <si>
    <t>Sensor Diameter in mm</t>
  </si>
  <si>
    <t>Target distance in mm</t>
  </si>
  <si>
    <t>years</t>
  </si>
  <si>
    <r>
      <t>I</t>
    </r>
    <r>
      <rPr>
        <vertAlign val="subscript"/>
        <sz val="11"/>
        <color theme="1"/>
        <rFont val="Calibri"/>
        <family val="2"/>
        <scheme val="minor"/>
      </rPr>
      <t>static</t>
    </r>
  </si>
  <si>
    <t>A</t>
  </si>
  <si>
    <r>
      <t>I</t>
    </r>
    <r>
      <rPr>
        <vertAlign val="subscript"/>
        <sz val="11"/>
        <color theme="1"/>
        <rFont val="Calibri"/>
        <family val="2"/>
        <scheme val="minor"/>
      </rPr>
      <t>dyn</t>
    </r>
  </si>
  <si>
    <r>
      <t>I</t>
    </r>
    <r>
      <rPr>
        <vertAlign val="subscript"/>
        <sz val="11"/>
        <color theme="1"/>
        <rFont val="Calibri"/>
        <family val="2"/>
        <scheme val="minor"/>
      </rPr>
      <t>DD</t>
    </r>
  </si>
  <si>
    <r>
      <t>I</t>
    </r>
    <r>
      <rPr>
        <vertAlign val="subscript"/>
        <sz val="11"/>
        <color theme="1"/>
        <rFont val="Calibri"/>
        <family val="2"/>
        <scheme val="minor"/>
      </rPr>
      <t>SD</t>
    </r>
  </si>
  <si>
    <r>
      <t>t</t>
    </r>
    <r>
      <rPr>
        <vertAlign val="subscript"/>
        <sz val="11"/>
        <color theme="1"/>
        <rFont val="Calibri"/>
        <family val="2"/>
        <scheme val="minor"/>
      </rPr>
      <t>AMT</t>
    </r>
  </si>
  <si>
    <r>
      <t>t</t>
    </r>
    <r>
      <rPr>
        <vertAlign val="subscript"/>
        <sz val="11"/>
        <color theme="1"/>
        <rFont val="Calibri"/>
        <family val="2"/>
        <scheme val="minor"/>
      </rPr>
      <t>CONV</t>
    </r>
  </si>
  <si>
    <r>
      <t>I</t>
    </r>
    <r>
      <rPr>
        <vertAlign val="subscript"/>
        <sz val="11"/>
        <color theme="1"/>
        <rFont val="Calibri"/>
        <family val="2"/>
        <scheme val="minor"/>
      </rPr>
      <t>ON</t>
    </r>
  </si>
  <si>
    <r>
      <t>I</t>
    </r>
    <r>
      <rPr>
        <vertAlign val="subscript"/>
        <sz val="11"/>
        <color theme="1"/>
        <rFont val="Calibri"/>
        <family val="2"/>
        <scheme val="minor"/>
      </rPr>
      <t>RAMP</t>
    </r>
  </si>
  <si>
    <r>
      <t>I</t>
    </r>
    <r>
      <rPr>
        <vertAlign val="subscript"/>
        <sz val="11"/>
        <color theme="1"/>
        <rFont val="Calibri"/>
        <family val="2"/>
        <scheme val="minor"/>
      </rPr>
      <t>OFF</t>
    </r>
  </si>
  <si>
    <t>Acceptable minimum L</t>
  </si>
  <si>
    <t>target distance/sensor diam</t>
  </si>
  <si>
    <t>Inductance scaling factor</t>
  </si>
  <si>
    <t>Bounds limited scaling factor</t>
  </si>
  <si>
    <t>Continuous Sample Rate</t>
  </si>
  <si>
    <t>Conversion Latency</t>
  </si>
  <si>
    <t>Inductance with Target Interaction</t>
  </si>
  <si>
    <t>LDC0851 Calculator Tool</t>
  </si>
  <si>
    <t>Csensor &lt; 33pF</t>
  </si>
  <si>
    <t>Min L drive</t>
  </si>
  <si>
    <t>Fsensor</t>
  </si>
  <si>
    <t>Operating Point frequency</t>
  </si>
  <si>
    <t>Operating point L</t>
  </si>
  <si>
    <t>Closest Target Distance</t>
  </si>
  <si>
    <t>Desired On Switching distance mm</t>
  </si>
  <si>
    <t>Max Sensor Frequency with target</t>
  </si>
  <si>
    <t>Switch Off Distance in mm</t>
  </si>
  <si>
    <t>On</t>
  </si>
  <si>
    <t>Off</t>
  </si>
  <si>
    <t>Approx Switch On Distance</t>
  </si>
  <si>
    <t>Approx Switch Off Distance</t>
  </si>
  <si>
    <t>Max Sensor Current Drive</t>
  </si>
  <si>
    <t>Recommended ADJ Code</t>
  </si>
  <si>
    <r>
      <t>External Sensor Capacitance (C</t>
    </r>
    <r>
      <rPr>
        <vertAlign val="subscript"/>
        <sz val="11"/>
        <rFont val="Calibri"/>
        <family val="2"/>
        <scheme val="minor"/>
      </rPr>
      <t>SENSOR</t>
    </r>
    <r>
      <rPr>
        <sz val="11"/>
        <rFont val="Calibri"/>
        <family val="2"/>
        <scheme val="minor"/>
      </rPr>
      <t>)</t>
    </r>
  </si>
  <si>
    <r>
      <t>Parasitic PCB capacitance (C</t>
    </r>
    <r>
      <rPr>
        <vertAlign val="subscript"/>
        <sz val="11"/>
        <rFont val="Calibri"/>
        <family val="2"/>
        <scheme val="minor"/>
      </rPr>
      <t>BOARD</t>
    </r>
    <r>
      <rPr>
        <sz val="11"/>
        <rFont val="Calibri"/>
        <family val="2"/>
        <scheme val="minor"/>
      </rPr>
      <t>)</t>
    </r>
  </si>
  <si>
    <t>LDC0851 Design Space Calculator</t>
  </si>
  <si>
    <t>This tool determines appropriate device settings and sensor settings</t>
  </si>
  <si>
    <t xml:space="preserve">for optimum LDC0851 usage. </t>
  </si>
  <si>
    <t xml:space="preserve">Long side of inductor </t>
  </si>
  <si>
    <t>Est. Inductance with Target Interaction</t>
  </si>
  <si>
    <r>
      <t>Total Capacitance (C</t>
    </r>
    <r>
      <rPr>
        <vertAlign val="subscript"/>
        <sz val="11"/>
        <rFont val="Calibri"/>
        <family val="2"/>
        <scheme val="minor"/>
      </rPr>
      <t>TOTAL</t>
    </r>
    <r>
      <rPr>
        <sz val="11"/>
        <rFont val="Calibri"/>
        <family val="2"/>
        <scheme val="minor"/>
      </rPr>
      <t>)</t>
    </r>
  </si>
  <si>
    <t>ADJ Code</t>
  </si>
  <si>
    <t>Switch OFF Normalized</t>
  </si>
  <si>
    <t>Switch ON Normalized</t>
  </si>
  <si>
    <t>Approx Switch OFF</t>
  </si>
  <si>
    <t>Approx Switch ON</t>
  </si>
  <si>
    <t>Desired Switching</t>
  </si>
  <si>
    <t>Closest Target Disance</t>
  </si>
  <si>
    <t>Optimum ADC code from switch distance</t>
  </si>
  <si>
    <t>Approx Switch on distance in mm</t>
  </si>
  <si>
    <t>Verify switching distance in travel range</t>
  </si>
  <si>
    <r>
      <t>R</t>
    </r>
    <r>
      <rPr>
        <vertAlign val="subscript"/>
        <sz val="11"/>
        <color theme="1"/>
        <rFont val="Calibri"/>
        <family val="2"/>
        <scheme val="minor"/>
      </rPr>
      <t>P</t>
    </r>
    <r>
      <rPr>
        <sz val="11"/>
        <color theme="1"/>
        <rFont val="Calibri"/>
        <family val="2"/>
        <scheme val="minor"/>
      </rPr>
      <t>variation</t>
    </r>
  </si>
  <si>
    <r>
      <t>R</t>
    </r>
    <r>
      <rPr>
        <vertAlign val="subscript"/>
        <sz val="11"/>
        <color theme="1"/>
        <rFont val="Calibri"/>
        <family val="2"/>
        <scheme val="minor"/>
      </rPr>
      <t>P-PARASITIC</t>
    </r>
  </si>
  <si>
    <r>
      <t>Q</t>
    </r>
    <r>
      <rPr>
        <vertAlign val="subscript"/>
        <sz val="11"/>
        <color theme="1"/>
        <rFont val="Calibri"/>
        <family val="2"/>
        <scheme val="minor"/>
      </rPr>
      <t>MIN</t>
    </r>
    <r>
      <rPr>
        <sz val="11"/>
        <color theme="1"/>
        <rFont val="Calibri"/>
        <family val="2"/>
        <scheme val="minor"/>
      </rPr>
      <t xml:space="preserve"> =</t>
    </r>
  </si>
  <si>
    <t>Estimator tool for racetrack spiral coils. This tool is provided without warranty or support. User assumes all liability.</t>
  </si>
  <si>
    <r>
      <rPr>
        <sz val="12"/>
        <color indexed="8"/>
        <rFont val="Calibri"/>
        <family val="2"/>
      </rPr>
      <t>°</t>
    </r>
    <r>
      <rPr>
        <sz val="12"/>
        <color indexed="8"/>
        <rFont val="Calibri"/>
        <family val="2"/>
      </rPr>
      <t>C</t>
    </r>
  </si>
  <si>
    <r>
      <t>Number of layers on PCB board (1≤M</t>
    </r>
    <r>
      <rPr>
        <sz val="12"/>
        <color indexed="8"/>
        <rFont val="Calibri"/>
        <family val="2"/>
      </rPr>
      <t>≤</t>
    </r>
    <r>
      <rPr>
        <sz val="12"/>
        <color indexed="8"/>
        <rFont val="Calibri"/>
        <family val="2"/>
      </rPr>
      <t>8)</t>
    </r>
  </si>
  <si>
    <r>
      <t>d</t>
    </r>
    <r>
      <rPr>
        <vertAlign val="subscript"/>
        <sz val="11"/>
        <color indexed="8"/>
        <rFont val="Calibri"/>
        <family val="2"/>
      </rPr>
      <t>OUT</t>
    </r>
  </si>
  <si>
    <r>
      <t>d</t>
    </r>
    <r>
      <rPr>
        <vertAlign val="subscript"/>
        <sz val="11"/>
        <color indexed="8"/>
        <rFont val="Calibri"/>
        <family val="2"/>
      </rPr>
      <t>L</t>
    </r>
  </si>
  <si>
    <r>
      <rPr>
        <sz val="9"/>
        <color indexed="8"/>
        <rFont val="Calibri"/>
        <family val="2"/>
      </rPr>
      <t>Ω</t>
    </r>
    <r>
      <rPr>
        <sz val="9"/>
        <color indexed="8"/>
        <rFont val="Calibri"/>
        <family val="2"/>
      </rPr>
      <t>m</t>
    </r>
  </si>
  <si>
    <r>
      <rPr>
        <sz val="10"/>
        <color indexed="8"/>
        <rFont val="Calibri"/>
        <family val="2"/>
      </rPr>
      <t>µ</t>
    </r>
    <r>
      <rPr>
        <sz val="10"/>
        <color indexed="8"/>
        <rFont val="Calibri"/>
        <family val="2"/>
      </rPr>
      <t>H</t>
    </r>
  </si>
  <si>
    <r>
      <t>L</t>
    </r>
    <r>
      <rPr>
        <vertAlign val="subscript"/>
        <sz val="11"/>
        <color indexed="8"/>
        <rFont val="Calibri"/>
        <family val="2"/>
      </rPr>
      <t>TOTAL</t>
    </r>
  </si>
  <si>
    <r>
      <rPr>
        <b/>
        <sz val="10"/>
        <color indexed="8"/>
        <rFont val="Calibri"/>
        <family val="2"/>
      </rPr>
      <t>µ</t>
    </r>
    <r>
      <rPr>
        <b/>
        <sz val="10"/>
        <color indexed="8"/>
        <rFont val="Calibri"/>
        <family val="2"/>
      </rPr>
      <t>H</t>
    </r>
  </si>
  <si>
    <t>Rp with no Target</t>
  </si>
  <si>
    <t>Skin depth at new sensor frequency</t>
  </si>
  <si>
    <t>sd'</t>
  </si>
  <si>
    <t>New Rs based on skin effect</t>
  </si>
  <si>
    <t xml:space="preserve">New Rp </t>
  </si>
  <si>
    <t>Device Min Fsensor</t>
  </si>
  <si>
    <t>Device Max Fsensor</t>
  </si>
  <si>
    <t>Device Min Rp</t>
  </si>
  <si>
    <t>Device Max Rp</t>
  </si>
  <si>
    <t>Device Min Q</t>
  </si>
  <si>
    <t>Device Max Q</t>
  </si>
  <si>
    <t>LDC2114</t>
  </si>
  <si>
    <t>MinRp</t>
  </si>
  <si>
    <t>MaxRp</t>
  </si>
  <si>
    <t>MinQ</t>
  </si>
  <si>
    <t>MaxQ</t>
  </si>
  <si>
    <t>MinFs</t>
  </si>
  <si>
    <t>MaxFs</t>
  </si>
  <si>
    <t>Sensor Operating Frequency no target</t>
  </si>
  <si>
    <t>Total Inductance with no target</t>
  </si>
  <si>
    <t>Rev History</t>
  </si>
  <si>
    <t>Ver</t>
  </si>
  <si>
    <t>Data</t>
  </si>
  <si>
    <t>Comments</t>
  </si>
  <si>
    <t>Release to web</t>
  </si>
  <si>
    <t>Added LDC1101 RP calculator page</t>
  </si>
  <si>
    <t>Added LDC1101 to max sensor distance</t>
  </si>
  <si>
    <t>Added more register setting information to LDC161x/131x power consumption calc</t>
  </si>
  <si>
    <t>Fixed error in sample rate due to dividing by num chans instead of multiplying</t>
  </si>
  <si>
    <t>Added LDC1101 to sample rate calcs, also cleaned up automatic SPS/kSPS flagging</t>
  </si>
  <si>
    <t>Added Fsensor to quick RP/RS calculator on front page</t>
  </si>
  <si>
    <t xml:space="preserve">Adjusted the LDC1101 RP config page to automatically calculate the capacitance </t>
  </si>
  <si>
    <t>Added register values for TC1 &amp; TC2 to LDC1101 RP config</t>
  </si>
  <si>
    <t>Added Hex entry for output code calculations</t>
  </si>
  <si>
    <t>Fixes to LDC1101 R1/C1/R2/C2 calculation based on feedback from Paulo</t>
  </si>
  <si>
    <t xml:space="preserve">Added SS316 to Skin depth calculator </t>
  </si>
  <si>
    <t>Fixed sample rate calculator</t>
  </si>
  <si>
    <t>update to use new LDC1101 RP equation</t>
  </si>
  <si>
    <t>Spiral inductance calculator now shows MHz or kHz as approriate (to make Jim C happy :) )</t>
  </si>
  <si>
    <t>Fixed bug in skin depth calculation</t>
  </si>
  <si>
    <t>Fix to sample rate calculation</t>
  </si>
  <si>
    <t>Updated Sample Rate calculation tool to only use RCOUNT</t>
  </si>
  <si>
    <t>Added Sensor Config calculation tool</t>
  </si>
  <si>
    <t>Changed the current consumption calc tool to have conversion readback in active mode</t>
  </si>
  <si>
    <t>Changed current consumption calc tool to be based on RCOUNT and not Reference count</t>
  </si>
  <si>
    <t>fixed current consumption calc channel switch time from 40us to datasheet calc</t>
  </si>
  <si>
    <t>changed active mode start time to use datasheet calc of 16384/(fint)</t>
  </si>
  <si>
    <t>Fixed current consumption cal tool - the RCOUNT needed to be mulitplied by 16!</t>
  </si>
  <si>
    <t>Added LDC0851 calc page</t>
  </si>
  <si>
    <t>Clipped the remote sensor calc page</t>
  </si>
  <si>
    <t>Fixed Sample rate calculator resolution calcs</t>
  </si>
  <si>
    <t>Formatting tweaks for various tabs</t>
  </si>
  <si>
    <t>Added Racetrack calculator</t>
  </si>
  <si>
    <t>Released to Web</t>
  </si>
  <si>
    <t>Updated Racetrack calculator with device specific selection</t>
  </si>
  <si>
    <t xml:space="preserve">Changed Racetrack calculator to different curve fit </t>
  </si>
  <si>
    <t>Min Sample Interval</t>
  </si>
  <si>
    <t>Sample Rate Calculator now flags if the sample rate exceeds device I/O limits</t>
  </si>
  <si>
    <t>Added Event Counting calculator onto LDC0851 tool</t>
  </si>
  <si>
    <t>Oversample ratio</t>
  </si>
  <si>
    <t>RPM</t>
  </si>
  <si>
    <t>Maximum Rotation speed</t>
  </si>
  <si>
    <t>Enter sensor configuration information above to ensure valid results</t>
  </si>
  <si>
    <t>Effective Number of teeth/blades</t>
  </si>
  <si>
    <t>°</t>
  </si>
  <si>
    <t>Minimum Angle for Gap between events</t>
  </si>
  <si>
    <t>LDC0851 Sample Rate</t>
  </si>
  <si>
    <t>Deflection estimate based on mechanics of ideal clamped plate.</t>
  </si>
  <si>
    <t>button_materials</t>
  </si>
  <si>
    <t xml:space="preserve">E (GPa) </t>
  </si>
  <si>
    <t>nu (-)</t>
  </si>
  <si>
    <t>button diameter (circular button)</t>
  </si>
  <si>
    <t>ABS plastic</t>
  </si>
  <si>
    <t>button width (rectangular button)</t>
  </si>
  <si>
    <t>button height (rectangular button)</t>
  </si>
  <si>
    <t>h</t>
  </si>
  <si>
    <t>mat</t>
  </si>
  <si>
    <t>button material</t>
  </si>
  <si>
    <t>E</t>
  </si>
  <si>
    <t>-</t>
  </si>
  <si>
    <t>button_shapes</t>
  </si>
  <si>
    <t>Button Force</t>
  </si>
  <si>
    <t>force</t>
  </si>
  <si>
    <t>type of button force</t>
  </si>
  <si>
    <t>force magnitude</t>
  </si>
  <si>
    <t>Button Compliance</t>
  </si>
  <si>
    <t>force_functions</t>
  </si>
  <si>
    <t>point</t>
  </si>
  <si>
    <t>uniform</t>
  </si>
  <si>
    <t>b/a</t>
  </si>
  <si>
    <t>area</t>
  </si>
  <si>
    <t>Pa</t>
  </si>
  <si>
    <t>1/knp</t>
  </si>
  <si>
    <t>1/k</t>
  </si>
  <si>
    <t>Ccom-min</t>
  </si>
  <si>
    <t>Ccom-max</t>
  </si>
  <si>
    <t>Min Ccom</t>
  </si>
  <si>
    <t>Max Ccom</t>
  </si>
  <si>
    <t>Ccom</t>
  </si>
  <si>
    <t>Added Ccom range calcs for Racetrack calculator</t>
  </si>
  <si>
    <r>
      <t>C</t>
    </r>
    <r>
      <rPr>
        <vertAlign val="subscript"/>
        <sz val="11"/>
        <color theme="1"/>
        <rFont val="Calibri"/>
        <family val="2"/>
        <scheme val="minor"/>
      </rPr>
      <t>com</t>
    </r>
    <r>
      <rPr>
        <sz val="11"/>
        <color theme="1"/>
        <rFont val="Calibri"/>
        <family val="2"/>
        <scheme val="minor"/>
      </rPr>
      <t xml:space="preserve"> Value (with Target)</t>
    </r>
  </si>
  <si>
    <t>Fixed racetrack calculator - the trace length per layer didn't correct for number of turns properly</t>
  </si>
  <si>
    <t>r/a</t>
  </si>
  <si>
    <t>Scale</t>
  </si>
  <si>
    <t>X-Axis</t>
  </si>
  <si>
    <t>nF</t>
  </si>
  <si>
    <t>Changed racetrack calculator to present Ccom range in nF instead of pF</t>
  </si>
  <si>
    <t>Other</t>
  </si>
  <si>
    <t>Self resonant frequency (estimated)</t>
  </si>
  <si>
    <t>Tweaked formatting and added some error trapping to Racetrack calculator. Locked</t>
  </si>
  <si>
    <r>
      <rPr>
        <i/>
        <sz val="11"/>
        <color theme="1"/>
        <rFont val="Calibri"/>
        <family val="2"/>
        <scheme val="minor"/>
      </rPr>
      <t>f</t>
    </r>
    <r>
      <rPr>
        <vertAlign val="subscript"/>
        <sz val="11"/>
        <color theme="1"/>
        <rFont val="Calibri"/>
        <family val="2"/>
        <scheme val="minor"/>
      </rPr>
      <t>RES</t>
    </r>
  </si>
  <si>
    <r>
      <rPr>
        <i/>
        <sz val="11"/>
        <color theme="1"/>
        <rFont val="Calibri"/>
        <family val="2"/>
        <scheme val="minor"/>
      </rPr>
      <t>f</t>
    </r>
    <r>
      <rPr>
        <vertAlign val="subscript"/>
        <sz val="11"/>
        <color theme="1"/>
        <rFont val="Calibri"/>
        <family val="2"/>
        <scheme val="minor"/>
      </rPr>
      <t>RES</t>
    </r>
    <r>
      <rPr>
        <sz val="11"/>
        <color theme="1"/>
        <rFont val="Calibri"/>
        <family val="2"/>
        <scheme val="minor"/>
      </rPr>
      <t>'</t>
    </r>
  </si>
  <si>
    <r>
      <t>R</t>
    </r>
    <r>
      <rPr>
        <vertAlign val="subscript"/>
        <sz val="11"/>
        <color theme="1"/>
        <rFont val="Calibri"/>
        <family val="2"/>
        <scheme val="minor"/>
      </rPr>
      <t>P</t>
    </r>
  </si>
  <si>
    <r>
      <t>R</t>
    </r>
    <r>
      <rPr>
        <vertAlign val="subscript"/>
        <sz val="12"/>
        <rFont val="Calibri"/>
        <family val="2"/>
        <scheme val="minor"/>
      </rPr>
      <t>P</t>
    </r>
    <r>
      <rPr>
        <sz val="12"/>
        <rFont val="Calibri"/>
        <family val="2"/>
        <scheme val="minor"/>
      </rPr>
      <t>'</t>
    </r>
  </si>
  <si>
    <t>LDC0851</t>
  </si>
  <si>
    <t>LDC0851 Rotation Speed Estimate</t>
  </si>
  <si>
    <t>Use 0.393 for Copper</t>
  </si>
  <si>
    <t>Use 1.68e-08 for Copper</t>
  </si>
  <si>
    <r>
      <t>Conductor Resistivity (at 20</t>
    </r>
    <r>
      <rPr>
        <sz val="9"/>
        <color indexed="8"/>
        <rFont val="Calibri"/>
        <family val="2"/>
      </rPr>
      <t>°C)</t>
    </r>
  </si>
  <si>
    <r>
      <rPr>
        <sz val="9"/>
        <color indexed="8"/>
        <rFont val="Calibri"/>
        <family val="2"/>
      </rPr>
      <t>Ωm</t>
    </r>
  </si>
  <si>
    <r>
      <t>%/</t>
    </r>
    <r>
      <rPr>
        <sz val="9"/>
        <color indexed="8"/>
        <rFont val="Calibri"/>
        <family val="2"/>
      </rPr>
      <t>°C</t>
    </r>
  </si>
  <si>
    <r>
      <t>µ</t>
    </r>
    <r>
      <rPr>
        <vertAlign val="subscript"/>
        <sz val="9"/>
        <color indexed="8"/>
        <rFont val="Calibri"/>
        <family val="2"/>
      </rPr>
      <t>r</t>
    </r>
  </si>
  <si>
    <t>Use 1.0 for Copper</t>
  </si>
  <si>
    <t>Tweaked racetrack script default to use circular coil instead of racetrack</t>
  </si>
  <si>
    <t>Clipped the average diameter calc in racetrack to avoid negative numbers</t>
  </si>
  <si>
    <t>The spring sensor calc tool had the device selection locked. Fixed.</t>
  </si>
  <si>
    <t>Fixed bug in sample rate max calculation (divided by #channels one time too many)</t>
  </si>
  <si>
    <t>Ver O</t>
  </si>
  <si>
    <t>Added frequency bounds testing to cell C47 to in LDC0851 calc tool</t>
  </si>
  <si>
    <t>Contents page "Spiral Inductor Designer" link changed to "Racetrack Inductor Designer"</t>
  </si>
  <si>
    <t>Note: these calculation tools are provided without any warranty. 
User should independently verify any calculation results.</t>
  </si>
  <si>
    <t>Note: the oversample ratio may need to be adjusted based on target size</t>
  </si>
  <si>
    <t>Desired Switch On distance</t>
  </si>
  <si>
    <t>LDC0851 calc tool was using switch off instead of switch on calculation. Fixed</t>
  </si>
  <si>
    <t>Spring calculator used refcount instead of RCOUNT; fixed.</t>
  </si>
  <si>
    <t xml:space="preserve">RCOUNT (hex) </t>
  </si>
  <si>
    <t>RCOUNT (decimal)</t>
  </si>
  <si>
    <t>Added LDC0851 and LDC1000 to racetrack device selector</t>
  </si>
  <si>
    <t>Added circular coil diagram to racetrack designer</t>
  </si>
  <si>
    <t>Deleted Spiral Designer and Device Region</t>
  </si>
  <si>
    <t>Tweaked d parameter in racetrack designer; set to 1 for better behavior</t>
  </si>
  <si>
    <t>mil</t>
  </si>
  <si>
    <t>New Eq for L shift based on target distance and sensor diameter</t>
  </si>
  <si>
    <t>RPx Field Setting</t>
  </si>
  <si>
    <t>Sensor Cycle Count</t>
  </si>
  <si>
    <t>CNTSC</t>
  </si>
  <si>
    <t>Freq Field</t>
  </si>
  <si>
    <t>LCDIV</t>
  </si>
  <si>
    <t>Calc Sen Cyc</t>
  </si>
  <si>
    <t>Added LDC2114 Calc Tab</t>
  </si>
  <si>
    <t>LDC2114 Config Tool</t>
  </si>
  <si>
    <t>Sensor Rp</t>
  </si>
  <si>
    <t>Added data validation to copper weight on racetrack tool</t>
  </si>
  <si>
    <t>Added current consumption estimator to LDC2114 config</t>
  </si>
  <si>
    <t>Normal Power Scan Rate</t>
  </si>
  <si>
    <t>SPS</t>
  </si>
  <si>
    <t>Low Power Scan Rate</t>
  </si>
  <si>
    <t>Partial List of Register Settings</t>
  </si>
  <si>
    <t>Estimated Current in LP</t>
  </si>
  <si>
    <t>Estimated Current in NP</t>
  </si>
  <si>
    <r>
      <rPr>
        <sz val="11"/>
        <color theme="1"/>
        <rFont val="Calibri"/>
        <family val="2"/>
      </rPr>
      <t>µ</t>
    </r>
    <r>
      <rPr>
        <sz val="9.35"/>
        <color theme="1"/>
        <rFont val="Calibri"/>
        <family val="2"/>
      </rPr>
      <t>A</t>
    </r>
  </si>
  <si>
    <t>Enabled LP Buttons</t>
  </si>
  <si>
    <t>Enabled NP Buttons</t>
  </si>
  <si>
    <t>binary weighted LP buttons</t>
  </si>
  <si>
    <t>binary weighted NP buttons</t>
  </si>
  <si>
    <t>Target Sample Time interval</t>
  </si>
  <si>
    <t>Actual Sample Time Interval</t>
  </si>
  <si>
    <r>
      <rPr>
        <b/>
        <i/>
        <sz val="11"/>
        <color theme="1"/>
        <rFont val="Calibri"/>
        <family val="2"/>
        <scheme val="minor"/>
      </rPr>
      <t>f</t>
    </r>
    <r>
      <rPr>
        <b/>
        <vertAlign val="subscript"/>
        <sz val="11"/>
        <color theme="1"/>
        <rFont val="Calibri"/>
        <family val="2"/>
        <scheme val="minor"/>
      </rPr>
      <t>SENSOR</t>
    </r>
    <r>
      <rPr>
        <b/>
        <sz val="11"/>
        <color theme="1"/>
        <rFont val="Calibri"/>
        <family val="2"/>
        <scheme val="minor"/>
      </rPr>
      <t xml:space="preserve"> (with target)</t>
    </r>
  </si>
  <si>
    <t>Touch-on-Metal Deflection Calculation Tool</t>
  </si>
  <si>
    <t>Button Dimensions</t>
  </si>
  <si>
    <t>Rectangular</t>
  </si>
  <si>
    <r>
      <t>2</t>
    </r>
    <r>
      <rPr>
        <b/>
        <sz val="11"/>
        <color theme="1"/>
        <rFont val="Calibri"/>
        <family val="2"/>
      </rPr>
      <t>×a</t>
    </r>
    <r>
      <rPr>
        <b/>
        <vertAlign val="subscript"/>
        <sz val="11"/>
        <color theme="1"/>
        <rFont val="Calibri"/>
        <family val="2"/>
      </rPr>
      <t>c</t>
    </r>
  </si>
  <si>
    <r>
      <t>a</t>
    </r>
    <r>
      <rPr>
        <b/>
        <vertAlign val="subscript"/>
        <sz val="11"/>
        <color theme="1"/>
        <rFont val="Calibri"/>
        <family val="2"/>
        <scheme val="minor"/>
      </rPr>
      <t>r</t>
    </r>
  </si>
  <si>
    <r>
      <t>b</t>
    </r>
    <r>
      <rPr>
        <b/>
        <vertAlign val="subscript"/>
        <sz val="11"/>
        <color theme="1"/>
        <rFont val="Calibri"/>
        <family val="2"/>
        <scheme val="minor"/>
      </rPr>
      <t>r</t>
    </r>
  </si>
  <si>
    <t>Material thickness</t>
  </si>
  <si>
    <t>304 Stainless Steel</t>
  </si>
  <si>
    <t>Young's Modulus for selected material</t>
  </si>
  <si>
    <t>GPa</t>
  </si>
  <si>
    <t>ν</t>
  </si>
  <si>
    <t>Poisson Ratio for selected material</t>
  </si>
  <si>
    <t>Enter Other Material Young's Modulus</t>
  </si>
  <si>
    <t>Enter Other Material Poisson Ratio</t>
  </si>
  <si>
    <t>Young's Modulus used in subsequent Calculations</t>
  </si>
  <si>
    <t>Poisson Ratio used in subsequent Calculations</t>
  </si>
  <si>
    <t>Uniform</t>
  </si>
  <si>
    <r>
      <t>a</t>
    </r>
    <r>
      <rPr>
        <b/>
        <vertAlign val="subscript"/>
        <sz val="11"/>
        <color theme="1"/>
        <rFont val="Calibri"/>
        <family val="2"/>
        <scheme val="minor"/>
      </rPr>
      <t>c</t>
    </r>
  </si>
  <si>
    <t>Ac</t>
  </si>
  <si>
    <t>Ar</t>
  </si>
  <si>
    <t>m^2</t>
  </si>
  <si>
    <t>plate flexural rigidity</t>
  </si>
  <si>
    <t>J</t>
  </si>
  <si>
    <r>
      <t>α</t>
    </r>
    <r>
      <rPr>
        <b/>
        <vertAlign val="subscript"/>
        <sz val="11"/>
        <color theme="1"/>
        <rFont val="Calibri"/>
        <family val="2"/>
      </rPr>
      <t>u</t>
    </r>
  </si>
  <si>
    <r>
      <t>α</t>
    </r>
    <r>
      <rPr>
        <b/>
        <vertAlign val="subscript"/>
        <sz val="11"/>
        <color theme="1"/>
        <rFont val="Calibri"/>
        <family val="2"/>
      </rPr>
      <t>p</t>
    </r>
  </si>
  <si>
    <t>Applied force</t>
  </si>
  <si>
    <t>q</t>
  </si>
  <si>
    <t>Applied pressure</t>
  </si>
  <si>
    <t>wpkcu</t>
  </si>
  <si>
    <t>Deflection at button center (circular, uniform)</t>
  </si>
  <si>
    <t>wpkcp</t>
  </si>
  <si>
    <t>Deflection at button center (circular, point)</t>
  </si>
  <si>
    <t>wpkru</t>
  </si>
  <si>
    <t>Deflection at button center (rectangular, uniform)</t>
  </si>
  <si>
    <t>wpkrp</t>
  </si>
  <si>
    <t>Deflection at button center (rectangular, point</t>
  </si>
  <si>
    <t>wpkc</t>
  </si>
  <si>
    <t>wpkr</t>
  </si>
  <si>
    <t>wmax</t>
  </si>
  <si>
    <t>Deflection at button center</t>
  </si>
  <si>
    <t>Deflection at button center / pressure</t>
  </si>
  <si>
    <t>µm/Pa</t>
  </si>
  <si>
    <t>Deflection at button center / force</t>
  </si>
  <si>
    <t>µm/N</t>
  </si>
  <si>
    <t>http://www.azom.com/properties.aspx?ArticleID=965</t>
  </si>
  <si>
    <t>430 Stainless Steel</t>
  </si>
  <si>
    <t>http://www.azom.com/properties.aspx?ArticleID=996</t>
  </si>
  <si>
    <t>http://xahax.com/subory/Spec_ABS.pdf</t>
  </si>
  <si>
    <t>Aluminum 6063</t>
  </si>
  <si>
    <t>http://asm.matweb.com/search/SpecificMaterial.asp?bassnum=MA6063T6</t>
  </si>
  <si>
    <t>Polycarbonate</t>
  </si>
  <si>
    <t>https://en.wikipedia.org/wiki/Polycarbonate</t>
  </si>
  <si>
    <t>Circular</t>
  </si>
  <si>
    <t>Concentrated</t>
  </si>
  <si>
    <t>length_units</t>
  </si>
  <si>
    <t>in</t>
  </si>
  <si>
    <t>Range Limits</t>
  </si>
  <si>
    <t>Deflection Graph</t>
  </si>
  <si>
    <t>Step scaling</t>
  </si>
  <si>
    <t>Reversal</t>
  </si>
  <si>
    <t>Metal Deflection Calculator</t>
  </si>
  <si>
    <t>Added Metal Touch calculator</t>
  </si>
  <si>
    <t>Tweaked default parameters on all sheets</t>
  </si>
  <si>
    <t>Spiral Inductor Designer</t>
  </si>
  <si>
    <t>Removed external links</t>
  </si>
  <si>
    <t>Added support link on front page</t>
  </si>
  <si>
    <t>http://e2e.ti.com/support/sensor/inductive-sensing/</t>
  </si>
  <si>
    <t>For support or feedback:</t>
  </si>
  <si>
    <t>http://www.ti.com/lit/an/snoa949/snoa949.pdf</t>
  </si>
  <si>
    <t>Added link to LDC131x/LDC161x Sensor config from LDC131x/LDC161x Sample rate calc</t>
  </si>
  <si>
    <t>Made LDC1101 default device whenever compared to LDC1000</t>
  </si>
  <si>
    <t>Take a look at this blog post for additional information</t>
  </si>
  <si>
    <t>LDC161x Current consumption calc tool had 16 channels selected</t>
  </si>
  <si>
    <t>Added links to blog posts</t>
  </si>
  <si>
    <t>Sensor 0</t>
  </si>
  <si>
    <t>Sensor 1</t>
  </si>
  <si>
    <t>Sensor 2</t>
  </si>
  <si>
    <t>Sensor 3</t>
  </si>
  <si>
    <t>Enabled in LP mode:</t>
  </si>
  <si>
    <t>Enabled</t>
  </si>
  <si>
    <t>LP Mode Masked</t>
  </si>
  <si>
    <t>LP Mode</t>
  </si>
  <si>
    <t>Active Current</t>
  </si>
  <si>
    <t>LP Inactive time</t>
  </si>
  <si>
    <t>NP Inactive time</t>
  </si>
  <si>
    <t>NP Inactive current-time</t>
  </si>
  <si>
    <t>LP Inactive current-time</t>
  </si>
  <si>
    <t>Active current-time</t>
  </si>
  <si>
    <t>Current-time Button Enabled (LP)</t>
  </si>
  <si>
    <t>LP Total weighted-scan cycle current</t>
  </si>
  <si>
    <t>NP total weighted-scan cycle current</t>
  </si>
  <si>
    <t>Config values Decimal</t>
  </si>
  <si>
    <t>Enabled Buttons:</t>
  </si>
  <si>
    <t>Minimum Supported L</t>
  </si>
  <si>
    <t>Range limited Fsensor</t>
  </si>
  <si>
    <t>Adjustments to LDC0851 tool for better warning messages</t>
  </si>
  <si>
    <t>Changed LDC2114 tool to support multiple channels better</t>
  </si>
  <si>
    <t>Changed LDC0851 tool -parasitic cap from 10pF to 12pF</t>
  </si>
  <si>
    <t>Free Space Sensor Characteristics</t>
  </si>
  <si>
    <t>Sensor Characteristics with Target Interaction</t>
  </si>
  <si>
    <r>
      <t>I</t>
    </r>
    <r>
      <rPr>
        <vertAlign val="subscript"/>
        <sz val="11"/>
        <color theme="1"/>
        <rFont val="Calibri"/>
        <family val="2"/>
        <scheme val="minor"/>
      </rPr>
      <t xml:space="preserve">SENSOR  </t>
    </r>
    <r>
      <rPr>
        <sz val="11"/>
        <color theme="1"/>
        <rFont val="Calibri"/>
        <family val="2"/>
        <scheme val="minor"/>
      </rPr>
      <t>without Target</t>
    </r>
  </si>
  <si>
    <t>Updated Lshift Equation to use new 5pl fitted with sensor diameter correction Eq</t>
  </si>
  <si>
    <t>Min Fsensor (MHz)</t>
  </si>
  <si>
    <t>Max Fsensor (MHz)</t>
  </si>
  <si>
    <t>Time (ms)</t>
  </si>
  <si>
    <t>LCDiv=0</t>
  </si>
  <si>
    <t>LCDiv=1</t>
  </si>
  <si>
    <t>LCDiv=2</t>
  </si>
  <si>
    <t>LCDiv=3</t>
  </si>
  <si>
    <t>LCDiv=4</t>
  </si>
  <si>
    <t>LCDiv=5</t>
  </si>
  <si>
    <t>LCDiv=6</t>
  </si>
  <si>
    <t>LCDiv=7</t>
  </si>
  <si>
    <t>Sensor0</t>
  </si>
  <si>
    <t>Sensor1</t>
  </si>
  <si>
    <t>Sensor2</t>
  </si>
  <si>
    <t>Sensor3</t>
  </si>
  <si>
    <t>Sensor0f</t>
  </si>
  <si>
    <t>Sensor1f</t>
  </si>
  <si>
    <t>Sensor2f</t>
  </si>
  <si>
    <t>Sensor3f</t>
  </si>
  <si>
    <t>New LDC2114/2 Tool with per-channel config &amp; LCDIV</t>
  </si>
  <si>
    <t>Added LDC1101 Calc tool</t>
  </si>
  <si>
    <t>LDC1101 Calc Tool</t>
  </si>
  <si>
    <t>LDC1101 Register Settings</t>
  </si>
  <si>
    <t>Register</t>
  </si>
  <si>
    <t>Addr</t>
  </si>
  <si>
    <t>Value</t>
  </si>
  <si>
    <t>RP_SET</t>
  </si>
  <si>
    <t>0x01</t>
  </si>
  <si>
    <t>TC1</t>
  </si>
  <si>
    <t>0x02</t>
  </si>
  <si>
    <t>TC2</t>
  </si>
  <si>
    <t>0x03</t>
  </si>
  <si>
    <t>DIG_CONG</t>
  </si>
  <si>
    <t>0x04</t>
  </si>
  <si>
    <t>LHR_RCOUNT_LSB</t>
  </si>
  <si>
    <t>0x30</t>
  </si>
  <si>
    <t>LHR_RCOUNT_MSB</t>
  </si>
  <si>
    <t>0x31</t>
  </si>
  <si>
    <t>LHR_CONFIG</t>
  </si>
  <si>
    <t>0x34</t>
  </si>
  <si>
    <t>Sample Rate Parameters:</t>
  </si>
  <si>
    <t>Sample Rate Configuration</t>
  </si>
  <si>
    <t>Response Time Setting</t>
  </si>
  <si>
    <r>
      <t>For R</t>
    </r>
    <r>
      <rPr>
        <vertAlign val="subscript"/>
        <sz val="10"/>
        <color theme="1"/>
        <rFont val="Calibri"/>
        <family val="2"/>
        <scheme val="minor"/>
      </rPr>
      <t>P</t>
    </r>
    <r>
      <rPr>
        <sz val="10"/>
        <color theme="1"/>
        <rFont val="Calibri"/>
        <family val="2"/>
        <scheme val="minor"/>
      </rPr>
      <t>+L Measurements</t>
    </r>
  </si>
  <si>
    <t>RESP_TIME field</t>
  </si>
  <si>
    <t>Min Fsensor field</t>
  </si>
  <si>
    <t>Max Fsensor</t>
  </si>
  <si>
    <t>LHR Fsensor Divider</t>
  </si>
  <si>
    <t>LHR sensor divider setting</t>
  </si>
  <si>
    <r>
      <t>R</t>
    </r>
    <r>
      <rPr>
        <vertAlign val="subscript"/>
        <sz val="11"/>
        <color theme="1"/>
        <rFont val="Calibri"/>
        <family val="2"/>
        <scheme val="minor"/>
      </rPr>
      <t>P</t>
    </r>
    <r>
      <rPr>
        <sz val="11"/>
        <color theme="1"/>
        <rFont val="Calibri"/>
        <family val="2"/>
        <scheme val="minor"/>
      </rPr>
      <t>+L Conversion Interval</t>
    </r>
  </si>
  <si>
    <t>Without target interaction</t>
  </si>
  <si>
    <r>
      <t>R</t>
    </r>
    <r>
      <rPr>
        <vertAlign val="subscript"/>
        <sz val="11"/>
        <color theme="1"/>
        <rFont val="Calibri"/>
        <family val="2"/>
        <scheme val="minor"/>
      </rPr>
      <t>P</t>
    </r>
    <r>
      <rPr>
        <sz val="11"/>
        <color theme="1"/>
        <rFont val="Calibri"/>
        <family val="2"/>
        <scheme val="minor"/>
      </rPr>
      <t>+L Sample Rate</t>
    </r>
  </si>
  <si>
    <t>RCOUNT Valid check</t>
  </si>
  <si>
    <t>Valid Rcount</t>
  </si>
  <si>
    <t>RCOUNT LSB</t>
  </si>
  <si>
    <t>Datarate Limit</t>
  </si>
  <si>
    <t>LHR Conversion Interval</t>
  </si>
  <si>
    <t>LHR Sample Rate</t>
  </si>
  <si>
    <t>LDC1101 LHR Output Inductance Calculator</t>
  </si>
  <si>
    <t>31B123</t>
  </si>
  <si>
    <t>LDC1101 output from Registers [0x38-0x3A]</t>
  </si>
  <si>
    <t>Measured Sensor Frequency</t>
  </si>
  <si>
    <r>
      <t>LDC1101(R</t>
    </r>
    <r>
      <rPr>
        <b/>
        <vertAlign val="subscript"/>
        <sz val="12"/>
        <color theme="1"/>
        <rFont val="Calibri"/>
        <family val="2"/>
        <scheme val="minor"/>
      </rPr>
      <t>P</t>
    </r>
    <r>
      <rPr>
        <b/>
        <sz val="12"/>
        <color theme="1"/>
        <rFont val="Calibri"/>
        <family val="2"/>
        <scheme val="minor"/>
      </rPr>
      <t>+L) Output Calculator</t>
    </r>
  </si>
  <si>
    <t>LDC1101 output from Registers [0x23:0x25]</t>
  </si>
  <si>
    <t>LDC1101 output from Registers [0x21:0x22]</t>
  </si>
  <si>
    <t>LDC1101 Calc</t>
  </si>
  <si>
    <t>Device :</t>
  </si>
  <si>
    <t>Current-time Button Enabled (NP)</t>
  </si>
  <si>
    <t>Enabled LCDIV</t>
  </si>
  <si>
    <t>LDC2114 only flags LCDIV error if enabled channels don't have matching settings</t>
  </si>
  <si>
    <t>LDC2114 - new warning if the total active time exceeds the scan interval</t>
  </si>
  <si>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(No Target)  </t>
    </r>
  </si>
  <si>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(wIth Target)  </t>
    </r>
  </si>
  <si>
    <t>Sensor Diameter mm</t>
  </si>
  <si>
    <t>Target distance mm</t>
  </si>
  <si>
    <t>ratio</t>
  </si>
  <si>
    <t>L scaling factor</t>
  </si>
  <si>
    <t>LDC2114 Config tool had an error in sensor 0 active current-time calc (it had +0.1, not +0.01)</t>
  </si>
  <si>
    <t>Output Code Calculation</t>
  </si>
  <si>
    <t>LDC1101 Duty-cycled conversion power consumption</t>
  </si>
  <si>
    <t>RP+L Conversion Time</t>
  </si>
  <si>
    <t>LHR Conversion Time</t>
  </si>
  <si>
    <t>Total IO time (in sleep mode)</t>
  </si>
  <si>
    <t>SPI clocks to configure one register</t>
  </si>
  <si>
    <t>SPI config time</t>
  </si>
  <si>
    <t>LHR</t>
  </si>
  <si>
    <t>Includes initial RP+L overhead</t>
  </si>
  <si>
    <t>SPI Clocks for multiple registers</t>
  </si>
  <si>
    <t>tSTART</t>
  </si>
  <si>
    <t>total active  time per measurement</t>
  </si>
  <si>
    <t>It is recommended to transition directly from Active Mode to Sleep Mode</t>
  </si>
  <si>
    <t>Note: using a double conversion, will adjust</t>
  </si>
  <si>
    <t>Select Measurement:</t>
  </si>
  <si>
    <t>Added current consumption estimator to LDC1101 config</t>
  </si>
  <si>
    <t>Duty-Cycled Sample Rate</t>
  </si>
  <si>
    <t>Based on configuration settings entered above</t>
  </si>
  <si>
    <t>Sleep+Shutdown Current</t>
  </si>
  <si>
    <t>Maximum Sensor Frequency:</t>
  </si>
  <si>
    <t>Maximum recommended distance between sensor and LDC1101</t>
  </si>
  <si>
    <t>LDC1101 can utilize a remote sensor; this section calculates the maximum</t>
  </si>
  <si>
    <t>distance the sensor can be located from the LDC1101. Note that environmental effects and</t>
  </si>
  <si>
    <t>SPI Clk datarate</t>
  </si>
  <si>
    <t>Rev 7</t>
  </si>
  <si>
    <t>Added maximum sensor distance to LDC1101 config</t>
  </si>
  <si>
    <t>tWAKE+go</t>
  </si>
  <si>
    <t>LHR_CONFIG:SENSOR_DIV (Register 0x34:b[1:0])</t>
  </si>
  <si>
    <r>
      <t>LDC1101 R</t>
    </r>
    <r>
      <rPr>
        <b/>
        <vertAlign val="subscript"/>
        <sz val="12"/>
        <rFont val="Calibri"/>
        <family val="2"/>
        <scheme val="minor"/>
      </rPr>
      <t>P</t>
    </r>
    <r>
      <rPr>
        <b/>
        <sz val="12"/>
        <rFont val="Calibri"/>
        <family val="2"/>
        <scheme val="minor"/>
      </rPr>
      <t xml:space="preserve"> Parameters (</t>
    </r>
    <r>
      <rPr>
        <sz val="12"/>
        <rFont val="Calibri"/>
        <family val="2"/>
        <scheme val="minor"/>
      </rPr>
      <t>only necessary for R</t>
    </r>
    <r>
      <rPr>
        <vertAlign val="subscript"/>
        <sz val="12"/>
        <rFont val="Calibri"/>
        <family val="2"/>
        <scheme val="minor"/>
      </rPr>
      <t>P</t>
    </r>
    <r>
      <rPr>
        <sz val="12"/>
        <rFont val="Calibri"/>
        <family val="2"/>
        <scheme val="minor"/>
      </rPr>
      <t xml:space="preserve"> Measurements</t>
    </r>
    <r>
      <rPr>
        <b/>
        <sz val="12"/>
        <rFont val="Calibri"/>
        <family val="2"/>
        <scheme val="minor"/>
      </rPr>
      <t>):</t>
    </r>
  </si>
  <si>
    <r>
      <t>k</t>
    </r>
    <r>
      <rPr>
        <sz val="9"/>
        <rFont val="Calibri"/>
        <family val="2"/>
      </rPr>
      <t>Ω</t>
    </r>
  </si>
  <si>
    <t>LDC131x/LDC161x Configuration Tool</t>
  </si>
  <si>
    <t>Recommended settle count</t>
  </si>
  <si>
    <t>Sensor Drive Settings</t>
  </si>
  <si>
    <t>Recommended Sensor Amplitude</t>
  </si>
  <si>
    <t>Recommended Idrive</t>
  </si>
  <si>
    <t>Recommended IDRIVEx setting</t>
  </si>
  <si>
    <t>Ideal IDRIVEx setting</t>
  </si>
  <si>
    <t>peak fsensor</t>
  </si>
  <si>
    <t>Based on Sensor Rp</t>
  </si>
  <si>
    <t>distance1/diameter</t>
  </si>
  <si>
    <t>L adjust factor for distance 1</t>
  </si>
  <si>
    <t>distance2/diameter</t>
  </si>
  <si>
    <t>L adjust factor for distance 2</t>
  </si>
  <si>
    <t>Channel Sample Mode</t>
  </si>
  <si>
    <t>0 only</t>
  </si>
  <si>
    <t>1 only</t>
  </si>
  <si>
    <t>2 only</t>
  </si>
  <si>
    <t>3 only</t>
  </si>
  <si>
    <t>0, 1</t>
  </si>
  <si>
    <t>0, 1, 2</t>
  </si>
  <si>
    <t>0, 1, 2, 3</t>
  </si>
  <si>
    <t>Channel Sampling</t>
  </si>
  <si>
    <t>RR Sequence</t>
  </si>
  <si>
    <t>Autoscan_en</t>
  </si>
  <si>
    <t>active_chan</t>
  </si>
  <si>
    <t>#channels</t>
  </si>
  <si>
    <t>Valid for LDC1xx2</t>
  </si>
  <si>
    <t>2 channel device?</t>
  </si>
  <si>
    <t>Valid sampling mode for device</t>
  </si>
  <si>
    <t>Number of active channels</t>
  </si>
  <si>
    <t>rr_sequence</t>
  </si>
  <si>
    <t>autoscan_en</t>
  </si>
  <si>
    <t>Address</t>
  </si>
  <si>
    <t>Setting</t>
  </si>
  <si>
    <t>RCOUNT_CH0</t>
  </si>
  <si>
    <t>RCOUNT_CH1</t>
  </si>
  <si>
    <t>RCOUNT_CH2</t>
  </si>
  <si>
    <t>RCOUNT_CH3</t>
  </si>
  <si>
    <t>0x08</t>
  </si>
  <si>
    <t>0x09</t>
  </si>
  <si>
    <t>0x0A</t>
  </si>
  <si>
    <t>0x0B</t>
  </si>
  <si>
    <t>SETTLECOUNT_CH0</t>
  </si>
  <si>
    <t>SETTLECOUNT_CH1</t>
  </si>
  <si>
    <t>SETTLECOUNT_CH2</t>
  </si>
  <si>
    <t>SETTLECOUNT_CH3</t>
  </si>
  <si>
    <t>0x10</t>
  </si>
  <si>
    <t>0x11</t>
  </si>
  <si>
    <t>0x12</t>
  </si>
  <si>
    <t>0x13</t>
  </si>
  <si>
    <t>CLOCK_DIVIDERS_CH0</t>
  </si>
  <si>
    <t>CLOCK_DIVIDERS_CH1</t>
  </si>
  <si>
    <t>CLOCK_DIVIDERS_CH2</t>
  </si>
  <si>
    <t>CLOCK_DIVIDERS_CH3</t>
  </si>
  <si>
    <t>0x14</t>
  </si>
  <si>
    <t>0x15</t>
  </si>
  <si>
    <t>0x16</t>
  </si>
  <si>
    <t>0x17</t>
  </si>
  <si>
    <t>CONFIG</t>
  </si>
  <si>
    <t>0x1A</t>
  </si>
  <si>
    <t>MUX_CONFIG</t>
  </si>
  <si>
    <t>0x1B</t>
  </si>
  <si>
    <t>DRIVE_CURRENT_CH0</t>
  </si>
  <si>
    <t>DRIVE_CURRENT_CH1</t>
  </si>
  <si>
    <t>DRIVE_CURRENT_CH2</t>
  </si>
  <si>
    <t>DRIVE_CURRENT_CH3</t>
  </si>
  <si>
    <t>0x1E</t>
  </si>
  <si>
    <t>0x1F</t>
  </si>
  <si>
    <t>0x20</t>
  </si>
  <si>
    <t>0x21</t>
  </si>
  <si>
    <t>Config Register setting</t>
  </si>
  <si>
    <t>Reference Frequency Source</t>
  </si>
  <si>
    <t>Maximum Device Reference Frequency</t>
  </si>
  <si>
    <t xml:space="preserve">Internal or External Reference </t>
  </si>
  <si>
    <t>Auto Amp Dis</t>
  </si>
  <si>
    <t>RP_Override_EN</t>
  </si>
  <si>
    <t>INTB_DIS</t>
  </si>
  <si>
    <t>High Current Drive</t>
  </si>
  <si>
    <t>fin/fref ratio</t>
  </si>
  <si>
    <t>Deglitch Filter setting</t>
  </si>
  <si>
    <t>7CB123</t>
  </si>
  <si>
    <t>Recommended Minimum Sensor Amplitude</t>
  </si>
  <si>
    <r>
      <rPr>
        <i/>
        <sz val="9"/>
        <rFont val="Calibri"/>
        <family val="2"/>
        <scheme val="minor"/>
      </rPr>
      <t>f</t>
    </r>
    <r>
      <rPr>
        <vertAlign val="subscript"/>
        <sz val="9"/>
        <rFont val="Calibri"/>
        <family val="2"/>
        <scheme val="minor"/>
      </rPr>
      <t>SENSOR</t>
    </r>
    <r>
      <rPr>
        <sz val="9"/>
        <rFont val="Calibri"/>
        <family val="2"/>
        <scheme val="minor"/>
      </rPr>
      <t xml:space="preserve"> Minimum</t>
    </r>
  </si>
  <si>
    <r>
      <rPr>
        <i/>
        <sz val="9"/>
        <rFont val="Calibri"/>
        <family val="2"/>
        <scheme val="minor"/>
      </rPr>
      <t>f</t>
    </r>
    <r>
      <rPr>
        <vertAlign val="subscript"/>
        <sz val="9"/>
        <rFont val="Calibri"/>
        <family val="2"/>
        <scheme val="minor"/>
      </rPr>
      <t>SENSOR</t>
    </r>
    <r>
      <rPr>
        <sz val="9"/>
        <rFont val="Calibri"/>
        <family val="2"/>
        <scheme val="minor"/>
      </rPr>
      <t xml:space="preserve"> Maximum</t>
    </r>
  </si>
  <si>
    <r>
      <t>R</t>
    </r>
    <r>
      <rPr>
        <vertAlign val="subscript"/>
        <sz val="11"/>
        <rFont val="Calibri"/>
        <family val="2"/>
        <scheme val="minor"/>
      </rPr>
      <t>P</t>
    </r>
    <r>
      <rPr>
        <sz val="11"/>
        <rFont val="Calibri"/>
        <family val="2"/>
        <scheme val="minor"/>
      </rPr>
      <t xml:space="preserve"> at Distance 2</t>
    </r>
  </si>
  <si>
    <r>
      <t>R</t>
    </r>
    <r>
      <rPr>
        <vertAlign val="subscript"/>
        <sz val="11"/>
        <rFont val="Calibri"/>
        <family val="2"/>
        <scheme val="minor"/>
      </rPr>
      <t>P</t>
    </r>
    <r>
      <rPr>
        <sz val="11"/>
        <rFont val="Calibri"/>
        <family val="2"/>
        <scheme val="minor"/>
      </rPr>
      <t xml:space="preserve"> at Distance 1</t>
    </r>
  </si>
  <si>
    <t>skin depth of Alumium at f1</t>
  </si>
  <si>
    <t>skin depth of Alumium at f2</t>
  </si>
  <si>
    <t>Estimated Minimum Sensor Amplitude</t>
  </si>
  <si>
    <t>Free-space Sensor Frequency</t>
  </si>
  <si>
    <t>LDC131x or LDC161x? (0=131x/1=161x)</t>
  </si>
  <si>
    <t>For more information, refer to:</t>
  </si>
  <si>
    <t>distance 1 to 2 delta frequency</t>
  </si>
  <si>
    <t>desired resolution</t>
  </si>
  <si>
    <t>dec</t>
  </si>
  <si>
    <t>Required RCOUNT (Dec)</t>
  </si>
  <si>
    <t>Integer RCOUNT</t>
  </si>
  <si>
    <t>RCOUNT Setting</t>
  </si>
  <si>
    <t>Bit Field</t>
  </si>
  <si>
    <t>Device Sample Rate (for all channels)</t>
  </si>
  <si>
    <t>Effective Rcount for all channels</t>
  </si>
  <si>
    <t>Max conversion rate for device (I/O limit)</t>
  </si>
  <si>
    <t>sample rate all chan, not I/O limit check</t>
  </si>
  <si>
    <t xml:space="preserve">Programmed settle count </t>
  </si>
  <si>
    <t>Enter Free Space Value</t>
  </si>
  <si>
    <t>New LDC161x tool</t>
  </si>
  <si>
    <t>Output Code</t>
  </si>
  <si>
    <t>Channel Offset</t>
  </si>
  <si>
    <t>Maximum Distance between LDC &amp; sensor:</t>
  </si>
  <si>
    <t>This may not be achievable in all systems, based on environmental noise</t>
  </si>
  <si>
    <t>Shutdown Mode Current Consumption</t>
  </si>
  <si>
    <t>Sleep Mode Only Current Consumption</t>
  </si>
  <si>
    <r>
      <rPr>
        <i/>
        <sz val="11"/>
        <rFont val="Calibri"/>
        <family val="2"/>
        <scheme val="minor"/>
      </rPr>
      <t>f</t>
    </r>
    <r>
      <rPr>
        <vertAlign val="subscript"/>
        <sz val="11"/>
        <rFont val="Calibri"/>
        <family val="2"/>
        <scheme val="minor"/>
      </rPr>
      <t>IN</t>
    </r>
    <r>
      <rPr>
        <sz val="11"/>
        <rFont val="Calibri"/>
        <family val="2"/>
        <scheme val="minor"/>
      </rPr>
      <t xml:space="preserve"> Divider Setting</t>
    </r>
  </si>
  <si>
    <t>LDC161x/LDC131xConfig Tool</t>
  </si>
  <si>
    <t>Sensor Frequency shift</t>
  </si>
  <si>
    <t>L adjust factor</t>
  </si>
  <si>
    <t>Distance ratio</t>
  </si>
  <si>
    <t>Distance (mm)</t>
  </si>
  <si>
    <r>
      <t>L (</t>
    </r>
    <r>
      <rPr>
        <b/>
        <sz val="11"/>
        <color theme="1"/>
        <rFont val="Calibri"/>
        <family val="2"/>
      </rPr>
      <t>µ</t>
    </r>
    <r>
      <rPr>
        <b/>
        <sz val="11"/>
        <color theme="1"/>
        <rFont val="Calibri"/>
        <family val="2"/>
        <scheme val="minor"/>
      </rPr>
      <t>H)</t>
    </r>
  </si>
  <si>
    <t>L Shifted1</t>
  </si>
  <si>
    <t>Distance1</t>
  </si>
  <si>
    <t>Distance2</t>
  </si>
  <si>
    <t>L Shifted2</t>
  </si>
  <si>
    <t>Farthest Target Distance</t>
  </si>
  <si>
    <t>Eff Resolution between Min&amp;Max Distance</t>
  </si>
  <si>
    <t>Continuous Conversion Current</t>
  </si>
  <si>
    <t>Counts</t>
  </si>
  <si>
    <t xml:space="preserve">Physical Resolution </t>
  </si>
  <si>
    <t>Deglitch Field setting</t>
  </si>
  <si>
    <t>Fixed calculation of gap/tooth width in LDC0851 event counting</t>
  </si>
  <si>
    <t>RESET_DEV</t>
  </si>
  <si>
    <t>0x1C</t>
  </si>
  <si>
    <t>LDC131x Resolution Calculations</t>
  </si>
  <si>
    <t>fsensor shift as fraction of fref</t>
  </si>
  <si>
    <t>Gain 16 range used</t>
  </si>
  <si>
    <t>automatically set to 0 with LDC161x</t>
  </si>
  <si>
    <r>
      <rPr>
        <i/>
        <sz val="11"/>
        <rFont val="Calibri"/>
        <family val="2"/>
        <scheme val="minor"/>
      </rPr>
      <t>f</t>
    </r>
    <r>
      <rPr>
        <vertAlign val="subscript"/>
        <sz val="11"/>
        <rFont val="Calibri"/>
        <family val="2"/>
        <scheme val="minor"/>
      </rPr>
      <t>SENSOR</t>
    </r>
    <r>
      <rPr>
        <sz val="11"/>
        <rFont val="Calibri"/>
        <family val="2"/>
        <scheme val="minor"/>
      </rPr>
      <t xml:space="preserve"> at farthest target Distance </t>
    </r>
  </si>
  <si>
    <r>
      <rPr>
        <i/>
        <sz val="11"/>
        <rFont val="Calibri"/>
        <family val="2"/>
        <scheme val="minor"/>
      </rPr>
      <t>f</t>
    </r>
    <r>
      <rPr>
        <vertAlign val="subscript"/>
        <sz val="11"/>
        <rFont val="Calibri"/>
        <family val="2"/>
        <scheme val="minor"/>
      </rPr>
      <t>SENSOR</t>
    </r>
    <r>
      <rPr>
        <sz val="11"/>
        <rFont val="Calibri"/>
        <family val="2"/>
        <scheme val="minor"/>
      </rPr>
      <t xml:space="preserve"> at Closest Target Distance</t>
    </r>
  </si>
  <si>
    <t>Recommended Offset for LDC131x</t>
  </si>
  <si>
    <t>fsensor shift as fraction of fref (actual)</t>
  </si>
  <si>
    <t>data</t>
  </si>
  <si>
    <t>Estimated (0) or Actual (1) Data?</t>
  </si>
  <si>
    <t>Determine LDC131x settings based on:</t>
  </si>
  <si>
    <t>x</t>
  </si>
  <si>
    <t>Output with OFFSET_CHx = 0x0000 &amp; GAIN = 1x</t>
  </si>
  <si>
    <t>LDC131x Output Gain Field setting</t>
  </si>
  <si>
    <t>Estimated Native output code for Fmin</t>
  </si>
  <si>
    <t>Estimated Native output code for fmax</t>
  </si>
  <si>
    <t>Max Output code for subsequent calculations</t>
  </si>
  <si>
    <t>Min Output code for subsequent calculations</t>
  </si>
  <si>
    <t>LDC131x Maximum Output Code Observed</t>
  </si>
  <si>
    <t>LDC131x Minimum Output Code Observed</t>
  </si>
  <si>
    <t>Limitation of LDC131x</t>
  </si>
  <si>
    <t>LDC161x/LDC131x tool now supports LDC131x fully</t>
  </si>
  <si>
    <t>OFFSET_CH0</t>
  </si>
  <si>
    <t>OFFSET_CH1</t>
  </si>
  <si>
    <t>OFFSET_CH2</t>
  </si>
  <si>
    <t>OFFSET_CH3</t>
  </si>
  <si>
    <t>0x0C</t>
  </si>
  <si>
    <t>0x0D</t>
  </si>
  <si>
    <t>0x0E</t>
  </si>
  <si>
    <t>0x0F</t>
  </si>
  <si>
    <t>Resolution Calculations</t>
  </si>
  <si>
    <t xml:space="preserve">Determine LDC131x Gain &amp; Offset Setting </t>
  </si>
  <si>
    <t xml:space="preserve">Calculated Offset code </t>
  </si>
  <si>
    <t>Offset headroom on high side (ratio to low side)</t>
  </si>
  <si>
    <t>Gain=1 Code Delta</t>
  </si>
  <si>
    <t>Headroom codes</t>
  </si>
  <si>
    <t>Offset code (not range checked)</t>
  </si>
  <si>
    <t>Extra codes of range available</t>
  </si>
  <si>
    <t>adjust center of codes for extra headroom for higher frequencies caused by closer targets</t>
  </si>
  <si>
    <t>from target positions estimates</t>
  </si>
  <si>
    <t>selected based on Actual or Estimate</t>
  </si>
  <si>
    <t>Native code range with selected Gain setting</t>
  </si>
  <si>
    <t>Duty Cycled Supply Current Estimator</t>
  </si>
  <si>
    <t>External Reference Frequency</t>
  </si>
  <si>
    <t>Maximum Effective Reference Frequency</t>
  </si>
  <si>
    <t>divider setting</t>
  </si>
  <si>
    <t>if internal source, set to 1, otherwise use external divider</t>
  </si>
  <si>
    <r>
      <rPr>
        <i/>
        <sz val="11"/>
        <color theme="1"/>
        <rFont val="Calibri"/>
        <family val="2"/>
        <scheme val="minor"/>
      </rPr>
      <t>f</t>
    </r>
    <r>
      <rPr>
        <vertAlign val="subscript"/>
        <sz val="11"/>
        <color theme="1"/>
        <rFont val="Calibri"/>
        <family val="2"/>
        <scheme val="minor"/>
      </rPr>
      <t>REF</t>
    </r>
    <r>
      <rPr>
        <sz val="11"/>
        <color theme="1"/>
        <rFont val="Calibri"/>
        <family val="2"/>
        <scheme val="minor"/>
      </rPr>
      <t xml:space="preserve"> divider </t>
    </r>
  </si>
  <si>
    <t>LDC161x/131x tool handles the fref divider when needed</t>
  </si>
  <si>
    <t>Added  TI Logos</t>
  </si>
  <si>
    <t>Effective Reference Frequency</t>
  </si>
  <si>
    <t>Axial Target Movement Calculations</t>
  </si>
  <si>
    <t>Sensor Inductance for calculations</t>
  </si>
  <si>
    <t>Sensor Capacitance for calculations</t>
  </si>
  <si>
    <t>Entered Sensor RP</t>
  </si>
  <si>
    <t>Entered Sensor Q</t>
  </si>
  <si>
    <t>Sensor RP for Calculations</t>
  </si>
  <si>
    <t>Sensor Q for Calculations</t>
  </si>
  <si>
    <t>this value used for subsequent calculations</t>
  </si>
  <si>
    <t>LDC2112/4</t>
  </si>
  <si>
    <t>Is Spiral Designer tool set to LDC131x/LDC161x?</t>
  </si>
  <si>
    <t>Use Spiral Designer Tool Values checked</t>
  </si>
  <si>
    <t>Sensor Diameter for Calculations</t>
  </si>
  <si>
    <t>L used for graph</t>
  </si>
  <si>
    <t>Sensor Size used for Graph</t>
  </si>
  <si>
    <t>this is easier than complex if statements below</t>
  </si>
  <si>
    <t>Only using the L reduction , does not include skin-effect shifts</t>
  </si>
  <si>
    <t>Recommended from Datasheet</t>
  </si>
  <si>
    <t>used for power calculations below</t>
  </si>
  <si>
    <t>Added check box and link to use Spiral Designer tool values in LDC131x/161x config tool</t>
  </si>
  <si>
    <t>removed some redundant calculations</t>
  </si>
  <si>
    <t>Estimated</t>
  </si>
  <si>
    <t xml:space="preserve">Use LDC131x Gain </t>
  </si>
  <si>
    <t>LDC131x (0) or LDC161x (1)?</t>
  </si>
  <si>
    <r>
      <t>Sensor Parameters</t>
    </r>
    <r>
      <rPr>
        <b/>
        <sz val="11"/>
        <color theme="1"/>
        <rFont val="Calibri"/>
        <family val="2"/>
        <scheme val="minor"/>
      </rPr>
      <t xml:space="preserve"> (this tool assumes all channels have matching sensors)</t>
    </r>
  </si>
  <si>
    <t>Copied from above</t>
  </si>
  <si>
    <t>If this is above 1, then we need to use a divider &gt;1</t>
  </si>
  <si>
    <t>limit to 2^x between 1 and 8</t>
  </si>
  <si>
    <t>fixed a ldc1101 calc tool issue with the divider - if the ref frequency was too high, then the LHR_Config was messed up. This was due to a divider of 0 occuring in D104</t>
  </si>
  <si>
    <t>Added Instructions to Spiral Inductor Designer</t>
  </si>
  <si>
    <t>Added LDC1000 Tools tab</t>
  </si>
  <si>
    <t>LDC1000/41/51</t>
  </si>
  <si>
    <t>LDC1101 handled on LDC1101 Config Tool</t>
  </si>
  <si>
    <t>LDC1000/10x1</t>
  </si>
  <si>
    <t>LDC1000 Tools</t>
  </si>
  <si>
    <t>LDC1000_Tools</t>
  </si>
  <si>
    <t xml:space="preserve">Calculate the sensor frequency and inductance for the LDC1000/1041/1051. </t>
  </si>
  <si>
    <r>
      <t>LDC1000/1041/1051 R</t>
    </r>
    <r>
      <rPr>
        <b/>
        <vertAlign val="subscript"/>
        <sz val="11"/>
        <color theme="1"/>
        <rFont val="Calibri"/>
        <family val="2"/>
        <scheme val="minor"/>
      </rPr>
      <t>P</t>
    </r>
    <r>
      <rPr>
        <b/>
        <sz val="11"/>
        <color theme="1"/>
        <rFont val="Calibri"/>
        <family val="2"/>
        <scheme val="minor"/>
      </rPr>
      <t xml:space="preserve"> Calculator</t>
    </r>
  </si>
  <si>
    <t>LDC1000/1041/1051 Sample Rate from Device Settings</t>
  </si>
  <si>
    <t>Note: LDC1000EVM uses 6MHz</t>
  </si>
  <si>
    <t>Removed Output Code Calculator tab, LDC131x/161x Sensor Config, remote_sensor, &amp; sample rate calculator</t>
  </si>
  <si>
    <t>LDC1000/1041 Inductance Calculator</t>
  </si>
  <si>
    <t>LDC0851 Battery Life Calculator</t>
  </si>
  <si>
    <t>Battery Capacity</t>
  </si>
  <si>
    <t>mAh</t>
  </si>
  <si>
    <t>Board Parasitic Capacitance</t>
  </si>
  <si>
    <t>LDC0851 Numbers</t>
  </si>
  <si>
    <r>
      <t>I</t>
    </r>
    <r>
      <rPr>
        <vertAlign val="subscript"/>
        <sz val="11"/>
        <color theme="1"/>
        <rFont val="Calibri"/>
        <family val="2"/>
        <scheme val="minor"/>
      </rPr>
      <t>sensor</t>
    </r>
  </si>
  <si>
    <t>Isensor</t>
  </si>
  <si>
    <t>refer to section 9.2.3 of the LDC0851 datasheet for details.</t>
  </si>
  <si>
    <t>Added LDC0851 battery calculations (thanks Luke!)</t>
  </si>
  <si>
    <t>LDC0851 now reports IDD with closest target, not Isensor</t>
  </si>
  <si>
    <t>Battery Lifetime (LDC0851 loading only)</t>
  </si>
  <si>
    <t>new gear picture on LDC0851 tools</t>
  </si>
  <si>
    <r>
      <t>Minimum Angle for one event (</t>
    </r>
    <r>
      <rPr>
        <sz val="11"/>
        <color theme="1"/>
        <rFont val="Calibri"/>
        <family val="2"/>
      </rPr>
      <t>Θ</t>
    </r>
    <r>
      <rPr>
        <vertAlign val="subscript"/>
        <sz val="11"/>
        <color theme="1"/>
        <rFont val="Calibri"/>
        <family val="2"/>
      </rPr>
      <t>EVENT</t>
    </r>
    <r>
      <rPr>
        <sz val="11"/>
        <color theme="1"/>
        <rFont val="Calibri"/>
        <family val="2"/>
      </rPr>
      <t>)</t>
    </r>
  </si>
  <si>
    <t>Resitivity</t>
  </si>
  <si>
    <t>Bronze</t>
  </si>
  <si>
    <t>67Cu33Sn</t>
  </si>
  <si>
    <t>Skin Depth Calculator changed Conductity to Resistivity</t>
  </si>
  <si>
    <t>Added Bronze to Skin Depth Calc tool</t>
  </si>
  <si>
    <t>Configure time + Active time per sample</t>
  </si>
  <si>
    <t>Added config time+ active time to LDC131x/161x duty-cycled calculation</t>
  </si>
  <si>
    <t>Total Shutdown time per second</t>
  </si>
  <si>
    <t>Added timing information on LDC1101 duty cycled measurement</t>
  </si>
  <si>
    <t>Resolution and Sample Rate Calculation (relative movement only)</t>
  </si>
  <si>
    <t>Encoder Calculation Tool</t>
  </si>
  <si>
    <t>Knob Outer Diameter</t>
  </si>
  <si>
    <t>Knob Inner Diameter</t>
  </si>
  <si>
    <t>Trace Edge Clearance</t>
  </si>
  <si>
    <t>Trace Width</t>
  </si>
  <si>
    <t>Trace Space</t>
  </si>
  <si>
    <t>Minimum Trace Width</t>
  </si>
  <si>
    <t>Minimum Trace Space</t>
  </si>
  <si>
    <t>System Needs</t>
  </si>
  <si>
    <t>Sensor Construction</t>
  </si>
  <si>
    <t>Angle of one position</t>
  </si>
  <si>
    <t>Max Sensor Length</t>
  </si>
  <si>
    <t>Width/Length Ratio</t>
  </si>
  <si>
    <t>Clipped Width/Length Ratio</t>
  </si>
  <si>
    <t>center via size</t>
  </si>
  <si>
    <t>sensor routing width</t>
  </si>
  <si>
    <t>inner diameter</t>
  </si>
  <si>
    <t>Ratio LW</t>
  </si>
  <si>
    <t>Area correction</t>
  </si>
  <si>
    <t>Geometric Mean</t>
  </si>
  <si>
    <t>Self Inductance per layer</t>
  </si>
  <si>
    <t>Average scaled by area correction</t>
  </si>
  <si>
    <t>Sensor calculations</t>
  </si>
  <si>
    <t>Number of Layers</t>
  </si>
  <si>
    <t>Target Distance (Z height)</t>
  </si>
  <si>
    <t>Sensor Free-Space Inductance</t>
  </si>
  <si>
    <t>Sensor Inductance with Target interaction</t>
  </si>
  <si>
    <t>PCB thickness between Layer1 &amp; Layer2</t>
  </si>
  <si>
    <t>maximum number of turns</t>
  </si>
  <si>
    <t>Minimum Via diameter</t>
  </si>
  <si>
    <t>Number of positions/rotation</t>
  </si>
  <si>
    <t>Mimimum Center Via Size</t>
  </si>
  <si>
    <t>Coil Length per layer</t>
  </si>
  <si>
    <t>Operating Temp</t>
  </si>
  <si>
    <t>Conductor Resistivity@ Temp</t>
  </si>
  <si>
    <t>Conductor TempCo</t>
  </si>
  <si>
    <t>%/°C</t>
  </si>
  <si>
    <t>Conductor Resistivity@20</t>
  </si>
  <si>
    <t>Trace thickness</t>
  </si>
  <si>
    <t>Trace Thickness</t>
  </si>
  <si>
    <t>DC Resistance (Rs for DC)</t>
  </si>
  <si>
    <t>Maybe add entry for this value</t>
  </si>
  <si>
    <t>Number of PCB Layers</t>
  </si>
  <si>
    <t>Min Rp</t>
  </si>
  <si>
    <t>Skin Depth at Max Fsensor</t>
  </si>
  <si>
    <t>Max Rs (AC)</t>
  </si>
  <si>
    <t>Sample Rate or Maximum RPM</t>
  </si>
  <si>
    <t>Standardized Units (Converted to mm)</t>
  </si>
  <si>
    <t xml:space="preserve">AIML-0402-1R0K-T </t>
  </si>
  <si>
    <t>P/N</t>
  </si>
  <si>
    <t>Q@10MHz</t>
  </si>
  <si>
    <t>Rs@10MHz</t>
  </si>
  <si>
    <t>Fixed Inductor Parameters</t>
  </si>
  <si>
    <t>L free-space total</t>
  </si>
  <si>
    <t>Fsensor free-space</t>
  </si>
  <si>
    <t>L max target</t>
  </si>
  <si>
    <t>Fsensor max target</t>
  </si>
  <si>
    <t>Rs with target</t>
  </si>
  <si>
    <t>Use Fixed Inductor?</t>
  </si>
  <si>
    <t>1=Yes, 0=No</t>
  </si>
  <si>
    <t>Device Minimum Rp</t>
  </si>
  <si>
    <t>Can Device drive min Rp from target?</t>
  </si>
  <si>
    <t>Fsensor Maximum</t>
  </si>
  <si>
    <t>Max Target-Sensor Distance</t>
  </si>
  <si>
    <t>LDC131x Design Space</t>
  </si>
  <si>
    <t>LDC131x System maybe with Fixed Inductor</t>
  </si>
  <si>
    <t>Sample interval</t>
  </si>
  <si>
    <t>ms/channel</t>
  </si>
  <si>
    <t>codes</t>
  </si>
  <si>
    <t>Min Needed Rcount for 100 codes</t>
  </si>
  <si>
    <t>1=yes, 0=no</t>
  </si>
  <si>
    <t>Fref</t>
  </si>
  <si>
    <t>LDC131x code variation (no gain)</t>
  </si>
  <si>
    <t>Minimum code delta (gain=0)</t>
  </si>
  <si>
    <t>PCB thickness between Layer2 &amp; Layer3</t>
  </si>
  <si>
    <t>PCB thickness between Layer3 &amp; Layer4</t>
  </si>
  <si>
    <r>
      <rPr>
        <sz val="10"/>
        <color indexed="8"/>
        <rFont val="Calibri"/>
        <family val="2"/>
      </rPr>
      <t>µH</t>
    </r>
  </si>
  <si>
    <t>Minimum sensor shift</t>
  </si>
  <si>
    <t>ppm</t>
  </si>
  <si>
    <t>LDC211x System</t>
  </si>
  <si>
    <t>LDC211x Design Space</t>
  </si>
  <si>
    <t>LDC131x Sensor Target Interaction</t>
  </si>
  <si>
    <t xml:space="preserve">Target Max Sensor Frequency </t>
  </si>
  <si>
    <t>Target Max Sensor Frequency</t>
  </si>
  <si>
    <t>Delta sensor frequency</t>
  </si>
  <si>
    <t>Ideal Sensor Cap</t>
  </si>
  <si>
    <t>Sensor Standard Value Cap</t>
  </si>
  <si>
    <t>Cap Unit lookup</t>
  </si>
  <si>
    <t>Standard Cap values scaled</t>
  </si>
  <si>
    <t>Consider including space for 2nd vias in 4layer #turns</t>
  </si>
  <si>
    <t>Min Inductance (max target)</t>
  </si>
  <si>
    <t>Max Inductance (min target)</t>
  </si>
  <si>
    <t>Can device drive Min RP?</t>
  </si>
  <si>
    <t>Free-space Maximum Q</t>
  </si>
  <si>
    <t>Actual Sensor Frequency max target</t>
  </si>
  <si>
    <t>Actual sensor frequency min target</t>
  </si>
  <si>
    <t>Skin depth at min frequency</t>
  </si>
  <si>
    <t>Min Rs (AC)</t>
  </si>
  <si>
    <t>Q Max</t>
  </si>
  <si>
    <t>Additional series R needed</t>
  </si>
  <si>
    <t>System Frequency shift</t>
  </si>
  <si>
    <t>Actual Sensor Frequency no target</t>
  </si>
  <si>
    <t>PPM shift</t>
  </si>
  <si>
    <t>LDC211x PPM shift above minimum?</t>
  </si>
  <si>
    <t>is free-space Q below LDC211x max?</t>
  </si>
  <si>
    <t>LDC2114 suitable?</t>
  </si>
  <si>
    <t>LDC2114 Suitable?</t>
  </si>
  <si>
    <t>LDC131x Suitable?</t>
  </si>
  <si>
    <t>Is LDC2114 sample rate ok?</t>
  </si>
  <si>
    <t>LDC0851 System</t>
  </si>
  <si>
    <t>LDC131x suitable?</t>
  </si>
  <si>
    <t>Min Sensor Dimension</t>
  </si>
  <si>
    <t>Sensor Size</t>
  </si>
  <si>
    <t>Number of turns</t>
  </si>
  <si>
    <t>Free-Space Inductance</t>
  </si>
  <si>
    <t>Inductance Shift from Target</t>
  </si>
  <si>
    <t>turns</t>
  </si>
  <si>
    <t>Text Note</t>
  </si>
  <si>
    <t>LDC2114 Sensor Frequency</t>
  </si>
  <si>
    <t>LDC131x Sensor Cap</t>
  </si>
  <si>
    <t>LDC2114 Sensor Cap</t>
  </si>
  <si>
    <t>Normalized Target Distance</t>
  </si>
  <si>
    <t>use -10% of nominal for guardband</t>
  </si>
  <si>
    <t>Number of Turns</t>
  </si>
  <si>
    <t>Self-Inductance per layer</t>
  </si>
  <si>
    <t>Target distance</t>
  </si>
  <si>
    <t>distance i7-i8</t>
  </si>
  <si>
    <t>distance i6-i7</t>
  </si>
  <si>
    <t>distance i5-i6</t>
  </si>
  <si>
    <t>distance i4-i5</t>
  </si>
  <si>
    <t>distance i3-i4</t>
  </si>
  <si>
    <t>distance i2-i3</t>
  </si>
  <si>
    <t>distance i1-i2</t>
  </si>
  <si>
    <t>distance L1-i1</t>
  </si>
  <si>
    <t>PCB thickness L1-L2</t>
  </si>
  <si>
    <t>PCB thickness L2-L3</t>
  </si>
  <si>
    <t>PCB thickness L3-L4</t>
  </si>
  <si>
    <t>PCB thickness L4-L5</t>
  </si>
  <si>
    <t>PCB thickness L5-L6</t>
  </si>
  <si>
    <t>PCB thickness L6-L7</t>
  </si>
  <si>
    <t>PCB thickness L7-L8</t>
  </si>
  <si>
    <t>T Scaling</t>
  </si>
  <si>
    <t>Lmutual sum</t>
  </si>
  <si>
    <t>scale factor</t>
  </si>
  <si>
    <t>Total Inductance free-space</t>
  </si>
  <si>
    <t>Target Interaction sum</t>
  </si>
  <si>
    <t>TI scale</t>
  </si>
  <si>
    <t>Inductance with Target interaction</t>
  </si>
  <si>
    <t>Lmutual for 12</t>
  </si>
  <si>
    <t>Lmutual for 13</t>
  </si>
  <si>
    <t>Lmutual for 14</t>
  </si>
  <si>
    <t>Lmutual for 15</t>
  </si>
  <si>
    <t>Lmutual for 16</t>
  </si>
  <si>
    <t>Lmutual for 17</t>
  </si>
  <si>
    <t>Lmutual for 18</t>
  </si>
  <si>
    <t>Lmutual for 23</t>
  </si>
  <si>
    <t>Lmutual for 24</t>
  </si>
  <si>
    <t>Lmutual for 25</t>
  </si>
  <si>
    <t>Lmutual for 26</t>
  </si>
  <si>
    <t>Lmutual for 27</t>
  </si>
  <si>
    <t>Lmutual for 28</t>
  </si>
  <si>
    <t>Lmutual for 34</t>
  </si>
  <si>
    <t>Lmutual for 35</t>
  </si>
  <si>
    <t>Lmutual for 36</t>
  </si>
  <si>
    <t>Lmutual for 37</t>
  </si>
  <si>
    <t>Lmutual for 38</t>
  </si>
  <si>
    <t>Lmutual for 45</t>
  </si>
  <si>
    <t>Lmutual for 46</t>
  </si>
  <si>
    <t>Lmutual for 47</t>
  </si>
  <si>
    <t>Lmutual for 48</t>
  </si>
  <si>
    <t>Lmutual for 56</t>
  </si>
  <si>
    <t>Lmutual for 57</t>
  </si>
  <si>
    <t>Lmutual for 58</t>
  </si>
  <si>
    <t>Lmutual for 67</t>
  </si>
  <si>
    <t>Lmutual for 68</t>
  </si>
  <si>
    <t>Lmutual for 78</t>
  </si>
  <si>
    <t>Lmutual for i1-L1</t>
  </si>
  <si>
    <t>Lmutual for i1-L2</t>
  </si>
  <si>
    <t>Lmutual for i1-L3</t>
  </si>
  <si>
    <t>Lmutual for i1-L4</t>
  </si>
  <si>
    <t>Lmutual for i1-L5</t>
  </si>
  <si>
    <t>Lmutual for i1-L6</t>
  </si>
  <si>
    <t>Lmutual for i1-L7</t>
  </si>
  <si>
    <t>Lmutual for i1-L8</t>
  </si>
  <si>
    <t>Lmutual for i2-L1</t>
  </si>
  <si>
    <t>Lmutual for i2-L2</t>
  </si>
  <si>
    <t>Lmutual for i2-L3</t>
  </si>
  <si>
    <t>Lmutual for i2-L4</t>
  </si>
  <si>
    <t>Lmutual for i2-L5</t>
  </si>
  <si>
    <t>Lmutual for i2-L6</t>
  </si>
  <si>
    <t>Lmutual for i2-L7</t>
  </si>
  <si>
    <t>Lmutual for i2-L8</t>
  </si>
  <si>
    <t>Lmutual for i3-L1</t>
  </si>
  <si>
    <t>Lmutual for i3-L2</t>
  </si>
  <si>
    <t>Lmutual for i3-L3</t>
  </si>
  <si>
    <t>Lmutual for i3-L4</t>
  </si>
  <si>
    <t>Lmutual for i3-L5</t>
  </si>
  <si>
    <t>Lmutual for i3-L6</t>
  </si>
  <si>
    <t>Lmutual for i3-L7</t>
  </si>
  <si>
    <t>Lmutual for i3-L8</t>
  </si>
  <si>
    <t>Lmutual for i4-L1</t>
  </si>
  <si>
    <t>Lmutual for i4-L2</t>
  </si>
  <si>
    <t>Lmutual for i4-L3</t>
  </si>
  <si>
    <t>Lmutual for i4-L4</t>
  </si>
  <si>
    <t>Lmutual for i4-L5</t>
  </si>
  <si>
    <t>Lmutual for i4-L6</t>
  </si>
  <si>
    <t>Lmutual for i4-L7</t>
  </si>
  <si>
    <t>Lmutual for i4-L8</t>
  </si>
  <si>
    <t>Lmutual for i5-L1</t>
  </si>
  <si>
    <t>Lmutual for i5-L2</t>
  </si>
  <si>
    <t>Lmutual for i5-L3</t>
  </si>
  <si>
    <t>Lmutual for i5-L4</t>
  </si>
  <si>
    <t>Lmutual for i5-L5</t>
  </si>
  <si>
    <t>Lmutual for i5-L6</t>
  </si>
  <si>
    <t>Lmutual for i5-L7</t>
  </si>
  <si>
    <t>Lmutual for i5-L8</t>
  </si>
  <si>
    <t>Lmutual for i6-L1</t>
  </si>
  <si>
    <t>Lmutual for i6-L2</t>
  </si>
  <si>
    <t>Lmutual for i6-L3</t>
  </si>
  <si>
    <t>Lmutual for i6-L4</t>
  </si>
  <si>
    <t>Lmutual for i6-L5</t>
  </si>
  <si>
    <t>Lmutual for i6-L6</t>
  </si>
  <si>
    <t>Lmutual for i6-L7</t>
  </si>
  <si>
    <t>Lmutual for i6-L8</t>
  </si>
  <si>
    <t>Lmutual for i7-L1</t>
  </si>
  <si>
    <t>Lmutual for i7-L2</t>
  </si>
  <si>
    <t>Lmutual for i7-L3</t>
  </si>
  <si>
    <t>Lmutual for i7-L4</t>
  </si>
  <si>
    <t>Lmutual for i7-L5</t>
  </si>
  <si>
    <t>Lmutual for i7-L6</t>
  </si>
  <si>
    <t>Lmutual for i7-L7</t>
  </si>
  <si>
    <t>Lmutual for i7-L8</t>
  </si>
  <si>
    <t>Lmutual for i8-L2</t>
  </si>
  <si>
    <t>Lmutual for i8-L3</t>
  </si>
  <si>
    <t>Lmutual for i8-L4</t>
  </si>
  <si>
    <t>Lmutual for i8-L5</t>
  </si>
  <si>
    <t>Lmutual for i8-L6</t>
  </si>
  <si>
    <t>Lmutual for i8-L7</t>
  </si>
  <si>
    <t>Lmutual for i8-L8</t>
  </si>
  <si>
    <t>LDC0851 Operating Voltage</t>
  </si>
  <si>
    <t>1.8V or 3.3V</t>
  </si>
  <si>
    <t>Max sensor drive current</t>
  </si>
  <si>
    <t>Min L</t>
  </si>
  <si>
    <t>Target Sensor Frequency</t>
  </si>
  <si>
    <t>Parasitic Board Caps</t>
  </si>
  <si>
    <t>Assumes 12pF on LCOM and 4pF of board parasitic</t>
  </si>
  <si>
    <t>LDC0851 Design Space</t>
  </si>
  <si>
    <t>Can LDC0851 Drive sensor?</t>
  </si>
  <si>
    <t>Total Capacitance</t>
  </si>
  <si>
    <t>Fixed Sensor Capacitance</t>
  </si>
  <si>
    <t>Standard Cap Lookup Value</t>
  </si>
  <si>
    <t>Standard Value Cap - possible low:</t>
  </si>
  <si>
    <t>Standard Value Cap - possible high:</t>
  </si>
  <si>
    <t>Closest Standard Value</t>
  </si>
  <si>
    <t>Stupid VLOOKUP</t>
  </si>
  <si>
    <t>Isensor Drive requirement</t>
  </si>
  <si>
    <t>Min Inductance (target interaction)</t>
  </si>
  <si>
    <t>Actual peak Sensor Frequency</t>
  </si>
  <si>
    <t>Min sensor frequency</t>
  </si>
  <si>
    <t>Free-Space (max) inductance</t>
  </si>
  <si>
    <t>LDC0851 Minimum Sample Rate</t>
  </si>
  <si>
    <t>Is LDC0851 fast enough for sampling?</t>
  </si>
  <si>
    <t>LDC0851 Suitable?</t>
  </si>
  <si>
    <t>Sensor Note</t>
  </si>
  <si>
    <t>Max Rcount+SettleCnt for sample rate</t>
  </si>
  <si>
    <t>Rp with max target interaction</t>
  </si>
  <si>
    <t>Rs free space</t>
  </si>
  <si>
    <t>Skin Depth at min Fsensor</t>
  </si>
  <si>
    <t>Settle Count</t>
  </si>
  <si>
    <t>LDC131x Settle Count</t>
  </si>
  <si>
    <t>LDC131x Resolution ok at sample rate?</t>
  </si>
  <si>
    <t>RCOUNT+SETTLECOUNT</t>
  </si>
  <si>
    <t>Sample Rate (2 Channels - No IO limit)</t>
  </si>
  <si>
    <t>Max Sample Rate (IO limit)</t>
  </si>
  <si>
    <t>Sample Rate (2 channels, I/O limited)</t>
  </si>
  <si>
    <t xml:space="preserve">Sample Rate (RPM with nyquist)  </t>
  </si>
  <si>
    <t>LDC131x sample rate ok?</t>
  </si>
  <si>
    <t>Is Cap value reasonable (50pF&lt;Cs&lt;5nF)?</t>
  </si>
  <si>
    <t>Max Sample Rate (80sps-15%</t>
  </si>
  <si>
    <t>Message</t>
  </si>
  <si>
    <t>LDC131x Min RCOUNT</t>
  </si>
  <si>
    <t>LDC131x Max Sensor Frequency</t>
  </si>
  <si>
    <r>
      <t>LDC131x Sensor R</t>
    </r>
    <r>
      <rPr>
        <vertAlign val="subscript"/>
        <sz val="10"/>
        <color theme="1"/>
        <rFont val="Calibri"/>
        <family val="2"/>
        <scheme val="minor"/>
      </rPr>
      <t>P</t>
    </r>
  </si>
  <si>
    <t>Is cap value reasonable (30pF&lt;C&lt;5nF)?</t>
  </si>
  <si>
    <t>Min Sensor Cap</t>
  </si>
  <si>
    <t>Ideal Sensor cap</t>
  </si>
  <si>
    <t>Sensor cap (min bounded)</t>
  </si>
  <si>
    <t>Is Min Sensor Frequency Ok?</t>
  </si>
  <si>
    <t>Fsensor Minimum</t>
  </si>
  <si>
    <t>Fsensor Note</t>
  </si>
  <si>
    <t>Average Diameter</t>
  </si>
  <si>
    <t>RP Message</t>
  </si>
  <si>
    <t>Sample Rate Message</t>
  </si>
  <si>
    <t>Combined Message</t>
  </si>
  <si>
    <t>Is Sensor idrive within LDC0851 range?</t>
  </si>
  <si>
    <t>Channel Gain setting</t>
  </si>
  <si>
    <t>Desired Net Shift</t>
  </si>
  <si>
    <t>Channel Gain Register Setting</t>
  </si>
  <si>
    <t>Not Set by user inputs</t>
  </si>
  <si>
    <t>Added Encoder Knob Tool</t>
  </si>
  <si>
    <t>Encoder Knob Design Tool</t>
  </si>
  <si>
    <r>
      <rPr>
        <b/>
        <sz val="11"/>
        <color theme="1"/>
        <rFont val="Calibri"/>
        <family val="2"/>
      </rPr>
      <t>←</t>
    </r>
    <r>
      <rPr>
        <b/>
        <sz val="11"/>
        <color theme="1"/>
        <rFont val="Calibri"/>
        <family val="2"/>
        <scheme val="minor"/>
      </rPr>
      <t>Double-Click For Instructions</t>
    </r>
  </si>
  <si>
    <t>New in Version 1.39!</t>
  </si>
  <si>
    <r>
      <t>Quadrature Angle (</t>
    </r>
    <r>
      <rPr>
        <sz val="11"/>
        <color theme="1"/>
        <rFont val="Calibri"/>
        <family val="2"/>
      </rPr>
      <t>Θ)</t>
    </r>
  </si>
  <si>
    <t>LDC131x Max Sample Rate</t>
  </si>
  <si>
    <t>Recommended minimum sensor Amp</t>
  </si>
  <si>
    <t>Sensor Current Drive</t>
  </si>
  <si>
    <t>Recommended IDRIVE</t>
  </si>
  <si>
    <t>IDRIVE (no limit check)</t>
  </si>
  <si>
    <t>By Chris Oberhauser</t>
  </si>
  <si>
    <t>LDC131x Sensor IDRIVE Setting</t>
  </si>
  <si>
    <t>LDC1314 Supports 2 Encoders?</t>
  </si>
  <si>
    <r>
      <t>LDC2114 Sensor R</t>
    </r>
    <r>
      <rPr>
        <vertAlign val="subscript"/>
        <sz val="10"/>
        <color theme="1"/>
        <rFont val="Calibri"/>
        <family val="2"/>
        <scheme val="minor"/>
      </rPr>
      <t>P</t>
    </r>
  </si>
  <si>
    <r>
      <t>LDC0851 V</t>
    </r>
    <r>
      <rPr>
        <vertAlign val="subscript"/>
        <sz val="10"/>
        <color theme="1"/>
        <rFont val="Calibri"/>
        <family val="2"/>
        <scheme val="minor"/>
      </rPr>
      <t>DD</t>
    </r>
  </si>
  <si>
    <t>Max LDC0851 Sample Rate</t>
  </si>
  <si>
    <t>LDC0851 Supply Current</t>
  </si>
  <si>
    <t>Istatic + Idyn</t>
  </si>
  <si>
    <t>Supply Current (2x LDC0851)</t>
  </si>
  <si>
    <t>Encoder Knob instructions added</t>
  </si>
  <si>
    <t>Fix to Spiral inductor calc tool: the racetrack length should use the mm (d26, not the directly entered units)</t>
  </si>
  <si>
    <r>
      <t>I</t>
    </r>
    <r>
      <rPr>
        <vertAlign val="subscript"/>
        <sz val="11"/>
        <color theme="1"/>
        <rFont val="Calibri"/>
        <family val="2"/>
        <scheme val="minor"/>
      </rPr>
      <t>DD-Max_Target</t>
    </r>
    <r>
      <rPr>
        <sz val="11"/>
        <color theme="1"/>
        <rFont val="Calibri"/>
        <family val="2"/>
        <scheme val="minor"/>
      </rPr>
      <t xml:space="preserve"> </t>
    </r>
  </si>
  <si>
    <r>
      <t>I</t>
    </r>
    <r>
      <rPr>
        <vertAlign val="subscript"/>
        <sz val="11"/>
        <color theme="1"/>
        <rFont val="Calibri"/>
        <family val="2"/>
        <scheme val="minor"/>
      </rPr>
      <t>DD</t>
    </r>
    <r>
      <rPr>
        <sz val="11"/>
        <color theme="1"/>
        <rFont val="Calibri"/>
        <family val="2"/>
        <scheme val="minor"/>
      </rPr>
      <t xml:space="preserve"> (total current) without Target</t>
    </r>
  </si>
  <si>
    <r>
      <rPr>
        <sz val="11"/>
        <color rgb="FF3F3F76"/>
        <rFont val="Calibri"/>
        <family val="2"/>
      </rPr>
      <t>µ</t>
    </r>
    <r>
      <rPr>
        <sz val="11"/>
        <color rgb="FF3F3F76"/>
        <rFont val="Calibri"/>
        <family val="2"/>
        <scheme val="minor"/>
      </rPr>
      <t>H</t>
    </r>
  </si>
  <si>
    <t>Min Sensor Frequency (fsensor)</t>
  </si>
  <si>
    <r>
      <rPr>
        <sz val="11"/>
        <rFont val="Calibri"/>
        <family val="2"/>
      </rPr>
      <t>µ</t>
    </r>
    <r>
      <rPr>
        <sz val="11"/>
        <rFont val="Calibri"/>
        <family val="2"/>
        <scheme val="minor"/>
      </rPr>
      <t>A</t>
    </r>
  </si>
  <si>
    <t>Side-by-Side Coils Proximity Estimates</t>
  </si>
  <si>
    <t>Entered Sensor Diameter</t>
  </si>
  <si>
    <t>Updates to LDC0851 Calc tool: duty cycled current, side-by-side coils, and Isensor fixes</t>
  </si>
  <si>
    <t>Fsensor (MHz)</t>
  </si>
  <si>
    <t>Assumes min EN pulse duration</t>
  </si>
  <si>
    <t>tconv (sec)</t>
  </si>
  <si>
    <t>Idyn (mA)</t>
  </si>
  <si>
    <t>Isensor (mA)</t>
  </si>
  <si>
    <t>IDD (mA)</t>
  </si>
  <si>
    <t>Iramp (mA)</t>
  </si>
  <si>
    <t>Ion (mA)</t>
  </si>
  <si>
    <t>Ioff (mA)</t>
  </si>
  <si>
    <t>Iavg (µA)</t>
  </si>
  <si>
    <t>Lifetime (years)</t>
  </si>
  <si>
    <t>Enable pulse duration</t>
  </si>
  <si>
    <t>Minimum EN Pulse Duration for Valid Data</t>
  </si>
  <si>
    <t>Average Current</t>
  </si>
  <si>
    <t>Fixed encoder calc for LDC0851 sensor current</t>
  </si>
  <si>
    <t>I+</t>
  </si>
  <si>
    <t>I-</t>
  </si>
  <si>
    <t>Q+</t>
  </si>
  <si>
    <t>Q-</t>
  </si>
  <si>
    <r>
      <t>0</t>
    </r>
    <r>
      <rPr>
        <b/>
        <sz val="11"/>
        <color theme="1"/>
        <rFont val="Calibri"/>
        <family val="2"/>
      </rPr>
      <t>° Cal</t>
    </r>
  </si>
  <si>
    <r>
      <t>90</t>
    </r>
    <r>
      <rPr>
        <b/>
        <sz val="11"/>
        <color theme="1"/>
        <rFont val="Calibri"/>
        <family val="2"/>
      </rPr>
      <t>° Cal</t>
    </r>
  </si>
  <si>
    <r>
      <t>180</t>
    </r>
    <r>
      <rPr>
        <b/>
        <sz val="11"/>
        <color theme="1"/>
        <rFont val="Calibri"/>
        <family val="2"/>
      </rPr>
      <t>° Cal</t>
    </r>
  </si>
  <si>
    <r>
      <t>360</t>
    </r>
    <r>
      <rPr>
        <b/>
        <sz val="11"/>
        <color theme="1"/>
        <rFont val="Calibri"/>
        <family val="2"/>
      </rPr>
      <t>° Cal</t>
    </r>
  </si>
  <si>
    <t>I</t>
  </si>
  <si>
    <t>Raw Data</t>
  </si>
  <si>
    <t>Magnitude</t>
  </si>
  <si>
    <t>Offset</t>
  </si>
  <si>
    <t>Right now only using magnitude, not 0 crossing for calc</t>
  </si>
  <si>
    <t>Linear Scaling</t>
  </si>
  <si>
    <t>Scaled Cal data</t>
  </si>
  <si>
    <t>Raw Cal Data</t>
  </si>
  <si>
    <t>Distortion Correction</t>
  </si>
  <si>
    <t>Differential Correction</t>
  </si>
  <si>
    <t>Distortion Value</t>
  </si>
  <si>
    <t>Calc Angle</t>
  </si>
  <si>
    <t>radians</t>
  </si>
  <si>
    <t>Distortion Value Calculation</t>
  </si>
  <si>
    <t>Angle(°)</t>
  </si>
  <si>
    <t>Angle(rad)</t>
  </si>
  <si>
    <t>Raw I+</t>
  </si>
  <si>
    <t>Raw I-</t>
  </si>
  <si>
    <t>I Scaled</t>
  </si>
  <si>
    <t>Q Scaled</t>
  </si>
  <si>
    <t>Raw Q+</t>
  </si>
  <si>
    <t>Raw Q-</t>
  </si>
  <si>
    <t>Distortion Test</t>
  </si>
  <si>
    <t>Sin</t>
  </si>
  <si>
    <t>Cos</t>
  </si>
  <si>
    <t>Ideal</t>
  </si>
  <si>
    <t>Error I</t>
  </si>
  <si>
    <t>Error Q</t>
  </si>
  <si>
    <t>(Error I)^2</t>
  </si>
  <si>
    <t>(Error Q)^2</t>
  </si>
  <si>
    <t>Correction</t>
  </si>
  <si>
    <t>System</t>
  </si>
  <si>
    <t>Solver Target</t>
  </si>
  <si>
    <t>Step 1</t>
  </si>
  <si>
    <t>Phase Angle Quadrant</t>
  </si>
  <si>
    <t>Phase Skew Correction</t>
  </si>
  <si>
    <r>
      <rPr>
        <b/>
        <sz val="11"/>
        <color theme="1"/>
        <rFont val="Calibri"/>
        <family val="2"/>
      </rPr>
      <t>β</t>
    </r>
    <r>
      <rPr>
        <b/>
        <sz val="11"/>
        <color theme="1"/>
        <rFont val="Calibri"/>
        <family val="2"/>
        <scheme val="minor"/>
      </rPr>
      <t>1</t>
    </r>
  </si>
  <si>
    <t>β2</t>
  </si>
  <si>
    <t>β</t>
  </si>
  <si>
    <r>
      <rPr>
        <b/>
        <sz val="11"/>
        <color theme="1"/>
        <rFont val="Calibri"/>
        <family val="2"/>
      </rPr>
      <t>α</t>
    </r>
    <r>
      <rPr>
        <b/>
        <sz val="11"/>
        <color theme="1"/>
        <rFont val="Calibri"/>
        <family val="2"/>
        <scheme val="minor"/>
      </rPr>
      <t>1</t>
    </r>
  </si>
  <si>
    <t>α2</t>
  </si>
  <si>
    <t>α</t>
  </si>
  <si>
    <t>TIDA-00508 Calculations Tool</t>
  </si>
  <si>
    <t>Random Angle Error</t>
  </si>
  <si>
    <t>Angle Error Mag</t>
  </si>
  <si>
    <t>EXP calculation with random error on the angle</t>
  </si>
  <si>
    <t>Graph of EXP Error</t>
  </si>
  <si>
    <t>Angle</t>
  </si>
  <si>
    <t>I EXP</t>
  </si>
  <si>
    <t>Q EXP</t>
  </si>
  <si>
    <r>
      <t>Angle Error(</t>
    </r>
    <r>
      <rPr>
        <b/>
        <sz val="11"/>
        <color theme="1"/>
        <rFont val="Calibri"/>
        <family val="2"/>
      </rPr>
      <t>°)</t>
    </r>
  </si>
  <si>
    <t>Fix to encoder calculations - the min size difference between inner and outer diameters is 1mm, not simply "1"</t>
  </si>
  <si>
    <t>inch</t>
  </si>
  <si>
    <t>Fix to encoder calculations - was using the raw inner and outer diameters for some later calcs, not the mm values</t>
  </si>
  <si>
    <t>Space for Via (including spaces)</t>
  </si>
  <si>
    <t>Max number of turns based on length</t>
  </si>
  <si>
    <t>Max number of turns based on short base</t>
  </si>
  <si>
    <t>Max Sensor Width (includes edge clearance &amp; trace width</t>
  </si>
  <si>
    <t>Short Base Sensor Width</t>
  </si>
  <si>
    <t>rad</t>
  </si>
  <si>
    <t>Leg Angle</t>
  </si>
  <si>
    <t>Short Base Trace increment</t>
  </si>
  <si>
    <t>Short Base Space increment</t>
  </si>
  <si>
    <t>Max number of turns based on long base</t>
  </si>
  <si>
    <t>Long Base Trace increment</t>
  </si>
  <si>
    <t>Long Base Space increment</t>
  </si>
  <si>
    <t>Differential Conversion</t>
  </si>
  <si>
    <t>0 degree error</t>
  </si>
  <si>
    <t>90 degree error</t>
  </si>
  <si>
    <t>180 degree error</t>
  </si>
  <si>
    <t>270 degree error</t>
  </si>
  <si>
    <r>
      <t>270</t>
    </r>
    <r>
      <rPr>
        <b/>
        <sz val="11"/>
        <color theme="1"/>
        <rFont val="Calibri"/>
        <family val="2"/>
      </rPr>
      <t>° Cal</t>
    </r>
  </si>
  <si>
    <t>Skew correction</t>
  </si>
  <si>
    <t>Measured Angle</t>
  </si>
  <si>
    <r>
      <t>Undistorted 0</t>
    </r>
    <r>
      <rPr>
        <b/>
        <sz val="11"/>
        <color theme="1"/>
        <rFont val="Calibri"/>
        <family val="2"/>
      </rPr>
      <t>° cal</t>
    </r>
  </si>
  <si>
    <r>
      <t>Undistorted 90</t>
    </r>
    <r>
      <rPr>
        <b/>
        <sz val="11"/>
        <color theme="1"/>
        <rFont val="Calibri"/>
        <family val="2"/>
      </rPr>
      <t>° cal</t>
    </r>
  </si>
  <si>
    <r>
      <t>Undistorted 180</t>
    </r>
    <r>
      <rPr>
        <b/>
        <sz val="11"/>
        <color theme="1"/>
        <rFont val="Calibri"/>
        <family val="2"/>
      </rPr>
      <t>° cal</t>
    </r>
  </si>
  <si>
    <r>
      <t>Undistorted 270</t>
    </r>
    <r>
      <rPr>
        <b/>
        <sz val="11"/>
        <color theme="1"/>
        <rFont val="Calibri"/>
        <family val="2"/>
      </rPr>
      <t>° cal</t>
    </r>
  </si>
  <si>
    <t>Spiral inductor designer calculations use image coil method instead of curvefit</t>
  </si>
  <si>
    <t>Target Distance in mm</t>
  </si>
  <si>
    <t>New Inductance with target</t>
  </si>
  <si>
    <t>Inductor inner diameter (mm)</t>
  </si>
  <si>
    <t>diameter entered units</t>
  </si>
  <si>
    <t>spacing units</t>
  </si>
  <si>
    <t>trace width in mm</t>
  </si>
  <si>
    <t>spacing in mm</t>
  </si>
  <si>
    <t>trace width units</t>
  </si>
  <si>
    <t>copper thickness in mm</t>
  </si>
  <si>
    <t>copper thickness units</t>
  </si>
  <si>
    <t>Inductor innder diameter desired units</t>
  </si>
  <si>
    <t>Cleaned up the spiral inductor designer so that it is 1 column</t>
  </si>
  <si>
    <t>spiral inductor design target interaction frequency calc now includes the parasitic capacitance</t>
  </si>
  <si>
    <t>Sensor Shape</t>
  </si>
  <si>
    <t>ratio of long side to short side</t>
  </si>
  <si>
    <t>Maximum Watchdog</t>
  </si>
  <si>
    <t>RCOUNT</t>
  </si>
  <si>
    <t>If RCOUNT is entered, use entered value</t>
  </si>
  <si>
    <t>Cleanup</t>
  </si>
  <si>
    <t>Added setting to fix RCOUNT in the LDC131x0LDC161x Config tool</t>
  </si>
  <si>
    <t>Distortion Value Calculation (EXP calculation)</t>
  </si>
  <si>
    <t>Step 3</t>
  </si>
  <si>
    <t>Step 4</t>
  </si>
  <si>
    <t>Step 5</t>
  </si>
  <si>
    <t>Click on Solve button, then on the next window, make sure that "Keep Solver Solution" is selected, select OK button</t>
  </si>
  <si>
    <t>Refer to EXP Calculation Section</t>
  </si>
  <si>
    <t>EXP Calculation</t>
  </si>
  <si>
    <t>This section is used to find the optimum EXP correction value for a system</t>
  </si>
  <si>
    <t xml:space="preserve">Capture the raw output codes at several angles, 30 degree steps or finer is recommended. Averaging multiple results is acceptable. </t>
  </si>
  <si>
    <t>Enter the raw output codes for the angles, including angle data into Raw I+/I-/Q+/Q- columns of the table below</t>
  </si>
  <si>
    <r>
      <t>Run the SOLVER (on Data Tab) to minimize</t>
    </r>
    <r>
      <rPr>
        <sz val="11"/>
        <color rgb="FFFF0000"/>
        <rFont val="Calibri"/>
        <family val="2"/>
        <scheme val="minor"/>
      </rPr>
      <t xml:space="preserve"> </t>
    </r>
    <r>
      <rPr>
        <sz val="11"/>
        <color rgb="FFFF0000"/>
        <rFont val="Calibri"/>
        <family val="2"/>
      </rPr>
      <t>∑</t>
    </r>
    <r>
      <rPr>
        <sz val="11"/>
        <color rgb="FFFF0000"/>
        <rFont val="Calibri"/>
        <family val="2"/>
        <scheme val="minor"/>
      </rPr>
      <t>Error</t>
    </r>
    <r>
      <rPr>
        <sz val="11"/>
        <color rgb="FF00B050"/>
        <rFont val="Calibri"/>
        <family val="2"/>
        <scheme val="minor"/>
      </rPr>
      <t xml:space="preserve"> </t>
    </r>
    <r>
      <rPr>
        <sz val="11"/>
        <rFont val="Calibri"/>
        <family val="2"/>
        <scheme val="minor"/>
      </rPr>
      <t>Cell</t>
    </r>
    <r>
      <rPr>
        <sz val="11"/>
        <color rgb="FF00B050"/>
        <rFont val="Calibri"/>
        <family val="2"/>
        <scheme val="minor"/>
      </rPr>
      <t xml:space="preserve"> </t>
    </r>
    <r>
      <rPr>
        <sz val="11"/>
        <color theme="1"/>
        <rFont val="Calibri"/>
        <family val="2"/>
        <scheme val="minor"/>
      </rPr>
      <t xml:space="preserve">by changing </t>
    </r>
    <r>
      <rPr>
        <sz val="11"/>
        <color theme="4" tint="-0.249977111117893"/>
        <rFont val="Calibri"/>
        <family val="2"/>
        <scheme val="minor"/>
      </rPr>
      <t>Solver Target Cell</t>
    </r>
  </si>
  <si>
    <r>
      <t>EXP value is reported in</t>
    </r>
    <r>
      <rPr>
        <sz val="11"/>
        <color rgb="FFFF0000"/>
        <rFont val="Calibri"/>
        <family val="2"/>
        <scheme val="minor"/>
      </rPr>
      <t xml:space="preserve"> </t>
    </r>
    <r>
      <rPr>
        <b/>
        <sz val="11"/>
        <color theme="9" tint="-0.249977111117893"/>
        <rFont val="Calibri"/>
        <family val="2"/>
        <scheme val="minor"/>
      </rPr>
      <t>EXP Value</t>
    </r>
    <r>
      <rPr>
        <sz val="11"/>
        <color theme="9" tint="-0.249977111117893"/>
        <rFont val="Calibri"/>
        <family val="2"/>
        <scheme val="minor"/>
      </rPr>
      <t xml:space="preserve"> cell</t>
    </r>
  </si>
  <si>
    <t>EXP gen</t>
  </si>
  <si>
    <t>I Mag Test</t>
  </si>
  <si>
    <t>I Offset Test</t>
  </si>
  <si>
    <t>Q Mag Test</t>
  </si>
  <si>
    <t>Q Offset Test</t>
  </si>
  <si>
    <r>
      <rPr>
        <b/>
        <sz val="11"/>
        <color theme="1"/>
        <rFont val="Calibri"/>
        <family val="2"/>
      </rPr>
      <t>∑</t>
    </r>
    <r>
      <rPr>
        <b/>
        <sz val="11"/>
        <color theme="1"/>
        <rFont val="Calibri"/>
        <family val="2"/>
        <scheme val="minor"/>
      </rPr>
      <t>Error</t>
    </r>
  </si>
  <si>
    <t>EXP Value</t>
  </si>
  <si>
    <t>∑Error</t>
  </si>
  <si>
    <t>Updates to Dial Calculator Tool, including some instructions</t>
  </si>
  <si>
    <t>NET code shift</t>
  </si>
  <si>
    <t>CNTSC calculated</t>
  </si>
  <si>
    <t>Low Power Base Increment</t>
  </si>
  <si>
    <t>Normal Power Base Increment</t>
  </si>
  <si>
    <t>INTB pin polarity</t>
  </si>
  <si>
    <t>Active Low</t>
  </si>
  <si>
    <t>Gain Scale</t>
  </si>
  <si>
    <t>Gain Bit Value</t>
  </si>
  <si>
    <t>Gain Scaling Factor</t>
  </si>
  <si>
    <t>Graph Calculations</t>
  </si>
  <si>
    <t>Gain Lookup Table</t>
  </si>
  <si>
    <t>Expanded LDC2114/2 config tool</t>
  </si>
  <si>
    <t>Ccom Min</t>
  </si>
  <si>
    <t>Ccom Max</t>
  </si>
  <si>
    <t>Turns (per layer)</t>
  </si>
  <si>
    <t>Clarified Turns on Spiral designer is turns per layer.</t>
  </si>
  <si>
    <t>Updated in Version 1.48</t>
  </si>
  <si>
    <r>
      <t xml:space="preserve">LP Baseline Inc </t>
    </r>
    <r>
      <rPr>
        <b/>
        <sz val="10"/>
        <color theme="1"/>
        <rFont val="Calibri"/>
        <family val="2"/>
        <scheme val="minor"/>
      </rPr>
      <t>(</t>
    </r>
    <r>
      <rPr>
        <b/>
        <sz val="10"/>
        <color theme="1"/>
        <rFont val="Calibri"/>
        <family val="2"/>
      </rPr>
      <t>Δ</t>
    </r>
    <r>
      <rPr>
        <b/>
        <sz val="10"/>
        <color theme="1"/>
        <rFont val="Calibri"/>
        <family val="2"/>
        <scheme val="minor"/>
      </rPr>
      <t>code/sample)</t>
    </r>
  </si>
  <si>
    <r>
      <t xml:space="preserve">NP Baseline Inc </t>
    </r>
    <r>
      <rPr>
        <b/>
        <sz val="10"/>
        <color theme="1"/>
        <rFont val="Calibri"/>
        <family val="2"/>
        <scheme val="minor"/>
      </rPr>
      <t>(</t>
    </r>
    <r>
      <rPr>
        <b/>
        <sz val="10"/>
        <color theme="1"/>
        <rFont val="Calibri"/>
        <family val="2"/>
      </rPr>
      <t>Δ</t>
    </r>
    <r>
      <rPr>
        <b/>
        <sz val="10"/>
        <color theme="1"/>
        <rFont val="Calibri"/>
        <family val="2"/>
        <scheme val="minor"/>
      </rPr>
      <t>code/sample)</t>
    </r>
  </si>
  <si>
    <t>Gain Setting Register Value</t>
  </si>
  <si>
    <t>0x22</t>
  </si>
  <si>
    <t>0x24</t>
  </si>
  <si>
    <t>0x26</t>
  </si>
  <si>
    <t xml:space="preserve">EN </t>
  </si>
  <si>
    <t>NPSCAN_RATE</t>
  </si>
  <si>
    <t>GAIN0</t>
  </si>
  <si>
    <t>LP_SCAN_RATE</t>
  </si>
  <si>
    <t>GAIN1</t>
  </si>
  <si>
    <t>INTPOL</t>
  </si>
  <si>
    <t>GAIN2</t>
  </si>
  <si>
    <t>LP_BASE_INC</t>
  </si>
  <si>
    <t>GAIN3</t>
  </si>
  <si>
    <t>NP_BASE_INC</t>
  </si>
  <si>
    <t>LC_DIVIDER</t>
  </si>
  <si>
    <t>SENSOR0_CONFIG</t>
  </si>
  <si>
    <t>SENSOR1_CONFIG</t>
  </si>
  <si>
    <t>SENSOR2_CONFIG</t>
  </si>
  <si>
    <t>SENSOR3_CONFIG</t>
  </si>
  <si>
    <r>
      <t xml:space="preserve">Sensor Frequency Shift </t>
    </r>
    <r>
      <rPr>
        <b/>
        <sz val="10"/>
        <color theme="1"/>
        <rFont val="Calibri"/>
        <family val="2"/>
        <scheme val="minor"/>
      </rPr>
      <t>(ppm)</t>
    </r>
  </si>
  <si>
    <t>Name</t>
  </si>
  <si>
    <t xml:space="preserve">Address </t>
  </si>
  <si>
    <t>LDC2112/4 Configuration Tool</t>
  </si>
  <si>
    <t>Fixed Spiral Inductor problem with Mils for sensor size</t>
  </si>
  <si>
    <t>Long side of inductor in mm</t>
  </si>
  <si>
    <t>Fixed incorrect conditional formatting on LDC2114 tools when channel 2 was not enabled</t>
  </si>
  <si>
    <t>Updated the LDC2114 baseline tracking increment/sample</t>
  </si>
  <si>
    <t>48c</t>
  </si>
  <si>
    <t>Set default values and added instructions</t>
  </si>
  <si>
    <t>Generated RC48</t>
  </si>
  <si>
    <t>Dial Calc tool was completely locked and did not support entries; fixed</t>
  </si>
  <si>
    <t>Fixed LDC2114 Calc - cell C24 was referencing E15 instead of C15; caused the sample interval to be wrong</t>
  </si>
  <si>
    <t xml:space="preserve">PCB thickness L1-2 </t>
  </si>
  <si>
    <t xml:space="preserve">PCB thickness L2-3 </t>
  </si>
  <si>
    <t>PCB thickness L3-4</t>
  </si>
  <si>
    <t>PCB thickness L4-5</t>
  </si>
  <si>
    <t>PCB thickness L5-6</t>
  </si>
  <si>
    <t>PCB thickness L6-7</t>
  </si>
  <si>
    <t>PCB thickness L7-8</t>
  </si>
  <si>
    <t>Released ext48</t>
  </si>
  <si>
    <t>Spiral inductor design was not properly using PCB thicknesses!</t>
  </si>
  <si>
    <t>Fixed conditional formatting on LDC2114 tool to be more informative</t>
  </si>
  <si>
    <r>
      <t>Sensor R</t>
    </r>
    <r>
      <rPr>
        <b/>
        <vertAlign val="subscript"/>
        <sz val="10"/>
        <color theme="1"/>
        <rFont val="Calibri"/>
        <family val="2"/>
        <scheme val="minor"/>
      </rPr>
      <t>P</t>
    </r>
    <r>
      <rPr>
        <b/>
        <sz val="11"/>
        <color theme="1"/>
        <rFont val="Calibri"/>
        <family val="2"/>
        <scheme val="minor"/>
      </rPr>
      <t xml:space="preserve"> Range</t>
    </r>
  </si>
  <si>
    <r>
      <t>Sensor R</t>
    </r>
    <r>
      <rPr>
        <b/>
        <vertAlign val="subscript"/>
        <sz val="11"/>
        <color theme="1"/>
        <rFont val="Calibri"/>
        <family val="2"/>
        <scheme val="minor"/>
      </rPr>
      <t>P</t>
    </r>
  </si>
  <si>
    <t>Hysteresis</t>
  </si>
  <si>
    <t>High Detect Threshold</t>
  </si>
  <si>
    <t>Low Detect Threshold</t>
  </si>
  <si>
    <t>HYST</t>
  </si>
  <si>
    <t>0x18</t>
  </si>
  <si>
    <t>Added HYST calculations and settings for device</t>
  </si>
  <si>
    <t>HYST setting (Default = 8)</t>
  </si>
  <si>
    <t>LDC1101 Tool incorrectly labeled SLEEP mode only current consumption Shutdown Only; fixed</t>
  </si>
  <si>
    <t>Sleep Mode Only Current</t>
  </si>
  <si>
    <t>Added small fix to spiral inductor designer conditional formating when there is only 1 layer</t>
  </si>
  <si>
    <t>Updated in Version 1.49</t>
  </si>
  <si>
    <t>0.2&gt; din/dout &gt;0.8 is recommended for highest Q</t>
  </si>
  <si>
    <t>SRF should be &gt;1.25*Fsensor</t>
  </si>
  <si>
    <t>Button Shape</t>
  </si>
  <si>
    <t>LDC3114 Configuration Tool</t>
  </si>
  <si>
    <t>LDC3114</t>
  </si>
  <si>
    <t>Raw Data Mode</t>
  </si>
  <si>
    <t xml:space="preserve">Distance Ratio </t>
  </si>
  <si>
    <t>L adjustment factor</t>
  </si>
  <si>
    <t>F sensor with target</t>
  </si>
  <si>
    <t xml:space="preserve">L </t>
  </si>
  <si>
    <t xml:space="preserve">Raw Data </t>
  </si>
  <si>
    <t xml:space="preserve">Raw Data code </t>
  </si>
  <si>
    <t>Using sensor 1 config</t>
  </si>
  <si>
    <t>Dec</t>
  </si>
  <si>
    <t>Distance Ratio</t>
  </si>
  <si>
    <t xml:space="preserve">Calculated Distance </t>
  </si>
  <si>
    <t>Data Code is out of range</t>
  </si>
  <si>
    <t>Raw Data Decimal</t>
  </si>
  <si>
    <t>LDC3114_Config_Tool</t>
  </si>
  <si>
    <t>New in Version 1.50</t>
  </si>
  <si>
    <t>rev1.50</t>
  </si>
  <si>
    <t xml:space="preserve">Added LDC3114 tab with distance calculation </t>
  </si>
  <si>
    <t>Calculated Inductance is higher than the design's free space inductance. Check sensor parameters and Raw Data Code</t>
  </si>
  <si>
    <t>Distance Calculation cannot complete due to calculated inductance being higher than the expected free space inductance</t>
  </si>
  <si>
    <t>Consider using a measured value for inductance in the sensor parameters above</t>
  </si>
  <si>
    <t xml:space="preserve">Should be between min and max distances above </t>
  </si>
  <si>
    <t xml:space="preserve">Calculated Sensor L </t>
  </si>
  <si>
    <t>Calculated F sensor</t>
  </si>
  <si>
    <t>Added embedded pdf files</t>
  </si>
  <si>
    <t>LDC1614</t>
  </si>
  <si>
    <t>Internal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</si>
</sst>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000"/>
    <numFmt numFmtId="167" formatCode="0.000E+00"/>
    <numFmt numFmtId="168" formatCode="##0.00E+0"/>
    <numFmt numFmtId="169" formatCode="0.0%"/>
    <numFmt numFmtId="170" formatCode="0.00000"/>
    <numFmt numFmtId="171" formatCode="0.0000000"/>
    <numFmt numFmtId="172" formatCode="0.000000"/>
  </numFmts>
  <fonts count="120" x14ac:knownFonts="1">
    <font>
      <sz val="11"/>
      <color theme="1"/>
      <name val="Calibri"/>
      <family val="2"/>
      <scheme val="minor"/>
    </font>
    <font>
      <b/>
      <sz val="11"/>
      <color theme="1"/>
      <name val="Calibri"/>
      <family val="2"/>
      <scheme val="minor"/>
    </font>
    <font>
      <sz val="11"/>
      <color rgb="FF1F497D"/>
      <name val="Calibri"/>
      <family val="2"/>
      <scheme val="minor"/>
    </font>
    <font>
      <sz val="8"/>
      <color theme="0" tint="-0.34998626667073579"/>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sz val="11"/>
      <name val="Calibri"/>
      <family val="2"/>
      <scheme val="minor"/>
    </font>
    <font>
      <i/>
      <sz val="11"/>
      <name val="Calibri"/>
      <family val="2"/>
      <scheme val="minor"/>
    </font>
    <font>
      <sz val="8"/>
      <color theme="0" tint="-0.249977111117893"/>
      <name val="Calibri"/>
      <family val="2"/>
      <scheme val="minor"/>
    </font>
    <font>
      <b/>
      <sz val="11"/>
      <name val="Calibri"/>
      <family val="2"/>
      <scheme val="minor"/>
    </font>
    <font>
      <b/>
      <sz val="12"/>
      <name val="Calibri"/>
      <family val="2"/>
      <scheme val="minor"/>
    </font>
    <font>
      <sz val="11"/>
      <color theme="1"/>
      <name val="Calibri"/>
      <family val="2"/>
    </font>
    <font>
      <sz val="9"/>
      <color indexed="81"/>
      <name val="Tahoma"/>
      <family val="2"/>
    </font>
    <font>
      <sz val="11"/>
      <color theme="1"/>
      <name val="Calibri"/>
      <family val="2"/>
      <scheme val="minor"/>
    </font>
    <font>
      <sz val="11"/>
      <color rgb="FF3F3F76"/>
      <name val="Calibri"/>
      <family val="2"/>
      <scheme val="minor"/>
    </font>
    <font>
      <b/>
      <sz val="11"/>
      <color theme="0" tint="-0.14999847407452621"/>
      <name val="Calibri"/>
      <family val="2"/>
      <scheme val="minor"/>
    </font>
    <font>
      <sz val="11"/>
      <color theme="0" tint="-0.14999847407452621"/>
      <name val="Calibri"/>
      <family val="2"/>
      <scheme val="minor"/>
    </font>
    <font>
      <sz val="12"/>
      <color theme="1"/>
      <name val="Calibri"/>
      <family val="2"/>
      <scheme val="minor"/>
    </font>
    <font>
      <sz val="10"/>
      <color theme="1"/>
      <name val="Calibri"/>
      <family val="2"/>
      <scheme val="minor"/>
    </font>
    <font>
      <sz val="9"/>
      <color theme="1"/>
      <name val="Calibri"/>
      <family val="2"/>
      <scheme val="minor"/>
    </font>
    <font>
      <sz val="10"/>
      <color theme="1"/>
      <name val="Calibri"/>
      <family val="2"/>
    </font>
    <font>
      <b/>
      <sz val="12"/>
      <color rgb="FFFF0000"/>
      <name val="Calibri"/>
      <family val="2"/>
      <scheme val="minor"/>
    </font>
    <font>
      <sz val="10"/>
      <color rgb="FF005426"/>
      <name val="Calibri"/>
      <family val="2"/>
      <scheme val="minor"/>
    </font>
    <font>
      <sz val="9"/>
      <color theme="1"/>
      <name val="Calibri"/>
      <family val="2"/>
    </font>
    <font>
      <b/>
      <sz val="10"/>
      <color theme="1"/>
      <name val="Calibri"/>
      <family val="2"/>
      <scheme val="minor"/>
    </font>
    <font>
      <b/>
      <sz val="11"/>
      <color rgb="FFFF0000"/>
      <name val="Calibri"/>
      <family val="2"/>
      <scheme val="minor"/>
    </font>
    <font>
      <sz val="11"/>
      <color theme="0" tint="-0.34998626667073579"/>
      <name val="Calibri"/>
      <family val="2"/>
      <scheme val="minor"/>
    </font>
    <font>
      <sz val="11"/>
      <color rgb="FFFF0000"/>
      <name val="Calibri"/>
      <family val="2"/>
      <scheme val="minor"/>
    </font>
    <font>
      <sz val="11"/>
      <color theme="0" tint="-0.249977111117893"/>
      <name val="Calibri"/>
      <family val="2"/>
      <scheme val="minor"/>
    </font>
    <font>
      <u/>
      <sz val="11"/>
      <color theme="10"/>
      <name val="Calibri"/>
      <family val="2"/>
      <scheme val="minor"/>
    </font>
    <font>
      <sz val="9"/>
      <color theme="0" tint="-0.249977111117893"/>
      <name val="Calibri"/>
      <family val="2"/>
      <scheme val="minor"/>
    </font>
    <font>
      <i/>
      <sz val="12"/>
      <color theme="5" tint="-0.249977111117893"/>
      <name val="Calibri"/>
      <family val="2"/>
      <scheme val="minor"/>
    </font>
    <font>
      <i/>
      <sz val="11"/>
      <color theme="0" tint="-0.249977111117893"/>
      <name val="Calibri"/>
      <family val="2"/>
      <scheme val="minor"/>
    </font>
    <font>
      <b/>
      <sz val="9"/>
      <color indexed="81"/>
      <name val="Tahoma"/>
      <family val="2"/>
    </font>
    <font>
      <sz val="6"/>
      <color theme="0" tint="-4.9989318521683403E-2"/>
      <name val="Calibri"/>
      <family val="2"/>
      <scheme val="minor"/>
    </font>
    <font>
      <sz val="11"/>
      <color theme="0" tint="-4.9989318521683403E-2"/>
      <name val="Calibri"/>
      <family val="2"/>
      <scheme val="minor"/>
    </font>
    <font>
      <sz val="12"/>
      <name val="Calibri"/>
      <family val="2"/>
      <scheme val="minor"/>
    </font>
    <font>
      <sz val="9"/>
      <name val="Calibri"/>
      <family val="2"/>
      <scheme val="minor"/>
    </font>
    <font>
      <b/>
      <sz val="11"/>
      <color theme="1"/>
      <name val="Calibri"/>
      <family val="2"/>
    </font>
    <font>
      <sz val="9"/>
      <color theme="1" tint="0.34998626667073579"/>
      <name val="Calibri"/>
      <family val="2"/>
      <scheme val="minor"/>
    </font>
    <font>
      <sz val="11"/>
      <color theme="1" tint="0.34998626667073579"/>
      <name val="Calibri"/>
      <family val="2"/>
      <scheme val="minor"/>
    </font>
    <font>
      <sz val="10"/>
      <color theme="1" tint="0.34998626667073579"/>
      <name val="Calibri"/>
      <family val="2"/>
    </font>
    <font>
      <sz val="10"/>
      <color theme="1" tint="0.34998626667073579"/>
      <name val="Calibri"/>
      <family val="2"/>
      <scheme val="minor"/>
    </font>
    <font>
      <sz val="12"/>
      <color rgb="FFFF0000"/>
      <name val="Calibri"/>
      <family val="2"/>
      <scheme val="minor"/>
    </font>
    <font>
      <b/>
      <sz val="9"/>
      <color theme="1"/>
      <name val="Calibri"/>
      <family val="2"/>
      <scheme val="minor"/>
    </font>
    <font>
      <b/>
      <i/>
      <sz val="11"/>
      <color theme="1"/>
      <name val="Calibri"/>
      <family val="2"/>
      <scheme val="minor"/>
    </font>
    <font>
      <sz val="6"/>
      <name val="Calibri"/>
      <family val="2"/>
      <scheme val="minor"/>
    </font>
    <font>
      <b/>
      <sz val="14"/>
      <name val="Calibri"/>
      <family val="2"/>
      <scheme val="minor"/>
    </font>
    <font>
      <sz val="7"/>
      <color theme="1"/>
      <name val="Calibri"/>
      <family val="2"/>
      <scheme val="minor"/>
    </font>
    <font>
      <b/>
      <i/>
      <sz val="11"/>
      <color theme="1"/>
      <name val="Calibri"/>
      <family val="2"/>
    </font>
    <font>
      <sz val="8"/>
      <name val="Calibri"/>
      <family val="2"/>
      <scheme val="minor"/>
    </font>
    <font>
      <sz val="10"/>
      <name val="Calibri"/>
      <family val="2"/>
      <scheme val="minor"/>
    </font>
    <font>
      <sz val="10"/>
      <name val="Calibri"/>
      <family val="2"/>
    </font>
    <font>
      <sz val="11"/>
      <color rgb="FFFF00FF"/>
      <name val="Calibri"/>
      <family val="2"/>
      <scheme val="minor"/>
    </font>
    <font>
      <sz val="9"/>
      <name val="Calibri"/>
      <family val="2"/>
    </font>
    <font>
      <b/>
      <sz val="11"/>
      <color rgb="FFC00000"/>
      <name val="Calibri"/>
      <family val="2"/>
      <scheme val="minor"/>
    </font>
    <font>
      <b/>
      <sz val="9"/>
      <color indexed="81"/>
      <name val="Calibri"/>
      <family val="2"/>
    </font>
    <font>
      <b/>
      <sz val="9"/>
      <color indexed="81"/>
      <name val="Symbol"/>
      <family val="1"/>
      <charset val="2"/>
    </font>
    <font>
      <b/>
      <sz val="12"/>
      <color indexed="81"/>
      <name val="Symbol"/>
      <family val="1"/>
      <charset val="2"/>
    </font>
    <font>
      <sz val="10"/>
      <color theme="1"/>
      <name val="Symbol"/>
      <family val="1"/>
      <charset val="2"/>
    </font>
    <font>
      <b/>
      <sz val="14"/>
      <color rgb="FFFF00FF"/>
      <name val="Calibri"/>
      <family val="2"/>
      <scheme val="minor"/>
    </font>
    <font>
      <sz val="8"/>
      <color rgb="FFFF00FF"/>
      <name val="Calibri"/>
      <family val="2"/>
      <scheme val="minor"/>
    </font>
    <font>
      <b/>
      <sz val="10"/>
      <name val="Calibri"/>
      <family val="2"/>
    </font>
    <font>
      <sz val="16"/>
      <color rgb="FFFF0000"/>
      <name val="Calibri"/>
      <family val="2"/>
      <scheme val="minor"/>
    </font>
    <font>
      <b/>
      <vertAlign val="subscript"/>
      <sz val="11"/>
      <color theme="1"/>
      <name val="Calibri"/>
      <family val="2"/>
      <scheme val="minor"/>
    </font>
    <font>
      <b/>
      <i/>
      <sz val="11"/>
      <name val="Calibri"/>
      <family val="2"/>
      <scheme val="minor"/>
    </font>
    <font>
      <b/>
      <i/>
      <vertAlign val="subscript"/>
      <sz val="11"/>
      <name val="Calibri"/>
      <family val="2"/>
      <scheme val="minor"/>
    </font>
    <font>
      <vertAlign val="subscript"/>
      <sz val="11"/>
      <color theme="1"/>
      <name val="Calibri"/>
      <family val="2"/>
      <scheme val="minor"/>
    </font>
    <font>
      <b/>
      <i/>
      <vertAlign val="subscript"/>
      <sz val="11"/>
      <color theme="1"/>
      <name val="Calibri"/>
      <family val="2"/>
      <scheme val="minor"/>
    </font>
    <font>
      <b/>
      <sz val="14"/>
      <name val="Calibri"/>
      <family val="2"/>
    </font>
    <font>
      <b/>
      <sz val="11"/>
      <color rgb="FF3F3F3F"/>
      <name val="Calibri"/>
      <family val="2"/>
      <scheme val="minor"/>
    </font>
    <font>
      <sz val="11"/>
      <name val="Calibri"/>
      <family val="2"/>
    </font>
    <font>
      <u/>
      <sz val="11"/>
      <color theme="10"/>
      <name val="Calibri"/>
      <family val="2"/>
    </font>
    <font>
      <sz val="11"/>
      <color theme="0"/>
      <name val="Calibri"/>
      <family val="2"/>
      <scheme val="minor"/>
    </font>
    <font>
      <sz val="11"/>
      <color theme="1" tint="0.14999847407452621"/>
      <name val="Calibri"/>
      <family val="2"/>
      <scheme val="minor"/>
    </font>
    <font>
      <vertAlign val="subscript"/>
      <sz val="11"/>
      <name val="Calibri"/>
      <family val="2"/>
      <scheme val="minor"/>
    </font>
    <font>
      <sz val="12"/>
      <color indexed="8"/>
      <name val="Calibri"/>
      <family val="2"/>
    </font>
    <font>
      <vertAlign val="subscript"/>
      <sz val="11"/>
      <color indexed="8"/>
      <name val="Calibri"/>
      <family val="2"/>
    </font>
    <font>
      <sz val="10"/>
      <color indexed="8"/>
      <name val="Calibri"/>
      <family val="2"/>
    </font>
    <font>
      <sz val="9"/>
      <color indexed="8"/>
      <name val="Calibri"/>
      <family val="2"/>
    </font>
    <font>
      <b/>
      <sz val="10"/>
      <color indexed="8"/>
      <name val="Calibri"/>
      <family val="2"/>
    </font>
    <font>
      <sz val="14"/>
      <color rgb="FFFF0000"/>
      <name val="Calibri"/>
      <family val="2"/>
      <scheme val="minor"/>
    </font>
    <font>
      <i/>
      <sz val="10"/>
      <color theme="1"/>
      <name val="Calibri"/>
      <family val="2"/>
      <scheme val="minor"/>
    </font>
    <font>
      <vertAlign val="subscript"/>
      <sz val="12"/>
      <name val="Calibri"/>
      <family val="2"/>
      <scheme val="minor"/>
    </font>
    <font>
      <vertAlign val="subscript"/>
      <sz val="9"/>
      <color indexed="8"/>
      <name val="Calibri"/>
      <family val="2"/>
    </font>
    <font>
      <b/>
      <i/>
      <sz val="12"/>
      <color rgb="FFFF00FF"/>
      <name val="Calibri"/>
      <family val="2"/>
      <scheme val="minor"/>
    </font>
    <font>
      <sz val="9.35"/>
      <color theme="1"/>
      <name val="Calibri"/>
      <family val="2"/>
    </font>
    <font>
      <i/>
      <sz val="9"/>
      <color theme="1"/>
      <name val="Calibri"/>
      <family val="2"/>
      <scheme val="minor"/>
    </font>
    <font>
      <sz val="11"/>
      <color rgb="FF00B050"/>
      <name val="Calibri"/>
      <family val="2"/>
      <scheme val="minor"/>
    </font>
    <font>
      <b/>
      <vertAlign val="subscript"/>
      <sz val="11"/>
      <color theme="1"/>
      <name val="Calibri"/>
      <family val="2"/>
    </font>
    <font>
      <b/>
      <sz val="11"/>
      <color rgb="FF00B050"/>
      <name val="Calibri"/>
      <family val="2"/>
      <scheme val="minor"/>
    </font>
    <font>
      <sz val="8"/>
      <color rgb="FF000000"/>
      <name val="Segoe UI"/>
      <family val="2"/>
    </font>
    <font>
      <b/>
      <sz val="10"/>
      <color rgb="FFFF0000"/>
      <name val="Calibri"/>
      <family val="2"/>
      <scheme val="minor"/>
    </font>
    <font>
      <vertAlign val="subscript"/>
      <sz val="10"/>
      <color theme="1"/>
      <name val="Calibri"/>
      <family val="2"/>
      <scheme val="minor"/>
    </font>
    <font>
      <sz val="10"/>
      <color rgb="FFFF0000"/>
      <name val="Calibri"/>
      <family val="2"/>
      <scheme val="minor"/>
    </font>
    <font>
      <b/>
      <vertAlign val="subscript"/>
      <sz val="12"/>
      <color theme="1"/>
      <name val="Calibri"/>
      <family val="2"/>
      <scheme val="minor"/>
    </font>
    <font>
      <b/>
      <i/>
      <sz val="12"/>
      <color theme="1"/>
      <name val="Calibri"/>
      <family val="2"/>
      <scheme val="minor"/>
    </font>
    <font>
      <b/>
      <vertAlign val="subscript"/>
      <sz val="12"/>
      <name val="Calibri"/>
      <family val="2"/>
      <scheme val="minor"/>
    </font>
    <font>
      <i/>
      <sz val="9"/>
      <name val="Calibri"/>
      <family val="2"/>
      <scheme val="minor"/>
    </font>
    <font>
      <vertAlign val="subscript"/>
      <sz val="9"/>
      <name val="Calibri"/>
      <family val="2"/>
      <scheme val="minor"/>
    </font>
    <font>
      <b/>
      <sz val="9"/>
      <name val="Calibri"/>
      <family val="2"/>
      <scheme val="minor"/>
    </font>
    <font>
      <b/>
      <i/>
      <sz val="10"/>
      <name val="Calibri"/>
      <family val="2"/>
      <scheme val="minor"/>
    </font>
    <font>
      <b/>
      <i/>
      <sz val="10"/>
      <color theme="1"/>
      <name val="Calibri"/>
      <family val="2"/>
      <scheme val="minor"/>
    </font>
    <font>
      <b/>
      <sz val="10"/>
      <name val="Calibri"/>
      <family val="2"/>
      <scheme val="minor"/>
    </font>
    <font>
      <i/>
      <sz val="10"/>
      <name val="Calibri"/>
      <family val="2"/>
      <scheme val="minor"/>
    </font>
    <font>
      <vertAlign val="subscript"/>
      <sz val="11"/>
      <color theme="1"/>
      <name val="Calibri"/>
      <family val="2"/>
    </font>
    <font>
      <b/>
      <sz val="10"/>
      <color theme="1"/>
      <name val="Calibri"/>
      <family val="2"/>
    </font>
    <font>
      <sz val="10"/>
      <color rgb="FFFFFF00"/>
      <name val="Calibri"/>
      <family val="2"/>
      <scheme val="minor"/>
    </font>
    <font>
      <sz val="11"/>
      <color rgb="FF3F3F76"/>
      <name val="Calibri"/>
      <family val="2"/>
    </font>
    <font>
      <b/>
      <sz val="12"/>
      <color theme="1"/>
      <name val="Calibri"/>
      <family val="2"/>
    </font>
    <font>
      <sz val="12"/>
      <color theme="1"/>
      <name val="Calibri"/>
      <family val="2"/>
    </font>
    <font>
      <b/>
      <sz val="13"/>
      <color theme="1"/>
      <name val="Calibri"/>
      <family val="2"/>
      <scheme val="minor"/>
    </font>
    <font>
      <sz val="13"/>
      <color theme="1"/>
      <name val="Calibri"/>
      <family val="2"/>
      <scheme val="minor"/>
    </font>
    <font>
      <b/>
      <sz val="13"/>
      <name val="Calibri"/>
      <family val="2"/>
      <scheme val="minor"/>
    </font>
    <font>
      <sz val="11"/>
      <color rgb="FFFF0000"/>
      <name val="Calibri"/>
      <family val="2"/>
    </font>
    <font>
      <sz val="11"/>
      <color theme="4" tint="-0.249977111117893"/>
      <name val="Calibri"/>
      <family val="2"/>
      <scheme val="minor"/>
    </font>
    <font>
      <b/>
      <sz val="11"/>
      <color theme="9" tint="-0.249977111117893"/>
      <name val="Calibri"/>
      <family val="2"/>
      <scheme val="minor"/>
    </font>
    <font>
      <sz val="11"/>
      <color theme="9" tint="-0.249977111117893"/>
      <name val="Calibri"/>
      <family val="2"/>
      <scheme val="minor"/>
    </font>
    <font>
      <b/>
      <vertAlign val="subscript"/>
      <sz val="10"/>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E285"/>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double">
        <color auto="1"/>
      </right>
      <top style="double">
        <color auto="1"/>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3F3F3F"/>
      </left>
      <right style="thin">
        <color rgb="FF3F3F3F"/>
      </right>
      <top/>
      <bottom style="thin">
        <color rgb="FF3F3F3F"/>
      </bottom>
      <diagonal/>
    </border>
    <border>
      <left style="thin">
        <color rgb="FF3F3F3F"/>
      </left>
      <right/>
      <top/>
      <bottom style="thin">
        <color rgb="FF3F3F3F"/>
      </bottom>
      <diagonal/>
    </border>
    <border>
      <left/>
      <right style="thin">
        <color rgb="FF3F3F3F"/>
      </right>
      <top/>
      <bottom style="thin">
        <color rgb="FF3F3F3F"/>
      </bottom>
      <diagonal/>
    </border>
    <border>
      <left/>
      <right/>
      <top style="thin">
        <color indexed="64"/>
      </top>
      <bottom style="thin">
        <color indexed="64"/>
      </bottom>
      <diagonal/>
    </border>
  </borders>
  <cellStyleXfs count="7">
    <xf numFmtId="0" fontId="0" fillId="0" borderId="0"/>
    <xf numFmtId="0" fontId="15" fillId="4" borderId="2" applyNumberFormat="0" applyAlignment="0" applyProtection="0"/>
    <xf numFmtId="0" fontId="14" fillId="6" borderId="3" applyNumberFormat="0" applyFont="0" applyAlignment="0" applyProtection="0"/>
    <xf numFmtId="0" fontId="30" fillId="0" borderId="0" applyNumberFormat="0" applyFill="0" applyBorder="0" applyAlignment="0" applyProtection="0"/>
    <xf numFmtId="0" fontId="71" fillId="5" borderId="14" applyNumberFormat="0" applyAlignment="0" applyProtection="0"/>
    <xf numFmtId="0" fontId="73" fillId="0" borderId="0" applyNumberFormat="0" applyFill="0" applyBorder="0" applyAlignment="0" applyProtection="0">
      <alignment vertical="top"/>
      <protection locked="0"/>
    </xf>
    <xf numFmtId="9" fontId="14" fillId="0" borderId="0" applyFont="0" applyFill="0" applyBorder="0" applyAlignment="0" applyProtection="0"/>
  </cellStyleXfs>
  <cellXfs count="652">
    <xf numFmtId="0" fontId="0" fillId="0" borderId="0" xfId="0"/>
    <xf numFmtId="0" fontId="1" fillId="0" borderId="0" xfId="0" applyFont="1"/>
    <xf numFmtId="0" fontId="3" fillId="0" borderId="0" xfId="0" applyFont="1"/>
    <xf numFmtId="0" fontId="4" fillId="0" borderId="0" xfId="0" applyFont="1"/>
    <xf numFmtId="0" fontId="18" fillId="0" borderId="0" xfId="0" applyFont="1"/>
    <xf numFmtId="0" fontId="19" fillId="0" borderId="0" xfId="0" applyFont="1"/>
    <xf numFmtId="0" fontId="20" fillId="0" borderId="0" xfId="0" applyFont="1"/>
    <xf numFmtId="0" fontId="0" fillId="0" borderId="0" xfId="0" applyAlignment="1">
      <alignment horizontal="right"/>
    </xf>
    <xf numFmtId="0" fontId="0" fillId="0" borderId="1" xfId="0" applyBorder="1"/>
    <xf numFmtId="11" fontId="0" fillId="0" borderId="0" xfId="0" applyNumberFormat="1"/>
    <xf numFmtId="0" fontId="0" fillId="2" borderId="1" xfId="0" applyFill="1" applyBorder="1"/>
    <xf numFmtId="0" fontId="27" fillId="0" borderId="0" xfId="0" applyFont="1"/>
    <xf numFmtId="0" fontId="29" fillId="0" borderId="0" xfId="0" applyFont="1"/>
    <xf numFmtId="0" fontId="12" fillId="0" borderId="0" xfId="0" applyFont="1"/>
    <xf numFmtId="0" fontId="30" fillId="0" borderId="0" xfId="3"/>
    <xf numFmtId="0" fontId="21" fillId="0" borderId="0" xfId="0" applyFont="1"/>
    <xf numFmtId="0" fontId="5" fillId="0" borderId="0" xfId="0" applyFont="1"/>
    <xf numFmtId="0" fontId="24" fillId="0" borderId="0" xfId="0" applyFont="1"/>
    <xf numFmtId="0" fontId="31" fillId="0" borderId="0" xfId="0" applyFont="1"/>
    <xf numFmtId="0" fontId="32" fillId="0" borderId="0" xfId="0" applyFont="1"/>
    <xf numFmtId="165" fontId="1" fillId="3" borderId="1" xfId="0" applyNumberFormat="1" applyFont="1" applyFill="1" applyBorder="1"/>
    <xf numFmtId="0" fontId="0" fillId="3" borderId="1" xfId="0" applyFill="1" applyBorder="1"/>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right"/>
    </xf>
    <xf numFmtId="0" fontId="35" fillId="0" borderId="0" xfId="0" applyFont="1"/>
    <xf numFmtId="166" fontId="1" fillId="0" borderId="0" xfId="0" applyNumberFormat="1" applyFont="1"/>
    <xf numFmtId="2" fontId="1" fillId="3" borderId="1" xfId="0" applyNumberFormat="1" applyFont="1" applyFill="1" applyBorder="1"/>
    <xf numFmtId="0" fontId="1" fillId="0" borderId="0" xfId="0" applyFont="1" applyAlignment="1">
      <alignment horizontal="left"/>
    </xf>
    <xf numFmtId="164" fontId="0" fillId="3" borderId="1" xfId="0" applyNumberFormat="1" applyFill="1" applyBorder="1"/>
    <xf numFmtId="0" fontId="9" fillId="0" borderId="0" xfId="0" applyFont="1"/>
    <xf numFmtId="166" fontId="0" fillId="3" borderId="1" xfId="0" applyNumberFormat="1" applyFill="1" applyBorder="1"/>
    <xf numFmtId="2" fontId="0" fillId="3" borderId="1" xfId="0" applyNumberFormat="1" applyFill="1" applyBorder="1"/>
    <xf numFmtId="0" fontId="5" fillId="3" borderId="1" xfId="0" applyFont="1" applyFill="1" applyBorder="1"/>
    <xf numFmtId="0" fontId="36" fillId="0" borderId="0" xfId="0" applyFont="1"/>
    <xf numFmtId="0" fontId="0" fillId="2" borderId="1" xfId="0" applyFill="1" applyBorder="1" applyProtection="1">
      <protection locked="0"/>
    </xf>
    <xf numFmtId="165" fontId="0" fillId="2" borderId="1" xfId="0" applyNumberFormat="1" applyFill="1" applyBorder="1" applyProtection="1">
      <protection locked="0"/>
    </xf>
    <xf numFmtId="2" fontId="5" fillId="3" borderId="1" xfId="0" applyNumberFormat="1" applyFont="1" applyFill="1" applyBorder="1"/>
    <xf numFmtId="164" fontId="20" fillId="3" borderId="1" xfId="0" applyNumberFormat="1" applyFont="1" applyFill="1" applyBorder="1"/>
    <xf numFmtId="165" fontId="15" fillId="3" borderId="1" xfId="1" applyNumberFormat="1" applyFill="1" applyBorder="1"/>
    <xf numFmtId="2" fontId="7" fillId="2" borderId="1" xfId="0" applyNumberFormat="1" applyFont="1" applyFill="1" applyBorder="1" applyProtection="1">
      <protection locked="0"/>
    </xf>
    <xf numFmtId="0" fontId="0" fillId="2" borderId="1" xfId="0" applyFill="1" applyBorder="1" applyAlignment="1" applyProtection="1">
      <alignment horizontal="right"/>
      <protection locked="0"/>
    </xf>
    <xf numFmtId="0" fontId="0" fillId="3" borderId="1" xfId="0" applyFill="1" applyBorder="1" applyAlignment="1">
      <alignment horizontal="right"/>
    </xf>
    <xf numFmtId="165" fontId="37" fillId="3" borderId="1" xfId="0" applyNumberFormat="1" applyFont="1" applyFill="1" applyBorder="1"/>
    <xf numFmtId="0" fontId="46" fillId="0" borderId="0" xfId="0" applyFont="1"/>
    <xf numFmtId="0" fontId="47" fillId="0" borderId="0" xfId="0" applyFont="1"/>
    <xf numFmtId="0" fontId="7" fillId="0" borderId="0" xfId="0" applyFont="1"/>
    <xf numFmtId="166" fontId="10" fillId="3" borderId="1" xfId="0" applyNumberFormat="1" applyFont="1" applyFill="1" applyBorder="1"/>
    <xf numFmtId="0" fontId="21" fillId="3" borderId="1" xfId="0" applyFont="1" applyFill="1" applyBorder="1"/>
    <xf numFmtId="0" fontId="19" fillId="3" borderId="1" xfId="0" applyFont="1" applyFill="1" applyBorder="1"/>
    <xf numFmtId="0" fontId="1" fillId="3" borderId="1" xfId="0" applyFont="1" applyFill="1" applyBorder="1" applyAlignment="1">
      <alignment horizontal="center" vertical="center" wrapText="1"/>
    </xf>
    <xf numFmtId="0" fontId="46" fillId="3" borderId="1" xfId="0" applyFont="1" applyFill="1" applyBorder="1" applyAlignment="1">
      <alignment horizontal="center" vertical="center" wrapText="1"/>
    </xf>
    <xf numFmtId="0" fontId="50" fillId="3" borderId="1" xfId="0" applyFont="1" applyFill="1" applyBorder="1" applyAlignment="1">
      <alignment horizontal="center" vertical="center" wrapText="1"/>
    </xf>
    <xf numFmtId="0" fontId="0" fillId="3" borderId="1" xfId="0" applyFill="1" applyBorder="1" applyAlignment="1">
      <alignment vertical="center" wrapText="1"/>
    </xf>
    <xf numFmtId="0" fontId="25" fillId="3" borderId="1" xfId="0" applyFont="1" applyFill="1" applyBorder="1" applyAlignment="1">
      <alignment horizontal="center" vertical="center" wrapText="1"/>
    </xf>
    <xf numFmtId="0" fontId="26" fillId="0" borderId="0" xfId="0" applyFont="1"/>
    <xf numFmtId="0" fontId="6" fillId="0" borderId="0" xfId="0" applyFont="1"/>
    <xf numFmtId="0" fontId="33" fillId="0" borderId="0" xfId="0" applyFont="1"/>
    <xf numFmtId="165" fontId="20" fillId="0" borderId="0" xfId="0" applyNumberFormat="1" applyFont="1"/>
    <xf numFmtId="0" fontId="0" fillId="9" borderId="0" xfId="0" applyFill="1"/>
    <xf numFmtId="0" fontId="7" fillId="9" borderId="0" xfId="0" applyFont="1" applyFill="1"/>
    <xf numFmtId="0" fontId="51" fillId="9" borderId="0" xfId="0" applyFont="1" applyFill="1"/>
    <xf numFmtId="0" fontId="7" fillId="9" borderId="1" xfId="0" applyFont="1" applyFill="1" applyBorder="1"/>
    <xf numFmtId="11" fontId="7" fillId="9" borderId="1" xfId="0" applyNumberFormat="1" applyFont="1" applyFill="1" applyBorder="1"/>
    <xf numFmtId="165" fontId="0" fillId="9" borderId="0" xfId="0" applyNumberFormat="1" applyFill="1"/>
    <xf numFmtId="0" fontId="47" fillId="9" borderId="0" xfId="0" applyFont="1" applyFill="1"/>
    <xf numFmtId="0" fontId="35" fillId="9" borderId="0" xfId="0" applyFont="1" applyFill="1"/>
    <xf numFmtId="0" fontId="51" fillId="9" borderId="0" xfId="0" applyFont="1" applyFill="1" applyProtection="1">
      <protection locked="0"/>
    </xf>
    <xf numFmtId="0" fontId="28" fillId="0" borderId="0" xfId="0" applyFont="1"/>
    <xf numFmtId="0" fontId="52" fillId="0" borderId="0" xfId="0" applyFont="1"/>
    <xf numFmtId="0" fontId="51" fillId="0" borderId="0" xfId="0" applyFont="1"/>
    <xf numFmtId="0" fontId="53" fillId="0" borderId="0" xfId="0" applyFont="1"/>
    <xf numFmtId="0" fontId="0" fillId="0" borderId="8" xfId="0" applyBorder="1"/>
    <xf numFmtId="0" fontId="0" fillId="0" borderId="9" xfId="0" applyBorder="1"/>
    <xf numFmtId="0" fontId="0" fillId="0" borderId="10" xfId="0" applyBorder="1"/>
    <xf numFmtId="0" fontId="0" fillId="0" borderId="0" xfId="0" applyAlignment="1">
      <alignment wrapText="1"/>
    </xf>
    <xf numFmtId="165" fontId="5" fillId="3" borderId="1" xfId="0" applyNumberFormat="1" applyFont="1" applyFill="1" applyBorder="1"/>
    <xf numFmtId="2" fontId="11" fillId="3" borderId="1" xfId="0" applyNumberFormat="1" applyFont="1" applyFill="1" applyBorder="1"/>
    <xf numFmtId="2" fontId="0" fillId="0" borderId="0" xfId="0" applyNumberFormat="1"/>
    <xf numFmtId="0" fontId="55" fillId="0" borderId="0" xfId="0" applyFont="1"/>
    <xf numFmtId="48" fontId="7" fillId="3" borderId="1" xfId="0" applyNumberFormat="1" applyFont="1" applyFill="1" applyBorder="1"/>
    <xf numFmtId="0" fontId="48" fillId="0" borderId="0" xfId="0" applyFont="1"/>
    <xf numFmtId="0" fontId="0" fillId="0" borderId="0" xfId="0" applyAlignment="1">
      <alignment horizontal="center"/>
    </xf>
    <xf numFmtId="0" fontId="56" fillId="0" borderId="0" xfId="0" applyFont="1"/>
    <xf numFmtId="0" fontId="11" fillId="0" borderId="0" xfId="0" applyFont="1"/>
    <xf numFmtId="0" fontId="0" fillId="9" borderId="1" xfId="0" applyFill="1" applyBorder="1" applyAlignment="1">
      <alignment horizontal="center"/>
    </xf>
    <xf numFmtId="2" fontId="0" fillId="9" borderId="1" xfId="0" applyNumberFormat="1" applyFill="1" applyBorder="1" applyAlignment="1">
      <alignment horizontal="center"/>
    </xf>
    <xf numFmtId="48" fontId="0" fillId="0" borderId="0" xfId="0" applyNumberFormat="1"/>
    <xf numFmtId="165" fontId="0" fillId="9" borderId="1" xfId="0" applyNumberFormat="1" applyFill="1" applyBorder="1" applyAlignment="1">
      <alignment horizontal="center"/>
    </xf>
    <xf numFmtId="168" fontId="0" fillId="0" borderId="0" xfId="0" applyNumberFormat="1"/>
    <xf numFmtId="164" fontId="0" fillId="9" borderId="1" xfId="0" applyNumberFormat="1" applyFill="1" applyBorder="1" applyAlignment="1">
      <alignment horizontal="center"/>
    </xf>
    <xf numFmtId="2" fontId="0" fillId="3" borderId="1" xfId="0" applyNumberFormat="1" applyFill="1" applyBorder="1" applyAlignment="1">
      <alignment horizontal="center"/>
    </xf>
    <xf numFmtId="165" fontId="0" fillId="9" borderId="1" xfId="0" applyNumberFormat="1" applyFill="1" applyBorder="1"/>
    <xf numFmtId="168" fontId="19" fillId="0" borderId="0" xfId="0" applyNumberFormat="1" applyFont="1" applyAlignment="1">
      <alignment horizontal="left"/>
    </xf>
    <xf numFmtId="0" fontId="60" fillId="0" borderId="0" xfId="0" applyFont="1" applyAlignment="1">
      <alignment horizontal="left"/>
    </xf>
    <xf numFmtId="0" fontId="19" fillId="0" borderId="0" xfId="0" applyFont="1" applyAlignment="1">
      <alignment horizontal="left"/>
    </xf>
    <xf numFmtId="0" fontId="0" fillId="9" borderId="1" xfId="0" applyFill="1" applyBorder="1"/>
    <xf numFmtId="0" fontId="0" fillId="10" borderId="0" xfId="0" applyFill="1"/>
    <xf numFmtId="0" fontId="1" fillId="10" borderId="0" xfId="0" applyFont="1" applyFill="1"/>
    <xf numFmtId="0" fontId="8" fillId="0" borderId="0" xfId="0" applyFont="1"/>
    <xf numFmtId="0" fontId="0" fillId="3" borderId="1" xfId="0" applyFill="1" applyBorder="1" applyAlignment="1">
      <alignment horizontal="center"/>
    </xf>
    <xf numFmtId="0" fontId="62" fillId="0" borderId="0" xfId="0" applyFont="1"/>
    <xf numFmtId="0" fontId="52" fillId="9" borderId="1" xfId="0" applyFont="1" applyFill="1" applyBorder="1" applyAlignment="1">
      <alignment horizontal="center"/>
    </xf>
    <xf numFmtId="0" fontId="45" fillId="9" borderId="1" xfId="0" applyFont="1" applyFill="1" applyBorder="1"/>
    <xf numFmtId="0" fontId="20" fillId="0" borderId="0" xfId="0" applyFont="1" applyAlignment="1">
      <alignment horizontal="center"/>
    </xf>
    <xf numFmtId="11" fontId="20" fillId="9" borderId="1" xfId="0" applyNumberFormat="1" applyFont="1" applyFill="1" applyBorder="1" applyAlignment="1">
      <alignment horizontal="center"/>
    </xf>
    <xf numFmtId="0" fontId="45" fillId="0" borderId="0" xfId="0" applyFont="1"/>
    <xf numFmtId="164" fontId="20" fillId="9" borderId="1" xfId="0" applyNumberFormat="1" applyFont="1" applyFill="1" applyBorder="1"/>
    <xf numFmtId="165" fontId="20" fillId="9" borderId="1" xfId="0" applyNumberFormat="1" applyFont="1" applyFill="1" applyBorder="1"/>
    <xf numFmtId="2" fontId="20" fillId="9" borderId="1" xfId="0" applyNumberFormat="1" applyFont="1" applyFill="1" applyBorder="1"/>
    <xf numFmtId="48" fontId="20" fillId="0" borderId="0" xfId="0" applyNumberFormat="1" applyFont="1"/>
    <xf numFmtId="48" fontId="20" fillId="9" borderId="1" xfId="0" applyNumberFormat="1" applyFont="1" applyFill="1" applyBorder="1"/>
    <xf numFmtId="0" fontId="20" fillId="0" borderId="0" xfId="0" applyFont="1" applyAlignment="1">
      <alignment horizontal="left"/>
    </xf>
    <xf numFmtId="0" fontId="64" fillId="0" borderId="0" xfId="0" applyFont="1"/>
    <xf numFmtId="0" fontId="66" fillId="0" borderId="0" xfId="0" applyFont="1"/>
    <xf numFmtId="0" fontId="7" fillId="0" borderId="1" xfId="0" applyFont="1" applyBorder="1"/>
    <xf numFmtId="2" fontId="11" fillId="3" borderId="1" xfId="0" applyNumberFormat="1" applyFont="1" applyFill="1" applyBorder="1" applyAlignment="1">
      <alignment vertical="center"/>
    </xf>
    <xf numFmtId="0" fontId="11" fillId="9" borderId="11" xfId="0" applyFont="1" applyFill="1" applyBorder="1"/>
    <xf numFmtId="165" fontId="5" fillId="9" borderId="0" xfId="0" applyNumberFormat="1" applyFont="1" applyFill="1"/>
    <xf numFmtId="0" fontId="5" fillId="9" borderId="0" xfId="0" applyFont="1" applyFill="1"/>
    <xf numFmtId="165" fontId="37" fillId="9" borderId="7" xfId="0" applyNumberFormat="1" applyFont="1" applyFill="1" applyBorder="1"/>
    <xf numFmtId="2" fontId="37" fillId="9" borderId="1" xfId="0" applyNumberFormat="1" applyFont="1" applyFill="1" applyBorder="1"/>
    <xf numFmtId="164" fontId="7" fillId="2" borderId="1" xfId="0" applyNumberFormat="1" applyFont="1" applyFill="1" applyBorder="1" applyProtection="1">
      <protection locked="0"/>
    </xf>
    <xf numFmtId="0" fontId="0" fillId="9" borderId="1" xfId="0" applyFill="1" applyBorder="1" applyProtection="1">
      <protection locked="0"/>
    </xf>
    <xf numFmtId="2" fontId="0" fillId="2" borderId="1" xfId="0" applyNumberFormat="1" applyFill="1" applyBorder="1" applyProtection="1">
      <protection locked="0"/>
    </xf>
    <xf numFmtId="2" fontId="0" fillId="9" borderId="1" xfId="0" applyNumberFormat="1" applyFill="1" applyBorder="1" applyProtection="1">
      <protection locked="0"/>
    </xf>
    <xf numFmtId="0" fontId="30" fillId="0" borderId="0" xfId="3" applyProtection="1"/>
    <xf numFmtId="0" fontId="44" fillId="0" borderId="0" xfId="0" applyFont="1"/>
    <xf numFmtId="0" fontId="72" fillId="0" borderId="1" xfId="0" applyFont="1" applyBorder="1"/>
    <xf numFmtId="165" fontId="7" fillId="3" borderId="1" xfId="0" applyNumberFormat="1" applyFont="1" applyFill="1" applyBorder="1"/>
    <xf numFmtId="1" fontId="7" fillId="3" borderId="1" xfId="0" applyNumberFormat="1" applyFont="1" applyFill="1" applyBorder="1"/>
    <xf numFmtId="165" fontId="0" fillId="3" borderId="1" xfId="0" applyNumberFormat="1" applyFill="1" applyBorder="1"/>
    <xf numFmtId="0" fontId="37" fillId="0" borderId="1" xfId="0" applyFont="1" applyBorder="1"/>
    <xf numFmtId="0" fontId="75" fillId="0" borderId="0" xfId="0" applyFont="1"/>
    <xf numFmtId="0" fontId="74" fillId="0" borderId="0" xfId="0" applyFont="1"/>
    <xf numFmtId="0" fontId="74" fillId="0" borderId="0" xfId="0" applyFont="1" applyAlignment="1">
      <alignment vertical="center"/>
    </xf>
    <xf numFmtId="0" fontId="18" fillId="2" borderId="1" xfId="0" applyFont="1" applyFill="1" applyBorder="1" applyAlignment="1" applyProtection="1">
      <alignment horizontal="right"/>
      <protection locked="0"/>
    </xf>
    <xf numFmtId="0" fontId="23" fillId="2" borderId="1" xfId="0" applyFont="1" applyFill="1" applyBorder="1" applyAlignment="1" applyProtection="1">
      <alignment horizontal="center"/>
      <protection locked="0"/>
    </xf>
    <xf numFmtId="165" fontId="4" fillId="2" borderId="1" xfId="0" applyNumberFormat="1" applyFont="1" applyFill="1" applyBorder="1" applyAlignment="1" applyProtection="1">
      <alignment horizontal="right"/>
      <protection locked="0"/>
    </xf>
    <xf numFmtId="165" fontId="0" fillId="2" borderId="1" xfId="0" applyNumberFormat="1" applyFill="1" applyBorder="1" applyAlignment="1" applyProtection="1">
      <alignment horizontal="right"/>
      <protection locked="0"/>
    </xf>
    <xf numFmtId="0" fontId="0" fillId="0" borderId="0" xfId="0" applyProtection="1">
      <protection locked="0"/>
    </xf>
    <xf numFmtId="0" fontId="30" fillId="0" borderId="0" xfId="3" applyAlignment="1" applyProtection="1"/>
    <xf numFmtId="0" fontId="6" fillId="0" borderId="0" xfId="0" applyFont="1" applyAlignment="1">
      <alignment vertical="center"/>
    </xf>
    <xf numFmtId="0" fontId="1" fillId="2" borderId="0" xfId="0" applyFont="1" applyFill="1"/>
    <xf numFmtId="0" fontId="0" fillId="2" borderId="0" xfId="0" applyFill="1"/>
    <xf numFmtId="0" fontId="1" fillId="3" borderId="0" xfId="0" applyFont="1" applyFill="1"/>
    <xf numFmtId="0" fontId="0" fillId="3" borderId="0" xfId="0" applyFill="1"/>
    <xf numFmtId="0" fontId="18" fillId="0" borderId="1" xfId="0" applyFont="1" applyBorder="1" applyAlignment="1">
      <alignment horizontal="left"/>
    </xf>
    <xf numFmtId="0" fontId="18" fillId="0" borderId="1" xfId="0" applyFont="1" applyBorder="1" applyAlignment="1">
      <alignment horizontal="center"/>
    </xf>
    <xf numFmtId="0" fontId="18" fillId="0" borderId="1" xfId="0" applyFont="1" applyBorder="1"/>
    <xf numFmtId="0" fontId="17" fillId="0" borderId="0" xfId="0" applyFont="1"/>
    <xf numFmtId="0" fontId="0" fillId="0" borderId="1" xfId="0" applyBorder="1" applyAlignment="1">
      <alignment horizontal="center"/>
    </xf>
    <xf numFmtId="0" fontId="19" fillId="0" borderId="1" xfId="0" applyFont="1" applyBorder="1" applyAlignment="1">
      <alignment horizontal="left"/>
    </xf>
    <xf numFmtId="0" fontId="23" fillId="9" borderId="1" xfId="0" applyFont="1" applyFill="1" applyBorder="1" applyAlignment="1">
      <alignment horizontal="center"/>
    </xf>
    <xf numFmtId="0" fontId="23" fillId="0" borderId="1" xfId="0" applyFont="1" applyBorder="1" applyAlignment="1">
      <alignment horizontal="center"/>
    </xf>
    <xf numFmtId="0" fontId="20" fillId="0" borderId="1" xfId="0" applyFont="1" applyBorder="1"/>
    <xf numFmtId="0" fontId="20" fillId="0" borderId="1" xfId="0" applyFont="1" applyBorder="1" applyAlignment="1">
      <alignment horizontal="center"/>
    </xf>
    <xf numFmtId="167" fontId="20" fillId="3" borderId="1" xfId="0" applyNumberFormat="1" applyFont="1" applyFill="1" applyBorder="1" applyAlignment="1">
      <alignment horizontal="right" vertical="center"/>
    </xf>
    <xf numFmtId="0" fontId="20" fillId="0" borderId="1" xfId="0" applyFont="1" applyBorder="1" applyAlignment="1">
      <alignment horizontal="left" vertical="center"/>
    </xf>
    <xf numFmtId="0" fontId="0" fillId="0" borderId="13" xfId="0" applyBorder="1"/>
    <xf numFmtId="2" fontId="1" fillId="3" borderId="1" xfId="0" applyNumberFormat="1" applyFont="1" applyFill="1" applyBorder="1" applyAlignment="1">
      <alignment horizontal="right"/>
    </xf>
    <xf numFmtId="2" fontId="20" fillId="9" borderId="1" xfId="0" applyNumberFormat="1" applyFont="1" applyFill="1" applyBorder="1" applyAlignment="1">
      <alignment horizontal="right"/>
    </xf>
    <xf numFmtId="0" fontId="20" fillId="0" borderId="1" xfId="0" applyFont="1" applyBorder="1" applyAlignment="1">
      <alignment horizontal="left"/>
    </xf>
    <xf numFmtId="166" fontId="20" fillId="9" borderId="1" xfId="0" applyNumberFormat="1" applyFont="1" applyFill="1" applyBorder="1" applyAlignment="1">
      <alignment horizontal="right"/>
    </xf>
    <xf numFmtId="165" fontId="1" fillId="3" borderId="1" xfId="0" applyNumberFormat="1" applyFont="1" applyFill="1" applyBorder="1" applyAlignment="1">
      <alignment horizontal="right"/>
    </xf>
    <xf numFmtId="165" fontId="0" fillId="3" borderId="1" xfId="0" applyNumberFormat="1" applyFill="1" applyBorder="1" applyAlignment="1">
      <alignment horizontal="right"/>
    </xf>
    <xf numFmtId="0" fontId="28" fillId="0" borderId="1" xfId="0" applyFont="1" applyBorder="1"/>
    <xf numFmtId="0" fontId="1" fillId="0" borderId="1" xfId="0" applyFont="1" applyBorder="1"/>
    <xf numFmtId="165" fontId="4" fillId="3" borderId="1" xfId="0" applyNumberFormat="1" applyFont="1" applyFill="1" applyBorder="1" applyAlignment="1">
      <alignment horizontal="right"/>
    </xf>
    <xf numFmtId="0" fontId="25" fillId="0" borderId="1" xfId="0" applyFont="1" applyBorder="1" applyAlignment="1">
      <alignment horizontal="left"/>
    </xf>
    <xf numFmtId="0" fontId="26" fillId="0" borderId="1" xfId="0" applyFont="1" applyBorder="1"/>
    <xf numFmtId="0" fontId="1" fillId="0" borderId="1" xfId="0" applyFont="1" applyBorder="1" applyAlignment="1">
      <alignment horizontal="left"/>
    </xf>
    <xf numFmtId="0" fontId="40" fillId="0" borderId="1" xfId="0" applyFont="1" applyBorder="1"/>
    <xf numFmtId="0" fontId="40" fillId="0" borderId="1" xfId="0" applyFont="1" applyBorder="1" applyAlignment="1">
      <alignment horizontal="center"/>
    </xf>
    <xf numFmtId="0" fontId="40" fillId="0" borderId="1" xfId="0" applyFont="1" applyBorder="1" applyAlignment="1">
      <alignment horizontal="left"/>
    </xf>
    <xf numFmtId="0" fontId="41" fillId="0" borderId="1" xfId="0" applyFont="1" applyBorder="1"/>
    <xf numFmtId="0" fontId="41" fillId="0" borderId="1" xfId="0" applyFont="1" applyBorder="1" applyAlignment="1">
      <alignment horizontal="center"/>
    </xf>
    <xf numFmtId="0" fontId="42" fillId="0" borderId="1" xfId="0" applyFont="1" applyBorder="1" applyAlignment="1">
      <alignment horizontal="left"/>
    </xf>
    <xf numFmtId="0" fontId="43" fillId="0" borderId="1" xfId="0" applyFont="1" applyBorder="1" applyAlignment="1">
      <alignment horizontal="left"/>
    </xf>
    <xf numFmtId="0" fontId="63" fillId="0" borderId="1" xfId="0" applyFont="1" applyBorder="1" applyAlignment="1">
      <alignment horizontal="left"/>
    </xf>
    <xf numFmtId="0" fontId="12" fillId="0" borderId="1" xfId="0" applyFont="1" applyBorder="1" applyAlignment="1">
      <alignment horizontal="left"/>
    </xf>
    <xf numFmtId="2" fontId="5" fillId="3" borderId="1" xfId="0" applyNumberFormat="1" applyFont="1" applyFill="1" applyBorder="1" applyAlignment="1">
      <alignment horizontal="right"/>
    </xf>
    <xf numFmtId="2" fontId="0" fillId="0" borderId="1" xfId="0" applyNumberFormat="1" applyBorder="1" applyAlignment="1">
      <alignment horizontal="left"/>
    </xf>
    <xf numFmtId="2" fontId="0" fillId="0" borderId="1" xfId="0" applyNumberFormat="1" applyBorder="1" applyAlignment="1">
      <alignment horizontal="right"/>
    </xf>
    <xf numFmtId="0" fontId="54" fillId="0" borderId="1" xfId="0" applyFont="1" applyBorder="1" applyAlignment="1">
      <alignment horizontal="right"/>
    </xf>
    <xf numFmtId="0" fontId="11" fillId="0" borderId="1" xfId="0" applyFont="1" applyBorder="1"/>
    <xf numFmtId="0" fontId="37" fillId="0" borderId="1" xfId="0" applyFont="1" applyBorder="1" applyAlignment="1">
      <alignment horizontal="center"/>
    </xf>
    <xf numFmtId="165" fontId="48" fillId="3" borderId="1" xfId="0" applyNumberFormat="1" applyFont="1" applyFill="1" applyBorder="1"/>
    <xf numFmtId="0" fontId="10" fillId="0" borderId="1" xfId="0" applyFont="1" applyBorder="1" applyAlignment="1">
      <alignment horizontal="left"/>
    </xf>
    <xf numFmtId="0" fontId="48" fillId="0" borderId="1" xfId="0" applyFont="1" applyBorder="1"/>
    <xf numFmtId="2" fontId="48" fillId="3" borderId="1" xfId="0" applyNumberFormat="1" applyFont="1" applyFill="1" applyBorder="1" applyAlignment="1">
      <alignment horizontal="right"/>
    </xf>
    <xf numFmtId="0" fontId="70" fillId="0" borderId="1" xfId="0" applyFont="1" applyBorder="1" applyAlignment="1">
      <alignment horizontal="left"/>
    </xf>
    <xf numFmtId="0" fontId="7" fillId="0" borderId="1" xfId="0" applyFont="1" applyBorder="1" applyAlignment="1">
      <alignment horizontal="center"/>
    </xf>
    <xf numFmtId="0" fontId="49" fillId="0" borderId="0" xfId="0" applyFont="1"/>
    <xf numFmtId="0" fontId="12" fillId="3" borderId="1" xfId="0" applyFont="1" applyFill="1" applyBorder="1"/>
    <xf numFmtId="0" fontId="0" fillId="7" borderId="0" xfId="0" applyFill="1"/>
    <xf numFmtId="0" fontId="0" fillId="2" borderId="1" xfId="0" applyFill="1" applyBorder="1" applyAlignment="1">
      <alignment wrapText="1"/>
    </xf>
    <xf numFmtId="0" fontId="0" fillId="3" borderId="1" xfId="0" applyFill="1" applyBorder="1" applyAlignment="1">
      <alignment wrapText="1"/>
    </xf>
    <xf numFmtId="0" fontId="0" fillId="9" borderId="1" xfId="0" applyFill="1" applyBorder="1" applyAlignment="1">
      <alignment vertical="center" wrapText="1"/>
    </xf>
    <xf numFmtId="164" fontId="0" fillId="2" borderId="1" xfId="0" applyNumberFormat="1" applyFill="1" applyBorder="1" applyProtection="1">
      <protection locked="0"/>
    </xf>
    <xf numFmtId="1" fontId="0" fillId="2" borderId="1" xfId="0" applyNumberFormat="1" applyFill="1" applyBorder="1" applyProtection="1">
      <protection locked="0"/>
    </xf>
    <xf numFmtId="0" fontId="20" fillId="2" borderId="1" xfId="0" applyFont="1" applyFill="1" applyBorder="1" applyProtection="1">
      <protection locked="0"/>
    </xf>
    <xf numFmtId="0" fontId="20" fillId="0" borderId="0" xfId="0" applyFont="1" applyProtection="1">
      <protection locked="0"/>
    </xf>
    <xf numFmtId="0" fontId="7" fillId="2" borderId="1" xfId="0" applyFont="1" applyFill="1" applyBorder="1" applyProtection="1">
      <protection locked="0"/>
    </xf>
    <xf numFmtId="0" fontId="37" fillId="9" borderId="1" xfId="0" applyFont="1" applyFill="1" applyBorder="1" applyProtection="1">
      <protection locked="0"/>
    </xf>
    <xf numFmtId="0" fontId="18" fillId="2" borderId="1" xfId="0" applyFont="1" applyFill="1" applyBorder="1" applyProtection="1">
      <protection locked="0"/>
    </xf>
    <xf numFmtId="165" fontId="37" fillId="2" borderId="1" xfId="0" applyNumberFormat="1" applyFont="1" applyFill="1" applyBorder="1" applyProtection="1">
      <protection locked="0"/>
    </xf>
    <xf numFmtId="2" fontId="37" fillId="2" borderId="1" xfId="0" applyNumberFormat="1" applyFont="1" applyFill="1" applyBorder="1" applyProtection="1">
      <protection locked="0"/>
    </xf>
    <xf numFmtId="165" fontId="18" fillId="2" borderId="7" xfId="0" applyNumberFormat="1" applyFont="1" applyFill="1" applyBorder="1" applyProtection="1">
      <protection locked="0"/>
    </xf>
    <xf numFmtId="0" fontId="18" fillId="9" borderId="1" xfId="0" applyFont="1" applyFill="1" applyBorder="1" applyProtection="1">
      <protection locked="0"/>
    </xf>
    <xf numFmtId="0" fontId="19" fillId="2" borderId="1" xfId="0" applyFont="1" applyFill="1" applyBorder="1" applyProtection="1">
      <protection locked="0"/>
    </xf>
    <xf numFmtId="0" fontId="7" fillId="9" borderId="1" xfId="0" applyFont="1" applyFill="1" applyBorder="1" applyProtection="1">
      <protection locked="0"/>
    </xf>
    <xf numFmtId="0" fontId="7" fillId="2" borderId="1" xfId="0" applyFont="1" applyFill="1" applyBorder="1" applyAlignment="1" applyProtection="1">
      <alignment horizontal="right"/>
      <protection locked="0"/>
    </xf>
    <xf numFmtId="0" fontId="15" fillId="2" borderId="1" xfId="1" applyFill="1" applyBorder="1" applyProtection="1">
      <protection locked="0"/>
    </xf>
    <xf numFmtId="0" fontId="47" fillId="0" borderId="0" xfId="1" applyFont="1" applyFill="1" applyBorder="1" applyProtection="1">
      <protection locked="0"/>
    </xf>
    <xf numFmtId="0" fontId="47" fillId="0" borderId="0" xfId="0" applyFont="1" applyProtection="1">
      <protection locked="0"/>
    </xf>
    <xf numFmtId="0" fontId="35" fillId="9" borderId="0" xfId="1" applyFont="1" applyFill="1" applyBorder="1" applyProtection="1">
      <protection locked="0"/>
    </xf>
    <xf numFmtId="0" fontId="35" fillId="0" borderId="0" xfId="0" applyFont="1" applyProtection="1">
      <protection locked="0"/>
    </xf>
    <xf numFmtId="2" fontId="15" fillId="2" borderId="1" xfId="1" applyNumberFormat="1" applyFill="1" applyBorder="1" applyProtection="1">
      <protection locked="0"/>
    </xf>
    <xf numFmtId="0" fontId="38" fillId="3" borderId="1" xfId="0" applyFont="1" applyFill="1" applyBorder="1"/>
    <xf numFmtId="11" fontId="51" fillId="9" borderId="0" xfId="0" applyNumberFormat="1" applyFont="1" applyFill="1"/>
    <xf numFmtId="0" fontId="10" fillId="0" borderId="0" xfId="0" applyFont="1"/>
    <xf numFmtId="165" fontId="11" fillId="3" borderId="1" xfId="0" applyNumberFormat="1" applyFont="1" applyFill="1" applyBorder="1"/>
    <xf numFmtId="0" fontId="2" fillId="0" borderId="0" xfId="0" applyFont="1" applyAlignment="1">
      <alignment vertical="center"/>
    </xf>
    <xf numFmtId="0" fontId="1" fillId="9" borderId="0" xfId="0" applyFont="1" applyFill="1" applyAlignment="1">
      <alignment vertical="center"/>
    </xf>
    <xf numFmtId="0" fontId="1" fillId="9" borderId="0" xfId="0" applyFont="1" applyFill="1"/>
    <xf numFmtId="0" fontId="61" fillId="9" borderId="0" xfId="0" applyFont="1" applyFill="1"/>
    <xf numFmtId="0" fontId="0" fillId="9" borderId="0" xfId="0" applyFill="1" applyAlignment="1">
      <alignment vertical="center"/>
    </xf>
    <xf numFmtId="0" fontId="16" fillId="0" borderId="0" xfId="0" applyFont="1"/>
    <xf numFmtId="0" fontId="5" fillId="0" borderId="1" xfId="0" applyFont="1" applyBorder="1"/>
    <xf numFmtId="0" fontId="7" fillId="0" borderId="1" xfId="0" applyFont="1" applyBorder="1" applyAlignment="1">
      <alignment horizontal="left"/>
    </xf>
    <xf numFmtId="0" fontId="82" fillId="0" borderId="1" xfId="0" applyFont="1" applyBorder="1"/>
    <xf numFmtId="164" fontId="11" fillId="3" borderId="1" xfId="0" applyNumberFormat="1" applyFont="1" applyFill="1" applyBorder="1" applyAlignment="1">
      <alignment horizontal="right"/>
    </xf>
    <xf numFmtId="0" fontId="53" fillId="0" borderId="1" xfId="0" applyFont="1" applyBorder="1" applyAlignment="1">
      <alignment horizontal="left"/>
    </xf>
    <xf numFmtId="0" fontId="39" fillId="0" borderId="1" xfId="0" applyFont="1" applyBorder="1" applyAlignment="1">
      <alignment horizontal="left"/>
    </xf>
    <xf numFmtId="0" fontId="22" fillId="0" borderId="1" xfId="0" applyFont="1" applyBorder="1" applyAlignment="1">
      <alignment horizontal="center"/>
    </xf>
    <xf numFmtId="0" fontId="11" fillId="0" borderId="1" xfId="0" applyFont="1" applyBorder="1" applyAlignment="1">
      <alignment horizontal="left"/>
    </xf>
    <xf numFmtId="14" fontId="0" fillId="0" borderId="0" xfId="0" applyNumberFormat="1"/>
    <xf numFmtId="0" fontId="1" fillId="9" borderId="1" xfId="0" applyFont="1" applyFill="1" applyBorder="1"/>
    <xf numFmtId="0" fontId="83" fillId="0" borderId="0" xfId="0" applyFont="1"/>
    <xf numFmtId="0" fontId="12" fillId="0" borderId="1" xfId="0" applyFont="1" applyBorder="1"/>
    <xf numFmtId="0" fontId="0" fillId="0" borderId="0" xfId="0" quotePrefix="1"/>
    <xf numFmtId="0" fontId="10" fillId="0" borderId="1" xfId="0" applyFont="1" applyBorder="1"/>
    <xf numFmtId="0" fontId="7" fillId="0" borderId="1" xfId="0" applyFont="1" applyBorder="1" applyAlignment="1">
      <alignment horizontal="right"/>
    </xf>
    <xf numFmtId="170" fontId="0" fillId="9" borderId="1" xfId="0" applyNumberFormat="1" applyFill="1" applyBorder="1" applyAlignment="1">
      <alignment horizontal="right"/>
    </xf>
    <xf numFmtId="0" fontId="48" fillId="3" borderId="1" xfId="0" applyFont="1" applyFill="1" applyBorder="1" applyAlignment="1">
      <alignment horizontal="right"/>
    </xf>
    <xf numFmtId="0" fontId="37" fillId="0" borderId="1" xfId="0" applyFont="1" applyBorder="1" applyAlignment="1">
      <alignment horizontal="left"/>
    </xf>
    <xf numFmtId="2" fontId="7" fillId="9" borderId="1" xfId="0" applyNumberFormat="1" applyFont="1" applyFill="1" applyBorder="1" applyAlignment="1">
      <alignment horizontal="right"/>
    </xf>
    <xf numFmtId="171" fontId="0" fillId="9" borderId="1" xfId="0" applyNumberFormat="1" applyFill="1" applyBorder="1"/>
    <xf numFmtId="166" fontId="0" fillId="9" borderId="1" xfId="0" applyNumberFormat="1" applyFill="1" applyBorder="1"/>
    <xf numFmtId="2" fontId="40" fillId="9" borderId="1" xfId="0" applyNumberFormat="1" applyFont="1" applyFill="1" applyBorder="1" applyAlignment="1">
      <alignment horizontal="right"/>
    </xf>
    <xf numFmtId="165" fontId="41" fillId="9" borderId="1" xfId="0" applyNumberFormat="1" applyFont="1" applyFill="1" applyBorder="1" applyAlignment="1">
      <alignment horizontal="right"/>
    </xf>
    <xf numFmtId="166" fontId="41" fillId="9" borderId="1" xfId="0" applyNumberFormat="1" applyFont="1" applyFill="1" applyBorder="1" applyAlignment="1">
      <alignment horizontal="right"/>
    </xf>
    <xf numFmtId="165" fontId="10" fillId="9" borderId="1" xfId="0" applyNumberFormat="1" applyFont="1" applyFill="1" applyBorder="1" applyAlignment="1">
      <alignment horizontal="right"/>
    </xf>
    <xf numFmtId="164" fontId="1" fillId="9" borderId="1" xfId="0" applyNumberFormat="1" applyFont="1" applyFill="1" applyBorder="1" applyAlignment="1">
      <alignment horizontal="right"/>
    </xf>
    <xf numFmtId="164" fontId="37" fillId="9" borderId="1" xfId="0" applyNumberFormat="1" applyFont="1" applyFill="1" applyBorder="1" applyAlignment="1">
      <alignment horizontal="right"/>
    </xf>
    <xf numFmtId="164" fontId="5" fillId="9" borderId="1" xfId="0" applyNumberFormat="1" applyFont="1" applyFill="1" applyBorder="1" applyAlignment="1">
      <alignment horizontal="right"/>
    </xf>
    <xf numFmtId="0" fontId="0" fillId="0" borderId="0" xfId="0" applyAlignment="1" applyProtection="1">
      <alignment horizontal="right"/>
      <protection locked="0"/>
    </xf>
    <xf numFmtId="0" fontId="22" fillId="0" borderId="1" xfId="0" applyFont="1" applyBorder="1"/>
    <xf numFmtId="0" fontId="20" fillId="7" borderId="1" xfId="2" applyFont="1" applyFill="1" applyBorder="1" applyProtection="1"/>
    <xf numFmtId="0" fontId="20" fillId="7" borderId="1" xfId="2" applyFont="1" applyFill="1" applyBorder="1" applyAlignment="1" applyProtection="1">
      <alignment horizontal="center"/>
    </xf>
    <xf numFmtId="11" fontId="20" fillId="8" borderId="1" xfId="2" applyNumberFormat="1" applyFont="1" applyFill="1" applyBorder="1" applyAlignment="1" applyProtection="1">
      <alignment horizontal="right"/>
      <protection locked="0"/>
    </xf>
    <xf numFmtId="0" fontId="20" fillId="7" borderId="1" xfId="2" applyFont="1" applyFill="1" applyBorder="1" applyAlignment="1" applyProtection="1">
      <alignment horizontal="left"/>
    </xf>
    <xf numFmtId="0" fontId="20" fillId="7" borderId="1" xfId="2" applyFont="1" applyFill="1" applyBorder="1" applyAlignment="1" applyProtection="1"/>
    <xf numFmtId="165" fontId="20" fillId="8" borderId="1" xfId="2" applyNumberFormat="1" applyFont="1" applyFill="1" applyBorder="1" applyAlignment="1" applyProtection="1">
      <alignment horizontal="right"/>
      <protection locked="0"/>
    </xf>
    <xf numFmtId="0" fontId="80" fillId="7" borderId="1" xfId="2" applyFont="1" applyFill="1" applyBorder="1" applyAlignment="1" applyProtection="1">
      <alignment horizontal="center"/>
    </xf>
    <xf numFmtId="2" fontId="20" fillId="8" borderId="1" xfId="2" applyNumberFormat="1" applyFont="1" applyFill="1" applyBorder="1" applyAlignment="1" applyProtection="1">
      <alignment horizontal="right"/>
      <protection locked="0"/>
    </xf>
    <xf numFmtId="164" fontId="20" fillId="8" borderId="1" xfId="2" applyNumberFormat="1" applyFont="1" applyFill="1" applyBorder="1" applyAlignment="1" applyProtection="1">
      <alignment horizontal="right"/>
      <protection locked="0"/>
    </xf>
    <xf numFmtId="0" fontId="0" fillId="7" borderId="1" xfId="0" applyFill="1" applyBorder="1"/>
    <xf numFmtId="0" fontId="16" fillId="0" borderId="0" xfId="0" applyFont="1" applyProtection="1">
      <protection locked="0"/>
    </xf>
    <xf numFmtId="0" fontId="17" fillId="0" borderId="0" xfId="0" applyFont="1" applyProtection="1">
      <protection locked="0"/>
    </xf>
    <xf numFmtId="11" fontId="51" fillId="9" borderId="1" xfId="0" applyNumberFormat="1" applyFont="1" applyFill="1" applyBorder="1"/>
    <xf numFmtId="170" fontId="0" fillId="9" borderId="1" xfId="0" applyNumberFormat="1" applyFill="1" applyBorder="1"/>
    <xf numFmtId="164" fontId="7" fillId="3" borderId="1" xfId="0" applyNumberFormat="1" applyFont="1" applyFill="1" applyBorder="1"/>
    <xf numFmtId="2" fontId="0" fillId="9" borderId="1" xfId="0" applyNumberFormat="1" applyFill="1" applyBorder="1"/>
    <xf numFmtId="1" fontId="10" fillId="3" borderId="1" xfId="0" applyNumberFormat="1" applyFont="1" applyFill="1" applyBorder="1"/>
    <xf numFmtId="0" fontId="1" fillId="3" borderId="1" xfId="0" applyFont="1" applyFill="1" applyBorder="1" applyAlignment="1">
      <alignment horizontal="right"/>
    </xf>
    <xf numFmtId="0" fontId="6" fillId="0" borderId="1" xfId="0" applyFont="1" applyBorder="1"/>
    <xf numFmtId="0" fontId="8" fillId="0" borderId="1" xfId="0" applyFont="1" applyBorder="1"/>
    <xf numFmtId="1" fontId="7" fillId="9" borderId="1" xfId="0" applyNumberFormat="1" applyFont="1" applyFill="1" applyBorder="1"/>
    <xf numFmtId="1" fontId="0" fillId="9" borderId="0" xfId="0" applyNumberFormat="1" applyFill="1"/>
    <xf numFmtId="1" fontId="0" fillId="9" borderId="0" xfId="0" applyNumberFormat="1" applyFill="1" applyAlignment="1">
      <alignment horizontal="right"/>
    </xf>
    <xf numFmtId="164" fontId="1" fillId="9" borderId="15" xfId="0" applyNumberFormat="1" applyFont="1" applyFill="1" applyBorder="1"/>
    <xf numFmtId="0" fontId="86" fillId="0" borderId="0" xfId="0" applyFont="1"/>
    <xf numFmtId="2" fontId="1" fillId="3" borderId="1" xfId="0" quotePrefix="1" applyNumberFormat="1" applyFont="1" applyFill="1" applyBorder="1"/>
    <xf numFmtId="0" fontId="89" fillId="0" borderId="0" xfId="0" applyFont="1" applyProtection="1">
      <protection locked="0"/>
    </xf>
    <xf numFmtId="0" fontId="14" fillId="2" borderId="1" xfId="1" applyFont="1" applyFill="1" applyBorder="1" applyAlignment="1" applyProtection="1">
      <alignment horizontal="right"/>
      <protection locked="0"/>
    </xf>
    <xf numFmtId="9" fontId="0" fillId="0" borderId="0" xfId="6" applyFont="1"/>
    <xf numFmtId="0" fontId="15" fillId="2" borderId="1" xfId="1" applyFill="1" applyBorder="1" applyAlignment="1" applyProtection="1">
      <alignment horizontal="right"/>
      <protection locked="0"/>
    </xf>
    <xf numFmtId="0" fontId="7" fillId="2" borderId="1" xfId="1" applyFont="1" applyFill="1" applyBorder="1" applyAlignment="1" applyProtection="1">
      <alignment horizontal="right"/>
      <protection locked="0"/>
    </xf>
    <xf numFmtId="0" fontId="12" fillId="3" borderId="1" xfId="0" applyFont="1" applyFill="1" applyBorder="1" applyAlignment="1">
      <alignment horizontal="right"/>
    </xf>
    <xf numFmtId="0" fontId="12" fillId="3" borderId="1" xfId="0" applyFont="1" applyFill="1" applyBorder="1" applyAlignment="1">
      <alignment horizontal="left"/>
    </xf>
    <xf numFmtId="0" fontId="39" fillId="0" borderId="0" xfId="0" applyFont="1" applyAlignment="1">
      <alignment horizontal="right"/>
    </xf>
    <xf numFmtId="0" fontId="0" fillId="0" borderId="0" xfId="0" applyAlignment="1">
      <alignment horizontal="left" vertical="center"/>
    </xf>
    <xf numFmtId="0" fontId="7" fillId="9" borderId="1" xfId="1" applyFont="1" applyFill="1" applyBorder="1" applyAlignment="1" applyProtection="1">
      <alignment horizontal="right"/>
    </xf>
    <xf numFmtId="0" fontId="14" fillId="2" borderId="16" xfId="1" applyFont="1" applyFill="1" applyBorder="1" applyAlignment="1" applyProtection="1">
      <alignment horizontal="right"/>
      <protection locked="0"/>
    </xf>
    <xf numFmtId="165" fontId="12" fillId="3" borderId="1" xfId="0" applyNumberFormat="1" applyFont="1" applyFill="1" applyBorder="1" applyAlignment="1">
      <alignment horizontal="right"/>
    </xf>
    <xf numFmtId="11" fontId="12" fillId="3" borderId="1" xfId="0" applyNumberFormat="1" applyFont="1" applyFill="1" applyBorder="1" applyAlignment="1">
      <alignment horizontal="right"/>
    </xf>
    <xf numFmtId="165" fontId="10" fillId="3" borderId="1" xfId="0" applyNumberFormat="1" applyFont="1" applyFill="1" applyBorder="1"/>
    <xf numFmtId="166" fontId="0" fillId="0" borderId="0" xfId="0" applyNumberFormat="1"/>
    <xf numFmtId="165" fontId="0" fillId="9" borderId="1" xfId="0" applyNumberFormat="1" applyFill="1" applyBorder="1" applyAlignment="1" applyProtection="1">
      <alignment horizontal="right"/>
      <protection locked="0"/>
    </xf>
    <xf numFmtId="0" fontId="18" fillId="3" borderId="1" xfId="0" applyFont="1" applyFill="1" applyBorder="1"/>
    <xf numFmtId="0" fontId="26" fillId="0" borderId="0" xfId="0" applyFont="1" applyAlignment="1">
      <alignment vertical="center" wrapText="1"/>
    </xf>
    <xf numFmtId="0" fontId="0" fillId="0" borderId="0" xfId="0" applyAlignment="1">
      <alignment vertical="center" wrapText="1"/>
    </xf>
    <xf numFmtId="0" fontId="30" fillId="0" borderId="0" xfId="3" applyAlignment="1">
      <alignment vertical="center"/>
    </xf>
    <xf numFmtId="0" fontId="1" fillId="0" borderId="0" xfId="0" applyFont="1" applyAlignment="1">
      <alignment vertical="center" wrapText="1"/>
    </xf>
    <xf numFmtId="0" fontId="30" fillId="0" borderId="0" xfId="3" applyBorder="1" applyAlignment="1">
      <alignment horizontal="left"/>
    </xf>
    <xf numFmtId="0" fontId="1" fillId="2" borderId="1" xfId="0" applyFont="1" applyFill="1" applyBorder="1" applyAlignment="1" applyProtection="1">
      <alignment horizontal="center"/>
      <protection locked="0"/>
    </xf>
    <xf numFmtId="0" fontId="30" fillId="0" borderId="0" xfId="3" applyFill="1" applyBorder="1"/>
    <xf numFmtId="0" fontId="91" fillId="0" borderId="0" xfId="0" applyFont="1" applyAlignment="1">
      <alignment vertical="center" wrapText="1"/>
    </xf>
    <xf numFmtId="0" fontId="19" fillId="0" borderId="0" xfId="0" applyFont="1" applyProtection="1">
      <protection locked="0"/>
    </xf>
    <xf numFmtId="0" fontId="88" fillId="7" borderId="0" xfId="0" applyFont="1" applyFill="1"/>
    <xf numFmtId="0" fontId="93" fillId="0" borderId="0" xfId="0" applyFont="1"/>
    <xf numFmtId="165" fontId="0" fillId="0" borderId="0" xfId="0" applyNumberFormat="1"/>
    <xf numFmtId="0" fontId="36" fillId="7" borderId="0" xfId="0" applyFont="1" applyFill="1" applyProtection="1">
      <protection locked="0"/>
    </xf>
    <xf numFmtId="0" fontId="74" fillId="7" borderId="0" xfId="0" applyFont="1" applyFill="1" applyProtection="1">
      <protection locked="0"/>
    </xf>
    <xf numFmtId="2" fontId="0" fillId="9" borderId="0" xfId="0" applyNumberFormat="1" applyFill="1"/>
    <xf numFmtId="1" fontId="0" fillId="3" borderId="1" xfId="0" applyNumberFormat="1" applyFill="1" applyBorder="1"/>
    <xf numFmtId="1" fontId="0" fillId="3" borderId="7" xfId="0" applyNumberFormat="1" applyFill="1" applyBorder="1"/>
    <xf numFmtId="0" fontId="74" fillId="0" borderId="1" xfId="0" applyFont="1" applyBorder="1" applyProtection="1">
      <protection locked="0"/>
    </xf>
    <xf numFmtId="0" fontId="74" fillId="7" borderId="1" xfId="0" applyFont="1" applyFill="1" applyBorder="1" applyProtection="1">
      <protection locked="0"/>
    </xf>
    <xf numFmtId="0" fontId="5" fillId="0" borderId="0" xfId="0" applyFont="1" applyAlignment="1">
      <alignment horizontal="right"/>
    </xf>
    <xf numFmtId="166" fontId="0" fillId="9" borderId="1" xfId="0" applyNumberFormat="1" applyFill="1" applyBorder="1" applyProtection="1">
      <protection locked="0"/>
    </xf>
    <xf numFmtId="165" fontId="7" fillId="0" borderId="9" xfId="0" applyNumberFormat="1" applyFont="1" applyBorder="1"/>
    <xf numFmtId="2" fontId="7" fillId="3" borderId="1" xfId="0" applyNumberFormat="1" applyFont="1" applyFill="1" applyBorder="1"/>
    <xf numFmtId="165" fontId="7" fillId="9" borderId="1" xfId="0" applyNumberFormat="1" applyFont="1" applyFill="1" applyBorder="1"/>
    <xf numFmtId="0" fontId="0" fillId="0" borderId="1" xfId="0" applyBorder="1" applyProtection="1">
      <protection locked="0"/>
    </xf>
    <xf numFmtId="0" fontId="30" fillId="0" borderId="0" xfId="3" applyProtection="1">
      <protection locked="0"/>
    </xf>
    <xf numFmtId="0" fontId="5" fillId="0" borderId="0" xfId="0" applyFont="1" applyAlignment="1">
      <alignment horizontal="left"/>
    </xf>
    <xf numFmtId="164" fontId="0" fillId="2" borderId="1" xfId="0" applyNumberFormat="1" applyFill="1" applyBorder="1" applyAlignment="1" applyProtection="1">
      <alignment horizontal="right"/>
      <protection locked="0"/>
    </xf>
    <xf numFmtId="0" fontId="1" fillId="9" borderId="1" xfId="0" applyFont="1" applyFill="1" applyBorder="1" applyAlignment="1">
      <alignment horizontal="center"/>
    </xf>
    <xf numFmtId="2" fontId="0" fillId="2" borderId="1" xfId="0" applyNumberFormat="1" applyFill="1" applyBorder="1" applyAlignment="1" applyProtection="1">
      <alignment horizontal="right"/>
      <protection locked="0"/>
    </xf>
    <xf numFmtId="0" fontId="0" fillId="0" borderId="1" xfId="0" applyBorder="1" applyAlignment="1">
      <alignment horizontal="left"/>
    </xf>
    <xf numFmtId="1" fontId="0" fillId="3" borderId="1" xfId="0" applyNumberFormat="1" applyFill="1" applyBorder="1" applyAlignment="1">
      <alignment horizontal="center"/>
    </xf>
    <xf numFmtId="2" fontId="0" fillId="3" borderId="1" xfId="0" applyNumberFormat="1" applyFill="1" applyBorder="1" applyAlignment="1">
      <alignment horizontal="right"/>
    </xf>
    <xf numFmtId="0" fontId="0" fillId="11" borderId="1" xfId="0" applyFill="1" applyBorder="1" applyAlignment="1" applyProtection="1">
      <alignment horizontal="right"/>
      <protection locked="0"/>
    </xf>
    <xf numFmtId="0" fontId="1" fillId="10" borderId="1" xfId="0" applyFont="1" applyFill="1" applyBorder="1" applyAlignment="1">
      <alignment horizontal="right"/>
    </xf>
    <xf numFmtId="164" fontId="19" fillId="3" borderId="1" xfId="0" applyNumberFormat="1" applyFont="1" applyFill="1" applyBorder="1" applyAlignment="1">
      <alignment horizontal="right"/>
    </xf>
    <xf numFmtId="2" fontId="52" fillId="3" borderId="1" xfId="0" applyNumberFormat="1" applyFont="1" applyFill="1" applyBorder="1" applyAlignment="1">
      <alignment horizontal="right"/>
    </xf>
    <xf numFmtId="2" fontId="19" fillId="3" borderId="1" xfId="0" applyNumberFormat="1" applyFont="1" applyFill="1" applyBorder="1" applyAlignment="1">
      <alignment horizontal="right"/>
    </xf>
    <xf numFmtId="1" fontId="1" fillId="10" borderId="1" xfId="0" applyNumberFormat="1" applyFont="1" applyFill="1" applyBorder="1" applyAlignment="1">
      <alignment horizontal="right"/>
    </xf>
    <xf numFmtId="2" fontId="1" fillId="10" borderId="1" xfId="0" applyNumberFormat="1" applyFont="1" applyFill="1" applyBorder="1" applyAlignment="1">
      <alignment horizontal="center"/>
    </xf>
    <xf numFmtId="0" fontId="0" fillId="9" borderId="0" xfId="0" applyFill="1" applyAlignment="1">
      <alignment horizontal="center"/>
    </xf>
    <xf numFmtId="169" fontId="0" fillId="9" borderId="1" xfId="0" applyNumberFormat="1" applyFill="1" applyBorder="1" applyAlignment="1" applyProtection="1">
      <alignment horizontal="center"/>
      <protection locked="0"/>
    </xf>
    <xf numFmtId="0" fontId="19" fillId="9" borderId="0" xfId="0" applyFont="1" applyFill="1" applyAlignment="1">
      <alignment horizontal="left"/>
    </xf>
    <xf numFmtId="168" fontId="19" fillId="9" borderId="0" xfId="0" applyNumberFormat="1" applyFont="1" applyFill="1" applyAlignment="1">
      <alignment horizontal="left"/>
    </xf>
    <xf numFmtId="10" fontId="0" fillId="9" borderId="1" xfId="0" applyNumberFormat="1" applyFill="1" applyBorder="1" applyAlignment="1" applyProtection="1">
      <alignment horizontal="center"/>
      <protection locked="0"/>
    </xf>
    <xf numFmtId="48" fontId="19" fillId="9" borderId="0" xfId="0" applyNumberFormat="1" applyFont="1" applyFill="1" applyAlignment="1">
      <alignment horizontal="left"/>
    </xf>
    <xf numFmtId="2" fontId="20" fillId="0" borderId="0" xfId="0" applyNumberFormat="1" applyFont="1"/>
    <xf numFmtId="1" fontId="0" fillId="2" borderId="1" xfId="0" applyNumberFormat="1" applyFill="1" applyBorder="1" applyAlignment="1" applyProtection="1">
      <alignment horizontal="right"/>
      <protection locked="0"/>
    </xf>
    <xf numFmtId="1" fontId="0" fillId="9" borderId="1" xfId="0" applyNumberFormat="1" applyFill="1" applyBorder="1" applyAlignment="1" applyProtection="1">
      <alignment horizontal="right"/>
      <protection locked="0"/>
    </xf>
    <xf numFmtId="2" fontId="0" fillId="2" borderId="1" xfId="0" applyNumberFormat="1" applyFill="1" applyBorder="1" applyAlignment="1">
      <alignment horizontal="right"/>
    </xf>
    <xf numFmtId="165" fontId="28" fillId="9" borderId="1" xfId="0" applyNumberFormat="1" applyFont="1" applyFill="1" applyBorder="1" applyAlignment="1">
      <alignment horizontal="center"/>
    </xf>
    <xf numFmtId="168" fontId="21" fillId="0" borderId="0" xfId="0" applyNumberFormat="1" applyFont="1" applyAlignment="1">
      <alignment horizontal="left"/>
    </xf>
    <xf numFmtId="0" fontId="95" fillId="0" borderId="0" xfId="0" applyFont="1" applyAlignment="1">
      <alignment horizontal="left"/>
    </xf>
    <xf numFmtId="0" fontId="52" fillId="9" borderId="11" xfId="0" applyFont="1" applyFill="1" applyBorder="1" applyAlignment="1" applyProtection="1">
      <alignment horizontal="right"/>
      <protection locked="0"/>
    </xf>
    <xf numFmtId="0" fontId="26" fillId="0" borderId="0" xfId="0" applyFont="1" applyAlignment="1">
      <alignment horizontal="left"/>
    </xf>
    <xf numFmtId="0" fontId="52" fillId="9" borderId="11" xfId="0" applyFont="1" applyFill="1" applyBorder="1"/>
    <xf numFmtId="0" fontId="19" fillId="0" borderId="0" xfId="0" applyFont="1" applyAlignment="1">
      <alignment wrapText="1"/>
    </xf>
    <xf numFmtId="0" fontId="19" fillId="9" borderId="1" xfId="0" applyFont="1" applyFill="1" applyBorder="1" applyAlignment="1">
      <alignment horizontal="right"/>
    </xf>
    <xf numFmtId="0" fontId="19" fillId="9" borderId="1" xfId="0" applyFont="1" applyFill="1" applyBorder="1" applyAlignment="1">
      <alignment horizontal="center"/>
    </xf>
    <xf numFmtId="0" fontId="19" fillId="9" borderId="1" xfId="0" applyFont="1" applyFill="1" applyBorder="1"/>
    <xf numFmtId="2" fontId="19" fillId="9" borderId="7" xfId="0" applyNumberFormat="1" applyFont="1" applyFill="1" applyBorder="1"/>
    <xf numFmtId="0" fontId="19" fillId="9" borderId="7" xfId="0" applyFont="1" applyFill="1" applyBorder="1"/>
    <xf numFmtId="164" fontId="0" fillId="9" borderId="1" xfId="0" applyNumberFormat="1" applyFill="1" applyBorder="1" applyProtection="1">
      <protection locked="0"/>
    </xf>
    <xf numFmtId="1" fontId="0" fillId="9" borderId="1" xfId="0" applyNumberFormat="1" applyFill="1" applyBorder="1" applyProtection="1">
      <protection locked="0"/>
    </xf>
    <xf numFmtId="166" fontId="1" fillId="3" borderId="1" xfId="0" applyNumberFormat="1" applyFont="1" applyFill="1" applyBorder="1"/>
    <xf numFmtId="1" fontId="7" fillId="9" borderId="0" xfId="0" applyNumberFormat="1" applyFont="1" applyFill="1"/>
    <xf numFmtId="2" fontId="0" fillId="3" borderId="16" xfId="0" applyNumberFormat="1" applyFill="1" applyBorder="1" applyAlignment="1">
      <alignment horizontal="right"/>
    </xf>
    <xf numFmtId="2" fontId="0" fillId="0" borderId="0" xfId="0" applyNumberFormat="1" applyAlignment="1">
      <alignment horizontal="center"/>
    </xf>
    <xf numFmtId="2" fontId="0" fillId="9" borderId="1" xfId="0" applyNumberFormat="1" applyFill="1" applyBorder="1" applyAlignment="1">
      <alignment horizontal="right"/>
    </xf>
    <xf numFmtId="0" fontId="0" fillId="0" borderId="0" xfId="0" applyAlignment="1" applyProtection="1">
      <alignment horizontal="center"/>
      <protection locked="0"/>
    </xf>
    <xf numFmtId="168" fontId="0" fillId="0" borderId="0" xfId="0" applyNumberFormat="1" applyProtection="1">
      <protection locked="0"/>
    </xf>
    <xf numFmtId="0" fontId="19" fillId="2" borderId="1" xfId="0" applyFont="1" applyFill="1" applyBorder="1" applyAlignment="1" applyProtection="1">
      <alignment horizontal="left"/>
      <protection locked="0"/>
    </xf>
    <xf numFmtId="0" fontId="18" fillId="0" borderId="0" xfId="0" applyFont="1" applyAlignment="1">
      <alignment wrapText="1"/>
    </xf>
    <xf numFmtId="2" fontId="11" fillId="0" borderId="0" xfId="0" applyNumberFormat="1" applyFont="1" applyAlignment="1">
      <alignment vertical="center"/>
    </xf>
    <xf numFmtId="165" fontId="7" fillId="9" borderId="1" xfId="0" applyNumberFormat="1" applyFont="1" applyFill="1" applyBorder="1" applyProtection="1">
      <protection locked="0"/>
    </xf>
    <xf numFmtId="166" fontId="7" fillId="9" borderId="1" xfId="0" applyNumberFormat="1" applyFont="1" applyFill="1" applyBorder="1"/>
    <xf numFmtId="1" fontId="0" fillId="9" borderId="1" xfId="0" applyNumberFormat="1" applyFill="1" applyBorder="1"/>
    <xf numFmtId="0" fontId="37" fillId="0" borderId="0" xfId="0" applyFont="1" applyAlignment="1">
      <alignment vertical="center" wrapText="1"/>
    </xf>
    <xf numFmtId="0" fontId="0" fillId="2" borderId="1" xfId="0" applyFill="1" applyBorder="1" applyAlignment="1" applyProtection="1">
      <alignment horizontal="center"/>
      <protection locked="0"/>
    </xf>
    <xf numFmtId="165" fontId="0" fillId="9" borderId="1" xfId="0" applyNumberFormat="1" applyFill="1" applyBorder="1" applyProtection="1">
      <protection locked="0"/>
    </xf>
    <xf numFmtId="0" fontId="97" fillId="0" borderId="0" xfId="0" applyFont="1"/>
    <xf numFmtId="0" fontId="0" fillId="7" borderId="17" xfId="0" applyFill="1" applyBorder="1" applyProtection="1">
      <protection locked="0"/>
    </xf>
    <xf numFmtId="0" fontId="0" fillId="7" borderId="17" xfId="0" applyFill="1" applyBorder="1" applyAlignment="1" applyProtection="1">
      <alignment horizontal="center"/>
      <protection locked="0"/>
    </xf>
    <xf numFmtId="0" fontId="5" fillId="0" borderId="17" xfId="0" applyFont="1" applyBorder="1" applyProtection="1">
      <protection locked="0"/>
    </xf>
    <xf numFmtId="0" fontId="0" fillId="0" borderId="17" xfId="0" applyBorder="1" applyProtection="1">
      <protection locked="0"/>
    </xf>
    <xf numFmtId="0" fontId="0" fillId="0" borderId="17" xfId="0" applyBorder="1" applyAlignment="1" applyProtection="1">
      <alignment horizontal="right"/>
      <protection locked="0"/>
    </xf>
    <xf numFmtId="2" fontId="0" fillId="0" borderId="17" xfId="0" applyNumberFormat="1" applyBorder="1" applyAlignment="1" applyProtection="1">
      <alignment horizontal="right"/>
      <protection locked="0"/>
    </xf>
    <xf numFmtId="0" fontId="1" fillId="9" borderId="17" xfId="0" applyFont="1" applyFill="1" applyBorder="1" applyProtection="1">
      <protection locked="0"/>
    </xf>
    <xf numFmtId="0" fontId="1" fillId="9" borderId="17" xfId="0" applyFont="1" applyFill="1" applyBorder="1" applyAlignment="1" applyProtection="1">
      <alignment horizontal="right"/>
      <protection locked="0"/>
    </xf>
    <xf numFmtId="0" fontId="0" fillId="9" borderId="17" xfId="0" applyFill="1" applyBorder="1" applyProtection="1">
      <protection locked="0"/>
    </xf>
    <xf numFmtId="0" fontId="0" fillId="9" borderId="17" xfId="0" applyFill="1" applyBorder="1" applyAlignment="1" applyProtection="1">
      <alignment horizontal="right"/>
      <protection locked="0"/>
    </xf>
    <xf numFmtId="164" fontId="11" fillId="3" borderId="1" xfId="0" applyNumberFormat="1" applyFont="1" applyFill="1" applyBorder="1" applyAlignment="1">
      <alignment vertical="center"/>
    </xf>
    <xf numFmtId="1" fontId="5" fillId="3" borderId="1" xfId="0" applyNumberFormat="1" applyFont="1" applyFill="1" applyBorder="1" applyAlignment="1">
      <alignment vertical="center"/>
    </xf>
    <xf numFmtId="1" fontId="7" fillId="3" borderId="1" xfId="0" applyNumberFormat="1" applyFont="1" applyFill="1" applyBorder="1" applyProtection="1">
      <protection locked="0"/>
    </xf>
    <xf numFmtId="0" fontId="38" fillId="9" borderId="1" xfId="0" applyFont="1" applyFill="1" applyBorder="1"/>
    <xf numFmtId="2" fontId="0" fillId="9" borderId="16" xfId="0" applyNumberFormat="1" applyFill="1" applyBorder="1" applyAlignment="1" applyProtection="1">
      <alignment horizontal="right"/>
      <protection locked="0"/>
    </xf>
    <xf numFmtId="0" fontId="0" fillId="9" borderId="1" xfId="0" applyFill="1" applyBorder="1" applyAlignment="1">
      <alignment horizontal="left"/>
    </xf>
    <xf numFmtId="2" fontId="25" fillId="9" borderId="1" xfId="0" applyNumberFormat="1" applyFont="1" applyFill="1" applyBorder="1"/>
    <xf numFmtId="0" fontId="18" fillId="0" borderId="0" xfId="0" applyFont="1" applyProtection="1">
      <protection locked="0"/>
    </xf>
    <xf numFmtId="0" fontId="7" fillId="0" borderId="16" xfId="0" applyFont="1" applyBorder="1"/>
    <xf numFmtId="165" fontId="11" fillId="0" borderId="0" xfId="0" applyNumberFormat="1" applyFont="1"/>
    <xf numFmtId="2" fontId="37" fillId="0" borderId="0" xfId="0" applyNumberFormat="1" applyFont="1"/>
    <xf numFmtId="166" fontId="37" fillId="9" borderId="0" xfId="0" applyNumberFormat="1" applyFont="1" applyFill="1"/>
    <xf numFmtId="0" fontId="1" fillId="3" borderId="1" xfId="0" applyFont="1" applyFill="1" applyBorder="1" applyAlignment="1">
      <alignment horizontal="center"/>
    </xf>
    <xf numFmtId="166" fontId="37" fillId="9" borderId="1" xfId="0" applyNumberFormat="1" applyFont="1" applyFill="1" applyBorder="1"/>
    <xf numFmtId="1" fontId="11" fillId="3" borderId="1" xfId="0" applyNumberFormat="1" applyFont="1" applyFill="1" applyBorder="1" applyAlignment="1">
      <alignment vertical="center"/>
    </xf>
    <xf numFmtId="165" fontId="18" fillId="9" borderId="1" xfId="0" applyNumberFormat="1" applyFont="1" applyFill="1" applyBorder="1"/>
    <xf numFmtId="2" fontId="37" fillId="9" borderId="1" xfId="0" applyNumberFormat="1" applyFont="1" applyFill="1" applyBorder="1" applyAlignment="1">
      <alignment vertical="center"/>
    </xf>
    <xf numFmtId="164" fontId="37" fillId="9" borderId="1" xfId="0" applyNumberFormat="1" applyFont="1" applyFill="1" applyBorder="1" applyAlignment="1">
      <alignment vertical="center"/>
    </xf>
    <xf numFmtId="166" fontId="37" fillId="3" borderId="1" xfId="0" applyNumberFormat="1" applyFont="1" applyFill="1" applyBorder="1"/>
    <xf numFmtId="0" fontId="38" fillId="0" borderId="0" xfId="0" applyFont="1"/>
    <xf numFmtId="165" fontId="38" fillId="9" borderId="1" xfId="0" applyNumberFormat="1" applyFont="1" applyFill="1" applyBorder="1" applyProtection="1">
      <protection locked="0"/>
    </xf>
    <xf numFmtId="2" fontId="38" fillId="9" borderId="1" xfId="0" applyNumberFormat="1" applyFont="1" applyFill="1" applyBorder="1" applyProtection="1">
      <protection locked="0"/>
    </xf>
    <xf numFmtId="0" fontId="37" fillId="3" borderId="1" xfId="0" applyFont="1" applyFill="1" applyBorder="1"/>
    <xf numFmtId="0" fontId="0" fillId="0" borderId="0" xfId="0" applyAlignment="1">
      <alignment vertical="center"/>
    </xf>
    <xf numFmtId="165" fontId="18" fillId="3" borderId="1" xfId="0" applyNumberFormat="1" applyFont="1" applyFill="1" applyBorder="1"/>
    <xf numFmtId="0" fontId="7" fillId="3" borderId="1" xfId="0" applyFont="1" applyFill="1" applyBorder="1"/>
    <xf numFmtId="0" fontId="37" fillId="3" borderId="1" xfId="0" applyFont="1" applyFill="1" applyBorder="1" applyAlignment="1">
      <alignment horizontal="right"/>
    </xf>
    <xf numFmtId="0" fontId="101" fillId="9" borderId="16" xfId="0" applyFont="1" applyFill="1" applyBorder="1" applyAlignment="1" applyProtection="1">
      <alignment horizontal="center"/>
      <protection locked="0"/>
    </xf>
    <xf numFmtId="0" fontId="20" fillId="9" borderId="1" xfId="0" applyFont="1" applyFill="1" applyBorder="1"/>
    <xf numFmtId="0" fontId="25" fillId="9" borderId="1" xfId="0" applyFont="1" applyFill="1" applyBorder="1"/>
    <xf numFmtId="0" fontId="19" fillId="9" borderId="16" xfId="0" applyFont="1" applyFill="1" applyBorder="1"/>
    <xf numFmtId="0" fontId="19" fillId="9" borderId="12" xfId="0" applyFont="1" applyFill="1" applyBorder="1"/>
    <xf numFmtId="0" fontId="1" fillId="9" borderId="16" xfId="0" applyFont="1" applyFill="1" applyBorder="1" applyAlignment="1">
      <alignment horizontal="center"/>
    </xf>
    <xf numFmtId="0" fontId="1" fillId="2" borderId="16" xfId="0" applyFont="1" applyFill="1" applyBorder="1" applyAlignment="1" applyProtection="1">
      <alignment horizontal="center"/>
      <protection locked="0"/>
    </xf>
    <xf numFmtId="0" fontId="10" fillId="0" borderId="0" xfId="0" applyFont="1" applyAlignment="1" applyProtection="1">
      <alignment horizontal="center"/>
      <protection locked="0"/>
    </xf>
    <xf numFmtId="0" fontId="1" fillId="0" borderId="16" xfId="0" applyFont="1" applyBorder="1"/>
    <xf numFmtId="0" fontId="10" fillId="9" borderId="16" xfId="0" applyFont="1" applyFill="1" applyBorder="1" applyAlignment="1">
      <alignment horizontal="center"/>
    </xf>
    <xf numFmtId="164" fontId="11" fillId="3" borderId="1" xfId="0" applyNumberFormat="1" applyFont="1" applyFill="1" applyBorder="1"/>
    <xf numFmtId="164" fontId="18" fillId="9" borderId="1" xfId="0" applyNumberFormat="1" applyFont="1" applyFill="1" applyBorder="1"/>
    <xf numFmtId="164" fontId="11" fillId="9" borderId="1" xfId="0" applyNumberFormat="1" applyFont="1" applyFill="1" applyBorder="1"/>
    <xf numFmtId="2" fontId="5" fillId="3" borderId="1" xfId="0" applyNumberFormat="1" applyFont="1" applyFill="1" applyBorder="1" applyAlignment="1">
      <alignment vertical="center"/>
    </xf>
    <xf numFmtId="0" fontId="7" fillId="0" borderId="0" xfId="0" applyFont="1" applyAlignment="1">
      <alignment vertical="center" wrapText="1"/>
    </xf>
    <xf numFmtId="2" fontId="18" fillId="3" borderId="1" xfId="0" applyNumberFormat="1" applyFont="1" applyFill="1" applyBorder="1"/>
    <xf numFmtId="2" fontId="37" fillId="3" borderId="1" xfId="0" applyNumberFormat="1" applyFont="1" applyFill="1" applyBorder="1"/>
    <xf numFmtId="166" fontId="0" fillId="9" borderId="0" xfId="0" applyNumberFormat="1" applyFill="1"/>
    <xf numFmtId="1" fontId="11" fillId="9" borderId="1" xfId="0" applyNumberFormat="1" applyFont="1" applyFill="1" applyBorder="1"/>
    <xf numFmtId="0" fontId="0" fillId="0" borderId="18" xfId="0" applyBorder="1" applyProtection="1">
      <protection locked="0"/>
    </xf>
    <xf numFmtId="0" fontId="102" fillId="0" borderId="0" xfId="0" applyFont="1"/>
    <xf numFmtId="0" fontId="103" fillId="0" borderId="0" xfId="0" applyFont="1"/>
    <xf numFmtId="0" fontId="104" fillId="9" borderId="1" xfId="0" applyFont="1" applyFill="1" applyBorder="1" applyAlignment="1">
      <alignment horizontal="right"/>
    </xf>
    <xf numFmtId="0" fontId="104" fillId="0" borderId="0" xfId="0" applyFont="1" applyAlignment="1">
      <alignment horizontal="right"/>
    </xf>
    <xf numFmtId="170" fontId="52" fillId="9" borderId="0" xfId="0" applyNumberFormat="1" applyFont="1" applyFill="1" applyAlignment="1">
      <alignment horizontal="right"/>
    </xf>
    <xf numFmtId="2" fontId="52" fillId="9" borderId="0" xfId="0" applyNumberFormat="1" applyFont="1" applyFill="1" applyAlignment="1">
      <alignment horizontal="right"/>
    </xf>
    <xf numFmtId="0" fontId="52" fillId="9" borderId="0" xfId="0" applyFont="1" applyFill="1" applyAlignment="1">
      <alignment horizontal="right"/>
    </xf>
    <xf numFmtId="2" fontId="52" fillId="9" borderId="1" xfId="0" applyNumberFormat="1" applyFont="1" applyFill="1" applyBorder="1"/>
    <xf numFmtId="164" fontId="52" fillId="9" borderId="1" xfId="0" applyNumberFormat="1" applyFont="1" applyFill="1" applyBorder="1"/>
    <xf numFmtId="165" fontId="52" fillId="9" borderId="1" xfId="0" applyNumberFormat="1" applyFont="1" applyFill="1" applyBorder="1"/>
    <xf numFmtId="0" fontId="52" fillId="9" borderId="1" xfId="0" applyFont="1" applyFill="1" applyBorder="1"/>
    <xf numFmtId="0" fontId="105" fillId="0" borderId="0" xfId="0" applyFont="1"/>
    <xf numFmtId="0" fontId="52" fillId="0" borderId="0" xfId="0" applyFont="1" applyAlignment="1">
      <alignment horizontal="right"/>
    </xf>
    <xf numFmtId="166" fontId="52" fillId="9" borderId="0" xfId="0" applyNumberFormat="1" applyFont="1" applyFill="1" applyAlignment="1">
      <alignment horizontal="right"/>
    </xf>
    <xf numFmtId="0" fontId="7" fillId="3" borderId="1" xfId="0" applyFont="1" applyFill="1" applyBorder="1" applyAlignment="1">
      <alignment horizontal="right"/>
    </xf>
    <xf numFmtId="2" fontId="37" fillId="0" borderId="0" xfId="0" applyNumberFormat="1" applyFont="1" applyProtection="1">
      <protection locked="0"/>
    </xf>
    <xf numFmtId="0" fontId="54" fillId="0" borderId="0" xfId="0" applyFont="1"/>
    <xf numFmtId="165" fontId="54" fillId="0" borderId="0" xfId="0" applyNumberFormat="1" applyFont="1"/>
    <xf numFmtId="0" fontId="52" fillId="0" borderId="0" xfId="0" applyFont="1" applyAlignment="1">
      <alignment wrapText="1"/>
    </xf>
    <xf numFmtId="165" fontId="52" fillId="9" borderId="1" xfId="0" applyNumberFormat="1" applyFont="1" applyFill="1" applyBorder="1" applyAlignment="1">
      <alignment horizontal="right"/>
    </xf>
    <xf numFmtId="166" fontId="52" fillId="9" borderId="1" xfId="0" applyNumberFormat="1" applyFont="1" applyFill="1" applyBorder="1" applyAlignment="1">
      <alignment horizontal="right"/>
    </xf>
    <xf numFmtId="0" fontId="52" fillId="9" borderId="1" xfId="0" applyFont="1" applyFill="1" applyBorder="1" applyAlignment="1">
      <alignment horizontal="right"/>
    </xf>
    <xf numFmtId="1" fontId="7" fillId="3" borderId="1" xfId="0" applyNumberFormat="1" applyFont="1" applyFill="1" applyBorder="1" applyAlignment="1">
      <alignment horizontal="right"/>
    </xf>
    <xf numFmtId="165" fontId="7" fillId="9" borderId="0" xfId="0" applyNumberFormat="1" applyFont="1" applyFill="1"/>
    <xf numFmtId="164" fontId="52" fillId="9" borderId="1" xfId="0" applyNumberFormat="1" applyFont="1" applyFill="1" applyBorder="1" applyAlignment="1">
      <alignment horizontal="right"/>
    </xf>
    <xf numFmtId="0" fontId="52" fillId="2" borderId="1" xfId="0" applyFont="1" applyFill="1" applyBorder="1" applyAlignment="1" applyProtection="1">
      <alignment horizontal="right"/>
      <protection locked="0"/>
    </xf>
    <xf numFmtId="2" fontId="19" fillId="3" borderId="1" xfId="0" applyNumberFormat="1" applyFont="1" applyFill="1" applyBorder="1"/>
    <xf numFmtId="2" fontId="52" fillId="3" borderId="1" xfId="0" applyNumberFormat="1" applyFont="1" applyFill="1" applyBorder="1"/>
    <xf numFmtId="0" fontId="19" fillId="9" borderId="0" xfId="0" applyFont="1" applyFill="1" applyProtection="1">
      <protection locked="0"/>
    </xf>
    <xf numFmtId="2" fontId="52" fillId="9" borderId="1" xfId="0" applyNumberFormat="1" applyFont="1" applyFill="1" applyBorder="1" applyProtection="1">
      <protection locked="0"/>
    </xf>
    <xf numFmtId="0" fontId="19" fillId="9" borderId="0" xfId="0" applyFont="1" applyFill="1"/>
    <xf numFmtId="0" fontId="53" fillId="9" borderId="0" xfId="0" applyFont="1" applyFill="1"/>
    <xf numFmtId="2" fontId="52" fillId="9" borderId="0" xfId="0" applyNumberFormat="1" applyFont="1" applyFill="1" applyProtection="1">
      <protection locked="0"/>
    </xf>
    <xf numFmtId="166" fontId="52" fillId="9" borderId="1" xfId="0" applyNumberFormat="1" applyFont="1" applyFill="1" applyBorder="1" applyAlignment="1" applyProtection="1">
      <alignment horizontal="right"/>
      <protection locked="0"/>
    </xf>
    <xf numFmtId="11" fontId="7" fillId="9" borderId="0" xfId="0" applyNumberFormat="1" applyFont="1" applyFill="1"/>
    <xf numFmtId="2" fontId="7" fillId="9" borderId="0" xfId="0" applyNumberFormat="1" applyFont="1" applyFill="1"/>
    <xf numFmtId="166" fontId="7" fillId="9" borderId="0" xfId="0" applyNumberFormat="1" applyFont="1" applyFill="1"/>
    <xf numFmtId="0" fontId="10" fillId="9" borderId="0" xfId="0" applyFont="1" applyFill="1"/>
    <xf numFmtId="0" fontId="7" fillId="0" borderId="1" xfId="1" applyFont="1" applyFill="1" applyBorder="1"/>
    <xf numFmtId="0" fontId="7" fillId="2" borderId="1" xfId="1" applyFont="1" applyFill="1" applyBorder="1" applyProtection="1">
      <protection locked="0"/>
    </xf>
    <xf numFmtId="0" fontId="15" fillId="0" borderId="1" xfId="1" applyFill="1" applyBorder="1"/>
    <xf numFmtId="0" fontId="7" fillId="2" borderId="1" xfId="1" applyNumberFormat="1" applyFont="1" applyFill="1" applyBorder="1" applyProtection="1">
      <protection locked="0"/>
    </xf>
    <xf numFmtId="0" fontId="10" fillId="0" borderId="0" xfId="1" applyFont="1" applyFill="1" applyBorder="1"/>
    <xf numFmtId="0" fontId="7" fillId="0" borderId="0" xfId="1" applyFont="1" applyFill="1" applyBorder="1"/>
    <xf numFmtId="0" fontId="15" fillId="0" borderId="0" xfId="1" applyFill="1" applyBorder="1"/>
    <xf numFmtId="0" fontId="10" fillId="0" borderId="19" xfId="4" applyFont="1" applyFill="1" applyBorder="1"/>
    <xf numFmtId="165" fontId="7" fillId="9" borderId="1" xfId="1" applyNumberFormat="1" applyFont="1" applyFill="1" applyBorder="1"/>
    <xf numFmtId="0" fontId="10" fillId="0" borderId="20" xfId="4" applyFont="1" applyFill="1" applyBorder="1"/>
    <xf numFmtId="0" fontId="72" fillId="0" borderId="11" xfId="0" applyFont="1" applyBorder="1"/>
    <xf numFmtId="2" fontId="7" fillId="2" borderId="1" xfId="1" applyNumberFormat="1" applyFont="1" applyFill="1" applyBorder="1" applyAlignment="1" applyProtection="1">
      <alignment horizontal="right"/>
      <protection locked="0"/>
    </xf>
    <xf numFmtId="1" fontId="7" fillId="2" borderId="1" xfId="1" applyNumberFormat="1" applyFont="1" applyFill="1" applyBorder="1" applyAlignment="1" applyProtection="1">
      <alignment horizontal="right"/>
      <protection locked="0"/>
    </xf>
    <xf numFmtId="0" fontId="7" fillId="9" borderId="0" xfId="1" applyFont="1" applyFill="1" applyBorder="1" applyAlignment="1" applyProtection="1">
      <alignment horizontal="right"/>
    </xf>
    <xf numFmtId="164" fontId="7" fillId="2" borderId="1" xfId="1" applyNumberFormat="1" applyFont="1" applyFill="1" applyBorder="1" applyAlignment="1" applyProtection="1">
      <alignment horizontal="right"/>
      <protection locked="0"/>
    </xf>
    <xf numFmtId="0" fontId="0" fillId="7" borderId="11" xfId="0" applyFill="1" applyBorder="1"/>
    <xf numFmtId="1" fontId="7" fillId="7" borderId="0" xfId="1" applyNumberFormat="1" applyFont="1" applyFill="1" applyBorder="1" applyAlignment="1" applyProtection="1">
      <alignment horizontal="right"/>
      <protection locked="0"/>
    </xf>
    <xf numFmtId="0" fontId="39" fillId="0" borderId="0" xfId="0" applyFont="1" applyAlignment="1">
      <alignment horizontal="left"/>
    </xf>
    <xf numFmtId="0" fontId="19" fillId="0" borderId="0" xfId="0" applyFont="1" applyAlignment="1">
      <alignment horizontal="left" vertical="center"/>
    </xf>
    <xf numFmtId="0" fontId="107" fillId="9" borderId="0" xfId="0" applyFont="1" applyFill="1" applyAlignment="1">
      <alignment horizontal="left"/>
    </xf>
    <xf numFmtId="2" fontId="52" fillId="9" borderId="1" xfId="1" applyNumberFormat="1" applyFont="1" applyFill="1" applyBorder="1" applyAlignment="1" applyProtection="1">
      <alignment horizontal="right"/>
    </xf>
    <xf numFmtId="165" fontId="52" fillId="9" borderId="1" xfId="1" applyNumberFormat="1" applyFont="1" applyFill="1" applyBorder="1" applyAlignment="1" applyProtection="1">
      <alignment horizontal="right"/>
    </xf>
    <xf numFmtId="165" fontId="7" fillId="9" borderId="1" xfId="1" applyNumberFormat="1" applyFont="1" applyFill="1" applyBorder="1" applyAlignment="1" applyProtection="1">
      <alignment horizontal="right"/>
    </xf>
    <xf numFmtId="0" fontId="39" fillId="9" borderId="0" xfId="0" applyFont="1" applyFill="1" applyAlignment="1">
      <alignment horizontal="left"/>
    </xf>
    <xf numFmtId="165" fontId="0" fillId="9" borderId="1" xfId="0" applyNumberFormat="1" applyFill="1" applyBorder="1" applyAlignment="1">
      <alignment horizontal="right"/>
    </xf>
    <xf numFmtId="165" fontId="7" fillId="2" borderId="1" xfId="1" applyNumberFormat="1" applyFont="1" applyFill="1" applyBorder="1" applyAlignment="1" applyProtection="1">
      <alignment horizontal="right"/>
      <protection locked="0"/>
    </xf>
    <xf numFmtId="1" fontId="52" fillId="9" borderId="1" xfId="1" applyNumberFormat="1" applyFont="1" applyFill="1" applyBorder="1" applyAlignment="1" applyProtection="1">
      <alignment horizontal="right"/>
    </xf>
    <xf numFmtId="0" fontId="21" fillId="0" borderId="0" xfId="0" applyFont="1" applyAlignment="1">
      <alignment horizontal="left"/>
    </xf>
    <xf numFmtId="1" fontId="7" fillId="2" borderId="16" xfId="1" applyNumberFormat="1" applyFont="1" applyFill="1" applyBorder="1" applyAlignment="1" applyProtection="1">
      <alignment horizontal="right"/>
      <protection locked="0"/>
    </xf>
    <xf numFmtId="166" fontId="52" fillId="9" borderId="1" xfId="1" applyNumberFormat="1" applyFont="1" applyFill="1" applyBorder="1" applyAlignment="1" applyProtection="1">
      <alignment horizontal="right"/>
    </xf>
    <xf numFmtId="0" fontId="21" fillId="0" borderId="0" xfId="0" applyFont="1" applyAlignment="1">
      <alignment horizontal="left" vertical="center"/>
    </xf>
    <xf numFmtId="164" fontId="52" fillId="9" borderId="1" xfId="1" applyNumberFormat="1" applyFont="1" applyFill="1" applyBorder="1" applyAlignment="1" applyProtection="1">
      <alignment horizontal="right"/>
    </xf>
    <xf numFmtId="165" fontId="19" fillId="9" borderId="1" xfId="1" applyNumberFormat="1" applyFont="1" applyFill="1" applyBorder="1" applyAlignment="1" applyProtection="1">
      <alignment horizontal="right"/>
    </xf>
    <xf numFmtId="164" fontId="108" fillId="9" borderId="1" xfId="1" applyNumberFormat="1" applyFont="1" applyFill="1" applyBorder="1" applyAlignment="1" applyProtection="1">
      <alignment horizontal="right"/>
    </xf>
    <xf numFmtId="11" fontId="19" fillId="9" borderId="1" xfId="1" applyNumberFormat="1" applyFont="1" applyFill="1" applyBorder="1" applyAlignment="1" applyProtection="1">
      <alignment horizontal="right"/>
    </xf>
    <xf numFmtId="1" fontId="104" fillId="9" borderId="1" xfId="1" applyNumberFormat="1" applyFont="1" applyFill="1" applyBorder="1" applyAlignment="1" applyProtection="1">
      <alignment horizontal="right"/>
    </xf>
    <xf numFmtId="0" fontId="25" fillId="0" borderId="0" xfId="0" applyFont="1"/>
    <xf numFmtId="164" fontId="0" fillId="9" borderId="0" xfId="0" applyNumberFormat="1" applyFill="1"/>
    <xf numFmtId="1" fontId="0" fillId="3" borderId="1" xfId="0" applyNumberFormat="1" applyFill="1" applyBorder="1" applyAlignment="1">
      <alignment horizontal="right"/>
    </xf>
    <xf numFmtId="169" fontId="0" fillId="3" borderId="1" xfId="6" applyNumberFormat="1" applyFont="1" applyFill="1" applyBorder="1" applyAlignment="1">
      <alignment horizontal="right"/>
    </xf>
    <xf numFmtId="10" fontId="0" fillId="3" borderId="1" xfId="6" applyNumberFormat="1" applyFont="1" applyFill="1" applyBorder="1" applyAlignment="1">
      <alignment horizontal="right"/>
    </xf>
    <xf numFmtId="2" fontId="20" fillId="3" borderId="1" xfId="0" applyNumberFormat="1" applyFont="1" applyFill="1" applyBorder="1" applyAlignment="1">
      <alignment horizontal="right"/>
    </xf>
    <xf numFmtId="165" fontId="20" fillId="3" borderId="1" xfId="0" applyNumberFormat="1" applyFont="1" applyFill="1" applyBorder="1" applyAlignment="1">
      <alignment horizontal="right"/>
    </xf>
    <xf numFmtId="165" fontId="20" fillId="3" borderId="1" xfId="0" applyNumberFormat="1" applyFont="1" applyFill="1" applyBorder="1" applyAlignment="1">
      <alignment horizontal="right" vertical="center"/>
    </xf>
    <xf numFmtId="2" fontId="20" fillId="3" borderId="1" xfId="0" applyNumberFormat="1" applyFont="1" applyFill="1" applyBorder="1" applyAlignment="1">
      <alignment horizontal="right" vertical="center"/>
    </xf>
    <xf numFmtId="164" fontId="20" fillId="9" borderId="0" xfId="0" applyNumberFormat="1" applyFont="1" applyFill="1"/>
    <xf numFmtId="165" fontId="20" fillId="9" borderId="0" xfId="0" applyNumberFormat="1" applyFont="1" applyFill="1"/>
    <xf numFmtId="1" fontId="20" fillId="9" borderId="0" xfId="0" applyNumberFormat="1" applyFont="1" applyFill="1"/>
    <xf numFmtId="0" fontId="20" fillId="9" borderId="0" xfId="0" applyFont="1" applyFill="1"/>
    <xf numFmtId="166" fontId="20" fillId="9" borderId="0" xfId="0" applyNumberFormat="1" applyFont="1" applyFill="1"/>
    <xf numFmtId="166" fontId="45" fillId="9" borderId="0" xfId="0" applyNumberFormat="1" applyFont="1" applyFill="1"/>
    <xf numFmtId="0" fontId="52" fillId="0" borderId="1" xfId="1" applyFont="1" applyFill="1" applyBorder="1" applyAlignment="1" applyProtection="1">
      <alignment horizontal="right"/>
    </xf>
    <xf numFmtId="1" fontId="20" fillId="3" borderId="1" xfId="0" applyNumberFormat="1" applyFont="1" applyFill="1" applyBorder="1" applyAlignment="1">
      <alignment horizontal="right"/>
    </xf>
    <xf numFmtId="1" fontId="19" fillId="3" borderId="1" xfId="0" applyNumberFormat="1" applyFont="1" applyFill="1" applyBorder="1" applyAlignment="1">
      <alignment horizontal="center"/>
    </xf>
    <xf numFmtId="164" fontId="20" fillId="3" borderId="1" xfId="0" applyNumberFormat="1" applyFont="1" applyFill="1" applyBorder="1" applyAlignment="1">
      <alignment horizontal="right"/>
    </xf>
    <xf numFmtId="1" fontId="104" fillId="9" borderId="1" xfId="1" applyNumberFormat="1" applyFont="1" applyFill="1" applyBorder="1" applyAlignment="1" applyProtection="1">
      <alignment horizontal="left"/>
    </xf>
    <xf numFmtId="165" fontId="52" fillId="9" borderId="1" xfId="1" applyNumberFormat="1" applyFont="1" applyFill="1" applyBorder="1" applyAlignment="1" applyProtection="1">
      <alignment horizontal="left"/>
    </xf>
    <xf numFmtId="1" fontId="20" fillId="3" borderId="1" xfId="0" applyNumberFormat="1" applyFont="1" applyFill="1" applyBorder="1" applyAlignment="1">
      <alignment horizontal="right" vertical="center"/>
    </xf>
    <xf numFmtId="165" fontId="28" fillId="0" borderId="0" xfId="0" applyNumberFormat="1" applyFont="1"/>
    <xf numFmtId="165" fontId="95" fillId="0" borderId="0" xfId="0" applyNumberFormat="1" applyFont="1"/>
    <xf numFmtId="165" fontId="19" fillId="0" borderId="0" xfId="0" applyNumberFormat="1" applyFont="1"/>
    <xf numFmtId="165" fontId="52" fillId="0" borderId="0" xfId="0" applyNumberFormat="1" applyFont="1"/>
    <xf numFmtId="2" fontId="99" fillId="9" borderId="0" xfId="0" applyNumberFormat="1" applyFont="1" applyFill="1"/>
    <xf numFmtId="165" fontId="88" fillId="9" borderId="0" xfId="0" applyNumberFormat="1" applyFont="1" applyFill="1"/>
    <xf numFmtId="0" fontId="88" fillId="9" borderId="0" xfId="0" applyFont="1" applyFill="1"/>
    <xf numFmtId="165" fontId="7" fillId="2" borderId="16" xfId="1" applyNumberFormat="1" applyFont="1" applyFill="1" applyBorder="1" applyAlignment="1" applyProtection="1">
      <alignment horizontal="right"/>
      <protection locked="0"/>
    </xf>
    <xf numFmtId="0" fontId="0" fillId="2" borderId="1" xfId="0" applyFill="1" applyBorder="1" applyAlignment="1" applyProtection="1">
      <alignment vertical="center"/>
      <protection locked="0"/>
    </xf>
    <xf numFmtId="0" fontId="0" fillId="2" borderId="11" xfId="0" applyFill="1" applyBorder="1" applyProtection="1">
      <protection locked="0"/>
    </xf>
    <xf numFmtId="0" fontId="0" fillId="9" borderId="1" xfId="0" applyFill="1" applyBorder="1" applyAlignment="1">
      <alignment vertical="center"/>
    </xf>
    <xf numFmtId="164" fontId="20" fillId="3" borderId="1" xfId="0" applyNumberFormat="1" applyFont="1" applyFill="1" applyBorder="1" applyAlignment="1">
      <alignment horizontal="right" vertical="center"/>
    </xf>
    <xf numFmtId="2" fontId="10" fillId="3" borderId="19" xfId="4" applyNumberFormat="1" applyFont="1" applyFill="1" applyBorder="1"/>
    <xf numFmtId="0" fontId="7" fillId="0" borderId="21" xfId="4" applyFont="1" applyFill="1" applyBorder="1"/>
    <xf numFmtId="0" fontId="7" fillId="0" borderId="19" xfId="4" applyFont="1" applyFill="1" applyBorder="1"/>
    <xf numFmtId="2" fontId="10" fillId="3" borderId="7" xfId="4" applyNumberFormat="1" applyFont="1" applyFill="1" applyBorder="1"/>
    <xf numFmtId="0" fontId="0" fillId="0" borderId="16" xfId="0" applyBorder="1"/>
    <xf numFmtId="2" fontId="0" fillId="9" borderId="16" xfId="0" applyNumberFormat="1" applyFill="1" applyBorder="1"/>
    <xf numFmtId="0" fontId="10" fillId="0" borderId="0" xfId="4" applyFont="1" applyFill="1" applyBorder="1"/>
    <xf numFmtId="0" fontId="7" fillId="0" borderId="0" xfId="4" applyFont="1" applyFill="1" applyBorder="1"/>
    <xf numFmtId="2" fontId="10" fillId="0" borderId="0" xfId="4" applyNumberFormat="1" applyFont="1" applyFill="1" applyBorder="1"/>
    <xf numFmtId="165" fontId="7" fillId="3" borderId="1" xfId="1" applyNumberFormat="1" applyFont="1" applyFill="1" applyBorder="1" applyProtection="1">
      <protection locked="0"/>
    </xf>
    <xf numFmtId="164" fontId="7" fillId="3" borderId="1" xfId="1" applyNumberFormat="1" applyFont="1" applyFill="1" applyBorder="1"/>
    <xf numFmtId="0" fontId="1" fillId="3" borderId="1" xfId="0" applyFont="1" applyFill="1" applyBorder="1"/>
    <xf numFmtId="0" fontId="19" fillId="3" borderId="0" xfId="0" applyFont="1" applyFill="1"/>
    <xf numFmtId="166" fontId="19" fillId="3" borderId="1" xfId="0" applyNumberFormat="1" applyFont="1" applyFill="1" applyBorder="1"/>
    <xf numFmtId="166" fontId="19" fillId="3" borderId="7" xfId="0" applyNumberFormat="1" applyFont="1" applyFill="1" applyBorder="1"/>
    <xf numFmtId="166" fontId="0" fillId="13" borderId="1" xfId="0" applyNumberFormat="1" applyFill="1" applyBorder="1"/>
    <xf numFmtId="0" fontId="39" fillId="9" borderId="1" xfId="0" applyFont="1" applyFill="1" applyBorder="1"/>
    <xf numFmtId="170" fontId="0" fillId="0" borderId="0" xfId="0" applyNumberFormat="1"/>
    <xf numFmtId="172" fontId="0" fillId="0" borderId="0" xfId="0" applyNumberFormat="1"/>
    <xf numFmtId="0" fontId="110" fillId="9" borderId="1" xfId="0" applyFont="1" applyFill="1" applyBorder="1"/>
    <xf numFmtId="0" fontId="111" fillId="0" borderId="0" xfId="0" applyFont="1"/>
    <xf numFmtId="0" fontId="1" fillId="9" borderId="16" xfId="0" applyFont="1" applyFill="1" applyBorder="1"/>
    <xf numFmtId="165" fontId="0" fillId="3" borderId="16" xfId="0" applyNumberFormat="1" applyFill="1" applyBorder="1"/>
    <xf numFmtId="0" fontId="1" fillId="9" borderId="7" xfId="0" applyFont="1" applyFill="1" applyBorder="1"/>
    <xf numFmtId="165" fontId="0" fillId="3" borderId="7" xfId="0" applyNumberFormat="1" applyFill="1" applyBorder="1"/>
    <xf numFmtId="0" fontId="1" fillId="0" borderId="22" xfId="0" applyFont="1" applyBorder="1"/>
    <xf numFmtId="165" fontId="0" fillId="0" borderId="22" xfId="0" applyNumberFormat="1" applyBorder="1"/>
    <xf numFmtId="0" fontId="20" fillId="0" borderId="15" xfId="0" applyFont="1" applyBorder="1"/>
    <xf numFmtId="165" fontId="20" fillId="9" borderId="0" xfId="0" applyNumberFormat="1" applyFont="1" applyFill="1" applyAlignment="1">
      <alignment horizontal="right"/>
    </xf>
    <xf numFmtId="0" fontId="23" fillId="9" borderId="1" xfId="0" applyFont="1" applyFill="1" applyBorder="1" applyAlignment="1" applyProtection="1">
      <alignment horizontal="center"/>
      <protection locked="0"/>
    </xf>
    <xf numFmtId="166" fontId="0" fillId="9" borderId="1" xfId="0" applyNumberFormat="1" applyFill="1" applyBorder="1" applyAlignment="1" applyProtection="1">
      <alignment horizontal="right"/>
      <protection locked="0"/>
    </xf>
    <xf numFmtId="0" fontId="23" fillId="0" borderId="1" xfId="0" applyFont="1" applyBorder="1" applyAlignment="1" applyProtection="1">
      <alignment horizontal="center"/>
      <protection locked="0"/>
    </xf>
    <xf numFmtId="165" fontId="18" fillId="9" borderId="1" xfId="0" applyNumberFormat="1" applyFont="1" applyFill="1" applyBorder="1" applyAlignment="1" applyProtection="1">
      <alignment horizontal="right"/>
      <protection locked="0"/>
    </xf>
    <xf numFmtId="1" fontId="0" fillId="9" borderId="1" xfId="0" applyNumberFormat="1" applyFill="1" applyBorder="1" applyAlignment="1">
      <alignment horizontal="right"/>
    </xf>
    <xf numFmtId="0" fontId="52" fillId="0" borderId="1" xfId="0" applyFont="1" applyBorder="1" applyAlignment="1">
      <alignment horizontal="center"/>
    </xf>
    <xf numFmtId="164" fontId="112" fillId="2" borderId="1" xfId="0" applyNumberFormat="1" applyFont="1" applyFill="1" applyBorder="1" applyAlignment="1" applyProtection="1">
      <alignment horizontal="right"/>
      <protection locked="0"/>
    </xf>
    <xf numFmtId="1" fontId="112" fillId="2" borderId="1" xfId="0" applyNumberFormat="1" applyFont="1" applyFill="1" applyBorder="1" applyAlignment="1" applyProtection="1">
      <alignment horizontal="right"/>
      <protection locked="0"/>
    </xf>
    <xf numFmtId="0" fontId="112" fillId="2" borderId="1" xfId="0" applyFont="1" applyFill="1" applyBorder="1" applyAlignment="1" applyProtection="1">
      <alignment horizontal="right"/>
      <protection locked="0"/>
    </xf>
    <xf numFmtId="2"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pplyProtection="1">
      <alignment horizontal="right"/>
      <protection locked="0"/>
    </xf>
    <xf numFmtId="165" fontId="113" fillId="9" borderId="1" xfId="0" applyNumberFormat="1" applyFont="1" applyFill="1" applyBorder="1" applyAlignment="1" applyProtection="1">
      <alignment horizontal="right"/>
      <protection locked="0"/>
    </xf>
    <xf numFmtId="165"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lignment horizontal="right"/>
    </xf>
    <xf numFmtId="165" fontId="113" fillId="9" borderId="1" xfId="0" applyNumberFormat="1" applyFont="1" applyFill="1" applyBorder="1" applyAlignment="1">
      <alignment horizontal="right"/>
    </xf>
    <xf numFmtId="0" fontId="114" fillId="2" borderId="1" xfId="0" applyFont="1" applyFill="1" applyBorder="1" applyAlignment="1" applyProtection="1">
      <alignment horizontal="center"/>
      <protection locked="0"/>
    </xf>
    <xf numFmtId="2" fontId="0" fillId="2" borderId="1" xfId="0" applyNumberFormat="1" applyFill="1" applyBorder="1" applyAlignment="1">
      <alignment horizontal="left"/>
    </xf>
    <xf numFmtId="2" fontId="0" fillId="0" borderId="1" xfId="0" applyNumberFormat="1" applyBorder="1" applyAlignment="1">
      <alignment horizontal="center"/>
    </xf>
    <xf numFmtId="164" fontId="0" fillId="3" borderId="0" xfId="0" applyNumberFormat="1" applyFill="1"/>
    <xf numFmtId="0" fontId="4" fillId="3" borderId="0" xfId="0" applyFont="1" applyFill="1"/>
    <xf numFmtId="166" fontId="0" fillId="11" borderId="1" xfId="0" applyNumberFormat="1" applyFill="1" applyBorder="1"/>
    <xf numFmtId="166" fontId="7" fillId="14" borderId="1" xfId="0" applyNumberFormat="1" applyFont="1" applyFill="1" applyBorder="1"/>
    <xf numFmtId="0" fontId="5" fillId="12" borderId="1" xfId="0" applyFont="1" applyFill="1" applyBorder="1"/>
    <xf numFmtId="0" fontId="1" fillId="9" borderId="11" xfId="0" applyFont="1" applyFill="1" applyBorder="1" applyAlignment="1" applyProtection="1">
      <alignment horizontal="right"/>
      <protection locked="0"/>
    </xf>
    <xf numFmtId="0" fontId="1" fillId="9" borderId="1" xfId="0" applyFont="1" applyFill="1" applyBorder="1" applyAlignment="1" applyProtection="1">
      <alignment horizontal="right"/>
      <protection locked="0"/>
    </xf>
    <xf numFmtId="0" fontId="0" fillId="9" borderId="11" xfId="0" applyFill="1" applyBorder="1" applyProtection="1">
      <protection locked="0"/>
    </xf>
    <xf numFmtId="0" fontId="1" fillId="0" borderId="0" xfId="0" applyFont="1" applyProtection="1">
      <protection locked="0"/>
    </xf>
    <xf numFmtId="2" fontId="0" fillId="0" borderId="0" xfId="0" applyNumberFormat="1" applyProtection="1">
      <protection locked="0"/>
    </xf>
    <xf numFmtId="1" fontId="93" fillId="9" borderId="0" xfId="0" applyNumberFormat="1" applyFont="1" applyFill="1"/>
    <xf numFmtId="165" fontId="7" fillId="0" borderId="0" xfId="0" applyNumberFormat="1" applyFont="1"/>
    <xf numFmtId="0" fontId="7" fillId="9" borderId="16" xfId="0" applyFont="1" applyFill="1" applyBorder="1"/>
    <xf numFmtId="1" fontId="7" fillId="2" borderId="1" xfId="0" applyNumberFormat="1" applyFont="1" applyFill="1" applyBorder="1" applyProtection="1">
      <protection locked="0"/>
    </xf>
    <xf numFmtId="164" fontId="0" fillId="2" borderId="16" xfId="0" applyNumberFormat="1" applyFill="1" applyBorder="1" applyProtection="1">
      <protection locked="0"/>
    </xf>
    <xf numFmtId="1" fontId="0" fillId="9" borderId="0" xfId="0" applyNumberFormat="1" applyFill="1" applyProtection="1">
      <protection locked="0"/>
    </xf>
    <xf numFmtId="0" fontId="28" fillId="0" borderId="0" xfId="0" applyFont="1" applyProtection="1">
      <protection locked="0"/>
    </xf>
    <xf numFmtId="166" fontId="0" fillId="2" borderId="1" xfId="0" applyNumberFormat="1" applyFill="1" applyBorder="1" applyProtection="1">
      <protection locked="0"/>
    </xf>
    <xf numFmtId="166" fontId="19" fillId="2" borderId="1" xfId="0" applyNumberFormat="1" applyFont="1" applyFill="1" applyBorder="1" applyProtection="1">
      <protection locked="0"/>
    </xf>
    <xf numFmtId="164" fontId="0" fillId="0" borderId="0" xfId="0" applyNumberFormat="1" applyProtection="1">
      <protection locked="0"/>
    </xf>
    <xf numFmtId="166" fontId="19" fillId="0" borderId="0" xfId="0" applyNumberFormat="1" applyFont="1" applyProtection="1">
      <protection locked="0"/>
    </xf>
    <xf numFmtId="0" fontId="112" fillId="0" borderId="0" xfId="0" applyFont="1"/>
    <xf numFmtId="164" fontId="0" fillId="3" borderId="16" xfId="0" applyNumberFormat="1" applyFill="1" applyBorder="1"/>
    <xf numFmtId="0" fontId="1" fillId="0" borderId="1" xfId="0" applyFont="1" applyBorder="1" applyAlignment="1">
      <alignment horizontal="center"/>
    </xf>
    <xf numFmtId="1" fontId="1" fillId="3" borderId="1" xfId="0" applyNumberFormat="1" applyFont="1" applyFill="1" applyBorder="1" applyAlignment="1">
      <alignment horizontal="center"/>
    </xf>
    <xf numFmtId="1" fontId="0" fillId="9" borderId="1" xfId="0" applyNumberFormat="1" applyFill="1" applyBorder="1" applyAlignment="1">
      <alignment horizontal="center"/>
    </xf>
    <xf numFmtId="0" fontId="20" fillId="0" borderId="9" xfId="0" applyFont="1" applyBorder="1"/>
    <xf numFmtId="0" fontId="0" fillId="0" borderId="0" xfId="0" applyAlignment="1" applyProtection="1">
      <alignment vertical="center" wrapText="1"/>
      <protection locked="0"/>
    </xf>
    <xf numFmtId="14" fontId="0" fillId="0" borderId="0" xfId="0" applyNumberFormat="1" applyProtection="1">
      <protection locked="0"/>
    </xf>
    <xf numFmtId="11" fontId="0" fillId="0" borderId="0" xfId="0" applyNumberFormat="1" applyProtection="1">
      <protection locked="0"/>
    </xf>
    <xf numFmtId="0" fontId="19" fillId="0" borderId="1" xfId="0" applyFont="1" applyBorder="1"/>
    <xf numFmtId="0" fontId="74" fillId="0" borderId="0" xfId="0" applyFont="1" applyProtection="1">
      <protection locked="0"/>
    </xf>
    <xf numFmtId="0" fontId="74" fillId="0" borderId="1" xfId="0" applyFont="1" applyBorder="1"/>
    <xf numFmtId="1" fontId="18" fillId="3" borderId="1" xfId="0" applyNumberFormat="1" applyFont="1" applyFill="1" applyBorder="1"/>
    <xf numFmtId="2" fontId="18" fillId="3" borderId="1" xfId="0" applyNumberFormat="1" applyFont="1" applyFill="1" applyBorder="1" applyAlignment="1">
      <alignment horizontal="right"/>
    </xf>
    <xf numFmtId="2" fontId="18" fillId="9" borderId="1" xfId="0" applyNumberFormat="1" applyFont="1" applyFill="1" applyBorder="1"/>
    <xf numFmtId="2" fontId="37" fillId="9" borderId="1" xfId="0" applyNumberFormat="1" applyFont="1" applyFill="1" applyBorder="1" applyProtection="1">
      <protection locked="0"/>
    </xf>
    <xf numFmtId="166" fontId="18" fillId="3" borderId="1" xfId="0" applyNumberFormat="1" applyFont="1" applyFill="1" applyBorder="1"/>
    <xf numFmtId="166" fontId="37" fillId="2" borderId="1" xfId="0" applyNumberFormat="1" applyFont="1" applyFill="1" applyBorder="1" applyProtection="1">
      <protection locked="0"/>
    </xf>
    <xf numFmtId="1" fontId="37" fillId="2" borderId="1" xfId="0" applyNumberFormat="1" applyFont="1" applyFill="1" applyBorder="1" applyProtection="1">
      <protection locked="0"/>
    </xf>
    <xf numFmtId="166" fontId="18" fillId="3" borderId="1" xfId="0" applyNumberFormat="1" applyFont="1" applyFill="1" applyBorder="1" applyAlignment="1">
      <alignment horizontal="right"/>
    </xf>
    <xf numFmtId="0" fontId="26" fillId="0" borderId="0" xfId="0" applyFont="1" applyAlignment="1">
      <alignment vertical="center" wrapText="1"/>
    </xf>
    <xf numFmtId="0" fontId="0" fillId="0" borderId="0" xfId="0" applyAlignment="1">
      <alignment vertical="center" wrapText="1"/>
    </xf>
    <xf numFmtId="0" fontId="11" fillId="0" borderId="4" xfId="0" applyFont="1" applyBorder="1" applyAlignment="1">
      <alignment horizontal="center"/>
    </xf>
    <xf numFmtId="0" fontId="22" fillId="0" borderId="5" xfId="0" applyFont="1" applyBorder="1" applyAlignment="1">
      <alignment horizontal="center"/>
    </xf>
    <xf numFmtId="0" fontId="22" fillId="0" borderId="6" xfId="0" applyFont="1" applyBorder="1" applyAlignment="1">
      <alignment horizontal="center"/>
    </xf>
    <xf numFmtId="0" fontId="1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19" fillId="0" borderId="0" xfId="0" applyFont="1" applyAlignment="1">
      <alignment horizontal="left" vertical="center"/>
    </xf>
    <xf numFmtId="0" fontId="0" fillId="0" borderId="0" xfId="0"/>
    <xf numFmtId="0" fontId="0" fillId="0" borderId="0" xfId="0" applyAlignment="1">
      <alignment horizontal="left" vertical="center"/>
    </xf>
    <xf numFmtId="0" fontId="0" fillId="0" borderId="0" xfId="0" applyAlignment="1">
      <alignment horizontal="center"/>
    </xf>
    <xf numFmtId="0" fontId="0" fillId="2" borderId="16" xfId="0" applyFill="1" applyBorder="1" applyAlignment="1" applyProtection="1">
      <alignment vertical="center"/>
      <protection locked="0"/>
    </xf>
    <xf numFmtId="0" fontId="0" fillId="2" borderId="7" xfId="0" applyFill="1" applyBorder="1" applyAlignment="1" applyProtection="1">
      <alignment vertical="center"/>
      <protection locked="0"/>
    </xf>
    <xf numFmtId="0" fontId="0" fillId="2" borderId="16" xfId="0" applyFill="1" applyBorder="1" applyAlignment="1">
      <alignment vertical="center"/>
    </xf>
    <xf numFmtId="0" fontId="0" fillId="2" borderId="7" xfId="0" applyFill="1" applyBorder="1" applyAlignment="1">
      <alignment vertical="center"/>
    </xf>
  </cellXfs>
  <cellStyles count="7">
    <cellStyle name="Hyperlink" xfId="3" builtinId="8"/>
    <cellStyle name="Hyperlink 2" xfId="5" xr:uid="{00000000-0005-0000-0000-000001000000}"/>
    <cellStyle name="Input" xfId="1" builtinId="20"/>
    <cellStyle name="Normal" xfId="0" builtinId="0"/>
    <cellStyle name="Note" xfId="2" builtinId="10"/>
    <cellStyle name="Output" xfId="4" builtinId="21"/>
    <cellStyle name="Percent" xfId="6" builtinId="5"/>
  </cellStyles>
  <dxfs count="109">
    <dxf>
      <font>
        <color auto="1"/>
      </font>
      <fill>
        <patternFill>
          <bgColor theme="0" tint="-0.24994659260841701"/>
        </patternFill>
      </fill>
    </dxf>
    <dxf>
      <font>
        <color auto="1"/>
      </font>
      <fill>
        <patternFill>
          <bgColor theme="0" tint="-0.24994659260841701"/>
        </patternFill>
      </fill>
    </dxf>
    <dxf>
      <fill>
        <patternFill>
          <bgColor theme="0" tint="-0.14996795556505021"/>
        </patternFill>
      </fill>
    </dxf>
    <dxf>
      <font>
        <color rgb="FF9C0006"/>
      </font>
      <fill>
        <patternFill>
          <bgColor rgb="FFFFC7CE"/>
        </patternFill>
      </fill>
    </dxf>
    <dxf>
      <font>
        <color auto="1"/>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9" tint="-0.499984740745262"/>
      </font>
      <fill>
        <patternFill>
          <bgColor rgb="FFFFC000"/>
        </patternFill>
      </fill>
    </dxf>
    <dxf>
      <font>
        <color rgb="FFFF0000"/>
      </font>
      <numFmt numFmtId="30" formatCode="@"/>
    </dxf>
    <dxf>
      <font>
        <color rgb="FF9C0006"/>
      </font>
      <fill>
        <patternFill>
          <bgColor rgb="FFFFC7CE"/>
        </patternFill>
      </fill>
    </dxf>
    <dxf>
      <font>
        <color rgb="FF9C0006"/>
      </font>
      <fill>
        <patternFill>
          <bgColor rgb="FFFFC7CE"/>
        </patternFill>
      </fill>
    </dxf>
    <dxf>
      <fill>
        <patternFill>
          <bgColor rgb="FFFFFF00"/>
        </patternFill>
      </fill>
    </dxf>
    <dxf>
      <font>
        <color auto="1"/>
      </font>
    </dxf>
    <dxf>
      <font>
        <color theme="1"/>
      </font>
    </dxf>
    <dxf>
      <font>
        <color theme="0"/>
      </font>
      <fill>
        <patternFill>
          <bgColor theme="0"/>
        </patternFill>
      </fill>
      <border>
        <left/>
        <right/>
        <top/>
        <bottom/>
      </border>
    </dxf>
    <dxf>
      <font>
        <color rgb="FFFF0000"/>
      </font>
      <numFmt numFmtId="30" formatCode="@"/>
    </dxf>
    <dxf>
      <font>
        <color rgb="FFFF0000"/>
      </font>
      <numFmt numFmtId="30" formatCode="@"/>
    </dxf>
    <dxf>
      <font>
        <color rgb="FF9C0006"/>
      </font>
      <fill>
        <patternFill>
          <bgColor rgb="FFFFC7CE"/>
        </patternFill>
      </fill>
    </dxf>
    <dxf>
      <font>
        <color rgb="FF9C0006"/>
      </font>
      <fill>
        <patternFill>
          <bgColor rgb="FFFFC7CE"/>
        </patternFill>
      </fill>
    </dxf>
    <dxf>
      <font>
        <color theme="0"/>
      </font>
      <fill>
        <patternFill>
          <bgColor theme="0"/>
        </patternFill>
      </fill>
      <border>
        <left/>
        <right/>
        <top/>
        <bottom/>
      </border>
    </dxf>
    <dxf>
      <font>
        <color rgb="FF9C0006"/>
      </font>
      <fill>
        <patternFill>
          <bgColor rgb="FFFFC7CE"/>
        </patternFill>
      </fill>
    </dxf>
    <dxf>
      <fill>
        <patternFill>
          <bgColor rgb="FFFF0000"/>
        </patternFill>
      </fill>
    </dxf>
    <dxf>
      <font>
        <color theme="0"/>
      </font>
      <fill>
        <patternFill>
          <bgColor theme="0"/>
        </patternFill>
      </fill>
      <border>
        <left/>
        <right/>
        <top/>
        <bottom/>
        <vertical/>
        <horizontal/>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vertical/>
        <horizontal/>
      </border>
    </dxf>
    <dxf>
      <font>
        <strike val="0"/>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FF0000"/>
      </font>
      <fill>
        <patternFill>
          <bgColor rgb="FFFF0000"/>
        </patternFill>
      </fill>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FF0000"/>
      </font>
      <fill>
        <patternFill>
          <bgColor rgb="FFFF0000"/>
        </patternFill>
      </fill>
    </dxf>
    <dxf>
      <font>
        <color theme="9" tint="-0.24994659260841701"/>
      </font>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ill>
        <patternFill>
          <bgColor theme="0" tint="-0.34998626667073579"/>
        </patternFill>
      </fill>
    </dxf>
    <dxf>
      <fill>
        <patternFill>
          <bgColor theme="0" tint="-0.34998626667073579"/>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FF0000"/>
      </font>
      <fill>
        <patternFill>
          <bgColor rgb="FFFF0000"/>
        </patternFill>
      </fill>
    </dxf>
    <dxf>
      <font>
        <color theme="0" tint="-0.34998626667073579"/>
      </font>
      <fill>
        <patternFill>
          <bgColor theme="0" tint="-0.14996795556505021"/>
        </patternFill>
      </fill>
    </dxf>
    <dxf>
      <font>
        <color rgb="FFFF0000"/>
      </font>
    </dxf>
    <dxf>
      <font>
        <color theme="0" tint="-0.34998626667073579"/>
      </font>
      <fill>
        <patternFill>
          <bgColor theme="0" tint="-0.14996795556505021"/>
        </patternFill>
      </fill>
    </dxf>
    <dxf>
      <font>
        <color rgb="FFFF0000"/>
      </font>
    </dxf>
    <dxf>
      <font>
        <color rgb="FFFF0000"/>
      </font>
      <fill>
        <patternFill>
          <bgColor rgb="FFFF0000"/>
        </patternFill>
      </fill>
    </dxf>
    <dxf>
      <font>
        <color rgb="FFFF0000"/>
      </font>
      <fill>
        <patternFill>
          <bgColor rgb="FFFF0000"/>
        </patternFill>
      </fill>
    </dxf>
    <dxf>
      <font>
        <color theme="9" tint="-0.24994659260841701"/>
      </font>
    </dxf>
    <dxf>
      <font>
        <color theme="0" tint="-0.34998626667073579"/>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9C0006"/>
      </font>
      <fill>
        <patternFill>
          <bgColor rgb="FFFFC7CE"/>
        </patternFill>
      </fill>
    </dxf>
    <dxf>
      <font>
        <color theme="0"/>
      </font>
    </dxf>
    <dxf>
      <font>
        <color theme="0"/>
      </font>
    </dxf>
    <dxf>
      <font>
        <color theme="0"/>
      </font>
    </dxf>
    <dxf>
      <font>
        <strike val="0"/>
        <color theme="0"/>
      </font>
      <fill>
        <patternFill patternType="none">
          <bgColor auto="1"/>
        </patternFill>
      </fill>
    </dxf>
    <dxf>
      <fill>
        <patternFill>
          <bgColor theme="0" tint="-0.34998626667073579"/>
        </patternFill>
      </fill>
    </dxf>
    <dxf>
      <fill>
        <patternFill>
          <bgColor theme="0" tint="-0.34998626667073579"/>
        </patternFill>
      </fill>
    </dxf>
    <dxf>
      <font>
        <color theme="0" tint="-0.34998626667073579"/>
      </font>
      <fill>
        <patternFill>
          <bgColor theme="0" tint="-0.14996795556505021"/>
        </patternFill>
      </fill>
    </dxf>
    <dxf>
      <font>
        <color theme="0" tint="-0.24994659260841701"/>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9C0006"/>
      </font>
      <fill>
        <patternFill>
          <bgColor rgb="FFFFC7CE"/>
        </patternFill>
      </fill>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theme="0" tint="-0.14996795556505021"/>
        </patternFill>
      </fill>
    </dxf>
  </dxfs>
  <tableStyles count="0" defaultTableStyle="TableStyleMedium2" defaultPivotStyle="PivotStyleLight16"/>
  <colors>
    <mruColors>
      <color rgb="FFFFE285"/>
      <color rgb="FFFF00FF"/>
      <color rgb="FFFDFFE1"/>
      <color rgb="FFFBFFCD"/>
      <color rgb="FFFFFFFF"/>
      <color rgb="FFFFFF99"/>
      <color rgb="FFA27B00"/>
      <color rgb="FF95160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LCDIV</a:t>
            </a:r>
            <a:r>
              <a:rPr lang="en-US" baseline="0"/>
              <a:t> Setting Visualization</a:t>
            </a:r>
            <a:endParaRPr lang="en-US"/>
          </a:p>
        </c:rich>
      </c:tx>
      <c:layout>
        <c:manualLayout>
          <c:xMode val="edge"/>
          <c:yMode val="edge"/>
          <c:x val="0.41389027452328347"/>
          <c:y val="1.2944987117444415E-2"/>
        </c:manualLayout>
      </c:layout>
      <c:overlay val="0"/>
    </c:title>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LDC3114_Config_tool!$G$174</c:f>
              <c:strCache>
                <c:ptCount val="1"/>
                <c:pt idx="0">
                  <c:v>LCDiv=0</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LDC3114_Config_tool!$G$175:$G$210</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F11B-4003-8EB8-D21C12917BF3}"/>
            </c:ext>
          </c:extLst>
        </c:ser>
        <c:ser>
          <c:idx val="1"/>
          <c:order val="1"/>
          <c:tx>
            <c:strRef>
              <c:f>LDC3114_Config_tool!$H$174</c:f>
              <c:strCache>
                <c:ptCount val="1"/>
                <c:pt idx="0">
                  <c:v>LCDiv=1</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LDC3114_Config_tool!$H$175:$H$210</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F11B-4003-8EB8-D21C12917BF3}"/>
            </c:ext>
          </c:extLst>
        </c:ser>
        <c:ser>
          <c:idx val="2"/>
          <c:order val="2"/>
          <c:tx>
            <c:strRef>
              <c:f>LDC3114_Config_tool!$I$174</c:f>
              <c:strCache>
                <c:ptCount val="1"/>
                <c:pt idx="0">
                  <c:v>LCDiv=2</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LDC3114_Config_tool!$I$175:$I$210</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F11B-4003-8EB8-D21C12917BF3}"/>
            </c:ext>
          </c:extLst>
        </c:ser>
        <c:ser>
          <c:idx val="3"/>
          <c:order val="3"/>
          <c:tx>
            <c:strRef>
              <c:f>LDC3114_Config_tool!$J$174</c:f>
              <c:strCache>
                <c:ptCount val="1"/>
                <c:pt idx="0">
                  <c:v>LCDiv=3</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LDC3114_Config_tool!$J$175:$J$210</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F11B-4003-8EB8-D21C12917BF3}"/>
            </c:ext>
          </c:extLst>
        </c:ser>
        <c:ser>
          <c:idx val="4"/>
          <c:order val="4"/>
          <c:tx>
            <c:strRef>
              <c:f>LDC3114_Config_tool!$K$174</c:f>
              <c:strCache>
                <c:ptCount val="1"/>
                <c:pt idx="0">
                  <c:v>LCDiv=4</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LDC3114_Config_tool!$K$175:$K$210</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F11B-4003-8EB8-D21C12917BF3}"/>
            </c:ext>
          </c:extLst>
        </c:ser>
        <c:ser>
          <c:idx val="5"/>
          <c:order val="5"/>
          <c:tx>
            <c:strRef>
              <c:f>LDC3114_Config_tool!$L$174</c:f>
              <c:strCache>
                <c:ptCount val="1"/>
                <c:pt idx="0">
                  <c:v>LCDiv=5</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LDC3114_Config_tool!$L$175:$L$210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F11B-4003-8EB8-D21C12917BF3}"/>
            </c:ext>
          </c:extLst>
        </c:ser>
        <c:ser>
          <c:idx val="6"/>
          <c:order val="6"/>
          <c:tx>
            <c:strRef>
              <c:f>LDC3114_Config_tool!$M$174</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F11B-4003-8EB8-D21C12917BF3}"/>
              </c:ext>
            </c:extLst>
          </c:dPt>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LDC3114_Config_tool!$M$175:$M$210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F11B-4003-8EB8-D21C12917BF3}"/>
            </c:ext>
          </c:extLst>
        </c:ser>
        <c:ser>
          <c:idx val="7"/>
          <c:order val="7"/>
          <c:tx>
            <c:strRef>
              <c:f>LDC3114_Config_tool!$C$174</c:f>
              <c:strCache>
                <c:ptCount val="1"/>
                <c:pt idx="0">
                  <c:v>Min Fsensor (MHz)</c:v>
                </c:pt>
              </c:strCache>
            </c:strRef>
          </c:tx>
          <c:spPr>
            <a:ln>
              <a:solidFill>
                <a:schemeClr val="tx1"/>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LDC3114_Config_tool!$C$175:$C$210</c:f>
              <c:numCache>
                <c:formatCode>General</c:formatCode>
                <c:ptCount val="3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numCache>
            </c:numRef>
          </c:yVal>
          <c:smooth val="0"/>
          <c:extLst>
            <c:ext xmlns:c16="http://schemas.microsoft.com/office/drawing/2014/chart" uri="{C3380CC4-5D6E-409C-BE32-E72D297353CC}">
              <c16:uniqueId val="{00000009-F11B-4003-8EB8-D21C12917BF3}"/>
            </c:ext>
          </c:extLst>
        </c:ser>
        <c:ser>
          <c:idx val="8"/>
          <c:order val="8"/>
          <c:tx>
            <c:strRef>
              <c:f>LDC3114_Config_tool!$O$174</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LDC3114_Config_tool!$O$175:$O$176</c:f>
              <c:numCache>
                <c:formatCode>General</c:formatCode>
                <c:ptCount val="2"/>
                <c:pt idx="0" formatCode="0.000">
                  <c:v>1.1419999999999999</c:v>
                </c:pt>
                <c:pt idx="1">
                  <c:v>1.1431419999999999</c:v>
                </c:pt>
              </c:numCache>
            </c:numRef>
          </c:xVal>
          <c:yVal>
            <c:numRef>
              <c:f>LDC3114_Config_tool!$P$175:$P$176</c:f>
              <c:numCache>
                <c:formatCode>0.00</c:formatCode>
                <c:ptCount val="2"/>
                <c:pt idx="0">
                  <c:v>4</c:v>
                </c:pt>
                <c:pt idx="1">
                  <c:v>3.9996</c:v>
                </c:pt>
              </c:numCache>
            </c:numRef>
          </c:yVal>
          <c:smooth val="0"/>
          <c:extLst>
            <c:ext xmlns:c16="http://schemas.microsoft.com/office/drawing/2014/chart" uri="{C3380CC4-5D6E-409C-BE32-E72D297353CC}">
              <c16:uniqueId val="{0000000A-F11B-4003-8EB8-D21C12917BF3}"/>
            </c:ext>
          </c:extLst>
        </c:ser>
        <c:ser>
          <c:idx val="9"/>
          <c:order val="9"/>
          <c:tx>
            <c:strRef>
              <c:f>LDC3114_Config_tool!$Q$174</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F11B-4003-8EB8-D21C12917BF3}"/>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LDC3114_Config_tool!$Q$175:$Q$176</c:f>
              <c:numCache>
                <c:formatCode>General</c:formatCode>
                <c:ptCount val="2"/>
                <c:pt idx="0" formatCode="0.000">
                  <c:v>1.054</c:v>
                </c:pt>
                <c:pt idx="1">
                  <c:v>1.0550539999999999</c:v>
                </c:pt>
              </c:numCache>
            </c:numRef>
          </c:xVal>
          <c:yVal>
            <c:numRef>
              <c:f>LDC3114_Config_tool!$R$175:$R$176</c:f>
              <c:numCache>
                <c:formatCode>General</c:formatCode>
                <c:ptCount val="2"/>
                <c:pt idx="0" formatCode="0.00">
                  <c:v>20</c:v>
                </c:pt>
                <c:pt idx="1">
                  <c:v>20</c:v>
                </c:pt>
              </c:numCache>
            </c:numRef>
          </c:yVal>
          <c:smooth val="0"/>
          <c:extLst>
            <c:ext xmlns:c16="http://schemas.microsoft.com/office/drawing/2014/chart" uri="{C3380CC4-5D6E-409C-BE32-E72D297353CC}">
              <c16:uniqueId val="{0000000C-F11B-4003-8EB8-D21C12917BF3}"/>
            </c:ext>
          </c:extLst>
        </c:ser>
        <c:ser>
          <c:idx val="10"/>
          <c:order val="10"/>
          <c:tx>
            <c:strRef>
              <c:f>LDC3114_Config_tool!$S$174</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LDC3114_Config_tool!$S$175:$S$176</c:f>
              <c:numCache>
                <c:formatCode>General</c:formatCode>
                <c:ptCount val="2"/>
                <c:pt idx="0" formatCode="0.000">
                  <c:v>-100</c:v>
                </c:pt>
                <c:pt idx="1">
                  <c:v>-100.1</c:v>
                </c:pt>
              </c:numCache>
            </c:numRef>
          </c:xVal>
          <c:yVal>
            <c:numRef>
              <c:f>LDC3114_Config_tool!$T$175:$T$176</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F11B-4003-8EB8-D21C12917BF3}"/>
            </c:ext>
          </c:extLst>
        </c:ser>
        <c:ser>
          <c:idx val="11"/>
          <c:order val="11"/>
          <c:tx>
            <c:strRef>
              <c:f>LDC3114_Config_tool!$U$174</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LDC3114_Config_tool!$U$175:$U$176</c:f>
              <c:numCache>
                <c:formatCode>General</c:formatCode>
                <c:ptCount val="2"/>
                <c:pt idx="0" formatCode="0.000">
                  <c:v>1</c:v>
                </c:pt>
                <c:pt idx="1">
                  <c:v>1.0009999999999999</c:v>
                </c:pt>
              </c:numCache>
            </c:numRef>
          </c:xVal>
          <c:yVal>
            <c:numRef>
              <c:f>LDC3114_Config_tool!$V$175:$V$176</c:f>
              <c:numCache>
                <c:formatCode>General</c:formatCode>
                <c:ptCount val="2"/>
                <c:pt idx="0" formatCode="0.00">
                  <c:v>-100</c:v>
                </c:pt>
                <c:pt idx="1">
                  <c:v>-100.1</c:v>
                </c:pt>
              </c:numCache>
            </c:numRef>
          </c:yVal>
          <c:smooth val="0"/>
          <c:extLst>
            <c:ext xmlns:c16="http://schemas.microsoft.com/office/drawing/2014/chart" uri="{C3380CC4-5D6E-409C-BE32-E72D297353CC}">
              <c16:uniqueId val="{0000000E-F11B-4003-8EB8-D21C12917BF3}"/>
            </c:ext>
          </c:extLst>
        </c:ser>
        <c:dLbls>
          <c:showLegendKey val="0"/>
          <c:showVal val="0"/>
          <c:showCatName val="0"/>
          <c:showSerName val="0"/>
          <c:showPercent val="0"/>
          <c:showBubbleSize val="0"/>
        </c:dLbls>
        <c:axId val="148067072"/>
        <c:axId val="148068992"/>
      </c:scatterChart>
      <c:valAx>
        <c:axId val="148067072"/>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068992"/>
        <c:crosses val="autoZero"/>
        <c:crossBetween val="midCat"/>
        <c:majorUnit val="1"/>
        <c:minorUnit val="0.25"/>
      </c:valAx>
      <c:valAx>
        <c:axId val="148068992"/>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067072"/>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Component Error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Dial_Calc_Tool!$P$157:$P$181</c:f>
              <c:numCache>
                <c:formatCode>0.0000</c:formatCode>
                <c:ptCount val="25"/>
                <c:pt idx="0">
                  <c:v>0</c:v>
                </c:pt>
                <c:pt idx="1">
                  <c:v>-0.13094717177592446</c:v>
                </c:pt>
                <c:pt idx="2">
                  <c:v>-0.12971419550349711</c:v>
                </c:pt>
                <c:pt idx="3">
                  <c:v>-9.1903863804944641E-2</c:v>
                </c:pt>
                <c:pt idx="4">
                  <c:v>-4.6801044755350407E-2</c:v>
                </c:pt>
                <c:pt idx="5">
                  <c:v>-1.2595911361788614E-2</c:v>
                </c:pt>
                <c:pt idx="6">
                  <c:v>0</c:v>
                </c:pt>
                <c:pt idx="7">
                  <c:v>-1.2595911361788614E-2</c:v>
                </c:pt>
                <c:pt idx="8">
                  <c:v>-4.6801044755350296E-2</c:v>
                </c:pt>
                <c:pt idx="9">
                  <c:v>-9.1903863804944641E-2</c:v>
                </c:pt>
                <c:pt idx="10">
                  <c:v>-0.12971419550349711</c:v>
                </c:pt>
                <c:pt idx="11">
                  <c:v>-0.13094717177592455</c:v>
                </c:pt>
                <c:pt idx="12">
                  <c:v>-7.823037403865327E-14</c:v>
                </c:pt>
                <c:pt idx="13">
                  <c:v>0.13094717177592452</c:v>
                </c:pt>
                <c:pt idx="14">
                  <c:v>0.129714195503497</c:v>
                </c:pt>
                <c:pt idx="15">
                  <c:v>9.1903863804944641E-2</c:v>
                </c:pt>
                <c:pt idx="16">
                  <c:v>4.6801044755350518E-2</c:v>
                </c:pt>
                <c:pt idx="17">
                  <c:v>1.2595911361788614E-2</c:v>
                </c:pt>
                <c:pt idx="18">
                  <c:v>0</c:v>
                </c:pt>
                <c:pt idx="19">
                  <c:v>1.2595911361788725E-2</c:v>
                </c:pt>
                <c:pt idx="20">
                  <c:v>4.6801044755350407E-2</c:v>
                </c:pt>
                <c:pt idx="21">
                  <c:v>9.1903863804944641E-2</c:v>
                </c:pt>
                <c:pt idx="22">
                  <c:v>0.129714195503497</c:v>
                </c:pt>
                <c:pt idx="23">
                  <c:v>0.13094717177592449</c:v>
                </c:pt>
                <c:pt idx="24">
                  <c:v>1.3846337535695239E-13</c:v>
                </c:pt>
              </c:numCache>
            </c:numRef>
          </c:yVal>
          <c:smooth val="1"/>
          <c:extLst>
            <c:ext xmlns:c16="http://schemas.microsoft.com/office/drawing/2014/chart" uri="{C3380CC4-5D6E-409C-BE32-E72D297353CC}">
              <c16:uniqueId val="{00000000-7A99-41CE-8072-66E8573C399A}"/>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Dial_Calc_Tool!$Q$157:$Q$181</c:f>
              <c:numCache>
                <c:formatCode>0.0000</c:formatCode>
                <c:ptCount val="25"/>
                <c:pt idx="0">
                  <c:v>0</c:v>
                </c:pt>
                <c:pt idx="1">
                  <c:v>-1.2595911361788614E-2</c:v>
                </c:pt>
                <c:pt idx="2">
                  <c:v>-4.6801044755350296E-2</c:v>
                </c:pt>
                <c:pt idx="3">
                  <c:v>-9.1903863804944641E-2</c:v>
                </c:pt>
                <c:pt idx="4">
                  <c:v>-0.129714195503497</c:v>
                </c:pt>
                <c:pt idx="5">
                  <c:v>-0.13094717177592446</c:v>
                </c:pt>
                <c:pt idx="6">
                  <c:v>-4.4199348568197925E-14</c:v>
                </c:pt>
                <c:pt idx="7">
                  <c:v>0.13094717177592455</c:v>
                </c:pt>
                <c:pt idx="8">
                  <c:v>0.129714195503497</c:v>
                </c:pt>
                <c:pt idx="9">
                  <c:v>9.1903863804944641E-2</c:v>
                </c:pt>
                <c:pt idx="10">
                  <c:v>4.6801044755350296E-2</c:v>
                </c:pt>
                <c:pt idx="11">
                  <c:v>1.2595911361788725E-2</c:v>
                </c:pt>
                <c:pt idx="12">
                  <c:v>0</c:v>
                </c:pt>
                <c:pt idx="13">
                  <c:v>1.2595911361788614E-2</c:v>
                </c:pt>
                <c:pt idx="14">
                  <c:v>4.6801044755350407E-2</c:v>
                </c:pt>
                <c:pt idx="15">
                  <c:v>9.1903863804944641E-2</c:v>
                </c:pt>
                <c:pt idx="16">
                  <c:v>0.129714195503497</c:v>
                </c:pt>
                <c:pt idx="17">
                  <c:v>0.13094717177592455</c:v>
                </c:pt>
                <c:pt idx="18">
                  <c:v>1.0925024626443906E-13</c:v>
                </c:pt>
                <c:pt idx="19">
                  <c:v>-0.13094717177592455</c:v>
                </c:pt>
                <c:pt idx="20">
                  <c:v>-0.129714195503497</c:v>
                </c:pt>
                <c:pt idx="21">
                  <c:v>-9.1903863804944752E-2</c:v>
                </c:pt>
                <c:pt idx="22">
                  <c:v>-4.6801044755350518E-2</c:v>
                </c:pt>
                <c:pt idx="23">
                  <c:v>-1.2595911361788614E-2</c:v>
                </c:pt>
                <c:pt idx="24">
                  <c:v>0</c:v>
                </c:pt>
              </c:numCache>
            </c:numRef>
          </c:yVal>
          <c:smooth val="1"/>
          <c:extLst>
            <c:ext xmlns:c16="http://schemas.microsoft.com/office/drawing/2014/chart" uri="{C3380CC4-5D6E-409C-BE32-E72D297353CC}">
              <c16:uniqueId val="{00000001-7A99-41CE-8072-66E8573C399A}"/>
            </c:ext>
          </c:extLst>
        </c:ser>
        <c:dLbls>
          <c:showLegendKey val="0"/>
          <c:showVal val="0"/>
          <c:showCatName val="0"/>
          <c:showSerName val="0"/>
          <c:showPercent val="0"/>
          <c:showBubbleSize val="0"/>
        </c:dLbls>
        <c:axId val="152176896"/>
        <c:axId val="152186880"/>
      </c:scatterChart>
      <c:valAx>
        <c:axId val="152176896"/>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86880"/>
        <c:crossesAt val="-1000"/>
        <c:crossBetween val="midCat"/>
        <c:majorUnit val="22.5"/>
      </c:valAx>
      <c:valAx>
        <c:axId val="1521868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76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Angle Error(°)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1"/>
          <c:order val="0"/>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Dial_Calc_Tool!$X$157:$X$181</c:f>
              <c:numCache>
                <c:formatCode>0.00</c:formatCode>
                <c:ptCount val="25"/>
                <c:pt idx="0">
                  <c:v>5.7295779513082324E-8</c:v>
                </c:pt>
                <c:pt idx="1">
                  <c:v>0.21941598733738665</c:v>
                </c:pt>
                <c:pt idx="2">
                  <c:v>0.15772406071084433</c:v>
                </c:pt>
                <c:pt idx="3">
                  <c:v>0</c:v>
                </c:pt>
                <c:pt idx="4">
                  <c:v>-0.15772406071086209</c:v>
                </c:pt>
                <c:pt idx="5">
                  <c:v>-0.21941598733738488</c:v>
                </c:pt>
                <c:pt idx="6">
                  <c:v>0</c:v>
                </c:pt>
                <c:pt idx="7">
                  <c:v>0.21941598733738488</c:v>
                </c:pt>
                <c:pt idx="8">
                  <c:v>0.15772406071084788</c:v>
                </c:pt>
                <c:pt idx="9">
                  <c:v>0</c:v>
                </c:pt>
                <c:pt idx="10">
                  <c:v>-0.15772406071084788</c:v>
                </c:pt>
                <c:pt idx="11">
                  <c:v>-0.2194159873374133</c:v>
                </c:pt>
                <c:pt idx="12">
                  <c:v>0</c:v>
                </c:pt>
                <c:pt idx="13">
                  <c:v>0.21941598733738488</c:v>
                </c:pt>
                <c:pt idx="14">
                  <c:v>0.15772406071084788</c:v>
                </c:pt>
                <c:pt idx="15">
                  <c:v>0</c:v>
                </c:pt>
                <c:pt idx="16">
                  <c:v>-0.15772406071084788</c:v>
                </c:pt>
                <c:pt idx="17">
                  <c:v>-0.21941598733738488</c:v>
                </c:pt>
                <c:pt idx="18">
                  <c:v>0</c:v>
                </c:pt>
                <c:pt idx="19">
                  <c:v>0.2194159873374133</c:v>
                </c:pt>
                <c:pt idx="20">
                  <c:v>0.15772406071084788</c:v>
                </c:pt>
                <c:pt idx="21">
                  <c:v>0</c:v>
                </c:pt>
                <c:pt idx="22">
                  <c:v>-0.15772406071084788</c:v>
                </c:pt>
                <c:pt idx="23">
                  <c:v>-0.21941598733735646</c:v>
                </c:pt>
                <c:pt idx="24">
                  <c:v>0</c:v>
                </c:pt>
              </c:numCache>
            </c:numRef>
          </c:yVal>
          <c:smooth val="1"/>
          <c:extLst>
            <c:ext xmlns:c16="http://schemas.microsoft.com/office/drawing/2014/chart" uri="{C3380CC4-5D6E-409C-BE32-E72D297353CC}">
              <c16:uniqueId val="{00000000-AE0E-451F-8EB2-C86CFF288C8F}"/>
            </c:ext>
          </c:extLst>
        </c:ser>
        <c:dLbls>
          <c:showLegendKey val="0"/>
          <c:showVal val="0"/>
          <c:showCatName val="0"/>
          <c:showSerName val="0"/>
          <c:showPercent val="0"/>
          <c:showBubbleSize val="0"/>
        </c:dLbls>
        <c:axId val="152198528"/>
        <c:axId val="152228992"/>
      </c:scatterChart>
      <c:valAx>
        <c:axId val="15219852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8992"/>
        <c:crossesAt val="-1000"/>
        <c:crossBetween val="midCat"/>
        <c:majorUnit val="22.5"/>
      </c:valAx>
      <c:valAx>
        <c:axId val="1522289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8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023509465975637"/>
          <c:y val="5.24565196657502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95756121603017"/>
          <c:y val="0.17687391317898268"/>
          <c:w val="0.77873751003388592"/>
          <c:h val="0.65050464542646191"/>
        </c:manualLayout>
      </c:layout>
      <c:scatterChart>
        <c:scatterStyle val="smoothMarker"/>
        <c:varyColors val="0"/>
        <c:ser>
          <c:idx val="0"/>
          <c:order val="0"/>
          <c:tx>
            <c:strRef>
              <c:f>Metal_Deflection!$H$93</c:f>
              <c:strCache>
                <c:ptCount val="1"/>
                <c:pt idx="0">
                  <c:v>1N Concentrated Force Deflection</c:v>
                </c:pt>
              </c:strCache>
            </c:strRef>
          </c:tx>
          <c:spPr>
            <a:ln w="19050" cap="rnd">
              <a:solidFill>
                <a:schemeClr val="accent1"/>
              </a:solidFill>
              <a:round/>
            </a:ln>
            <a:effectLst/>
          </c:spPr>
          <c:marker>
            <c:symbol val="none"/>
          </c:marker>
          <c:xVal>
            <c:numRef>
              <c:f>Metal_Deflection!$G$94:$G$155</c:f>
              <c:numCache>
                <c:formatCode>General</c:formatCode>
                <c:ptCount val="62"/>
                <c:pt idx="0">
                  <c:v>-7.4924999999999997</c:v>
                </c:pt>
                <c:pt idx="1">
                  <c:v>-6.7432499999999997</c:v>
                </c:pt>
                <c:pt idx="2">
                  <c:v>-6.0689250000000001</c:v>
                </c:pt>
                <c:pt idx="3">
                  <c:v>-5.4620325000000012</c:v>
                </c:pt>
                <c:pt idx="4">
                  <c:v>-4.9158292500000007</c:v>
                </c:pt>
                <c:pt idx="5">
                  <c:v>-4.4242463250000004</c:v>
                </c:pt>
                <c:pt idx="6">
                  <c:v>-3.9818216925000001</c:v>
                </c:pt>
                <c:pt idx="7">
                  <c:v>-3.58363952325</c:v>
                </c:pt>
                <c:pt idx="8">
                  <c:v>-3.2252755709250005</c:v>
                </c:pt>
                <c:pt idx="9">
                  <c:v>-2.9027480138325004</c:v>
                </c:pt>
                <c:pt idx="10">
                  <c:v>-2.6124732124492502</c:v>
                </c:pt>
                <c:pt idx="11">
                  <c:v>-2.3512258912043253</c:v>
                </c:pt>
                <c:pt idx="12">
                  <c:v>-2.1161033020838929</c:v>
                </c:pt>
                <c:pt idx="13">
                  <c:v>-1.9044929718755035</c:v>
                </c:pt>
                <c:pt idx="14">
                  <c:v>-1.7140436746879533</c:v>
                </c:pt>
                <c:pt idx="15">
                  <c:v>-1.542639307219158</c:v>
                </c:pt>
                <c:pt idx="16">
                  <c:v>-1.3883753764972422</c:v>
                </c:pt>
                <c:pt idx="17">
                  <c:v>-1.249537838847518</c:v>
                </c:pt>
                <c:pt idx="18">
                  <c:v>-1.1245840549627661</c:v>
                </c:pt>
                <c:pt idx="19">
                  <c:v>-1.0121256494664896</c:v>
                </c:pt>
                <c:pt idx="20">
                  <c:v>-0.91091308451984077</c:v>
                </c:pt>
                <c:pt idx="21">
                  <c:v>-0.81982177606785667</c:v>
                </c:pt>
                <c:pt idx="22">
                  <c:v>-0.73783959846107106</c:v>
                </c:pt>
                <c:pt idx="23">
                  <c:v>-0.66405563861496397</c:v>
                </c:pt>
                <c:pt idx="24">
                  <c:v>-0.59765007475346765</c:v>
                </c:pt>
                <c:pt idx="25">
                  <c:v>-0.5378850672781208</c:v>
                </c:pt>
                <c:pt idx="26">
                  <c:v>-0.4840965605503087</c:v>
                </c:pt>
                <c:pt idx="27">
                  <c:v>-0.43568690449527786</c:v>
                </c:pt>
                <c:pt idx="28">
                  <c:v>-0.39211821404575009</c:v>
                </c:pt>
                <c:pt idx="29">
                  <c:v>-0.35290639264117507</c:v>
                </c:pt>
                <c:pt idx="30">
                  <c:v>-0.31761575337705755</c:v>
                </c:pt>
                <c:pt idx="31">
                  <c:v>0.31761575337705755</c:v>
                </c:pt>
                <c:pt idx="32">
                  <c:v>0.35290639264117507</c:v>
                </c:pt>
                <c:pt idx="33">
                  <c:v>0.39211821404575009</c:v>
                </c:pt>
                <c:pt idx="34">
                  <c:v>0.43568690449527786</c:v>
                </c:pt>
                <c:pt idx="35">
                  <c:v>0.4840965605503087</c:v>
                </c:pt>
                <c:pt idx="36">
                  <c:v>0.5378850672781208</c:v>
                </c:pt>
                <c:pt idx="37">
                  <c:v>0.59765007475346765</c:v>
                </c:pt>
                <c:pt idx="38">
                  <c:v>0.66405563861496397</c:v>
                </c:pt>
                <c:pt idx="39">
                  <c:v>0.73783959846107106</c:v>
                </c:pt>
                <c:pt idx="40">
                  <c:v>0.81982177606785667</c:v>
                </c:pt>
                <c:pt idx="41">
                  <c:v>0.91091308451984077</c:v>
                </c:pt>
                <c:pt idx="42">
                  <c:v>1.0121256494664896</c:v>
                </c:pt>
                <c:pt idx="43">
                  <c:v>1.1245840549627664</c:v>
                </c:pt>
                <c:pt idx="44">
                  <c:v>1.2495378388475182</c:v>
                </c:pt>
                <c:pt idx="45">
                  <c:v>1.3883753764972424</c:v>
                </c:pt>
                <c:pt idx="46">
                  <c:v>1.5426393072191582</c:v>
                </c:pt>
                <c:pt idx="47">
                  <c:v>1.7140436746879535</c:v>
                </c:pt>
                <c:pt idx="48">
                  <c:v>1.9044929718755039</c:v>
                </c:pt>
                <c:pt idx="49">
                  <c:v>2.1161033020838933</c:v>
                </c:pt>
                <c:pt idx="50">
                  <c:v>2.3512258912043258</c:v>
                </c:pt>
                <c:pt idx="51">
                  <c:v>2.6124732124492511</c:v>
                </c:pt>
                <c:pt idx="52">
                  <c:v>2.9027480138325013</c:v>
                </c:pt>
                <c:pt idx="53">
                  <c:v>3.2252755709250009</c:v>
                </c:pt>
                <c:pt idx="54">
                  <c:v>3.5836395232500009</c:v>
                </c:pt>
                <c:pt idx="55">
                  <c:v>3.981821692500001</c:v>
                </c:pt>
                <c:pt idx="56">
                  <c:v>4.4242463250000013</c:v>
                </c:pt>
                <c:pt idx="57">
                  <c:v>4.9158292500000016</c:v>
                </c:pt>
                <c:pt idx="58">
                  <c:v>5.4620325000000021</c:v>
                </c:pt>
                <c:pt idx="59">
                  <c:v>6.068925000000001</c:v>
                </c:pt>
                <c:pt idx="60">
                  <c:v>6.7432500000000015</c:v>
                </c:pt>
                <c:pt idx="61">
                  <c:v>7.4925000000000015</c:v>
                </c:pt>
              </c:numCache>
            </c:numRef>
          </c:xVal>
          <c:yVal>
            <c:numRef>
              <c:f>Metal_Deflection!$H$94:$H$155</c:f>
              <c:numCache>
                <c:formatCode>General</c:formatCode>
                <c:ptCount val="62"/>
                <c:pt idx="0">
                  <c:v>-4.8294982736026236E-7</c:v>
                </c:pt>
                <c:pt idx="1">
                  <c:v>-4.4376641086582101E-3</c:v>
                </c:pt>
                <c:pt idx="2">
                  <c:v>-1.4402803884695564E-2</c:v>
                </c:pt>
                <c:pt idx="3">
                  <c:v>-2.6654595318113702E-2</c:v>
                </c:pt>
                <c:pt idx="4">
                  <c:v>-3.9321062890930979E-2</c:v>
                </c:pt>
                <c:pt idx="5">
                  <c:v>-5.1380266708271234E-2</c:v>
                </c:pt>
                <c:pt idx="6">
                  <c:v>-6.2328785231508164E-2</c:v>
                </c:pt>
                <c:pt idx="7">
                  <c:v>-7.1971652902534725E-2</c:v>
                </c:pt>
                <c:pt idx="8">
                  <c:v>-8.029056956251919E-2</c:v>
                </c:pt>
                <c:pt idx="9">
                  <c:v>-8.7362318039764394E-2</c:v>
                </c:pt>
                <c:pt idx="10">
                  <c:v>-9.3309195093554814E-2</c:v>
                </c:pt>
                <c:pt idx="11">
                  <c:v>-9.8269694459621235E-2</c:v>
                </c:pt>
                <c:pt idx="12">
                  <c:v>-0.10238186829186781</c:v>
                </c:pt>
                <c:pt idx="13">
                  <c:v>-0.10577451360372278</c:v>
                </c:pt>
                <c:pt idx="14">
                  <c:v>-0.10856309312185043</c:v>
                </c:pt>
                <c:pt idx="15">
                  <c:v>-0.11084843873619986</c:v>
                </c:pt>
                <c:pt idx="16">
                  <c:v>-0.11271701845370426</c:v>
                </c:pt>
                <c:pt idx="17">
                  <c:v>-0.114242016818902</c:v>
                </c:pt>
                <c:pt idx="18">
                  <c:v>-0.11548477704846814</c:v>
                </c:pt>
                <c:pt idx="19">
                  <c:v>-0.11649634116483602</c:v>
                </c:pt>
                <c:pt idx="20">
                  <c:v>-0.11731894157668213</c:v>
                </c:pt>
                <c:pt idx="21">
                  <c:v>-0.11798736939492299</c:v>
                </c:pt>
                <c:pt idx="22">
                  <c:v>-0.11853018783377403</c:v>
                </c:pt>
                <c:pt idx="23">
                  <c:v>-0.11897078399881984</c:v>
                </c:pt>
                <c:pt idx="24">
                  <c:v>-0.11932826606243201</c:v>
                </c:pt>
                <c:pt idx="25">
                  <c:v>-0.11961821964934573</c:v>
                </c:pt>
                <c:pt idx="26">
                  <c:v>-0.11985333997775184</c:v>
                </c:pt>
                <c:pt idx="27">
                  <c:v>-0.12004395666704498</c:v>
                </c:pt>
                <c:pt idx="28">
                  <c:v>-0.12019846721276921</c:v>
                </c:pt>
                <c:pt idx="29">
                  <c:v>-0.12032369359988085</c:v>
                </c:pt>
                <c:pt idx="30">
                  <c:v>-0.12042517476709501</c:v>
                </c:pt>
                <c:pt idx="31">
                  <c:v>-0.12042517476709501</c:v>
                </c:pt>
                <c:pt idx="32">
                  <c:v>-0.12032369359988085</c:v>
                </c:pt>
                <c:pt idx="33">
                  <c:v>-0.12019846721276921</c:v>
                </c:pt>
                <c:pt idx="34">
                  <c:v>-0.12004395666704498</c:v>
                </c:pt>
                <c:pt idx="35">
                  <c:v>-0.11985333997775184</c:v>
                </c:pt>
                <c:pt idx="36">
                  <c:v>-0.11961821964934573</c:v>
                </c:pt>
                <c:pt idx="37">
                  <c:v>-0.11932826606243201</c:v>
                </c:pt>
                <c:pt idx="38">
                  <c:v>-0.11897078399881984</c:v>
                </c:pt>
                <c:pt idx="39">
                  <c:v>-0.11853018783377403</c:v>
                </c:pt>
                <c:pt idx="40">
                  <c:v>-0.11798736939492299</c:v>
                </c:pt>
                <c:pt idx="41">
                  <c:v>-0.11731894157668213</c:v>
                </c:pt>
                <c:pt idx="42">
                  <c:v>-0.11649634116483602</c:v>
                </c:pt>
                <c:pt idx="43">
                  <c:v>-0.11548477704846814</c:v>
                </c:pt>
                <c:pt idx="44">
                  <c:v>-0.114242016818902</c:v>
                </c:pt>
                <c:pt idx="45">
                  <c:v>-0.11271701845370426</c:v>
                </c:pt>
                <c:pt idx="46">
                  <c:v>-0.11084843873619986</c:v>
                </c:pt>
                <c:pt idx="47">
                  <c:v>-0.10856309312185043</c:v>
                </c:pt>
                <c:pt idx="48">
                  <c:v>-0.10577451360372278</c:v>
                </c:pt>
                <c:pt idx="49">
                  <c:v>-0.10238186829186781</c:v>
                </c:pt>
                <c:pt idx="50">
                  <c:v>-9.8269694459621235E-2</c:v>
                </c:pt>
                <c:pt idx="51">
                  <c:v>-9.3309195093554786E-2</c:v>
                </c:pt>
                <c:pt idx="52">
                  <c:v>-8.7362318039764394E-2</c:v>
                </c:pt>
                <c:pt idx="53">
                  <c:v>-8.0290569562519176E-2</c:v>
                </c:pt>
                <c:pt idx="54">
                  <c:v>-7.1971652902534697E-2</c:v>
                </c:pt>
                <c:pt idx="55">
                  <c:v>-6.2328785231508151E-2</c:v>
                </c:pt>
                <c:pt idx="56">
                  <c:v>-5.1380266708271199E-2</c:v>
                </c:pt>
                <c:pt idx="57">
                  <c:v>-3.9321062890930979E-2</c:v>
                </c:pt>
                <c:pt idx="58">
                  <c:v>-2.6654595318113688E-2</c:v>
                </c:pt>
                <c:pt idx="59">
                  <c:v>-1.4402803884695555E-2</c:v>
                </c:pt>
                <c:pt idx="60">
                  <c:v>-4.4376641086581944E-3</c:v>
                </c:pt>
                <c:pt idx="61">
                  <c:v>-4.8294982736004785E-7</c:v>
                </c:pt>
              </c:numCache>
            </c:numRef>
          </c:yVal>
          <c:smooth val="1"/>
          <c:extLst>
            <c:ext xmlns:c16="http://schemas.microsoft.com/office/drawing/2014/chart" uri="{C3380CC4-5D6E-409C-BE32-E72D297353CC}">
              <c16:uniqueId val="{00000000-BF86-470D-BEA5-7BD377FBEA0F}"/>
            </c:ext>
          </c:extLst>
        </c:ser>
        <c:dLbls>
          <c:showLegendKey val="0"/>
          <c:showVal val="0"/>
          <c:showCatName val="0"/>
          <c:showSerName val="0"/>
          <c:showPercent val="0"/>
          <c:showBubbleSize val="0"/>
        </c:dLbls>
        <c:axId val="152086400"/>
        <c:axId val="152088576"/>
      </c:scatterChart>
      <c:valAx>
        <c:axId val="152086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from Center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8576"/>
        <c:crossesAt val="-100000"/>
        <c:crossBetween val="midCat"/>
      </c:valAx>
      <c:valAx>
        <c:axId val="15208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Deflection (µm)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6400"/>
        <c:crossesAt val="-1000000"/>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LDC3114_Config_tool!$N$218:$N$248</c:f>
              <c:numCache>
                <c:formatCode>0.0000</c:formatCode>
                <c:ptCount val="31"/>
                <c:pt idx="0">
                  <c:v>4.2000000000000003E-2</c:v>
                </c:pt>
                <c:pt idx="1">
                  <c:v>5.1366000000000009E-2</c:v>
                </c:pt>
                <c:pt idx="2">
                  <c:v>6.2820618000000009E-2</c:v>
                </c:pt>
                <c:pt idx="3">
                  <c:v>7.6829615814000024E-2</c:v>
                </c:pt>
                <c:pt idx="4">
                  <c:v>9.3962620140522035E-2</c:v>
                </c:pt>
                <c:pt idx="5">
                  <c:v>0.11491628443185845</c:v>
                </c:pt>
                <c:pt idx="6">
                  <c:v>0.14054261586016289</c:v>
                </c:pt>
                <c:pt idx="7">
                  <c:v>0.17188361919697923</c:v>
                </c:pt>
                <c:pt idx="8">
                  <c:v>0.21021366627790561</c:v>
                </c:pt>
                <c:pt idx="9">
                  <c:v>0.25709131385787853</c:v>
                </c:pt>
                <c:pt idx="10">
                  <c:v>0.31442267684818553</c:v>
                </c:pt>
                <c:pt idx="11">
                  <c:v>0.38453893378533088</c:v>
                </c:pt>
                <c:pt idx="12">
                  <c:v>0.47029111601945978</c:v>
                </c:pt>
                <c:pt idx="13">
                  <c:v>0.57516603489179929</c:v>
                </c:pt>
                <c:pt idx="14">
                  <c:v>0.70342806067267061</c:v>
                </c:pt>
                <c:pt idx="15">
                  <c:v>0.86029251820267616</c:v>
                </c:pt>
                <c:pt idx="16">
                  <c:v>1.0521377497618731</c:v>
                </c:pt>
                <c:pt idx="17">
                  <c:v>1.2867644679587706</c:v>
                </c:pt>
                <c:pt idx="18">
                  <c:v>1.5737129443135767</c:v>
                </c:pt>
                <c:pt idx="19">
                  <c:v>1.9246509308955042</c:v>
                </c:pt>
                <c:pt idx="20">
                  <c:v>2.353848088485202</c:v>
                </c:pt>
                <c:pt idx="21">
                  <c:v>2.8787562122174024</c:v>
                </c:pt>
                <c:pt idx="22">
                  <c:v>3.5207188475418834</c:v>
                </c:pt>
                <c:pt idx="23">
                  <c:v>4.305839150543723</c:v>
                </c:pt>
                <c:pt idx="24">
                  <c:v>5.2660412811149735</c:v>
                </c:pt>
                <c:pt idx="25">
                  <c:v>6.4403684868036128</c:v>
                </c:pt>
                <c:pt idx="26">
                  <c:v>7.8765706593608193</c:v>
                </c:pt>
                <c:pt idx="27">
                  <c:v>9.6330459163982827</c:v>
                </c:pt>
                <c:pt idx="28">
                  <c:v>11.781215155755101</c:v>
                </c:pt>
                <c:pt idx="29">
                  <c:v>14.40842613548849</c:v>
                </c:pt>
              </c:numCache>
            </c:numRef>
          </c:xVal>
          <c:yVal>
            <c:numRef>
              <c:f>LDC3114_Config_tool!$P$218:$P$248</c:f>
              <c:numCache>
                <c:formatCode>0.000</c:formatCode>
                <c:ptCount val="31"/>
                <c:pt idx="0">
                  <c:v>2.1110185386722073</c:v>
                </c:pt>
                <c:pt idx="1">
                  <c:v>2.20863742955992</c:v>
                </c:pt>
                <c:pt idx="2">
                  <c:v>2.3272045457655497</c:v>
                </c:pt>
                <c:pt idx="3">
                  <c:v>2.4709938611603199</c:v>
                </c:pt>
                <c:pt idx="4">
                  <c:v>2.6450430573726997</c:v>
                </c:pt>
                <c:pt idx="5">
                  <c:v>2.8552361134051703</c:v>
                </c:pt>
                <c:pt idx="6">
                  <c:v>3.1083657274549732</c:v>
                </c:pt>
                <c:pt idx="7">
                  <c:v>3.4121557495044894</c:v>
                </c:pt>
                <c:pt idx="8">
                  <c:v>3.7752146365068624</c:v>
                </c:pt>
                <c:pt idx="9">
                  <c:v>4.2068793905392114</c:v>
                </c:pt>
                <c:pt idx="10">
                  <c:v>4.7168960802522211</c:v>
                </c:pt>
                <c:pt idx="11">
                  <c:v>5.3148697720151459</c:v>
                </c:pt>
                <c:pt idx="12">
                  <c:v>6.0094077256376339</c:v>
                </c:pt>
                <c:pt idx="13">
                  <c:v>6.8068829000294153</c:v>
                </c:pt>
                <c:pt idx="14">
                  <c:v>7.7097729911438488</c:v>
                </c:pt>
                <c:pt idx="15">
                  <c:v>8.7146015431415353</c:v>
                </c:pt>
                <c:pt idx="16">
                  <c:v>9.8096429587685172</c:v>
                </c:pt>
                <c:pt idx="17">
                  <c:v>10.972766769873395</c:v>
                </c:pt>
                <c:pt idx="18">
                  <c:v>12.170075983404486</c:v>
                </c:pt>
                <c:pt idx="19">
                  <c:v>13.35626821112217</c:v>
                </c:pt>
                <c:pt idx="20">
                  <c:v>14.477750790705223</c:v>
                </c:pt>
                <c:pt idx="21">
                  <c:v>15.479209018731318</c:v>
                </c:pt>
                <c:pt idx="22">
                  <c:v>16.313295647521283</c:v>
                </c:pt>
                <c:pt idx="23">
                  <c:v>16.951376457742626</c:v>
                </c:pt>
                <c:pt idx="24">
                  <c:v>17.391462948272519</c:v>
                </c:pt>
                <c:pt idx="25">
                  <c:v>17.658994353292488</c:v>
                </c:pt>
                <c:pt idx="26">
                  <c:v>17.798461375126912</c:v>
                </c:pt>
                <c:pt idx="27">
                  <c:v>17.858772836182052</c:v>
                </c:pt>
                <c:pt idx="28">
                  <c:v>17.879556102294814</c:v>
                </c:pt>
                <c:pt idx="29">
                  <c:v>17.884992962221634</c:v>
                </c:pt>
              </c:numCache>
            </c:numRef>
          </c:yVal>
          <c:smooth val="0"/>
          <c:extLst>
            <c:ext xmlns:c16="http://schemas.microsoft.com/office/drawing/2014/chart" uri="{C3380CC4-5D6E-409C-BE32-E72D297353CC}">
              <c16:uniqueId val="{00000000-798E-4BA5-9BC3-26261C9CC323}"/>
            </c:ext>
          </c:extLst>
        </c:ser>
        <c:ser>
          <c:idx val="1"/>
          <c:order val="1"/>
          <c:tx>
            <c:v>D1X</c:v>
          </c:tx>
          <c:spPr>
            <a:ln w="19050" cap="rnd">
              <a:solidFill>
                <a:schemeClr val="accent6">
                  <a:lumMod val="50000"/>
                </a:schemeClr>
              </a:solidFill>
              <a:round/>
            </a:ln>
            <a:effectLst/>
          </c:spPr>
          <c:marker>
            <c:symbol val="none"/>
          </c:marker>
          <c:xVal>
            <c:numRef>
              <c:f>LDC3114_Config_tool!$R$218:$R$219</c:f>
              <c:numCache>
                <c:formatCode>0.00</c:formatCode>
                <c:ptCount val="2"/>
                <c:pt idx="0">
                  <c:v>14</c:v>
                </c:pt>
                <c:pt idx="1">
                  <c:v>14</c:v>
                </c:pt>
              </c:numCache>
            </c:numRef>
          </c:xVal>
          <c:yVal>
            <c:numRef>
              <c:f>LDC3114_Config_tool!$S$218:$S$219</c:f>
              <c:numCache>
                <c:formatCode>0.0000</c:formatCode>
                <c:ptCount val="2"/>
                <c:pt idx="0">
                  <c:v>0</c:v>
                </c:pt>
                <c:pt idx="1">
                  <c:v>17.884633680788379</c:v>
                </c:pt>
              </c:numCache>
            </c:numRef>
          </c:yVal>
          <c:smooth val="0"/>
          <c:extLst>
            <c:ext xmlns:c16="http://schemas.microsoft.com/office/drawing/2014/chart" uri="{C3380CC4-5D6E-409C-BE32-E72D297353CC}">
              <c16:uniqueId val="{00000001-798E-4BA5-9BC3-26261C9CC323}"/>
            </c:ext>
          </c:extLst>
        </c:ser>
        <c:ser>
          <c:idx val="2"/>
          <c:order val="2"/>
          <c:tx>
            <c:v>D1Y</c:v>
          </c:tx>
          <c:spPr>
            <a:ln w="19050" cap="rnd">
              <a:solidFill>
                <a:schemeClr val="accent6">
                  <a:lumMod val="50000"/>
                </a:schemeClr>
              </a:solidFill>
              <a:round/>
            </a:ln>
            <a:effectLst/>
          </c:spPr>
          <c:marker>
            <c:symbol val="none"/>
          </c:marker>
          <c:xVal>
            <c:numRef>
              <c:f>LDC3114_Config_tool!$R$219:$R$220</c:f>
              <c:numCache>
                <c:formatCode>General</c:formatCode>
                <c:ptCount val="2"/>
                <c:pt idx="0" formatCode="0.00">
                  <c:v>14</c:v>
                </c:pt>
                <c:pt idx="1">
                  <c:v>0</c:v>
                </c:pt>
              </c:numCache>
            </c:numRef>
          </c:xVal>
          <c:yVal>
            <c:numRef>
              <c:f>LDC3114_Config_tool!$S$219:$S$220</c:f>
              <c:numCache>
                <c:formatCode>0.0000</c:formatCode>
                <c:ptCount val="2"/>
                <c:pt idx="0">
                  <c:v>17.884633680788379</c:v>
                </c:pt>
                <c:pt idx="1">
                  <c:v>17.884633680788379</c:v>
                </c:pt>
              </c:numCache>
            </c:numRef>
          </c:yVal>
          <c:smooth val="0"/>
          <c:extLst>
            <c:ext xmlns:c16="http://schemas.microsoft.com/office/drawing/2014/chart" uri="{C3380CC4-5D6E-409C-BE32-E72D297353CC}">
              <c16:uniqueId val="{00000002-798E-4BA5-9BC3-26261C9CC323}"/>
            </c:ext>
          </c:extLst>
        </c:ser>
        <c:ser>
          <c:idx val="3"/>
          <c:order val="3"/>
          <c:tx>
            <c:v>D2X</c:v>
          </c:tx>
          <c:spPr>
            <a:ln w="19050" cap="rnd">
              <a:solidFill>
                <a:schemeClr val="accent6">
                  <a:lumMod val="50000"/>
                </a:schemeClr>
              </a:solidFill>
              <a:round/>
            </a:ln>
            <a:effectLst/>
          </c:spPr>
          <c:marker>
            <c:symbol val="none"/>
          </c:marker>
          <c:xVal>
            <c:numRef>
              <c:f>LDC3114_Config_tool!$R$223:$R$224</c:f>
              <c:numCache>
                <c:formatCode>0.00</c:formatCode>
                <c:ptCount val="2"/>
                <c:pt idx="0">
                  <c:v>1.5</c:v>
                </c:pt>
                <c:pt idx="1">
                  <c:v>1.5</c:v>
                </c:pt>
              </c:numCache>
            </c:numRef>
          </c:xVal>
          <c:yVal>
            <c:numRef>
              <c:f>LDC3114_Config_tool!$S$223:$S$224</c:f>
              <c:numCache>
                <c:formatCode>0.0000</c:formatCode>
                <c:ptCount val="2"/>
                <c:pt idx="0">
                  <c:v>0</c:v>
                </c:pt>
                <c:pt idx="1">
                  <c:v>11.883890812388973</c:v>
                </c:pt>
              </c:numCache>
            </c:numRef>
          </c:yVal>
          <c:smooth val="0"/>
          <c:extLst>
            <c:ext xmlns:c16="http://schemas.microsoft.com/office/drawing/2014/chart" uri="{C3380CC4-5D6E-409C-BE32-E72D297353CC}">
              <c16:uniqueId val="{00000003-798E-4BA5-9BC3-26261C9CC323}"/>
            </c:ext>
          </c:extLst>
        </c:ser>
        <c:ser>
          <c:idx val="4"/>
          <c:order val="4"/>
          <c:tx>
            <c:v>D2Y</c:v>
          </c:tx>
          <c:spPr>
            <a:ln w="19050" cap="rnd">
              <a:solidFill>
                <a:schemeClr val="accent6">
                  <a:lumMod val="50000"/>
                </a:schemeClr>
              </a:solidFill>
              <a:round/>
            </a:ln>
            <a:effectLst/>
          </c:spPr>
          <c:marker>
            <c:symbol val="none"/>
          </c:marker>
          <c:xVal>
            <c:numRef>
              <c:f>LDC3114_Config_tool!$R$224:$R$225</c:f>
              <c:numCache>
                <c:formatCode>General</c:formatCode>
                <c:ptCount val="2"/>
                <c:pt idx="0" formatCode="0.00">
                  <c:v>1.5</c:v>
                </c:pt>
                <c:pt idx="1">
                  <c:v>0</c:v>
                </c:pt>
              </c:numCache>
            </c:numRef>
          </c:xVal>
          <c:yVal>
            <c:numRef>
              <c:f>LDC3114_Config_tool!$S$224:$S$225</c:f>
              <c:numCache>
                <c:formatCode>0.0000</c:formatCode>
                <c:ptCount val="2"/>
                <c:pt idx="0">
                  <c:v>11.883890812388973</c:v>
                </c:pt>
                <c:pt idx="1">
                  <c:v>11.883890812388973</c:v>
                </c:pt>
              </c:numCache>
            </c:numRef>
          </c:yVal>
          <c:smooth val="0"/>
          <c:extLst>
            <c:ext xmlns:c16="http://schemas.microsoft.com/office/drawing/2014/chart" uri="{C3380CC4-5D6E-409C-BE32-E72D297353CC}">
              <c16:uniqueId val="{00000004-798E-4BA5-9BC3-26261C9CC323}"/>
            </c:ext>
          </c:extLst>
        </c:ser>
        <c:dLbls>
          <c:showLegendKey val="0"/>
          <c:showVal val="0"/>
          <c:showCatName val="0"/>
          <c:showSerName val="0"/>
          <c:showPercent val="0"/>
          <c:showBubbleSize val="0"/>
        </c:dLbls>
        <c:axId val="148202240"/>
        <c:axId val="148204160"/>
      </c:scatterChart>
      <c:valAx>
        <c:axId val="1482022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4160"/>
        <c:crosses val="autoZero"/>
        <c:crossBetween val="midCat"/>
      </c:valAx>
      <c:valAx>
        <c:axId val="14820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240"/>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LDC2114_Config_tool!$G$109</c:f>
              <c:strCache>
                <c:ptCount val="1"/>
                <c:pt idx="0">
                  <c:v>LCDiv=0</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LDC2114_Config_tool!$G$110:$G$145</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98FB-48F9-A4F7-D179A14B822F}"/>
            </c:ext>
          </c:extLst>
        </c:ser>
        <c:ser>
          <c:idx val="1"/>
          <c:order val="1"/>
          <c:tx>
            <c:strRef>
              <c:f>LDC2114_Config_tool!$H$109</c:f>
              <c:strCache>
                <c:ptCount val="1"/>
                <c:pt idx="0">
                  <c:v>LCDiv=1</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LDC2114_Config_tool!$H$110:$H$145</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98FB-48F9-A4F7-D179A14B822F}"/>
            </c:ext>
          </c:extLst>
        </c:ser>
        <c:ser>
          <c:idx val="2"/>
          <c:order val="2"/>
          <c:tx>
            <c:strRef>
              <c:f>LDC2114_Config_tool!$I$109</c:f>
              <c:strCache>
                <c:ptCount val="1"/>
                <c:pt idx="0">
                  <c:v>LCDiv=2</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LDC2114_Config_tool!$I$110:$I$145</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98FB-48F9-A4F7-D179A14B822F}"/>
            </c:ext>
          </c:extLst>
        </c:ser>
        <c:ser>
          <c:idx val="3"/>
          <c:order val="3"/>
          <c:tx>
            <c:strRef>
              <c:f>LDC2114_Config_tool!$J$109</c:f>
              <c:strCache>
                <c:ptCount val="1"/>
                <c:pt idx="0">
                  <c:v>LCDiv=3</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LDC2114_Config_tool!$J$110:$J$145</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98FB-48F9-A4F7-D179A14B822F}"/>
            </c:ext>
          </c:extLst>
        </c:ser>
        <c:ser>
          <c:idx val="4"/>
          <c:order val="4"/>
          <c:tx>
            <c:strRef>
              <c:f>LDC2114_Config_tool!$K$109</c:f>
              <c:strCache>
                <c:ptCount val="1"/>
                <c:pt idx="0">
                  <c:v>LCDiv=4</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LDC2114_Config_tool!$K$110:$K$145</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98FB-48F9-A4F7-D179A14B822F}"/>
            </c:ext>
          </c:extLst>
        </c:ser>
        <c:ser>
          <c:idx val="5"/>
          <c:order val="5"/>
          <c:tx>
            <c:strRef>
              <c:f>LDC2114_Config_tool!$L$109</c:f>
              <c:strCache>
                <c:ptCount val="1"/>
                <c:pt idx="0">
                  <c:v>LCDiv=5</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LDC2114_Config_tool!$L$110:$L$145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98FB-48F9-A4F7-D179A14B822F}"/>
            </c:ext>
          </c:extLst>
        </c:ser>
        <c:ser>
          <c:idx val="6"/>
          <c:order val="6"/>
          <c:tx>
            <c:strRef>
              <c:f>LDC2114_Config_tool!$M$109</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98FB-48F9-A4F7-D179A14B822F}"/>
              </c:ext>
            </c:extLst>
          </c:dPt>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LDC2114_Config_tool!$M$110:$M$145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98FB-48F9-A4F7-D179A14B822F}"/>
            </c:ext>
          </c:extLst>
        </c:ser>
        <c:ser>
          <c:idx val="7"/>
          <c:order val="7"/>
          <c:tx>
            <c:strRef>
              <c:f>LDC2114_Config_tool!$C$109</c:f>
              <c:strCache>
                <c:ptCount val="1"/>
                <c:pt idx="0">
                  <c:v>Min Fsensor (MHz)</c:v>
                </c:pt>
              </c:strCache>
            </c:strRef>
          </c:tx>
          <c:spPr>
            <a:ln>
              <a:solidFill>
                <a:schemeClr val="tx1"/>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LDC2114_Config_tool!$C$110:$C$145</c:f>
              <c:numCache>
                <c:formatCode>General</c:formatCode>
                <c:ptCount val="3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9-98FB-48F9-A4F7-D179A14B822F}"/>
            </c:ext>
          </c:extLst>
        </c:ser>
        <c:ser>
          <c:idx val="8"/>
          <c:order val="8"/>
          <c:tx>
            <c:strRef>
              <c:f>LDC2114_Config_tool!$O$109</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LDC2114_Config_tool!$O$110:$O$111</c:f>
              <c:numCache>
                <c:formatCode>General</c:formatCode>
                <c:ptCount val="2"/>
                <c:pt idx="0" formatCode="0.000">
                  <c:v>1.0573333333333335</c:v>
                </c:pt>
                <c:pt idx="1">
                  <c:v>1.0583906666666667</c:v>
                </c:pt>
              </c:numCache>
            </c:numRef>
          </c:xVal>
          <c:yVal>
            <c:numRef>
              <c:f>LDC2114_Config_tool!$P$110:$P$111</c:f>
              <c:numCache>
                <c:formatCode>0.00</c:formatCode>
                <c:ptCount val="2"/>
                <c:pt idx="0">
                  <c:v>18</c:v>
                </c:pt>
                <c:pt idx="1">
                  <c:v>17.998200000000001</c:v>
                </c:pt>
              </c:numCache>
            </c:numRef>
          </c:yVal>
          <c:smooth val="0"/>
          <c:extLst>
            <c:ext xmlns:c16="http://schemas.microsoft.com/office/drawing/2014/chart" uri="{C3380CC4-5D6E-409C-BE32-E72D297353CC}">
              <c16:uniqueId val="{0000000A-98FB-48F9-A4F7-D179A14B822F}"/>
            </c:ext>
          </c:extLst>
        </c:ser>
        <c:ser>
          <c:idx val="9"/>
          <c:order val="9"/>
          <c:tx>
            <c:strRef>
              <c:f>LDC2114_Config_tool!$Q$109</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98FB-48F9-A4F7-D179A14B822F}"/>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LDC2114_Config_tool!$Q$110:$Q$111</c:f>
              <c:numCache>
                <c:formatCode>General</c:formatCode>
                <c:ptCount val="2"/>
                <c:pt idx="0" formatCode="0.000">
                  <c:v>1.054</c:v>
                </c:pt>
                <c:pt idx="1">
                  <c:v>1.0550539999999999</c:v>
                </c:pt>
              </c:numCache>
            </c:numRef>
          </c:xVal>
          <c:yVal>
            <c:numRef>
              <c:f>LDC2114_Config_tool!$R$110:$R$111</c:f>
              <c:numCache>
                <c:formatCode>General</c:formatCode>
                <c:ptCount val="2"/>
                <c:pt idx="0" formatCode="0.00">
                  <c:v>20</c:v>
                </c:pt>
                <c:pt idx="1">
                  <c:v>20</c:v>
                </c:pt>
              </c:numCache>
            </c:numRef>
          </c:yVal>
          <c:smooth val="0"/>
          <c:extLst>
            <c:ext xmlns:c16="http://schemas.microsoft.com/office/drawing/2014/chart" uri="{C3380CC4-5D6E-409C-BE32-E72D297353CC}">
              <c16:uniqueId val="{0000000C-98FB-48F9-A4F7-D179A14B822F}"/>
            </c:ext>
          </c:extLst>
        </c:ser>
        <c:ser>
          <c:idx val="10"/>
          <c:order val="10"/>
          <c:tx>
            <c:strRef>
              <c:f>LDC2114_Config_tool!$S$109</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LDC2114_Config_tool!$S$110:$S$111</c:f>
              <c:numCache>
                <c:formatCode>General</c:formatCode>
                <c:ptCount val="2"/>
                <c:pt idx="0" formatCode="0.000">
                  <c:v>1.054</c:v>
                </c:pt>
                <c:pt idx="1">
                  <c:v>1.0550539999999999</c:v>
                </c:pt>
              </c:numCache>
            </c:numRef>
          </c:xVal>
          <c:yVal>
            <c:numRef>
              <c:f>LDC2114_Config_tool!$T$110:$T$111</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98FB-48F9-A4F7-D179A14B822F}"/>
            </c:ext>
          </c:extLst>
        </c:ser>
        <c:ser>
          <c:idx val="11"/>
          <c:order val="11"/>
          <c:tx>
            <c:strRef>
              <c:f>LDC2114_Config_tool!$U$109</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LDC2114_Config_tool!$U$110:$U$111</c:f>
              <c:numCache>
                <c:formatCode>General</c:formatCode>
                <c:ptCount val="2"/>
                <c:pt idx="0" formatCode="0.000">
                  <c:v>1</c:v>
                </c:pt>
                <c:pt idx="1">
                  <c:v>1.0009999999999999</c:v>
                </c:pt>
              </c:numCache>
            </c:numRef>
          </c:xVal>
          <c:yVal>
            <c:numRef>
              <c:f>LDC2114_Config_tool!$V$110:$V$111</c:f>
              <c:numCache>
                <c:formatCode>General</c:formatCode>
                <c:ptCount val="2"/>
                <c:pt idx="0" formatCode="0.00">
                  <c:v>-100</c:v>
                </c:pt>
                <c:pt idx="1">
                  <c:v>-100.1</c:v>
                </c:pt>
              </c:numCache>
            </c:numRef>
          </c:yVal>
          <c:smooth val="0"/>
          <c:extLst>
            <c:ext xmlns:c16="http://schemas.microsoft.com/office/drawing/2014/chart" uri="{C3380CC4-5D6E-409C-BE32-E72D297353CC}">
              <c16:uniqueId val="{0000000E-98FB-48F9-A4F7-D179A14B822F}"/>
            </c:ext>
          </c:extLst>
        </c:ser>
        <c:dLbls>
          <c:showLegendKey val="0"/>
          <c:showVal val="0"/>
          <c:showCatName val="0"/>
          <c:showSerName val="0"/>
          <c:showPercent val="0"/>
          <c:showBubbleSize val="0"/>
        </c:dLbls>
        <c:axId val="148427136"/>
        <c:axId val="148429056"/>
      </c:scatterChart>
      <c:valAx>
        <c:axId val="148427136"/>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429056"/>
        <c:crosses val="autoZero"/>
        <c:crossBetween val="midCat"/>
        <c:majorUnit val="1"/>
        <c:minorUnit val="0.25"/>
      </c:valAx>
      <c:valAx>
        <c:axId val="148429056"/>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427136"/>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'LDC131x-LDC161x_Config'!$D$239:$D$268</c:f>
              <c:numCache>
                <c:formatCode>0.0000</c:formatCode>
                <c:ptCount val="30"/>
                <c:pt idx="0">
                  <c:v>0.06</c:v>
                </c:pt>
                <c:pt idx="1">
                  <c:v>7.3380000000000001E-2</c:v>
                </c:pt>
                <c:pt idx="2">
                  <c:v>8.9743740000000016E-2</c:v>
                </c:pt>
                <c:pt idx="3">
                  <c:v>0.10975659402000003</c:v>
                </c:pt>
                <c:pt idx="4">
                  <c:v>0.13423231448646006</c:v>
                </c:pt>
                <c:pt idx="5">
                  <c:v>0.16416612061694064</c:v>
                </c:pt>
                <c:pt idx="6">
                  <c:v>0.20077516551451843</c:v>
                </c:pt>
                <c:pt idx="7">
                  <c:v>0.24554802742425605</c:v>
                </c:pt>
                <c:pt idx="8">
                  <c:v>0.30030523753986516</c:v>
                </c:pt>
                <c:pt idx="9">
                  <c:v>0.36727330551125509</c:v>
                </c:pt>
                <c:pt idx="10">
                  <c:v>0.44917525264026503</c:v>
                </c:pt>
                <c:pt idx="11">
                  <c:v>0.54934133397904417</c:v>
                </c:pt>
                <c:pt idx="12">
                  <c:v>0.67184445145637106</c:v>
                </c:pt>
                <c:pt idx="13">
                  <c:v>0.8216657641311419</c:v>
                </c:pt>
                <c:pt idx="14">
                  <c:v>1.0048972295323866</c:v>
                </c:pt>
                <c:pt idx="15">
                  <c:v>1.228989311718109</c:v>
                </c:pt>
                <c:pt idx="16">
                  <c:v>1.5030539282312472</c:v>
                </c:pt>
                <c:pt idx="17">
                  <c:v>1.8382349542268153</c:v>
                </c:pt>
                <c:pt idx="18">
                  <c:v>2.2481613490193952</c:v>
                </c:pt>
                <c:pt idx="19">
                  <c:v>2.7495013298507205</c:v>
                </c:pt>
                <c:pt idx="20">
                  <c:v>3.362640126407431</c:v>
                </c:pt>
                <c:pt idx="21">
                  <c:v>4.1125088745962888</c:v>
                </c:pt>
                <c:pt idx="22">
                  <c:v>5.0295983536312612</c:v>
                </c:pt>
                <c:pt idx="23">
                  <c:v>6.1511987864910331</c:v>
                </c:pt>
                <c:pt idx="24">
                  <c:v>7.5229161158785338</c:v>
                </c:pt>
                <c:pt idx="25">
                  <c:v>9.2005264097194477</c:v>
                </c:pt>
                <c:pt idx="26">
                  <c:v>11.252243799086886</c:v>
                </c:pt>
                <c:pt idx="27">
                  <c:v>13.761494166283262</c:v>
                </c:pt>
                <c:pt idx="28">
                  <c:v>16.83030736536443</c:v>
                </c:pt>
                <c:pt idx="29">
                  <c:v>20.583465907840697</c:v>
                </c:pt>
              </c:numCache>
            </c:numRef>
          </c:xVal>
          <c:yVal>
            <c:numRef>
              <c:f>'LDC131x-LDC161x_Config'!$F$239:$F$268</c:f>
              <c:numCache>
                <c:formatCode>0.000</c:formatCode>
                <c:ptCount val="30"/>
                <c:pt idx="0">
                  <c:v>0.63078880166667206</c:v>
                </c:pt>
                <c:pt idx="1">
                  <c:v>0.66841055893479606</c:v>
                </c:pt>
                <c:pt idx="2">
                  <c:v>0.71409913546702153</c:v>
                </c:pt>
                <c:pt idx="3">
                  <c:v>0.76949717078476754</c:v>
                </c:pt>
                <c:pt idx="4">
                  <c:v>0.8365392210228989</c:v>
                </c:pt>
                <c:pt idx="5">
                  <c:v>0.91748245151971353</c:v>
                </c:pt>
                <c:pt idx="6">
                  <c:v>1.0149290810034535</c:v>
                </c:pt>
                <c:pt idx="7">
                  <c:v>1.1318327778260466</c:v>
                </c:pt>
                <c:pt idx="8">
                  <c:v>1.2714776523960174</c:v>
                </c:pt>
                <c:pt idx="9">
                  <c:v>1.4374140401013862</c:v>
                </c:pt>
                <c:pt idx="10">
                  <c:v>1.6333301804900104</c:v>
                </c:pt>
                <c:pt idx="11">
                  <c:v>1.8628339566264358</c:v>
                </c:pt>
                <c:pt idx="12">
                  <c:v>2.1291157719041234</c:v>
                </c:pt>
                <c:pt idx="13">
                  <c:v>2.4344655495487437</c:v>
                </c:pt>
                <c:pt idx="14">
                  <c:v>2.7796287975444542</c:v>
                </c:pt>
                <c:pt idx="15">
                  <c:v>3.163015725715816</c:v>
                </c:pt>
                <c:pt idx="16">
                  <c:v>3.5798313644742294</c:v>
                </c:pt>
                <c:pt idx="17">
                  <c:v>4.0212783197599329</c:v>
                </c:pt>
                <c:pt idx="18">
                  <c:v>4.4740909079975699</c:v>
                </c:pt>
                <c:pt idx="19">
                  <c:v>4.9207598702451012</c:v>
                </c:pt>
                <c:pt idx="20">
                  <c:v>5.3408339363513413</c:v>
                </c:pt>
                <c:pt idx="21">
                  <c:v>5.7135361534327789</c:v>
                </c:pt>
                <c:pt idx="22">
                  <c:v>6.0215135971687399</c:v>
                </c:pt>
                <c:pt idx="23">
                  <c:v>6.2548654189709039</c:v>
                </c:pt>
                <c:pt idx="24">
                  <c:v>6.413935628953829</c:v>
                </c:pt>
                <c:pt idx="25">
                  <c:v>6.5092664830991813</c:v>
                </c:pt>
                <c:pt idx="26">
                  <c:v>6.5581087802924616</c:v>
                </c:pt>
                <c:pt idx="27">
                  <c:v>6.578789533774005</c:v>
                </c:pt>
                <c:pt idx="28">
                  <c:v>6.5857359423393538</c:v>
                </c:pt>
                <c:pt idx="29">
                  <c:v>6.5874975416152575</c:v>
                </c:pt>
              </c:numCache>
            </c:numRef>
          </c:yVal>
          <c:smooth val="0"/>
          <c:extLst>
            <c:ext xmlns:c16="http://schemas.microsoft.com/office/drawing/2014/chart" uri="{C3380CC4-5D6E-409C-BE32-E72D297353CC}">
              <c16:uniqueId val="{00000000-040B-4417-B4CC-9AA577C2BCA3}"/>
            </c:ext>
          </c:extLst>
        </c:ser>
        <c:ser>
          <c:idx val="1"/>
          <c:order val="1"/>
          <c:tx>
            <c:v>D1X</c:v>
          </c:tx>
          <c:spPr>
            <a:ln w="19050" cap="rnd">
              <a:solidFill>
                <a:schemeClr val="accent6">
                  <a:lumMod val="50000"/>
                </a:schemeClr>
              </a:solidFill>
              <a:round/>
            </a:ln>
            <a:effectLst/>
          </c:spPr>
          <c:marker>
            <c:symbol val="none"/>
          </c:marker>
          <c:xVal>
            <c:numRef>
              <c:f>'LDC131x-LDC161x_Config'!$H$239:$H$240</c:f>
              <c:numCache>
                <c:formatCode>0.00</c:formatCode>
                <c:ptCount val="2"/>
                <c:pt idx="0">
                  <c:v>2.1</c:v>
                </c:pt>
                <c:pt idx="1">
                  <c:v>2.1</c:v>
                </c:pt>
              </c:numCache>
            </c:numRef>
          </c:xVal>
          <c:yVal>
            <c:numRef>
              <c:f>'LDC131x-LDC161x_Config'!$I$239:$I$240</c:f>
              <c:numCache>
                <c:formatCode>0.0000</c:formatCode>
                <c:ptCount val="2"/>
                <c:pt idx="0">
                  <c:v>0</c:v>
                </c:pt>
                <c:pt idx="1">
                  <c:v>4.3204735750309329</c:v>
                </c:pt>
              </c:numCache>
            </c:numRef>
          </c:yVal>
          <c:smooth val="0"/>
          <c:extLst>
            <c:ext xmlns:c16="http://schemas.microsoft.com/office/drawing/2014/chart" uri="{C3380CC4-5D6E-409C-BE32-E72D297353CC}">
              <c16:uniqueId val="{00000001-040B-4417-B4CC-9AA577C2BCA3}"/>
            </c:ext>
          </c:extLst>
        </c:ser>
        <c:ser>
          <c:idx val="2"/>
          <c:order val="2"/>
          <c:tx>
            <c:v>D1Y</c:v>
          </c:tx>
          <c:spPr>
            <a:ln w="19050" cap="rnd">
              <a:solidFill>
                <a:schemeClr val="accent6">
                  <a:lumMod val="50000"/>
                </a:schemeClr>
              </a:solidFill>
              <a:round/>
            </a:ln>
            <a:effectLst/>
          </c:spPr>
          <c:marker>
            <c:symbol val="none"/>
          </c:marker>
          <c:xVal>
            <c:numRef>
              <c:f>'LDC131x-LDC161x_Config'!$H$240:$H$241</c:f>
              <c:numCache>
                <c:formatCode>General</c:formatCode>
                <c:ptCount val="2"/>
                <c:pt idx="0" formatCode="0.00">
                  <c:v>2.1</c:v>
                </c:pt>
                <c:pt idx="1">
                  <c:v>0</c:v>
                </c:pt>
              </c:numCache>
            </c:numRef>
          </c:xVal>
          <c:yVal>
            <c:numRef>
              <c:f>'LDC131x-LDC161x_Config'!$I$240:$I$241</c:f>
              <c:numCache>
                <c:formatCode>0.0000</c:formatCode>
                <c:ptCount val="2"/>
                <c:pt idx="0">
                  <c:v>4.3204735750309329</c:v>
                </c:pt>
                <c:pt idx="1">
                  <c:v>4.3204735750309329</c:v>
                </c:pt>
              </c:numCache>
            </c:numRef>
          </c:yVal>
          <c:smooth val="0"/>
          <c:extLst>
            <c:ext xmlns:c16="http://schemas.microsoft.com/office/drawing/2014/chart" uri="{C3380CC4-5D6E-409C-BE32-E72D297353CC}">
              <c16:uniqueId val="{00000002-040B-4417-B4CC-9AA577C2BCA3}"/>
            </c:ext>
          </c:extLst>
        </c:ser>
        <c:ser>
          <c:idx val="3"/>
          <c:order val="3"/>
          <c:tx>
            <c:v>D2X</c:v>
          </c:tx>
          <c:spPr>
            <a:ln w="19050" cap="rnd">
              <a:solidFill>
                <a:schemeClr val="accent6">
                  <a:lumMod val="50000"/>
                </a:schemeClr>
              </a:solidFill>
              <a:round/>
            </a:ln>
            <a:effectLst/>
          </c:spPr>
          <c:marker>
            <c:symbol val="none"/>
          </c:marker>
          <c:xVal>
            <c:numRef>
              <c:f>'LDC131x-LDC161x_Config'!$H$244:$H$245</c:f>
              <c:numCache>
                <c:formatCode>0.00</c:formatCode>
                <c:ptCount val="2"/>
                <c:pt idx="0">
                  <c:v>1.8</c:v>
                </c:pt>
                <c:pt idx="1">
                  <c:v>1.8</c:v>
                </c:pt>
              </c:numCache>
            </c:numRef>
          </c:xVal>
          <c:yVal>
            <c:numRef>
              <c:f>'LDC131x-LDC161x_Config'!$I$244:$I$245</c:f>
              <c:numCache>
                <c:formatCode>0.0000</c:formatCode>
                <c:ptCount val="2"/>
                <c:pt idx="0">
                  <c:v>0</c:v>
                </c:pt>
                <c:pt idx="1">
                  <c:v>3.9743885885119372</c:v>
                </c:pt>
              </c:numCache>
            </c:numRef>
          </c:yVal>
          <c:smooth val="0"/>
          <c:extLst>
            <c:ext xmlns:c16="http://schemas.microsoft.com/office/drawing/2014/chart" uri="{C3380CC4-5D6E-409C-BE32-E72D297353CC}">
              <c16:uniqueId val="{00000003-040B-4417-B4CC-9AA577C2BCA3}"/>
            </c:ext>
          </c:extLst>
        </c:ser>
        <c:ser>
          <c:idx val="4"/>
          <c:order val="4"/>
          <c:tx>
            <c:v>D2Y</c:v>
          </c:tx>
          <c:spPr>
            <a:ln w="19050" cap="rnd">
              <a:solidFill>
                <a:schemeClr val="accent6">
                  <a:lumMod val="50000"/>
                </a:schemeClr>
              </a:solidFill>
              <a:round/>
            </a:ln>
            <a:effectLst/>
          </c:spPr>
          <c:marker>
            <c:symbol val="none"/>
          </c:marker>
          <c:xVal>
            <c:numRef>
              <c:f>'LDC131x-LDC161x_Config'!$H$245:$H$246</c:f>
              <c:numCache>
                <c:formatCode>General</c:formatCode>
                <c:ptCount val="2"/>
                <c:pt idx="0" formatCode="0.00">
                  <c:v>1.8</c:v>
                </c:pt>
                <c:pt idx="1">
                  <c:v>0</c:v>
                </c:pt>
              </c:numCache>
            </c:numRef>
          </c:xVal>
          <c:yVal>
            <c:numRef>
              <c:f>'LDC131x-LDC161x_Config'!$I$245:$I$246</c:f>
              <c:numCache>
                <c:formatCode>0.0000</c:formatCode>
                <c:ptCount val="2"/>
                <c:pt idx="0">
                  <c:v>3.9743885885119372</c:v>
                </c:pt>
                <c:pt idx="1">
                  <c:v>3.9743885885119372</c:v>
                </c:pt>
              </c:numCache>
            </c:numRef>
          </c:yVal>
          <c:smooth val="0"/>
          <c:extLst>
            <c:ext xmlns:c16="http://schemas.microsoft.com/office/drawing/2014/chart" uri="{C3380CC4-5D6E-409C-BE32-E72D297353CC}">
              <c16:uniqueId val="{00000004-040B-4417-B4CC-9AA577C2BCA3}"/>
            </c:ext>
          </c:extLst>
        </c:ser>
        <c:dLbls>
          <c:showLegendKey val="0"/>
          <c:showVal val="0"/>
          <c:showCatName val="0"/>
          <c:showSerName val="0"/>
          <c:showPercent val="0"/>
          <c:showBubbleSize val="0"/>
        </c:dLbls>
        <c:axId val="148810368"/>
        <c:axId val="148816640"/>
      </c:scatterChart>
      <c:valAx>
        <c:axId val="148810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6640"/>
        <c:crosses val="autoZero"/>
        <c:crossBetween val="midCat"/>
      </c:valAx>
      <c:valAx>
        <c:axId val="14881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0368"/>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76454355054208"/>
          <c:y val="7.3879799222360293E-2"/>
          <c:w val="0.76210122472333319"/>
          <c:h val="0.74240517006449613"/>
        </c:manualLayout>
      </c:layout>
      <c:scatterChart>
        <c:scatterStyle val="smoothMarker"/>
        <c:varyColors val="0"/>
        <c:ser>
          <c:idx val="3"/>
          <c:order val="0"/>
          <c:tx>
            <c:v>Min L drive</c:v>
          </c:tx>
          <c:spPr>
            <a:ln w="38100">
              <a:solidFill>
                <a:srgbClr val="951609"/>
              </a:solidFill>
              <a:prstDash val="solid"/>
            </a:ln>
          </c:spPr>
          <c:marker>
            <c:symbol val="none"/>
          </c:marker>
          <c:errBars>
            <c:errDir val="y"/>
            <c:errBarType val="min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LDC0851_calc!$C$125:$C$203</c:f>
              <c:numCache>
                <c:formatCode>0.00E+00</c:formatCode>
                <c:ptCount val="79"/>
                <c:pt idx="0">
                  <c:v>137.93428401297598</c:v>
                </c:pt>
                <c:pt idx="1">
                  <c:v>68.96714200648799</c:v>
                </c:pt>
                <c:pt idx="2">
                  <c:v>45.978094670991986</c:v>
                </c:pt>
                <c:pt idx="3">
                  <c:v>34.483571003243995</c:v>
                </c:pt>
                <c:pt idx="4">
                  <c:v>27.586856802595197</c:v>
                </c:pt>
                <c:pt idx="5">
                  <c:v>22.989047335495993</c:v>
                </c:pt>
                <c:pt idx="6">
                  <c:v>19.704897716139428</c:v>
                </c:pt>
                <c:pt idx="7">
                  <c:v>17.241785501621997</c:v>
                </c:pt>
                <c:pt idx="8">
                  <c:v>15.32603155699733</c:v>
                </c:pt>
                <c:pt idx="9">
                  <c:v>13.793428401297598</c:v>
                </c:pt>
                <c:pt idx="10">
                  <c:v>12.539480364815997</c:v>
                </c:pt>
                <c:pt idx="11">
                  <c:v>11.494523667747996</c:v>
                </c:pt>
                <c:pt idx="12">
                  <c:v>10.610329539459689</c:v>
                </c:pt>
                <c:pt idx="13">
                  <c:v>9.8524488580697138</c:v>
                </c:pt>
                <c:pt idx="14">
                  <c:v>9.1956189341983983</c:v>
                </c:pt>
                <c:pt idx="15">
                  <c:v>8.6208927508109987</c:v>
                </c:pt>
                <c:pt idx="16">
                  <c:v>8.1137814125279988</c:v>
                </c:pt>
                <c:pt idx="17">
                  <c:v>7.6630157784986652</c:v>
                </c:pt>
                <c:pt idx="18">
                  <c:v>7.2596991585776829</c:v>
                </c:pt>
                <c:pt idx="19">
                  <c:v>6.8967142006487991</c:v>
                </c:pt>
                <c:pt idx="20">
                  <c:v>6.5682992387131414</c:v>
                </c:pt>
                <c:pt idx="21">
                  <c:v>6.2697401824079986</c:v>
                </c:pt>
                <c:pt idx="22">
                  <c:v>5.997142783172869</c:v>
                </c:pt>
                <c:pt idx="23">
                  <c:v>5.7472618338739982</c:v>
                </c:pt>
                <c:pt idx="24">
                  <c:v>5.5173713605190384</c:v>
                </c:pt>
                <c:pt idx="25">
                  <c:v>5.3051647697298447</c:v>
                </c:pt>
                <c:pt idx="26">
                  <c:v>5.1086771856657771</c:v>
                </c:pt>
                <c:pt idx="27">
                  <c:v>4.9262244290348569</c:v>
                </c:pt>
                <c:pt idx="28">
                  <c:v>4.7563546211371026</c:v>
                </c:pt>
                <c:pt idx="29">
                  <c:v>4.5978094670991991</c:v>
                </c:pt>
                <c:pt idx="30">
                  <c:v>4.4494930326766449</c:v>
                </c:pt>
                <c:pt idx="31">
                  <c:v>4.3104463754054994</c:v>
                </c:pt>
                <c:pt idx="32">
                  <c:v>4.179826788271999</c:v>
                </c:pt>
                <c:pt idx="33">
                  <c:v>4.0568907062639994</c:v>
                </c:pt>
                <c:pt idx="34">
                  <c:v>3.9409795432278845</c:v>
                </c:pt>
                <c:pt idx="35">
                  <c:v>3.8315078892493326</c:v>
                </c:pt>
                <c:pt idx="36">
                  <c:v>3.7279536219723237</c:v>
                </c:pt>
                <c:pt idx="37">
                  <c:v>3.6298495792888414</c:v>
                </c:pt>
                <c:pt idx="38">
                  <c:v>3.5367765131532298</c:v>
                </c:pt>
                <c:pt idx="39">
                  <c:v>3.4483571003243996</c:v>
                </c:pt>
                <c:pt idx="40">
                  <c:v>3.3642508295847797</c:v>
                </c:pt>
                <c:pt idx="41">
                  <c:v>3.2841496193565707</c:v>
                </c:pt>
                <c:pt idx="42">
                  <c:v>3.2077740468133946</c:v>
                </c:pt>
                <c:pt idx="43">
                  <c:v>3.1348700912039993</c:v>
                </c:pt>
                <c:pt idx="44">
                  <c:v>3.0652063113994661</c:v>
                </c:pt>
                <c:pt idx="45">
                  <c:v>2.9985713915864345</c:v>
                </c:pt>
                <c:pt idx="46">
                  <c:v>2.9347720002760842</c:v>
                </c:pt>
                <c:pt idx="47">
                  <c:v>2.8736309169369991</c:v>
                </c:pt>
                <c:pt idx="48">
                  <c:v>2.814985388019918</c:v>
                </c:pt>
                <c:pt idx="49">
                  <c:v>2.7586856802595192</c:v>
                </c:pt>
                <c:pt idx="50">
                  <c:v>2.7045938041759996</c:v>
                </c:pt>
                <c:pt idx="51">
                  <c:v>2.6525823848649224</c:v>
                </c:pt>
                <c:pt idx="52">
                  <c:v>2.6025336606221878</c:v>
                </c:pt>
                <c:pt idx="53">
                  <c:v>2.5543385928328886</c:v>
                </c:pt>
                <c:pt idx="54">
                  <c:v>2.5078960729631996</c:v>
                </c:pt>
                <c:pt idx="55">
                  <c:v>2.4631122145174285</c:v>
                </c:pt>
                <c:pt idx="56">
                  <c:v>2.4198997195258944</c:v>
                </c:pt>
                <c:pt idx="57">
                  <c:v>2.3781773105685513</c:v>
                </c:pt>
                <c:pt idx="58">
                  <c:v>2.3378692205589147</c:v>
                </c:pt>
                <c:pt idx="59">
                  <c:v>2.2989047335495996</c:v>
                </c:pt>
                <c:pt idx="60">
                  <c:v>2.261217770704524</c:v>
                </c:pt>
                <c:pt idx="61">
                  <c:v>2.2247465163383224</c:v>
                </c:pt>
                <c:pt idx="62">
                  <c:v>2.1894330795710473</c:v>
                </c:pt>
                <c:pt idx="63">
                  <c:v>2.1552231877027497</c:v>
                </c:pt>
                <c:pt idx="64">
                  <c:v>2.1220659078919382</c:v>
                </c:pt>
                <c:pt idx="65">
                  <c:v>2.0899133941359995</c:v>
                </c:pt>
                <c:pt idx="66">
                  <c:v>2.0587206569100895</c:v>
                </c:pt>
                <c:pt idx="67">
                  <c:v>2.0284453531319997</c:v>
                </c:pt>
                <c:pt idx="68">
                  <c:v>1.9990475943909563</c:v>
                </c:pt>
                <c:pt idx="69">
                  <c:v>1.9704897716139422</c:v>
                </c:pt>
                <c:pt idx="70">
                  <c:v>1.9427363945489573</c:v>
                </c:pt>
                <c:pt idx="71">
                  <c:v>1.9157539446246663</c:v>
                </c:pt>
                <c:pt idx="72">
                  <c:v>1.8895107399037805</c:v>
                </c:pt>
                <c:pt idx="73">
                  <c:v>1.8639768109861619</c:v>
                </c:pt>
                <c:pt idx="74">
                  <c:v>1.8391237868396799</c:v>
                </c:pt>
                <c:pt idx="75">
                  <c:v>1.8149247896444207</c:v>
                </c:pt>
                <c:pt idx="76">
                  <c:v>1.7913543378308565</c:v>
                </c:pt>
                <c:pt idx="77">
                  <c:v>1.7683882565766149</c:v>
                </c:pt>
                <c:pt idx="78">
                  <c:v>1.7460035951009616</c:v>
                </c:pt>
              </c:numCache>
            </c:numRef>
          </c:yVal>
          <c:smooth val="1"/>
          <c:extLst>
            <c:ext xmlns:c16="http://schemas.microsoft.com/office/drawing/2014/chart" uri="{C3380CC4-5D6E-409C-BE32-E72D297353CC}">
              <c16:uniqueId val="{00000000-3D63-4B74-AAEE-788B2F0CFC26}"/>
            </c:ext>
          </c:extLst>
        </c:ser>
        <c:ser>
          <c:idx val="0"/>
          <c:order val="1"/>
          <c:tx>
            <c:strRef>
              <c:f>LDC0851_calc!$D$124</c:f>
              <c:strCache>
                <c:ptCount val="1"/>
                <c:pt idx="0">
                  <c:v>Csensor &lt; 33pF</c:v>
                </c:pt>
              </c:strCache>
            </c:strRef>
          </c:tx>
          <c:spPr>
            <a:ln w="38100">
              <a:solidFill>
                <a:srgbClr val="951609"/>
              </a:solidFill>
              <a:prstDash val="solid"/>
            </a:ln>
          </c:spPr>
          <c:marker>
            <c:symbol val="none"/>
          </c:marker>
          <c:errBars>
            <c:errDir val="y"/>
            <c:errBarType val="pl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LDC0851_calc!$D$125:$D$203</c:f>
              <c:numCache>
                <c:formatCode>General</c:formatCode>
                <c:ptCount val="79"/>
                <c:pt idx="0">
                  <c:v>24562.711186021286</c:v>
                </c:pt>
                <c:pt idx="1">
                  <c:v>6140.6777965053216</c:v>
                </c:pt>
                <c:pt idx="2">
                  <c:v>2729.1901317801421</c:v>
                </c:pt>
                <c:pt idx="3">
                  <c:v>1535.1694491263304</c:v>
                </c:pt>
                <c:pt idx="4">
                  <c:v>982.50844744085134</c:v>
                </c:pt>
                <c:pt idx="5">
                  <c:v>682.29753294503553</c:v>
                </c:pt>
                <c:pt idx="6">
                  <c:v>501.27982012288322</c:v>
                </c:pt>
                <c:pt idx="7">
                  <c:v>383.7923622815826</c:v>
                </c:pt>
                <c:pt idx="8">
                  <c:v>303.24334797557145</c:v>
                </c:pt>
                <c:pt idx="9">
                  <c:v>245.62711186021284</c:v>
                </c:pt>
                <c:pt idx="10">
                  <c:v>202.99761310761392</c:v>
                </c:pt>
                <c:pt idx="11">
                  <c:v>170.57438323625888</c:v>
                </c:pt>
                <c:pt idx="12">
                  <c:v>145.34148630781823</c:v>
                </c:pt>
                <c:pt idx="13">
                  <c:v>125.31995503072081</c:v>
                </c:pt>
                <c:pt idx="14">
                  <c:v>109.16760527120572</c:v>
                </c:pt>
                <c:pt idx="15">
                  <c:v>95.948090570395649</c:v>
                </c:pt>
                <c:pt idx="16">
                  <c:v>84.992080228447335</c:v>
                </c:pt>
                <c:pt idx="17">
                  <c:v>75.810836993892863</c:v>
                </c:pt>
                <c:pt idx="18">
                  <c:v>68.040751207815177</c:v>
                </c:pt>
                <c:pt idx="19">
                  <c:v>61.406777965053209</c:v>
                </c:pt>
                <c:pt idx="20">
                  <c:v>55.697757791431471</c:v>
                </c:pt>
                <c:pt idx="21">
                  <c:v>50.749403276903479</c:v>
                </c:pt>
                <c:pt idx="22">
                  <c:v>46.432346287374834</c:v>
                </c:pt>
                <c:pt idx="23">
                  <c:v>42.64359580906472</c:v>
                </c:pt>
                <c:pt idx="24">
                  <c:v>39.300337897634058</c:v>
                </c:pt>
                <c:pt idx="25">
                  <c:v>36.335371576954557</c:v>
                </c:pt>
                <c:pt idx="26">
                  <c:v>33.693705330619039</c:v>
                </c:pt>
                <c:pt idx="27">
                  <c:v>31.329988757680201</c:v>
                </c:pt>
                <c:pt idx="28">
                  <c:v>29.206553134389154</c:v>
                </c:pt>
                <c:pt idx="29">
                  <c:v>27.291901317801429</c:v>
                </c:pt>
                <c:pt idx="30">
                  <c:v>25.559532971926409</c:v>
                </c:pt>
                <c:pt idx="31">
                  <c:v>23.987022642598912</c:v>
                </c:pt>
                <c:pt idx="32">
                  <c:v>22.55529034529043</c:v>
                </c:pt>
                <c:pt idx="33">
                  <c:v>21.248020057111834</c:v>
                </c:pt>
                <c:pt idx="34">
                  <c:v>20.051192804915331</c:v>
                </c:pt>
                <c:pt idx="35">
                  <c:v>18.952709248473216</c:v>
                </c:pt>
                <c:pt idx="36">
                  <c:v>17.942082677882603</c:v>
                </c:pt>
                <c:pt idx="37">
                  <c:v>17.010187801953794</c:v>
                </c:pt>
                <c:pt idx="38">
                  <c:v>16.149054034202027</c:v>
                </c:pt>
                <c:pt idx="39">
                  <c:v>15.351694491263302</c:v>
                </c:pt>
                <c:pt idx="40">
                  <c:v>14.611963822737229</c:v>
                </c:pt>
                <c:pt idx="41">
                  <c:v>13.924439447857868</c:v>
                </c:pt>
                <c:pt idx="42">
                  <c:v>13.284321896171596</c:v>
                </c:pt>
                <c:pt idx="43">
                  <c:v>12.68735081922587</c:v>
                </c:pt>
                <c:pt idx="44">
                  <c:v>12.129733919022854</c:v>
                </c:pt>
                <c:pt idx="45">
                  <c:v>11.608086571843709</c:v>
                </c:pt>
                <c:pt idx="46">
                  <c:v>11.119380346772871</c:v>
                </c:pt>
                <c:pt idx="47">
                  <c:v>10.66089895226618</c:v>
                </c:pt>
                <c:pt idx="48">
                  <c:v>10.23020041067109</c:v>
                </c:pt>
                <c:pt idx="49">
                  <c:v>9.8250844744085146</c:v>
                </c:pt>
                <c:pt idx="50">
                  <c:v>9.4435644698274821</c:v>
                </c:pt>
                <c:pt idx="51">
                  <c:v>9.0838428942386393</c:v>
                </c:pt>
                <c:pt idx="52">
                  <c:v>8.7442902050627573</c:v>
                </c:pt>
                <c:pt idx="53">
                  <c:v>8.4234263326547598</c:v>
                </c:pt>
                <c:pt idx="54">
                  <c:v>8.1199045243045536</c:v>
                </c:pt>
                <c:pt idx="55">
                  <c:v>7.8324971894200504</c:v>
                </c:pt>
                <c:pt idx="56">
                  <c:v>7.560083467535021</c:v>
                </c:pt>
                <c:pt idx="57">
                  <c:v>7.3016382835972884</c:v>
                </c:pt>
                <c:pt idx="58">
                  <c:v>7.0562226906122607</c:v>
                </c:pt>
                <c:pt idx="59">
                  <c:v>6.8229753294503572</c:v>
                </c:pt>
                <c:pt idx="60">
                  <c:v>6.6011048605270854</c:v>
                </c:pt>
                <c:pt idx="61">
                  <c:v>6.3898832429816022</c:v>
                </c:pt>
                <c:pt idx="62">
                  <c:v>6.1886397546034981</c:v>
                </c:pt>
                <c:pt idx="63">
                  <c:v>5.9967556606497281</c:v>
                </c:pt>
                <c:pt idx="64">
                  <c:v>5.813659452312729</c:v>
                </c:pt>
                <c:pt idx="65">
                  <c:v>5.6388225863226076</c:v>
                </c:pt>
                <c:pt idx="66">
                  <c:v>5.4717556663001288</c:v>
                </c:pt>
                <c:pt idx="67">
                  <c:v>5.3120050142779585</c:v>
                </c:pt>
                <c:pt idx="68">
                  <c:v>5.1591495874860911</c:v>
                </c:pt>
                <c:pt idx="69">
                  <c:v>5.0127982012288328</c:v>
                </c:pt>
                <c:pt idx="70">
                  <c:v>4.8725870236106497</c:v>
                </c:pt>
                <c:pt idx="71">
                  <c:v>4.738177312118304</c:v>
                </c:pt>
                <c:pt idx="72">
                  <c:v>4.6092533657386534</c:v>
                </c:pt>
                <c:pt idx="73">
                  <c:v>4.4855206694706506</c:v>
                </c:pt>
                <c:pt idx="74">
                  <c:v>4.3667042108482281</c:v>
                </c:pt>
                <c:pt idx="75">
                  <c:v>4.2525469504884486</c:v>
                </c:pt>
                <c:pt idx="76">
                  <c:v>4.1428084307676301</c:v>
                </c:pt>
                <c:pt idx="77">
                  <c:v>4.0372635085505069</c:v>
                </c:pt>
                <c:pt idx="78">
                  <c:v>3.9357011994906719</c:v>
                </c:pt>
              </c:numCache>
            </c:numRef>
          </c:yVal>
          <c:smooth val="1"/>
          <c:extLst>
            <c:ext xmlns:c16="http://schemas.microsoft.com/office/drawing/2014/chart" uri="{C3380CC4-5D6E-409C-BE32-E72D297353CC}">
              <c16:uniqueId val="{00000001-3D63-4B74-AAEE-788B2F0CFC26}"/>
            </c:ext>
          </c:extLst>
        </c:ser>
        <c:ser>
          <c:idx val="1"/>
          <c:order val="2"/>
          <c:tx>
            <c:v>Sensor Operation</c:v>
          </c:tx>
          <c:spPr>
            <a:ln>
              <a:solidFill>
                <a:schemeClr val="tx1"/>
              </a:solidFill>
            </a:ln>
          </c:spPr>
          <c:marker>
            <c:symbol val="circle"/>
            <c:size val="5"/>
            <c:spPr>
              <a:solidFill>
                <a:srgbClr val="00B0F0"/>
              </a:solidFill>
            </c:spPr>
          </c:marker>
          <c:dPt>
            <c:idx val="1"/>
            <c:marker>
              <c:symbol val="none"/>
            </c:marker>
            <c:bubble3D val="0"/>
            <c:extLst>
              <c:ext xmlns:c16="http://schemas.microsoft.com/office/drawing/2014/chart" uri="{C3380CC4-5D6E-409C-BE32-E72D297353CC}">
                <c16:uniqueId val="{00000002-3D63-4B74-AAEE-788B2F0CFC26}"/>
              </c:ext>
            </c:extLst>
          </c:dPt>
          <c:dPt>
            <c:idx val="2"/>
            <c:marker>
              <c:symbol val="none"/>
            </c:marker>
            <c:bubble3D val="0"/>
            <c:extLst>
              <c:ext xmlns:c16="http://schemas.microsoft.com/office/drawing/2014/chart" uri="{C3380CC4-5D6E-409C-BE32-E72D297353CC}">
                <c16:uniqueId val="{00000003-3D63-4B74-AAEE-788B2F0CFC26}"/>
              </c:ext>
            </c:extLst>
          </c:dPt>
          <c:dPt>
            <c:idx val="3"/>
            <c:marker>
              <c:symbol val="none"/>
            </c:marker>
            <c:bubble3D val="0"/>
            <c:spPr>
              <a:ln>
                <a:solidFill>
                  <a:schemeClr val="tx1"/>
                </a:solidFill>
                <a:tailEnd type="none"/>
              </a:ln>
            </c:spPr>
            <c:extLst>
              <c:ext xmlns:c16="http://schemas.microsoft.com/office/drawing/2014/chart" uri="{C3380CC4-5D6E-409C-BE32-E72D297353CC}">
                <c16:uniqueId val="{00000005-3D63-4B74-AAEE-788B2F0CFC26}"/>
              </c:ext>
            </c:extLst>
          </c:dPt>
          <c:dPt>
            <c:idx val="4"/>
            <c:bubble3D val="0"/>
            <c:spPr>
              <a:ln>
                <a:solidFill>
                  <a:schemeClr val="tx1"/>
                </a:solidFill>
                <a:headEnd type="none"/>
                <a:tailEnd type="triangle"/>
              </a:ln>
            </c:spPr>
            <c:extLst>
              <c:ext xmlns:c16="http://schemas.microsoft.com/office/drawing/2014/chart" uri="{C3380CC4-5D6E-409C-BE32-E72D297353CC}">
                <c16:uniqueId val="{00000007-3D63-4B74-AAEE-788B2F0CFC26}"/>
              </c:ext>
            </c:extLst>
          </c:dPt>
          <c:xVal>
            <c:numRef>
              <c:f>LDC0851_calc!$E$125:$E$129</c:f>
              <c:numCache>
                <c:formatCode>0.000</c:formatCode>
                <c:ptCount val="5"/>
                <c:pt idx="0">
                  <c:v>12170882.689518223</c:v>
                </c:pt>
                <c:pt idx="1">
                  <c:v>12595240.046250511</c:v>
                </c:pt>
                <c:pt idx="2">
                  <c:v>13067323.583234638</c:v>
                </c:pt>
                <c:pt idx="3">
                  <c:v>13596807.093993297</c:v>
                </c:pt>
                <c:pt idx="4">
                  <c:v>14196352.685462618</c:v>
                </c:pt>
              </c:numCache>
            </c:numRef>
          </c:xVal>
          <c:yVal>
            <c:numRef>
              <c:f>LDC0851_calc!$F$125:$F$129</c:f>
              <c:numCache>
                <c:formatCode>0.0000</c:formatCode>
                <c:ptCount val="5"/>
                <c:pt idx="0" formatCode="0.00">
                  <c:v>6</c:v>
                </c:pt>
                <c:pt idx="1">
                  <c:v>5.6025082593606239</c:v>
                </c:pt>
                <c:pt idx="2">
                  <c:v>5.2050165187212478</c:v>
                </c:pt>
                <c:pt idx="3">
                  <c:v>4.8075247780818717</c:v>
                </c:pt>
                <c:pt idx="4">
                  <c:v>4.4100330374424939</c:v>
                </c:pt>
              </c:numCache>
            </c:numRef>
          </c:yVal>
          <c:smooth val="0"/>
          <c:extLst>
            <c:ext xmlns:c16="http://schemas.microsoft.com/office/drawing/2014/chart" uri="{C3380CC4-5D6E-409C-BE32-E72D297353CC}">
              <c16:uniqueId val="{00000008-3D63-4B74-AAEE-788B2F0CFC26}"/>
            </c:ext>
          </c:extLst>
        </c:ser>
        <c:dLbls>
          <c:showLegendKey val="0"/>
          <c:showVal val="0"/>
          <c:showCatName val="0"/>
          <c:showSerName val="0"/>
          <c:showPercent val="0"/>
          <c:showBubbleSize val="0"/>
        </c:dLbls>
        <c:axId val="149668992"/>
        <c:axId val="149671296"/>
      </c:scatterChart>
      <c:valAx>
        <c:axId val="149668992"/>
        <c:scaling>
          <c:orientation val="minMax"/>
          <c:max val="20000000"/>
          <c:min val="0"/>
        </c:scaling>
        <c:delete val="0"/>
        <c:axPos val="b"/>
        <c:majorGridlines>
          <c:spPr>
            <a:ln>
              <a:solidFill>
                <a:schemeClr val="bg1">
                  <a:lumMod val="65000"/>
                </a:schemeClr>
              </a:solidFill>
            </a:ln>
          </c:spPr>
        </c:majorGridlines>
        <c:minorGridlines>
          <c:spPr>
            <a:ln>
              <a:solidFill>
                <a:schemeClr val="bg1">
                  <a:lumMod val="75000"/>
                </a:schemeClr>
              </a:solidFill>
            </a:ln>
          </c:spPr>
        </c:minorGridlines>
        <c:title>
          <c:tx>
            <c:rich>
              <a:bodyPr/>
              <a:lstStyle/>
              <a:p>
                <a:pPr>
                  <a:defRPr sz="900" b="0"/>
                </a:pPr>
                <a:r>
                  <a:rPr lang="en-US" sz="900" b="1"/>
                  <a:t>Sensor Frequency (MHz)</a:t>
                </a:r>
              </a:p>
            </c:rich>
          </c:tx>
          <c:layout>
            <c:manualLayout>
              <c:xMode val="edge"/>
              <c:yMode val="edge"/>
              <c:x val="0.35761559397276033"/>
              <c:y val="0.89778991556402599"/>
            </c:manualLayout>
          </c:layout>
          <c:overlay val="0"/>
        </c:title>
        <c:numFmt formatCode="#,##0.0" sourceLinked="0"/>
        <c:majorTickMark val="out"/>
        <c:minorTickMark val="none"/>
        <c:tickLblPos val="nextTo"/>
        <c:txPr>
          <a:bodyPr/>
          <a:lstStyle/>
          <a:p>
            <a:pPr>
              <a:defRPr sz="800"/>
            </a:pPr>
            <a:endParaRPr lang="en-US"/>
          </a:p>
        </c:txPr>
        <c:crossAx val="149671296"/>
        <c:crosses val="autoZero"/>
        <c:crossBetween val="midCat"/>
        <c:majorUnit val="2000000"/>
        <c:minorUnit val="500000"/>
        <c:dispUnits>
          <c:builtInUnit val="millions"/>
        </c:dispUnits>
      </c:valAx>
      <c:valAx>
        <c:axId val="149671296"/>
        <c:scaling>
          <c:orientation val="minMax"/>
          <c:max val="40"/>
          <c:min val="0"/>
        </c:scaling>
        <c:delete val="0"/>
        <c:axPos val="l"/>
        <c:majorGridlines>
          <c:spPr>
            <a:ln>
              <a:solidFill>
                <a:schemeClr val="bg1">
                  <a:lumMod val="65000"/>
                </a:schemeClr>
              </a:solidFill>
            </a:ln>
          </c:spPr>
        </c:majorGridlines>
        <c:title>
          <c:tx>
            <c:rich>
              <a:bodyPr rot="-5400000" vert="horz"/>
              <a:lstStyle/>
              <a:p>
                <a:pPr>
                  <a:defRPr sz="900" b="0"/>
                </a:pPr>
                <a:r>
                  <a:rPr lang="en-US" sz="900" b="1"/>
                  <a:t>Inductance (µH)</a:t>
                </a:r>
              </a:p>
            </c:rich>
          </c:tx>
          <c:layout>
            <c:manualLayout>
              <c:xMode val="edge"/>
              <c:yMode val="edge"/>
              <c:x val="1.0526312881250758E-2"/>
              <c:y val="0.24407227601242398"/>
            </c:manualLayout>
          </c:layout>
          <c:overlay val="0"/>
        </c:title>
        <c:numFmt formatCode="#,##0.0" sourceLinked="0"/>
        <c:majorTickMark val="out"/>
        <c:minorTickMark val="none"/>
        <c:tickLblPos val="nextTo"/>
        <c:txPr>
          <a:bodyPr/>
          <a:lstStyle/>
          <a:p>
            <a:pPr>
              <a:defRPr sz="800"/>
            </a:pPr>
            <a:endParaRPr lang="en-US"/>
          </a:p>
        </c:txPr>
        <c:crossAx val="149668992"/>
        <c:crosses val="autoZero"/>
        <c:crossBetween val="midCat"/>
      </c:valAx>
      <c:spPr>
        <a:solidFill>
          <a:schemeClr val="accent3">
            <a:lumMod val="40000"/>
            <a:lumOff val="60000"/>
          </a:schemeClr>
        </a:solidFill>
      </c:spPr>
    </c:plotArea>
    <c:plotVisOnly val="0"/>
    <c:dispBlanksAs val="gap"/>
    <c:showDLblsOverMax val="0"/>
  </c:chart>
  <c:spPr>
    <a:noFill/>
    <a:ln>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99414496264891"/>
          <c:y val="9.7632970933337934E-2"/>
          <c:w val="0.79801821171505516"/>
          <c:h val="0.60755932994305084"/>
        </c:manualLayout>
      </c:layout>
      <c:scatterChart>
        <c:scatterStyle val="lineMarker"/>
        <c:varyColors val="0"/>
        <c:ser>
          <c:idx val="0"/>
          <c:order val="0"/>
          <c:tx>
            <c:strRef>
              <c:f>LDC0851_calc!$V$124</c:f>
              <c:strCache>
                <c:ptCount val="1"/>
                <c:pt idx="0">
                  <c:v>Approx Switch OFF</c:v>
                </c:pt>
              </c:strCache>
            </c:strRef>
          </c:tx>
          <c:spPr>
            <a:ln>
              <a:solidFill>
                <a:srgbClr val="00B0F0"/>
              </a:solidFill>
            </a:ln>
          </c:spPr>
          <c:marker>
            <c:symbol val="square"/>
            <c:size val="5"/>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LDC0851_calc!$V$125:$V$139</c:f>
              <c:numCache>
                <c:formatCode>General</c:formatCode>
                <c:ptCount val="15"/>
                <c:pt idx="0">
                  <c:v>0.36696551724137921</c:v>
                </c:pt>
                <c:pt idx="1">
                  <c:v>0.7674482758620691</c:v>
                </c:pt>
                <c:pt idx="2">
                  <c:v>1.0988965517241378</c:v>
                </c:pt>
                <c:pt idx="3">
                  <c:v>1.3881724137931035</c:v>
                </c:pt>
                <c:pt idx="4">
                  <c:v>1.6764482758620691</c:v>
                </c:pt>
                <c:pt idx="5">
                  <c:v>1.9460344827586209</c:v>
                </c:pt>
                <c:pt idx="6">
                  <c:v>2.205103448275862</c:v>
                </c:pt>
                <c:pt idx="7">
                  <c:v>2.4645172413793106</c:v>
                </c:pt>
                <c:pt idx="8">
                  <c:v>2.7391034482758623</c:v>
                </c:pt>
                <c:pt idx="9">
                  <c:v>3.0138620689655173</c:v>
                </c:pt>
                <c:pt idx="10">
                  <c:v>3.3037931034482759</c:v>
                </c:pt>
                <c:pt idx="11">
                  <c:v>3.6035517241379309</c:v>
                </c:pt>
                <c:pt idx="12">
                  <c:v>3.8813103448275865</c:v>
                </c:pt>
                <c:pt idx="13">
                  <c:v>4.141068965517241</c:v>
                </c:pt>
                <c:pt idx="14">
                  <c:v>4.4591724137931035</c:v>
                </c:pt>
              </c:numCache>
            </c:numRef>
          </c:yVal>
          <c:smooth val="0"/>
          <c:extLst>
            <c:ext xmlns:c16="http://schemas.microsoft.com/office/drawing/2014/chart" uri="{C3380CC4-5D6E-409C-BE32-E72D297353CC}">
              <c16:uniqueId val="{00000000-051F-4900-84B8-E0A4DAA1A021}"/>
            </c:ext>
          </c:extLst>
        </c:ser>
        <c:ser>
          <c:idx val="1"/>
          <c:order val="1"/>
          <c:tx>
            <c:strRef>
              <c:f>LDC0851_calc!$W$124</c:f>
              <c:strCache>
                <c:ptCount val="1"/>
                <c:pt idx="0">
                  <c:v>Approx Switch ON</c:v>
                </c:pt>
              </c:strCache>
            </c:strRef>
          </c:tx>
          <c:spPr>
            <a:ln>
              <a:solidFill>
                <a:srgbClr val="FF00FF"/>
              </a:solidFill>
            </a:ln>
          </c:spPr>
          <c:marker>
            <c:symbol val="square"/>
            <c:size val="4"/>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LDC0851_calc!$W$125:$W$139</c:f>
              <c:numCache>
                <c:formatCode>General</c:formatCode>
                <c:ptCount val="15"/>
                <c:pt idx="0">
                  <c:v>0.33627586206896548</c:v>
                </c:pt>
                <c:pt idx="1">
                  <c:v>0.71958620689655173</c:v>
                </c:pt>
                <c:pt idx="2">
                  <c:v>1.0420344827586181</c:v>
                </c:pt>
                <c:pt idx="3">
                  <c:v>1.3243103448275861</c:v>
                </c:pt>
                <c:pt idx="4">
                  <c:v>1.5962413793103445</c:v>
                </c:pt>
                <c:pt idx="5">
                  <c:v>1.8599999999999999</c:v>
                </c:pt>
                <c:pt idx="6">
                  <c:v>2.0908965517241374</c:v>
                </c:pt>
                <c:pt idx="7">
                  <c:v>2.3319655172413789</c:v>
                </c:pt>
                <c:pt idx="8">
                  <c:v>2.5813793103448277</c:v>
                </c:pt>
                <c:pt idx="9">
                  <c:v>2.8217931034482757</c:v>
                </c:pt>
                <c:pt idx="10">
                  <c:v>3.0578620689655169</c:v>
                </c:pt>
                <c:pt idx="11">
                  <c:v>3.3226206896551722</c:v>
                </c:pt>
                <c:pt idx="12">
                  <c:v>3.5610344827586204</c:v>
                </c:pt>
                <c:pt idx="13">
                  <c:v>3.7592758620689657</c:v>
                </c:pt>
                <c:pt idx="14">
                  <c:v>4.0106896551724134</c:v>
                </c:pt>
              </c:numCache>
            </c:numRef>
          </c:yVal>
          <c:smooth val="0"/>
          <c:extLst>
            <c:ext xmlns:c16="http://schemas.microsoft.com/office/drawing/2014/chart" uri="{C3380CC4-5D6E-409C-BE32-E72D297353CC}">
              <c16:uniqueId val="{00000001-051F-4900-84B8-E0A4DAA1A021}"/>
            </c:ext>
          </c:extLst>
        </c:ser>
        <c:ser>
          <c:idx val="2"/>
          <c:order val="2"/>
          <c:tx>
            <c:strRef>
              <c:f>LDC0851_calc!$X$124</c:f>
              <c:strCache>
                <c:ptCount val="1"/>
                <c:pt idx="0">
                  <c:v>Desired Switching</c:v>
                </c:pt>
              </c:strCache>
            </c:strRef>
          </c:tx>
          <c:spPr>
            <a:ln>
              <a:solidFill>
                <a:srgbClr val="00B050"/>
              </a:solidFill>
            </a:ln>
          </c:spPr>
          <c:marker>
            <c:symbol val="none"/>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LDC0851_calc!$X$125:$X$139</c:f>
              <c:numCache>
                <c:formatCode>General</c:formatCode>
                <c:ptCount val="15"/>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numCache>
            </c:numRef>
          </c:yVal>
          <c:smooth val="0"/>
          <c:extLst>
            <c:ext xmlns:c16="http://schemas.microsoft.com/office/drawing/2014/chart" uri="{C3380CC4-5D6E-409C-BE32-E72D297353CC}">
              <c16:uniqueId val="{00000002-051F-4900-84B8-E0A4DAA1A021}"/>
            </c:ext>
          </c:extLst>
        </c:ser>
        <c:ser>
          <c:idx val="5"/>
          <c:order val="3"/>
          <c:tx>
            <c:strRef>
              <c:f>LDC0851_calc!$Y$124</c:f>
              <c:strCache>
                <c:ptCount val="1"/>
                <c:pt idx="0">
                  <c:v>Closest Target Disance</c:v>
                </c:pt>
              </c:strCache>
            </c:strRef>
          </c:tx>
          <c:spPr>
            <a:ln>
              <a:solidFill>
                <a:schemeClr val="tx1"/>
              </a:solidFill>
              <a:prstDash val="dash"/>
            </a:ln>
          </c:spPr>
          <c:marker>
            <c:symbol val="none"/>
          </c:marker>
          <c:errBars>
            <c:errDir val="y"/>
            <c:errBarType val="minus"/>
            <c:errValType val="percentage"/>
            <c:noEndCap val="0"/>
            <c:val val="1000"/>
            <c:spPr>
              <a:ln w="508000">
                <a:solidFill>
                  <a:srgbClr val="951609"/>
                </a:solidFill>
              </a:ln>
            </c:spPr>
          </c:errBars>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LDC0851_calc!$Y$125:$Y$139</c:f>
              <c:numCache>
                <c:formatCode>0.00</c:formatCode>
                <c:ptCount val="15"/>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numCache>
            </c:numRef>
          </c:yVal>
          <c:smooth val="0"/>
          <c:extLst>
            <c:ext xmlns:c16="http://schemas.microsoft.com/office/drawing/2014/chart" uri="{C3380CC4-5D6E-409C-BE32-E72D297353CC}">
              <c16:uniqueId val="{00000003-051F-4900-84B8-E0A4DAA1A021}"/>
            </c:ext>
          </c:extLst>
        </c:ser>
        <c:dLbls>
          <c:showLegendKey val="0"/>
          <c:showVal val="0"/>
          <c:showCatName val="0"/>
          <c:showSerName val="0"/>
          <c:showPercent val="0"/>
          <c:showBubbleSize val="0"/>
        </c:dLbls>
        <c:axId val="137948160"/>
        <c:axId val="150152320"/>
      </c:scatterChart>
      <c:valAx>
        <c:axId val="137948160"/>
        <c:scaling>
          <c:orientation val="maxMin"/>
          <c:max val="15"/>
          <c:min val="1"/>
        </c:scaling>
        <c:delete val="0"/>
        <c:axPos val="b"/>
        <c:majorGridlines>
          <c:spPr>
            <a:ln>
              <a:solidFill>
                <a:schemeClr val="bg1">
                  <a:lumMod val="85000"/>
                </a:schemeClr>
              </a:solidFill>
            </a:ln>
          </c:spPr>
        </c:majorGridlines>
        <c:minorGridlines/>
        <c:title>
          <c:tx>
            <c:rich>
              <a:bodyPr/>
              <a:lstStyle/>
              <a:p>
                <a:pPr>
                  <a:defRPr/>
                </a:pPr>
                <a:r>
                  <a:rPr lang="en-US"/>
                  <a:t>ADJ Code</a:t>
                </a:r>
              </a:p>
            </c:rich>
          </c:tx>
          <c:overlay val="0"/>
        </c:title>
        <c:numFmt formatCode="General" sourceLinked="1"/>
        <c:majorTickMark val="out"/>
        <c:minorTickMark val="none"/>
        <c:tickLblPos val="nextTo"/>
        <c:txPr>
          <a:bodyPr/>
          <a:lstStyle/>
          <a:p>
            <a:pPr>
              <a:defRPr sz="800"/>
            </a:pPr>
            <a:endParaRPr lang="en-US"/>
          </a:p>
        </c:txPr>
        <c:crossAx val="150152320"/>
        <c:crossesAt val="-10"/>
        <c:crossBetween val="midCat"/>
        <c:majorUnit val="1"/>
        <c:minorUnit val="1"/>
      </c:valAx>
      <c:valAx>
        <c:axId val="150152320"/>
        <c:scaling>
          <c:orientation val="minMax"/>
          <c:min val="0"/>
        </c:scaling>
        <c:delete val="0"/>
        <c:axPos val="l"/>
        <c:majorGridlines>
          <c:spPr>
            <a:ln>
              <a:solidFill>
                <a:schemeClr val="bg1">
                  <a:lumMod val="85000"/>
                </a:schemeClr>
              </a:solidFill>
            </a:ln>
          </c:spPr>
        </c:majorGridlines>
        <c:title>
          <c:tx>
            <c:strRef>
              <c:f>LDC0851_calc!$S$123</c:f>
              <c:strCache>
                <c:ptCount val="1"/>
                <c:pt idx="0">
                  <c:v>Switching Distance (mm)</c:v>
                </c:pt>
              </c:strCache>
            </c:strRef>
          </c:tx>
          <c:overlay val="0"/>
          <c:txPr>
            <a:bodyPr rot="-5400000" vert="horz"/>
            <a:lstStyle/>
            <a:p>
              <a:pPr>
                <a:defRPr/>
              </a:pPr>
              <a:endParaRPr lang="en-US"/>
            </a:p>
          </c:txPr>
        </c:title>
        <c:numFmt formatCode="General" sourceLinked="1"/>
        <c:majorTickMark val="out"/>
        <c:minorTickMark val="none"/>
        <c:tickLblPos val="nextTo"/>
        <c:txPr>
          <a:bodyPr/>
          <a:lstStyle/>
          <a:p>
            <a:pPr>
              <a:defRPr sz="800"/>
            </a:pPr>
            <a:endParaRPr lang="en-US"/>
          </a:p>
        </c:txPr>
        <c:crossAx val="137948160"/>
        <c:crosses val="max"/>
        <c:crossBetween val="midCat"/>
      </c:valAx>
    </c:plotArea>
    <c:legend>
      <c:legendPos val="b"/>
      <c:layout>
        <c:manualLayout>
          <c:xMode val="edge"/>
          <c:yMode val="edge"/>
          <c:x val="7.0570563294972743E-2"/>
          <c:y val="0.84016333844483881"/>
          <c:w val="0.92572108980294976"/>
          <c:h val="0.12070342012202477"/>
        </c:manualLayout>
      </c:layout>
      <c:overlay val="0"/>
      <c:spPr>
        <a:solidFill>
          <a:schemeClr val="bg1"/>
        </a:solidFill>
      </c:spPr>
      <c:txPr>
        <a:bodyPr/>
        <a:lstStyle/>
        <a:p>
          <a:pPr>
            <a:defRPr sz="800"/>
          </a:pPr>
          <a:endParaRPr lang="en-US"/>
        </a:p>
      </c:txPr>
    </c:legend>
    <c:plotVisOnly val="0"/>
    <c:dispBlanksAs val="gap"/>
    <c:showDLblsOverMax val="0"/>
  </c:chart>
  <c:spPr>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Consumption</a:t>
            </a:r>
            <a:r>
              <a:rPr lang="en-US" baseline="0"/>
              <a:t> vs Sensor Inductance</a:t>
            </a:r>
            <a:endParaRPr lang="en-US"/>
          </a:p>
        </c:rich>
      </c:tx>
      <c:overlay val="0"/>
    </c:title>
    <c:autoTitleDeleted val="0"/>
    <c:plotArea>
      <c:layout/>
      <c:scatterChart>
        <c:scatterStyle val="smoothMarker"/>
        <c:varyColors val="0"/>
        <c:ser>
          <c:idx val="0"/>
          <c:order val="0"/>
          <c:tx>
            <c:strRef>
              <c:f>LDC0851_calc!$I$86</c:f>
              <c:strCache>
                <c:ptCount val="1"/>
                <c:pt idx="0">
                  <c:v>3µH</c:v>
                </c:pt>
              </c:strCache>
            </c:strRef>
          </c:tx>
          <c:marker>
            <c:symbol val="none"/>
          </c:marker>
          <c:xVal>
            <c:numRef>
              <c:f>LDC0851_calc!$G$88:$G$108</c:f>
              <c:numCache>
                <c:formatCode>General</c:formatCode>
                <c:ptCount val="21"/>
                <c:pt idx="0">
                  <c:v>20</c:v>
                </c:pt>
                <c:pt idx="1">
                  <c:v>19</c:v>
                </c:pt>
                <c:pt idx="2">
                  <c:v>18</c:v>
                </c:pt>
                <c:pt idx="3">
                  <c:v>17</c:v>
                </c:pt>
                <c:pt idx="4">
                  <c:v>16</c:v>
                </c:pt>
                <c:pt idx="5">
                  <c:v>15</c:v>
                </c:pt>
                <c:pt idx="6">
                  <c:v>14</c:v>
                </c:pt>
                <c:pt idx="7">
                  <c:v>13</c:v>
                </c:pt>
                <c:pt idx="8">
                  <c:v>12</c:v>
                </c:pt>
                <c:pt idx="9">
                  <c:v>11</c:v>
                </c:pt>
                <c:pt idx="10">
                  <c:v>11</c:v>
                </c:pt>
                <c:pt idx="11">
                  <c:v>11</c:v>
                </c:pt>
                <c:pt idx="12">
                  <c:v>11</c:v>
                </c:pt>
                <c:pt idx="13">
                  <c:v>11</c:v>
                </c:pt>
                <c:pt idx="14">
                  <c:v>11</c:v>
                </c:pt>
                <c:pt idx="15">
                  <c:v>11</c:v>
                </c:pt>
                <c:pt idx="16">
                  <c:v>11</c:v>
                </c:pt>
                <c:pt idx="17">
                  <c:v>11</c:v>
                </c:pt>
                <c:pt idx="18">
                  <c:v>11</c:v>
                </c:pt>
                <c:pt idx="19">
                  <c:v>11</c:v>
                </c:pt>
                <c:pt idx="20">
                  <c:v>11</c:v>
                </c:pt>
              </c:numCache>
            </c:numRef>
          </c:xVal>
          <c:yVal>
            <c:numRef>
              <c:f>LDC0851_calc!$P$88:$P$108</c:f>
              <c:numCache>
                <c:formatCode>General</c:formatCode>
                <c:ptCount val="21"/>
                <c:pt idx="0">
                  <c:v>3.4554379019602877</c:v>
                </c:pt>
                <c:pt idx="1">
                  <c:v>3.5825605588703442</c:v>
                </c:pt>
                <c:pt idx="2">
                  <c:v>3.7314042295305332</c:v>
                </c:pt>
                <c:pt idx="3">
                  <c:v>3.9068265717342916</c:v>
                </c:pt>
                <c:pt idx="4">
                  <c:v>4.1151718005552604</c:v>
                </c:pt>
                <c:pt idx="5">
                  <c:v>4.3648629693364525</c:v>
                </c:pt>
                <c:pt idx="6">
                  <c:v>4.6672925168718198</c:v>
                </c:pt>
                <c:pt idx="7">
                  <c:v>5.0381974506548532</c:v>
                </c:pt>
                <c:pt idx="8">
                  <c:v>5.499848390708908</c:v>
                </c:pt>
                <c:pt idx="9">
                  <c:v>6.0846580430670612</c:v>
                </c:pt>
                <c:pt idx="10">
                  <c:v>6.0846580430670612</c:v>
                </c:pt>
                <c:pt idx="11">
                  <c:v>6.0846580430670612</c:v>
                </c:pt>
                <c:pt idx="12">
                  <c:v>6.0846580430670612</c:v>
                </c:pt>
                <c:pt idx="13">
                  <c:v>6.0846580430670612</c:v>
                </c:pt>
                <c:pt idx="14">
                  <c:v>6.0846580430670612</c:v>
                </c:pt>
                <c:pt idx="15">
                  <c:v>6.0846580430670612</c:v>
                </c:pt>
                <c:pt idx="16">
                  <c:v>6.0846580430670612</c:v>
                </c:pt>
                <c:pt idx="17">
                  <c:v>6.0846580430670612</c:v>
                </c:pt>
                <c:pt idx="18">
                  <c:v>6.0846580430670612</c:v>
                </c:pt>
                <c:pt idx="19">
                  <c:v>6.0846580430670612</c:v>
                </c:pt>
                <c:pt idx="20">
                  <c:v>6.0846580430670612</c:v>
                </c:pt>
              </c:numCache>
            </c:numRef>
          </c:yVal>
          <c:smooth val="1"/>
          <c:extLst>
            <c:ext xmlns:c16="http://schemas.microsoft.com/office/drawing/2014/chart" uri="{C3380CC4-5D6E-409C-BE32-E72D297353CC}">
              <c16:uniqueId val="{00000000-9B09-4881-BC7F-B190B0E693F5}"/>
            </c:ext>
          </c:extLst>
        </c:ser>
        <c:ser>
          <c:idx val="1"/>
          <c:order val="1"/>
          <c:tx>
            <c:strRef>
              <c:f>LDC0851_calc!$S$86</c:f>
              <c:strCache>
                <c:ptCount val="1"/>
                <c:pt idx="0">
                  <c:v>6µH</c:v>
                </c:pt>
              </c:strCache>
            </c:strRef>
          </c:tx>
          <c:marker>
            <c:symbol val="none"/>
          </c:marker>
          <c:xVal>
            <c:numRef>
              <c:f>LDC0851_calc!$Q$88:$Q$108</c:f>
              <c:numCache>
                <c:formatCode>General</c:formatCode>
                <c:ptCount val="21"/>
                <c:pt idx="0">
                  <c:v>15.995673629278274</c:v>
                </c:pt>
                <c:pt idx="1">
                  <c:v>14.995673629278274</c:v>
                </c:pt>
                <c:pt idx="2">
                  <c:v>13.995673629278274</c:v>
                </c:pt>
                <c:pt idx="3">
                  <c:v>12.995673629278274</c:v>
                </c:pt>
                <c:pt idx="4">
                  <c:v>11.995673629278274</c:v>
                </c:pt>
                <c:pt idx="5">
                  <c:v>10.995673629278274</c:v>
                </c:pt>
                <c:pt idx="6">
                  <c:v>9.995673629278274</c:v>
                </c:pt>
                <c:pt idx="7">
                  <c:v>8.995673629278274</c:v>
                </c:pt>
                <c:pt idx="8">
                  <c:v>7.995673629278274</c:v>
                </c:pt>
                <c:pt idx="9">
                  <c:v>6.995673629278274</c:v>
                </c:pt>
                <c:pt idx="10">
                  <c:v>5.995673629278274</c:v>
                </c:pt>
                <c:pt idx="11">
                  <c:v>4.995673629278274</c:v>
                </c:pt>
                <c:pt idx="12">
                  <c:v>4.995673629278274</c:v>
                </c:pt>
                <c:pt idx="13">
                  <c:v>4.995673629278274</c:v>
                </c:pt>
                <c:pt idx="14">
                  <c:v>4.995673629278274</c:v>
                </c:pt>
                <c:pt idx="15">
                  <c:v>4.995673629278274</c:v>
                </c:pt>
                <c:pt idx="16">
                  <c:v>4.995673629278274</c:v>
                </c:pt>
                <c:pt idx="17">
                  <c:v>4.995673629278274</c:v>
                </c:pt>
                <c:pt idx="18">
                  <c:v>4.995673629278274</c:v>
                </c:pt>
                <c:pt idx="19">
                  <c:v>4.995673629278274</c:v>
                </c:pt>
                <c:pt idx="20">
                  <c:v>4.995673629278274</c:v>
                </c:pt>
              </c:numCache>
            </c:numRef>
          </c:xVal>
          <c:yVal>
            <c:numRef>
              <c:f>LDC0851_calc!$Z$88:$Z$108</c:f>
              <c:numCache>
                <c:formatCode>General</c:formatCode>
                <c:ptCount val="21"/>
                <c:pt idx="0">
                  <c:v>3.1823667261009616</c:v>
                </c:pt>
                <c:pt idx="1">
                  <c:v>3.323069216263713</c:v>
                </c:pt>
                <c:pt idx="2">
                  <c:v>3.4937802967004821</c:v>
                </c:pt>
                <c:pt idx="3">
                  <c:v>3.703213413980734</c:v>
                </c:pt>
                <c:pt idx="4">
                  <c:v>3.9636327654356931</c:v>
                </c:pt>
                <c:pt idx="5">
                  <c:v>4.2927879911293658</c:v>
                </c:pt>
                <c:pt idx="6">
                  <c:v>4.7172215348229019</c:v>
                </c:pt>
                <c:pt idx="7">
                  <c:v>5.2781995643343986</c:v>
                </c:pt>
                <c:pt idx="8">
                  <c:v>6.0429746208323145</c:v>
                </c:pt>
                <c:pt idx="9">
                  <c:v>7.1277227294872096</c:v>
                </c:pt>
                <c:pt idx="10">
                  <c:v>8.748551654706274</c:v>
                </c:pt>
                <c:pt idx="11">
                  <c:v>11.348346742149609</c:v>
                </c:pt>
                <c:pt idx="12">
                  <c:v>11.348346742149609</c:v>
                </c:pt>
                <c:pt idx="13">
                  <c:v>11.348346742149609</c:v>
                </c:pt>
                <c:pt idx="14">
                  <c:v>11.348346742149609</c:v>
                </c:pt>
                <c:pt idx="15">
                  <c:v>11.348346742149609</c:v>
                </c:pt>
                <c:pt idx="16">
                  <c:v>11.348346742149609</c:v>
                </c:pt>
                <c:pt idx="17">
                  <c:v>11.348346742149609</c:v>
                </c:pt>
                <c:pt idx="18">
                  <c:v>11.348346742149609</c:v>
                </c:pt>
                <c:pt idx="19">
                  <c:v>11.348346742149609</c:v>
                </c:pt>
                <c:pt idx="20">
                  <c:v>11.348346742149609</c:v>
                </c:pt>
              </c:numCache>
            </c:numRef>
          </c:yVal>
          <c:smooth val="1"/>
          <c:extLst>
            <c:ext xmlns:c16="http://schemas.microsoft.com/office/drawing/2014/chart" uri="{C3380CC4-5D6E-409C-BE32-E72D297353CC}">
              <c16:uniqueId val="{00000001-9B09-4881-BC7F-B190B0E693F5}"/>
            </c:ext>
          </c:extLst>
        </c:ser>
        <c:ser>
          <c:idx val="2"/>
          <c:order val="2"/>
          <c:tx>
            <c:strRef>
              <c:f>LDC0851_calc!$AC$86</c:f>
              <c:strCache>
                <c:ptCount val="1"/>
                <c:pt idx="0">
                  <c:v>12µH</c:v>
                </c:pt>
              </c:strCache>
            </c:strRef>
          </c:tx>
          <c:marker>
            <c:symbol val="none"/>
          </c:marker>
          <c:xVal>
            <c:numRef>
              <c:f>LDC0851_calc!$AA$88:$AA$108</c:f>
              <c:numCache>
                <c:formatCode>General</c:formatCode>
                <c:ptCount val="21"/>
                <c:pt idx="0">
                  <c:v>11.310649292909501</c:v>
                </c:pt>
                <c:pt idx="1">
                  <c:v>10.310649292909501</c:v>
                </c:pt>
                <c:pt idx="2">
                  <c:v>9.3106492929095008</c:v>
                </c:pt>
                <c:pt idx="3">
                  <c:v>8.3106492929095008</c:v>
                </c:pt>
                <c:pt idx="4">
                  <c:v>7.3106492929095008</c:v>
                </c:pt>
                <c:pt idx="5">
                  <c:v>6.3106492929095008</c:v>
                </c:pt>
                <c:pt idx="6">
                  <c:v>5.3106492929095008</c:v>
                </c:pt>
                <c:pt idx="7">
                  <c:v>4.3106492929095008</c:v>
                </c:pt>
                <c:pt idx="8">
                  <c:v>3.3106492929095008</c:v>
                </c:pt>
                <c:pt idx="9">
                  <c:v>2.3106492929095008</c:v>
                </c:pt>
                <c:pt idx="10">
                  <c:v>2.3106492929095008</c:v>
                </c:pt>
                <c:pt idx="11">
                  <c:v>2.3106492929095008</c:v>
                </c:pt>
                <c:pt idx="12">
                  <c:v>2.3106492929095008</c:v>
                </c:pt>
                <c:pt idx="13">
                  <c:v>2.3106492929095008</c:v>
                </c:pt>
                <c:pt idx="14">
                  <c:v>2.3106492929095008</c:v>
                </c:pt>
                <c:pt idx="15">
                  <c:v>2.3106492929095008</c:v>
                </c:pt>
                <c:pt idx="16">
                  <c:v>2.3106492929095008</c:v>
                </c:pt>
                <c:pt idx="17">
                  <c:v>2.3106492929095008</c:v>
                </c:pt>
                <c:pt idx="18">
                  <c:v>2.3106492929095008</c:v>
                </c:pt>
                <c:pt idx="19">
                  <c:v>2.3106492929095008</c:v>
                </c:pt>
                <c:pt idx="20">
                  <c:v>2.3106492929095008</c:v>
                </c:pt>
              </c:numCache>
            </c:numRef>
          </c:xVal>
          <c:yVal>
            <c:numRef>
              <c:f>LDC0851_calc!$AJ$88:$AJ$108</c:f>
              <c:numCache>
                <c:formatCode>General</c:formatCode>
                <c:ptCount val="21"/>
                <c:pt idx="0">
                  <c:v>3.3268400013932622</c:v>
                </c:pt>
                <c:pt idx="1">
                  <c:v>3.564712294811307</c:v>
                </c:pt>
                <c:pt idx="2">
                  <c:v>3.8744615241469389</c:v>
                </c:pt>
                <c:pt idx="3">
                  <c:v>4.2887856172743852</c:v>
                </c:pt>
                <c:pt idx="4">
                  <c:v>4.8624724578057714</c:v>
                </c:pt>
                <c:pt idx="5">
                  <c:v>5.6937564484760603</c:v>
                </c:pt>
                <c:pt idx="6">
                  <c:v>6.9749785922214658</c:v>
                </c:pt>
                <c:pt idx="7">
                  <c:v>9.13048825401005</c:v>
                </c:pt>
                <c:pt idx="8">
                  <c:v>13.272301992395104</c:v>
                </c:pt>
                <c:pt idx="9">
                  <c:v>23.230580922887853</c:v>
                </c:pt>
                <c:pt idx="10">
                  <c:v>23.230580922887853</c:v>
                </c:pt>
                <c:pt idx="11">
                  <c:v>23.230580922887853</c:v>
                </c:pt>
                <c:pt idx="12">
                  <c:v>23.230580922887853</c:v>
                </c:pt>
                <c:pt idx="13">
                  <c:v>23.230580922887853</c:v>
                </c:pt>
                <c:pt idx="14">
                  <c:v>23.230580922887853</c:v>
                </c:pt>
                <c:pt idx="15">
                  <c:v>23.230580922887853</c:v>
                </c:pt>
                <c:pt idx="16">
                  <c:v>23.230580922887853</c:v>
                </c:pt>
                <c:pt idx="17">
                  <c:v>23.230580922887853</c:v>
                </c:pt>
                <c:pt idx="18">
                  <c:v>23.230580922887853</c:v>
                </c:pt>
                <c:pt idx="19">
                  <c:v>23.230580922887853</c:v>
                </c:pt>
                <c:pt idx="20">
                  <c:v>23.230580922887853</c:v>
                </c:pt>
              </c:numCache>
            </c:numRef>
          </c:yVal>
          <c:smooth val="1"/>
          <c:extLst>
            <c:ext xmlns:c16="http://schemas.microsoft.com/office/drawing/2014/chart" uri="{C3380CC4-5D6E-409C-BE32-E72D297353CC}">
              <c16:uniqueId val="{00000002-9B09-4881-BC7F-B190B0E693F5}"/>
            </c:ext>
          </c:extLst>
        </c:ser>
        <c:dLbls>
          <c:showLegendKey val="0"/>
          <c:showVal val="0"/>
          <c:showCatName val="0"/>
          <c:showSerName val="0"/>
          <c:showPercent val="0"/>
          <c:showBubbleSize val="0"/>
        </c:dLbls>
        <c:axId val="150194048"/>
        <c:axId val="150196224"/>
      </c:scatterChart>
      <c:valAx>
        <c:axId val="150194048"/>
        <c:scaling>
          <c:orientation val="minMax"/>
          <c:max val="20"/>
          <c:min val="0"/>
        </c:scaling>
        <c:delete val="0"/>
        <c:axPos val="b"/>
        <c:majorGridlines>
          <c:spPr>
            <a:ln>
              <a:solidFill>
                <a:schemeClr val="bg1">
                  <a:lumMod val="85000"/>
                </a:schemeClr>
              </a:solidFill>
            </a:ln>
          </c:spPr>
        </c:majorGridlines>
        <c:title>
          <c:tx>
            <c:rich>
              <a:bodyPr/>
              <a:lstStyle/>
              <a:p>
                <a:pPr>
                  <a:defRPr/>
                </a:pPr>
                <a:r>
                  <a:rPr lang="en-US"/>
                  <a:t>Sensor Frequency (MHz)</a:t>
                </a:r>
              </a:p>
            </c:rich>
          </c:tx>
          <c:overlay val="0"/>
        </c:title>
        <c:numFmt formatCode="General" sourceLinked="1"/>
        <c:majorTickMark val="out"/>
        <c:minorTickMark val="none"/>
        <c:tickLblPos val="nextTo"/>
        <c:crossAx val="150196224"/>
        <c:crosses val="autoZero"/>
        <c:crossBetween val="midCat"/>
      </c:valAx>
      <c:valAx>
        <c:axId val="150196224"/>
        <c:scaling>
          <c:orientation val="minMax"/>
        </c:scaling>
        <c:delete val="0"/>
        <c:axPos val="l"/>
        <c:majorGridlines>
          <c:spPr>
            <a:ln>
              <a:solidFill>
                <a:schemeClr val="bg1">
                  <a:lumMod val="85000"/>
                </a:schemeClr>
              </a:solidFill>
            </a:ln>
          </c:spPr>
        </c:majorGridlines>
        <c:title>
          <c:tx>
            <c:rich>
              <a:bodyPr rot="-5400000" vert="horz"/>
              <a:lstStyle/>
              <a:p>
                <a:pPr>
                  <a:defRPr/>
                </a:pPr>
                <a:r>
                  <a:rPr lang="en-US"/>
                  <a:t>LDC0851 Average Current Consumption</a:t>
                </a:r>
                <a:r>
                  <a:rPr lang="en-US" baseline="0"/>
                  <a:t> (µA)</a:t>
                </a:r>
                <a:endParaRPr lang="en-US"/>
              </a:p>
            </c:rich>
          </c:tx>
          <c:overlay val="0"/>
        </c:title>
        <c:numFmt formatCode="General" sourceLinked="1"/>
        <c:majorTickMark val="out"/>
        <c:minorTickMark val="none"/>
        <c:tickLblPos val="nextTo"/>
        <c:crossAx val="150194048"/>
        <c:crosses val="autoZero"/>
        <c:crossBetween val="midCat"/>
      </c:valAx>
    </c:plotArea>
    <c:legend>
      <c:legendPos val="r"/>
      <c:overlay val="0"/>
    </c:legend>
    <c:plotVisOnly val="0"/>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84686393224565"/>
          <c:y val="4.5830150607734377E-2"/>
          <c:w val="0.78630796150481175"/>
          <c:h val="0.78703703703703709"/>
        </c:manualLayout>
      </c:layout>
      <c:scatterChart>
        <c:scatterStyle val="smoothMarker"/>
        <c:varyColors val="0"/>
        <c:ser>
          <c:idx val="0"/>
          <c:order val="0"/>
          <c:tx>
            <c:v>I</c:v>
          </c:tx>
          <c:spPr>
            <a:ln w="19050" cap="rnd">
              <a:solidFill>
                <a:schemeClr val="accent1"/>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Dial_Calc_Tool!$J$85:$J$96</c:f>
              <c:numCache>
                <c:formatCode>0.0000</c:formatCode>
                <c:ptCount val="12"/>
                <c:pt idx="0">
                  <c:v>1</c:v>
                </c:pt>
                <c:pt idx="1">
                  <c:v>0.90970740815318585</c:v>
                </c:pt>
                <c:pt idx="2">
                  <c:v>0.63380250337423039</c:v>
                </c:pt>
                <c:pt idx="3">
                  <c:v>2.1560412017820721E-11</c:v>
                </c:pt>
                <c:pt idx="4">
                  <c:v>-0.63380250337423016</c:v>
                </c:pt>
                <c:pt idx="5">
                  <c:v>-0.90970740815318585</c:v>
                </c:pt>
                <c:pt idx="6">
                  <c:v>-1</c:v>
                </c:pt>
                <c:pt idx="7">
                  <c:v>-0.90970740815318585</c:v>
                </c:pt>
                <c:pt idx="8">
                  <c:v>-0.63380250337423061</c:v>
                </c:pt>
                <c:pt idx="9">
                  <c:v>-4.4417347185919745E-11</c:v>
                </c:pt>
                <c:pt idx="10">
                  <c:v>0.63380250337423039</c:v>
                </c:pt>
                <c:pt idx="11">
                  <c:v>0.90970740815318563</c:v>
                </c:pt>
              </c:numCache>
            </c:numRef>
          </c:yVal>
          <c:smooth val="1"/>
          <c:extLst>
            <c:ext xmlns:c16="http://schemas.microsoft.com/office/drawing/2014/chart" uri="{C3380CC4-5D6E-409C-BE32-E72D297353CC}">
              <c16:uniqueId val="{00000000-F9DD-4784-99B6-890A9F2AA15B}"/>
            </c:ext>
          </c:extLst>
        </c:ser>
        <c:ser>
          <c:idx val="1"/>
          <c:order val="1"/>
          <c:tx>
            <c:v>Q</c:v>
          </c:tx>
          <c:spPr>
            <a:ln w="19050" cap="rnd">
              <a:solidFill>
                <a:schemeClr val="accent2"/>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Dial_Calc_Tool!$K$85:$K$96</c:f>
              <c:numCache>
                <c:formatCode>0.0000</c:formatCode>
                <c:ptCount val="12"/>
                <c:pt idx="0">
                  <c:v>0</c:v>
                </c:pt>
                <c:pt idx="1">
                  <c:v>0.63380250337423027</c:v>
                </c:pt>
                <c:pt idx="2">
                  <c:v>0.90970740815318596</c:v>
                </c:pt>
                <c:pt idx="3">
                  <c:v>1</c:v>
                </c:pt>
                <c:pt idx="4">
                  <c:v>0.90970740815318596</c:v>
                </c:pt>
                <c:pt idx="5">
                  <c:v>0.63380250337423027</c:v>
                </c:pt>
                <c:pt idx="6">
                  <c:v>3.4017556448485599E-11</c:v>
                </c:pt>
                <c:pt idx="7">
                  <c:v>-0.63380250337423039</c:v>
                </c:pt>
                <c:pt idx="8">
                  <c:v>-0.90970740815318563</c:v>
                </c:pt>
                <c:pt idx="9">
                  <c:v>-1</c:v>
                </c:pt>
                <c:pt idx="10">
                  <c:v>-0.90970740815318596</c:v>
                </c:pt>
                <c:pt idx="11">
                  <c:v>-0.63380250337423072</c:v>
                </c:pt>
              </c:numCache>
            </c:numRef>
          </c:yVal>
          <c:smooth val="1"/>
          <c:extLst>
            <c:ext xmlns:c16="http://schemas.microsoft.com/office/drawing/2014/chart" uri="{C3380CC4-5D6E-409C-BE32-E72D297353CC}">
              <c16:uniqueId val="{00000001-F9DD-4784-99B6-890A9F2AA15B}"/>
            </c:ext>
          </c:extLst>
        </c:ser>
        <c:dLbls>
          <c:showLegendKey val="0"/>
          <c:showVal val="0"/>
          <c:showCatName val="0"/>
          <c:showSerName val="0"/>
          <c:showPercent val="0"/>
          <c:showBubbleSize val="0"/>
        </c:dLbls>
        <c:axId val="151520384"/>
        <c:axId val="151521920"/>
      </c:scatterChart>
      <c:valAx>
        <c:axId val="151520384"/>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1920"/>
        <c:crossesAt val="-1000"/>
        <c:crossBetween val="midCat"/>
        <c:majorUnit val="22.5"/>
      </c:valAx>
      <c:valAx>
        <c:axId val="151521920"/>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0384"/>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53937007874016"/>
          <c:y val="0.16203703703703703"/>
          <c:w val="0.78630796150481175"/>
          <c:h val="0.78703703703703709"/>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Dial_Calc_Tool!$J$141:$J$152</c:f>
              <c:numCache>
                <c:formatCode>0.0000</c:formatCode>
                <c:ptCount val="12"/>
                <c:pt idx="0">
                  <c:v>0</c:v>
                </c:pt>
                <c:pt idx="1">
                  <c:v>0.5612310241546864</c:v>
                </c:pt>
                <c:pt idx="2">
                  <c:v>0.8870379346827485</c:v>
                </c:pt>
                <c:pt idx="3">
                  <c:v>1</c:v>
                </c:pt>
                <c:pt idx="4">
                  <c:v>0.88703793468274861</c:v>
                </c:pt>
                <c:pt idx="5">
                  <c:v>0.5612310241546864</c:v>
                </c:pt>
                <c:pt idx="6">
                  <c:v>5.4973019600498337E-14</c:v>
                </c:pt>
                <c:pt idx="7">
                  <c:v>-0.56123102415468662</c:v>
                </c:pt>
                <c:pt idx="8">
                  <c:v>-0.88703793468274839</c:v>
                </c:pt>
                <c:pt idx="9">
                  <c:v>-1</c:v>
                </c:pt>
                <c:pt idx="10">
                  <c:v>-0.8870379346827485</c:v>
                </c:pt>
                <c:pt idx="11">
                  <c:v>-0.56123102415468695</c:v>
                </c:pt>
              </c:numCache>
            </c:numRef>
          </c:yVal>
          <c:smooth val="1"/>
          <c:extLst>
            <c:ext xmlns:c16="http://schemas.microsoft.com/office/drawing/2014/chart" uri="{C3380CC4-5D6E-409C-BE32-E72D297353CC}">
              <c16:uniqueId val="{00000000-33F8-4DEE-94A4-8BE764369D9C}"/>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Dial_Calc_Tool!$K$141:$K$152</c:f>
              <c:numCache>
                <c:formatCode>0.0000</c:formatCode>
                <c:ptCount val="12"/>
                <c:pt idx="0">
                  <c:v>1</c:v>
                </c:pt>
                <c:pt idx="1">
                  <c:v>0.88703793468274872</c:v>
                </c:pt>
                <c:pt idx="2">
                  <c:v>0.56123102415468662</c:v>
                </c:pt>
                <c:pt idx="3">
                  <c:v>3.0854780010431019E-14</c:v>
                </c:pt>
                <c:pt idx="4">
                  <c:v>-0.56123102415468629</c:v>
                </c:pt>
                <c:pt idx="5">
                  <c:v>-0.88703793468274872</c:v>
                </c:pt>
                <c:pt idx="6">
                  <c:v>-1</c:v>
                </c:pt>
                <c:pt idx="7">
                  <c:v>-0.8870379346827485</c:v>
                </c:pt>
                <c:pt idx="8">
                  <c:v>-0.56123102415468695</c:v>
                </c:pt>
                <c:pt idx="9">
                  <c:v>-7.707450839172287E-14</c:v>
                </c:pt>
                <c:pt idx="10">
                  <c:v>0.56123102415468662</c:v>
                </c:pt>
                <c:pt idx="11">
                  <c:v>0.88703793468274839</c:v>
                </c:pt>
              </c:numCache>
            </c:numRef>
          </c:yVal>
          <c:smooth val="1"/>
          <c:extLst>
            <c:ext xmlns:c16="http://schemas.microsoft.com/office/drawing/2014/chart" uri="{C3380CC4-5D6E-409C-BE32-E72D297353CC}">
              <c16:uniqueId val="{00000001-33F8-4DEE-94A4-8BE764369D9C}"/>
            </c:ext>
          </c:extLst>
        </c:ser>
        <c:dLbls>
          <c:showLegendKey val="0"/>
          <c:showVal val="0"/>
          <c:showCatName val="0"/>
          <c:showSerName val="0"/>
          <c:showPercent val="0"/>
          <c:showBubbleSize val="0"/>
        </c:dLbls>
        <c:axId val="151536768"/>
        <c:axId val="151538304"/>
      </c:scatterChart>
      <c:valAx>
        <c:axId val="15153676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8304"/>
        <c:crossesAt val="-1000"/>
        <c:crossBetween val="midCat"/>
        <c:majorUnit val="22.5"/>
      </c:valAx>
      <c:valAx>
        <c:axId val="151538304"/>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6768"/>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D$8" noThreeD="1"/>
</file>

<file path=xl/ctrlProps/ctrlProp10.xml><?xml version="1.0" encoding="utf-8"?>
<formControlPr xmlns="http://schemas.microsoft.com/office/spreadsheetml/2009/9/main" objectType="CheckBox" fmlaLink="$C$98" noThreeD="1"/>
</file>

<file path=xl/ctrlProps/ctrlProp11.xml><?xml version="1.0" encoding="utf-8"?>
<formControlPr xmlns="http://schemas.microsoft.com/office/spreadsheetml/2009/9/main" objectType="CheckBox" checked="Checked" fmlaLink="$D$7" noThreeD="1"/>
</file>

<file path=xl/ctrlProps/ctrlProp12.xml><?xml version="1.0" encoding="utf-8"?>
<formControlPr xmlns="http://schemas.microsoft.com/office/spreadsheetml/2009/9/main" objectType="CheckBox" checked="Checked" fmlaLink="$H$7" noThreeD="1"/>
</file>

<file path=xl/ctrlProps/ctrlProp13.xml><?xml version="1.0" encoding="utf-8"?>
<formControlPr xmlns="http://schemas.microsoft.com/office/spreadsheetml/2009/9/main" objectType="CheckBox" fmlaLink="$J$7" noThreeD="1"/>
</file>

<file path=xl/ctrlProps/ctrlProp14.xml><?xml version="1.0" encoding="utf-8"?>
<formControlPr xmlns="http://schemas.microsoft.com/office/spreadsheetml/2009/9/main" objectType="CheckBox" checked="Checked" fmlaLink="$F$7" noThreeD="1"/>
</file>

<file path=xl/ctrlProps/ctrlProp15.xml><?xml version="1.0" encoding="utf-8"?>
<formControlPr xmlns="http://schemas.microsoft.com/office/spreadsheetml/2009/9/main" objectType="CheckBox" checked="Checked" fmlaLink="$D$8" noThreeD="1"/>
</file>

<file path=xl/ctrlProps/ctrlProp16.xml><?xml version="1.0" encoding="utf-8"?>
<formControlPr xmlns="http://schemas.microsoft.com/office/spreadsheetml/2009/9/main" objectType="CheckBox" checked="Checked" fmlaLink="$F$8" noThreeD="1"/>
</file>

<file path=xl/ctrlProps/ctrlProp17.xml><?xml version="1.0" encoding="utf-8"?>
<formControlPr xmlns="http://schemas.microsoft.com/office/spreadsheetml/2009/9/main" objectType="CheckBox" fmlaLink="$H$8" noThreeD="1"/>
</file>

<file path=xl/ctrlProps/ctrlProp18.xml><?xml version="1.0" encoding="utf-8"?>
<formControlPr xmlns="http://schemas.microsoft.com/office/spreadsheetml/2009/9/main" objectType="CheckBox" fmlaLink="$J$8" noThreeD="1"/>
</file>

<file path=xl/ctrlProps/ctrlProp19.xml><?xml version="1.0" encoding="utf-8"?>
<formControlPr xmlns="http://schemas.microsoft.com/office/spreadsheetml/2009/9/main" objectType="CheckBox" checked="Checked" fmlaLink="$D$42" noThreeD="1"/>
</file>

<file path=xl/ctrlProps/ctrlProp2.xml><?xml version="1.0" encoding="utf-8"?>
<formControlPr xmlns="http://schemas.microsoft.com/office/spreadsheetml/2009/9/main" objectType="CheckBox" fmlaLink="$D$9" noThreeD="1"/>
</file>

<file path=xl/ctrlProps/ctrlProp20.xml><?xml version="1.0" encoding="utf-8"?>
<formControlPr xmlns="http://schemas.microsoft.com/office/spreadsheetml/2009/9/main" objectType="CheckBox" checked="Checked" fmlaLink="$D$115" noThreeD="1"/>
</file>

<file path=xl/ctrlProps/ctrlProp3.xml><?xml version="1.0" encoding="utf-8"?>
<formControlPr xmlns="http://schemas.microsoft.com/office/spreadsheetml/2009/9/main" objectType="CheckBox" fmlaLink="$F$9" noThreeD="1"/>
</file>

<file path=xl/ctrlProps/ctrlProp4.xml><?xml version="1.0" encoding="utf-8"?>
<formControlPr xmlns="http://schemas.microsoft.com/office/spreadsheetml/2009/9/main" objectType="CheckBox" fmlaLink="$H$9" noThreeD="1"/>
</file>

<file path=xl/ctrlProps/ctrlProp5.xml><?xml version="1.0" encoding="utf-8"?>
<formControlPr xmlns="http://schemas.microsoft.com/office/spreadsheetml/2009/9/main" objectType="CheckBox" fmlaLink="$J$9" noThreeD="1"/>
</file>

<file path=xl/ctrlProps/ctrlProp6.xml><?xml version="1.0" encoding="utf-8"?>
<formControlPr xmlns="http://schemas.microsoft.com/office/spreadsheetml/2009/9/main" objectType="CheckBox" checked="Checked" fmlaLink="$D$5" noThreeD="1"/>
</file>

<file path=xl/ctrlProps/ctrlProp7.xml><?xml version="1.0" encoding="utf-8"?>
<formControlPr xmlns="http://schemas.microsoft.com/office/spreadsheetml/2009/9/main" objectType="CheckBox" checked="Checked" fmlaLink="$F$8" noThreeD="1"/>
</file>

<file path=xl/ctrlProps/ctrlProp8.xml><?xml version="1.0" encoding="utf-8"?>
<formControlPr xmlns="http://schemas.microsoft.com/office/spreadsheetml/2009/9/main" objectType="CheckBox" fmlaLink="$H$8" noThreeD="1"/>
</file>

<file path=xl/ctrlProps/ctrlProp9.xml><?xml version="1.0" encoding="utf-8"?>
<formControlPr xmlns="http://schemas.microsoft.com/office/spreadsheetml/2009/9/main" objectType="CheckBox" fmlaLink="$J$8" noThree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emf"/></Relationships>
</file>

<file path=xl/drawings/_rels/drawing1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10.png"/><Relationship Id="rId1" Type="http://schemas.openxmlformats.org/officeDocument/2006/relationships/chart" Target="../charts/chart8.xml"/><Relationship Id="rId6" Type="http://schemas.openxmlformats.org/officeDocument/2006/relationships/image" Target="../media/image11.png"/><Relationship Id="rId5" Type="http://schemas.openxmlformats.org/officeDocument/2006/relationships/chart" Target="../charts/chart11.xml"/><Relationship Id="rId4"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609600</xdr:colOff>
      <xdr:row>0</xdr:row>
      <xdr:rowOff>69850</xdr:rowOff>
    </xdr:from>
    <xdr:to>
      <xdr:col>2</xdr:col>
      <xdr:colOff>1483056</xdr:colOff>
      <xdr:row>3</xdr:row>
      <xdr:rowOff>15604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609600" y="69850"/>
          <a:ext cx="1876756" cy="498204"/>
        </a:xfrm>
        <a:prstGeom prst="rect">
          <a:avLst/>
        </a:prstGeom>
      </xdr:spPr>
    </xdr:pic>
    <xdr:clientData/>
  </xdr:twoCellAnchor>
  <xdr:twoCellAnchor editAs="oneCell">
    <xdr:from>
      <xdr:col>2</xdr:col>
      <xdr:colOff>0</xdr:colOff>
      <xdr:row>6</xdr:row>
      <xdr:rowOff>0</xdr:rowOff>
    </xdr:from>
    <xdr:to>
      <xdr:col>2</xdr:col>
      <xdr:colOff>733425</xdr:colOff>
      <xdr:row>8</xdr:row>
      <xdr:rowOff>95250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2</xdr:col>
          <xdr:colOff>152400</xdr:colOff>
          <xdr:row>6</xdr:row>
          <xdr:rowOff>38100</xdr:rowOff>
        </xdr:from>
        <xdr:to>
          <xdr:col>2</xdr:col>
          <xdr:colOff>889000</xdr:colOff>
          <xdr:row>8</xdr:row>
          <xdr:rowOff>133350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0.xml><?xml version="1.0" encoding="utf-8"?>
<c:userShapes xmlns:c="http://schemas.openxmlformats.org/drawingml/2006/chart">
  <cdr:relSizeAnchor xmlns:cdr="http://schemas.openxmlformats.org/drawingml/2006/chartDrawing">
    <cdr:from>
      <cdr:x>0.16765</cdr:x>
      <cdr:y>0.73491</cdr:y>
    </cdr:from>
    <cdr:to>
      <cdr:x>0.44389</cdr:x>
      <cdr:y>0.79925</cdr:y>
    </cdr:to>
    <cdr:sp macro="" textlink="">
      <cdr:nvSpPr>
        <cdr:cNvPr id="3" name="TextBox 1"/>
        <cdr:cNvSpPr txBox="1"/>
      </cdr:nvSpPr>
      <cdr:spPr>
        <a:xfrm xmlns:a="http://schemas.openxmlformats.org/drawingml/2006/main">
          <a:off x="623510" y="1838323"/>
          <a:ext cx="1027373" cy="160929"/>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i</a:t>
          </a:r>
          <a:r>
            <a:rPr lang="en-US" sz="1000" baseline="-25000">
              <a:solidFill>
                <a:schemeClr val="bg1"/>
              </a:solidFill>
              <a:effectLst/>
              <a:latin typeface="+mn-lt"/>
              <a:ea typeface="+mn-ea"/>
              <a:cs typeface="+mn-cs"/>
            </a:rPr>
            <a:t>SENSOR</a:t>
          </a:r>
          <a:r>
            <a:rPr lang="en-US" sz="900" baseline="-25000">
              <a:solidFill>
                <a:schemeClr val="bg1"/>
              </a:solidFill>
              <a:effectLst/>
              <a:latin typeface="+mn-lt"/>
              <a:ea typeface="+mn-ea"/>
              <a:cs typeface="+mn-cs"/>
            </a:rPr>
            <a:t>  </a:t>
          </a:r>
          <a:r>
            <a:rPr lang="en-US" sz="900" baseline="0">
              <a:solidFill>
                <a:schemeClr val="bg1"/>
              </a:solidFill>
              <a:effectLst/>
              <a:latin typeface="+mn-lt"/>
              <a:ea typeface="+mn-ea"/>
              <a:cs typeface="+mn-cs"/>
            </a:rPr>
            <a:t>limitation</a:t>
          </a:r>
          <a:endParaRPr lang="en-US" sz="500">
            <a:solidFill>
              <a:schemeClr val="bg1"/>
            </a:solidFill>
            <a:effectLst/>
          </a:endParaRPr>
        </a:p>
      </cdr:txBody>
    </cdr:sp>
  </cdr:relSizeAnchor>
  <cdr:relSizeAnchor xmlns:cdr="http://schemas.openxmlformats.org/drawingml/2006/chartDrawing">
    <cdr:from>
      <cdr:x>0.62446</cdr:x>
      <cdr:y>0.08257</cdr:y>
    </cdr:from>
    <cdr:to>
      <cdr:x>0.87734</cdr:x>
      <cdr:y>0.17293</cdr:y>
    </cdr:to>
    <cdr:sp macro="" textlink="">
      <cdr:nvSpPr>
        <cdr:cNvPr id="4" name="TextBox 1"/>
        <cdr:cNvSpPr txBox="1"/>
      </cdr:nvSpPr>
      <cdr:spPr>
        <a:xfrm xmlns:a="http://schemas.openxmlformats.org/drawingml/2006/main">
          <a:off x="2240574" y="206534"/>
          <a:ext cx="907329" cy="226031"/>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C</a:t>
          </a:r>
          <a:r>
            <a:rPr lang="en-US" sz="1000" baseline="-25000">
              <a:solidFill>
                <a:schemeClr val="bg1"/>
              </a:solidFill>
              <a:effectLst/>
              <a:latin typeface="+mn-lt"/>
              <a:ea typeface="+mn-ea"/>
              <a:cs typeface="+mn-cs"/>
            </a:rPr>
            <a:t>SENSOR</a:t>
          </a:r>
          <a:r>
            <a:rPr lang="en-US" sz="900">
              <a:solidFill>
                <a:schemeClr val="bg1"/>
              </a:solidFill>
              <a:effectLst/>
              <a:latin typeface="+mn-lt"/>
              <a:ea typeface="+mn-ea"/>
              <a:cs typeface="+mn-cs"/>
            </a:rPr>
            <a:t> &lt; 33pF</a:t>
          </a:r>
          <a:endParaRPr lang="en-US" sz="500">
            <a:solidFill>
              <a:schemeClr val="bg1"/>
            </a:solidFill>
            <a:effectLst/>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0.29406</cdr:x>
      <cdr:y>0.12373</cdr:y>
    </cdr:from>
    <cdr:to>
      <cdr:x>0.46627</cdr:x>
      <cdr:y>0.21905</cdr:y>
    </cdr:to>
    <cdr:sp macro="" textlink="LDC0851_calc!$Z$124">
      <cdr:nvSpPr>
        <cdr:cNvPr id="2" name="TextBox 1"/>
        <cdr:cNvSpPr txBox="1"/>
      </cdr:nvSpPr>
      <cdr:spPr>
        <a:xfrm xmlns:a="http://schemas.openxmlformats.org/drawingml/2006/main">
          <a:off x="1025391" y="311830"/>
          <a:ext cx="600485" cy="24019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5B48F798-1BEA-4B3E-859F-099BFAFA81BC}" type="TxLink">
            <a:rPr lang="en-US" sz="1100" b="0" i="0" u="none" strike="noStrike">
              <a:solidFill>
                <a:srgbClr val="000000"/>
              </a:solidFill>
              <a:latin typeface="Calibri"/>
            </a:rPr>
            <a:pPr/>
            <a:t>9mm</a:t>
          </a:fld>
          <a:endParaRPr lang="en-US" sz="1100"/>
        </a:p>
      </cdr:txBody>
    </cdr:sp>
  </cdr:relSizeAnchor>
  <cdr:relSizeAnchor xmlns:cdr="http://schemas.openxmlformats.org/drawingml/2006/chartDrawing">
    <cdr:from>
      <cdr:x>0.16754</cdr:x>
      <cdr:y>0.11465</cdr:y>
    </cdr:from>
    <cdr:to>
      <cdr:x>0.3215</cdr:x>
      <cdr:y>0.20996</cdr:y>
    </cdr:to>
    <cdr:sp macro="" textlink="">
      <cdr:nvSpPr>
        <cdr:cNvPr id="3" name="TextBox 1"/>
        <cdr:cNvSpPr txBox="1"/>
      </cdr:nvSpPr>
      <cdr:spPr>
        <a:xfrm xmlns:a="http://schemas.openxmlformats.org/drawingml/2006/main">
          <a:off x="584201" y="288925"/>
          <a:ext cx="536852" cy="240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0" i="0" u="none" strike="noStrike">
              <a:solidFill>
                <a:srgbClr val="000000"/>
              </a:solidFill>
              <a:latin typeface="Calibri"/>
            </a:rPr>
            <a:t>d</a:t>
          </a:r>
          <a:r>
            <a:rPr lang="en-US" sz="1100" b="0" i="0" u="none" strike="noStrike" baseline="-25000">
              <a:solidFill>
                <a:srgbClr val="000000"/>
              </a:solidFill>
              <a:latin typeface="Calibri"/>
            </a:rPr>
            <a:t>COIL</a:t>
          </a:r>
          <a:r>
            <a:rPr lang="en-US" sz="1100" b="0" i="0" u="none" strike="noStrike">
              <a:solidFill>
                <a:srgbClr val="000000"/>
              </a:solidFill>
              <a:latin typeface="Calibri"/>
            </a:rPr>
            <a:t>=</a:t>
          </a:r>
          <a:endParaRPr lang="en-US" sz="1100"/>
        </a:p>
      </cdr:txBody>
    </cdr:sp>
  </cdr:relSizeAnchor>
</c:userShapes>
</file>

<file path=xl/drawings/drawing12.xml><?xml version="1.0" encoding="utf-8"?>
<c:userShapes xmlns:c="http://schemas.openxmlformats.org/drawingml/2006/chart">
  <cdr:relSizeAnchor xmlns:cdr="http://schemas.openxmlformats.org/drawingml/2006/chartDrawing">
    <cdr:from>
      <cdr:x>0.53432</cdr:x>
      <cdr:y>0.15219</cdr:y>
    </cdr:from>
    <cdr:to>
      <cdr:x>0.80774</cdr:x>
      <cdr:y>0.22821</cdr:y>
    </cdr:to>
    <cdr:sp macro="" textlink="LDC0851_calc!$G$82">
      <cdr:nvSpPr>
        <cdr:cNvPr id="2" name="TextBox 1"/>
        <cdr:cNvSpPr txBox="1"/>
      </cdr:nvSpPr>
      <cdr:spPr>
        <a:xfrm xmlns:a="http://schemas.openxmlformats.org/drawingml/2006/main">
          <a:off x="3319369" y="618079"/>
          <a:ext cx="1698611" cy="308732"/>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FF42A37B-E321-4ED2-998C-92CD33E67191}" type="TxLink">
            <a:rPr lang="en-US" sz="1100" b="0" i="0" u="none" strike="noStrike">
              <a:solidFill>
                <a:srgbClr val="000000"/>
              </a:solidFill>
              <a:latin typeface="Calibri"/>
            </a:rPr>
            <a:pPr/>
            <a:t>CBOARD = 12pF</a:t>
          </a:fld>
          <a:endParaRPr lang="en-US" sz="1100"/>
        </a:p>
      </cdr:txBody>
    </cdr:sp>
  </cdr:relSizeAnchor>
  <cdr:relSizeAnchor xmlns:cdr="http://schemas.openxmlformats.org/drawingml/2006/chartDrawing">
    <cdr:from>
      <cdr:x>0.53191</cdr:x>
      <cdr:y>0.2315</cdr:y>
    </cdr:from>
    <cdr:to>
      <cdr:x>0.82293</cdr:x>
      <cdr:y>0.306</cdr:y>
    </cdr:to>
    <cdr:sp macro="" textlink="LDC0851_calc!$G$81">
      <cdr:nvSpPr>
        <cdr:cNvPr id="3" name="TextBox 1"/>
        <cdr:cNvSpPr txBox="1"/>
      </cdr:nvSpPr>
      <cdr:spPr>
        <a:xfrm xmlns:a="http://schemas.openxmlformats.org/drawingml/2006/main">
          <a:off x="3304428" y="940151"/>
          <a:ext cx="1807883" cy="302582"/>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0DF27E32-7280-4F9F-A359-53BE0B6EBFEF}" type="TxLink">
            <a:rPr lang="en-US" sz="1100" b="0" i="0" u="none" strike="noStrike">
              <a:solidFill>
                <a:srgbClr val="000000"/>
              </a:solidFill>
              <a:latin typeface="Calibri"/>
            </a:rPr>
            <a:pPr/>
            <a:t>Sample Rate = 2 sps</a:t>
          </a:fld>
          <a:endParaRPr lang="en-US" sz="1100"/>
        </a:p>
      </cdr:txBody>
    </cdr:sp>
  </cdr:relSizeAnchor>
  <cdr:relSizeAnchor xmlns:cdr="http://schemas.openxmlformats.org/drawingml/2006/chartDrawing">
    <cdr:from>
      <cdr:x>0.51868</cdr:x>
      <cdr:y>0.30382</cdr:y>
    </cdr:from>
    <cdr:to>
      <cdr:x>0.83857</cdr:x>
      <cdr:y>0.38414</cdr:y>
    </cdr:to>
    <cdr:sp macro="" textlink="LDC0851_calc!$G$83">
      <cdr:nvSpPr>
        <cdr:cNvPr id="4" name="TextBox 1"/>
        <cdr:cNvSpPr txBox="1"/>
      </cdr:nvSpPr>
      <cdr:spPr>
        <a:xfrm xmlns:a="http://schemas.openxmlformats.org/drawingml/2006/main">
          <a:off x="3222251" y="1233889"/>
          <a:ext cx="1987239" cy="326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2CDBE1D9-F5D1-4412-AF18-EE830EE7A0A1}" type="TxLink">
            <a:rPr lang="en-US" sz="1100" b="0" i="0" u="none" strike="noStrike">
              <a:solidFill>
                <a:srgbClr val="000000"/>
              </a:solidFill>
              <a:latin typeface="Calibri"/>
            </a:rPr>
            <a:pPr/>
            <a:t>Battery Capacity = 220 mAh</a:t>
          </a:fld>
          <a:endParaRPr lang="en-US" sz="1100"/>
        </a:p>
      </cdr:txBody>
    </cdr:sp>
  </cdr:relSizeAnchor>
  <cdr:relSizeAnchor xmlns:cdr="http://schemas.openxmlformats.org/drawingml/2006/chartDrawing">
    <cdr:from>
      <cdr:x>0.51748</cdr:x>
      <cdr:y>0.38064</cdr:y>
    </cdr:from>
    <cdr:to>
      <cdr:x>0.83736</cdr:x>
      <cdr:y>0.4588</cdr:y>
    </cdr:to>
    <cdr:sp macro="" textlink="LDC0851_calc!$G$84">
      <cdr:nvSpPr>
        <cdr:cNvPr id="5" name="TextBox 1"/>
        <cdr:cNvSpPr txBox="1"/>
      </cdr:nvSpPr>
      <cdr:spPr>
        <a:xfrm xmlns:a="http://schemas.openxmlformats.org/drawingml/2006/main">
          <a:off x="3214782" y="1545852"/>
          <a:ext cx="1987176" cy="317423"/>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3BE7649B-2ECF-49AA-93E8-E25910A94C8D}" type="TxLink">
            <a:rPr lang="en-US" sz="1100" b="0" i="0" u="none" strike="noStrike">
              <a:solidFill>
                <a:srgbClr val="000000"/>
              </a:solidFill>
              <a:latin typeface="Calibri"/>
            </a:rPr>
            <a:pPr/>
            <a:t>Assumes min EN pulse duration</a:t>
          </a:fld>
          <a:endParaRPr lang="en-US" sz="1100"/>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9</xdr:col>
      <xdr:colOff>127000</xdr:colOff>
      <xdr:row>4</xdr:row>
      <xdr:rowOff>12700</xdr:rowOff>
    </xdr:from>
    <xdr:to>
      <xdr:col>13</xdr:col>
      <xdr:colOff>450850</xdr:colOff>
      <xdr:row>18</xdr:row>
      <xdr:rowOff>12700</xdr:rowOff>
    </xdr:to>
    <xdr:sp macro="" textlink="">
      <xdr:nvSpPr>
        <xdr:cNvPr id="54275" name="Object 3" hidden="1">
          <a:extLst>
            <a:ext uri="{63B3BB69-23CF-44E3-9099-C40C66FF867C}">
              <a14:compatExt xmlns:a14="http://schemas.microsoft.com/office/drawing/2010/main" spid="_x0000_s54275"/>
            </a:ext>
            <a:ext uri="{FF2B5EF4-FFF2-40B4-BE49-F238E27FC236}">
              <a16:creationId xmlns:a16="http://schemas.microsoft.com/office/drawing/2014/main" id="{00000000-0008-0000-0800-000003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4</xdr:col>
      <xdr:colOff>234950</xdr:colOff>
      <xdr:row>1</xdr:row>
      <xdr:rowOff>0</xdr:rowOff>
    </xdr:from>
    <xdr:to>
      <xdr:col>6</xdr:col>
      <xdr:colOff>450850</xdr:colOff>
      <xdr:row>4</xdr:row>
      <xdr:rowOff>146050</xdr:rowOff>
    </xdr:to>
    <xdr:sp macro="" textlink="">
      <xdr:nvSpPr>
        <xdr:cNvPr id="54281" name="Object 9" hidden="1">
          <a:extLst>
            <a:ext uri="{63B3BB69-23CF-44E3-9099-C40C66FF867C}">
              <a14:compatExt xmlns:a14="http://schemas.microsoft.com/office/drawing/2010/main" spid="_x0000_s54281"/>
            </a:ext>
            <a:ext uri="{FF2B5EF4-FFF2-40B4-BE49-F238E27FC236}">
              <a16:creationId xmlns:a16="http://schemas.microsoft.com/office/drawing/2014/main" id="{00000000-0008-0000-0800-000009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9</xdr:col>
      <xdr:colOff>127000</xdr:colOff>
      <xdr:row>4</xdr:row>
      <xdr:rowOff>12700</xdr:rowOff>
    </xdr:from>
    <xdr:to>
      <xdr:col>13</xdr:col>
      <xdr:colOff>450850</xdr:colOff>
      <xdr:row>18</xdr:row>
      <xdr:rowOff>12700</xdr:rowOff>
    </xdr:to>
    <xdr:pic>
      <xdr:nvPicPr>
        <xdr:cNvPr id="2" name="Picture 3">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4950" y="736600"/>
          <a:ext cx="2787650" cy="2578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4</xdr:col>
      <xdr:colOff>209550</xdr:colOff>
      <xdr:row>0</xdr:row>
      <xdr:rowOff>114300</xdr:rowOff>
    </xdr:from>
    <xdr:to>
      <xdr:col>6</xdr:col>
      <xdr:colOff>371475</xdr:colOff>
      <xdr:row>4</xdr:row>
      <xdr:rowOff>85725</xdr:rowOff>
    </xdr:to>
    <xdr:sp macro="" textlink="">
      <xdr:nvSpPr>
        <xdr:cNvPr id="97281" name="Object 1" hidden="1">
          <a:extLst>
            <a:ext uri="{63B3BB69-23CF-44E3-9099-C40C66FF867C}">
              <a14:compatExt xmlns:a14="http://schemas.microsoft.com/office/drawing/2010/main" spid="_x0000_s97281"/>
            </a:ext>
            <a:ext uri="{FF2B5EF4-FFF2-40B4-BE49-F238E27FC236}">
              <a16:creationId xmlns:a16="http://schemas.microsoft.com/office/drawing/2014/main" id="{00000000-0008-0000-0800-0000017C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5</xdr:col>
          <xdr:colOff>114300</xdr:colOff>
          <xdr:row>0</xdr:row>
          <xdr:rowOff>152400</xdr:rowOff>
        </xdr:from>
        <xdr:to>
          <xdr:col>7</xdr:col>
          <xdr:colOff>184150</xdr:colOff>
          <xdr:row>4</xdr:row>
          <xdr:rowOff>127000</xdr:rowOff>
        </xdr:to>
        <xdr:sp macro="" textlink="">
          <xdr:nvSpPr>
            <xdr:cNvPr id="116737" name="Object 1" hidden="1">
              <a:extLst>
                <a:ext uri="{63B3BB69-23CF-44E3-9099-C40C66FF867C}">
                  <a14:compatExt spid="_x0000_s116737"/>
                </a:ext>
                <a:ext uri="{FF2B5EF4-FFF2-40B4-BE49-F238E27FC236}">
                  <a16:creationId xmlns:a16="http://schemas.microsoft.com/office/drawing/2014/main" id="{00000000-0008-0000-0800-000001C80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8</xdr:col>
      <xdr:colOff>117929</xdr:colOff>
      <xdr:row>85</xdr:row>
      <xdr:rowOff>42204</xdr:rowOff>
    </xdr:from>
    <xdr:to>
      <xdr:col>19</xdr:col>
      <xdr:colOff>106383</xdr:colOff>
      <xdr:row>99</xdr:row>
      <xdr:rowOff>172357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403135</xdr:colOff>
      <xdr:row>45</xdr:row>
      <xdr:rowOff>116429</xdr:rowOff>
    </xdr:from>
    <xdr:to>
      <xdr:col>9</xdr:col>
      <xdr:colOff>125036</xdr:colOff>
      <xdr:row>59</xdr:row>
      <xdr:rowOff>16094</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3908335" y="8415879"/>
          <a:ext cx="2376201" cy="2477765"/>
        </a:xfrm>
        <a:prstGeom prst="rect">
          <a:avLst/>
        </a:prstGeom>
      </xdr:spPr>
    </xdr:pic>
    <xdr:clientData/>
  </xdr:twoCellAnchor>
  <xdr:twoCellAnchor>
    <xdr:from>
      <xdr:col>9</xdr:col>
      <xdr:colOff>153360</xdr:colOff>
      <xdr:row>144</xdr:row>
      <xdr:rowOff>44503</xdr:rowOff>
    </xdr:from>
    <xdr:to>
      <xdr:col>21</xdr:col>
      <xdr:colOff>86685</xdr:colOff>
      <xdr:row>154</xdr:row>
      <xdr:rowOff>31750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169</xdr:row>
      <xdr:rowOff>177800</xdr:rowOff>
    </xdr:from>
    <xdr:to>
      <xdr:col>21</xdr:col>
      <xdr:colOff>161925</xdr:colOff>
      <xdr:row>183</xdr:row>
      <xdr:rowOff>95250</xdr:rowOff>
    </xdr:to>
    <xdr:graphicFrame macro="">
      <xdr:nvGraphicFramePr>
        <xdr:cNvPr id="5" name="Chart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165100</xdr:colOff>
      <xdr:row>155</xdr:row>
      <xdr:rowOff>107950</xdr:rowOff>
    </xdr:from>
    <xdr:to>
      <xdr:col>22</xdr:col>
      <xdr:colOff>98425</xdr:colOff>
      <xdr:row>169</xdr:row>
      <xdr:rowOff>25400</xdr:rowOff>
    </xdr:to>
    <xdr:graphicFrame macro="">
      <xdr:nvGraphicFramePr>
        <xdr:cNvPr id="6" name="Chart 5">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665636</xdr:colOff>
      <xdr:row>64</xdr:row>
      <xdr:rowOff>78308</xdr:rowOff>
    </xdr:from>
    <xdr:to>
      <xdr:col>21</xdr:col>
      <xdr:colOff>486593</xdr:colOff>
      <xdr:row>81</xdr:row>
      <xdr:rowOff>159938</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6"/>
        <a:stretch>
          <a:fillRect/>
        </a:stretch>
      </xdr:blipFill>
      <xdr:spPr>
        <a:xfrm>
          <a:off x="9498486" y="11876608"/>
          <a:ext cx="3510307" cy="32756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488950</xdr:colOff>
      <xdr:row>3</xdr:row>
      <xdr:rowOff>184150</xdr:rowOff>
    </xdr:from>
    <xdr:to>
      <xdr:col>12</xdr:col>
      <xdr:colOff>31750</xdr:colOff>
      <xdr:row>22</xdr:row>
      <xdr:rowOff>0</xdr:rowOff>
    </xdr:to>
    <xdr:sp macro="" textlink="">
      <xdr:nvSpPr>
        <xdr:cNvPr id="67585" name="Object 1" hidden="1">
          <a:extLst>
            <a:ext uri="{63B3BB69-23CF-44E3-9099-C40C66FF867C}">
              <a14:compatExt xmlns:a14="http://schemas.microsoft.com/office/drawing/2010/main" spid="_x0000_s67585"/>
            </a:ext>
            <a:ext uri="{FF2B5EF4-FFF2-40B4-BE49-F238E27FC236}">
              <a16:creationId xmlns:a16="http://schemas.microsoft.com/office/drawing/2014/main" id="{00000000-0008-0000-0C00-0000010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54964</xdr:colOff>
      <xdr:row>48</xdr:row>
      <xdr:rowOff>113447</xdr:rowOff>
    </xdr:from>
    <xdr:to>
      <xdr:col>4</xdr:col>
      <xdr:colOff>1065093</xdr:colOff>
      <xdr:row>155</xdr:row>
      <xdr:rowOff>55176</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488950</xdr:colOff>
      <xdr:row>3</xdr:row>
      <xdr:rowOff>184150</xdr:rowOff>
    </xdr:from>
    <xdr:to>
      <xdr:col>12</xdr:col>
      <xdr:colOff>31750</xdr:colOff>
      <xdr:row>22</xdr:row>
      <xdr:rowOff>0</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787400"/>
          <a:ext cx="3238500" cy="3035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47625</xdr:colOff>
      <xdr:row>42</xdr:row>
      <xdr:rowOff>0</xdr:rowOff>
    </xdr:from>
    <xdr:to>
      <xdr:col>9</xdr:col>
      <xdr:colOff>457200</xdr:colOff>
      <xdr:row>46</xdr:row>
      <xdr:rowOff>70520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4238625" y="7524750"/>
          <a:ext cx="3676650" cy="842045"/>
        </a:xfrm>
        <a:prstGeom prst="rect">
          <a:avLst/>
        </a:prstGeom>
      </xdr:spPr>
    </xdr:pic>
    <xdr:clientData/>
  </xdr:twoCellAnchor>
  <xdr:twoCellAnchor editAs="oneCell">
    <xdr:from>
      <xdr:col>5</xdr:col>
      <xdr:colOff>285750</xdr:colOff>
      <xdr:row>13</xdr:row>
      <xdr:rowOff>31750</xdr:rowOff>
    </xdr:from>
    <xdr:to>
      <xdr:col>8</xdr:col>
      <xdr:colOff>152400</xdr:colOff>
      <xdr:row>31</xdr:row>
      <xdr:rowOff>165100</xdr:rowOff>
    </xdr:to>
    <xdr:sp macro="" textlink="">
      <xdr:nvSpPr>
        <xdr:cNvPr id="8197" name="Object 5" hidden="1">
          <a:extLst>
            <a:ext uri="{63B3BB69-23CF-44E3-9099-C40C66FF867C}">
              <a14:compatExt xmlns:a14="http://schemas.microsoft.com/office/drawing/2010/main" spid="_x0000_s8197"/>
            </a:ext>
            <a:ext uri="{FF2B5EF4-FFF2-40B4-BE49-F238E27FC236}">
              <a16:creationId xmlns:a16="http://schemas.microsoft.com/office/drawing/2014/main" id="{00000000-0008-0000-0D00-0000052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285750</xdr:colOff>
      <xdr:row>13</xdr:row>
      <xdr:rowOff>31750</xdr:rowOff>
    </xdr:from>
    <xdr:to>
      <xdr:col>8</xdr:col>
      <xdr:colOff>152400</xdr:colOff>
      <xdr:row>31</xdr:row>
      <xdr:rowOff>165100</xdr:rowOff>
    </xdr:to>
    <xdr:pic>
      <xdr:nvPicPr>
        <xdr:cNvPr id="2" name="Picture 5">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48200" y="2546350"/>
          <a:ext cx="2622550" cy="271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2028265</xdr:colOff>
      <xdr:row>4</xdr:row>
      <xdr:rowOff>21852</xdr:rowOff>
    </xdr:from>
    <xdr:to>
      <xdr:col>10</xdr:col>
      <xdr:colOff>122322</xdr:colOff>
      <xdr:row>17</xdr:row>
      <xdr:rowOff>28202</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98441" y="873499"/>
          <a:ext cx="3933576" cy="2495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419100</xdr:colOff>
      <xdr:row>5</xdr:row>
      <xdr:rowOff>38100</xdr:rowOff>
    </xdr:from>
    <xdr:to>
      <xdr:col>4</xdr:col>
      <xdr:colOff>160020</xdr:colOff>
      <xdr:row>13</xdr:row>
      <xdr:rowOff>83820</xdr:rowOff>
    </xdr:to>
    <xdr:sp macro="" textlink="">
      <xdr:nvSpPr>
        <xdr:cNvPr id="53249" name="Object 1" hidden="1">
          <a:extLst>
            <a:ext uri="{63B3BB69-23CF-44E3-9099-C40C66FF867C}">
              <a14:compatExt xmlns:a14="http://schemas.microsoft.com/office/drawing/2010/main" spid="_x0000_s53249"/>
            </a:ext>
            <a:ext uri="{FF2B5EF4-FFF2-40B4-BE49-F238E27FC236}">
              <a16:creationId xmlns:a16="http://schemas.microsoft.com/office/drawing/2014/main" id="{00000000-0008-0000-0200-000001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546473</xdr:colOff>
      <xdr:row>4</xdr:row>
      <xdr:rowOff>152773</xdr:rowOff>
    </xdr:from>
    <xdr:to>
      <xdr:col>5</xdr:col>
      <xdr:colOff>2523813</xdr:colOff>
      <xdr:row>13</xdr:row>
      <xdr:rowOff>78663</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969623" y="990973"/>
          <a:ext cx="1977975" cy="1583240"/>
        </a:xfrm>
        <a:prstGeom prst="rect">
          <a:avLst/>
        </a:prstGeom>
        <a:noFill/>
        <a:ln w="9525">
          <a:noFill/>
          <a:miter lim="800000"/>
          <a:headEnd/>
          <a:tailEnd/>
        </a:ln>
      </xdr:spPr>
    </xdr:pic>
    <xdr:clientData/>
  </xdr:twoCellAnchor>
  <xdr:twoCellAnchor editAs="oneCell">
    <xdr:from>
      <xdr:col>3</xdr:col>
      <xdr:colOff>565150</xdr:colOff>
      <xdr:row>14</xdr:row>
      <xdr:rowOff>88900</xdr:rowOff>
    </xdr:from>
    <xdr:to>
      <xdr:col>4</xdr:col>
      <xdr:colOff>2761</xdr:colOff>
      <xdr:row>17</xdr:row>
      <xdr:rowOff>27305</xdr:rowOff>
    </xdr:to>
    <xdr:sp macro="" textlink="">
      <xdr:nvSpPr>
        <xdr:cNvPr id="53251" name="Object 3" hidden="1">
          <a:extLst>
            <a:ext uri="{63B3BB69-23CF-44E3-9099-C40C66FF867C}">
              <a14:compatExt xmlns:a14="http://schemas.microsoft.com/office/drawing/2010/main" spid="_x0000_s53251"/>
            </a:ext>
            <a:ext uri="{FF2B5EF4-FFF2-40B4-BE49-F238E27FC236}">
              <a16:creationId xmlns:a16="http://schemas.microsoft.com/office/drawing/2014/main" id="{00000000-0008-0000-0200-000003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1</xdr:col>
      <xdr:colOff>419100</xdr:colOff>
      <xdr:row>5</xdr:row>
      <xdr:rowOff>38100</xdr:rowOff>
    </xdr:from>
    <xdr:to>
      <xdr:col>4</xdr:col>
      <xdr:colOff>160020</xdr:colOff>
      <xdr:row>13</xdr:row>
      <xdr:rowOff>83820</xdr:rowOff>
    </xdr:to>
    <xdr:pic>
      <xdr:nvPicPr>
        <xdr:cNvPr id="3" name="Picture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9000" y="1060450"/>
          <a:ext cx="4616450" cy="15176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3</xdr:col>
      <xdr:colOff>333375</xdr:colOff>
      <xdr:row>13</xdr:row>
      <xdr:rowOff>161925</xdr:rowOff>
    </xdr:from>
    <xdr:to>
      <xdr:col>4</xdr:col>
      <xdr:colOff>2761</xdr:colOff>
      <xdr:row>17</xdr:row>
      <xdr:rowOff>101600</xdr:rowOff>
    </xdr:to>
    <xdr:sp macro="" textlink="">
      <xdr:nvSpPr>
        <xdr:cNvPr id="2049" name="Object 1" hidden="1">
          <a:extLst>
            <a:ext uri="{63B3BB69-23CF-44E3-9099-C40C66FF867C}">
              <a14:compatExt xmlns:a14="http://schemas.microsoft.com/office/drawing/2010/main"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3</xdr:col>
          <xdr:colOff>279400</xdr:colOff>
          <xdr:row>13</xdr:row>
          <xdr:rowOff>165100</xdr:rowOff>
        </xdr:from>
        <xdr:to>
          <xdr:col>3</xdr:col>
          <xdr:colOff>1174750</xdr:colOff>
          <xdr:row>17</xdr:row>
          <xdr:rowOff>114300</xdr:rowOff>
        </xdr:to>
        <xdr:sp macro="" textlink="">
          <xdr:nvSpPr>
            <xdr:cNvPr id="5" name="Object 1" hidden="1">
              <a:extLst>
                <a:ext uri="{63B3BB69-23CF-44E3-9099-C40C66FF867C}">
                  <a14:compatExt spid="_x0000_s2049"/>
                </a:ext>
                <a:ext uri="{FF2B5EF4-FFF2-40B4-BE49-F238E27FC236}">
                  <a16:creationId xmlns:a16="http://schemas.microsoft.com/office/drawing/2014/main" id="{00000000-0008-0000-02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6</xdr:col>
      <xdr:colOff>95250</xdr:colOff>
      <xdr:row>8</xdr:row>
      <xdr:rowOff>38100</xdr:rowOff>
    </xdr:from>
    <xdr:to>
      <xdr:col>11</xdr:col>
      <xdr:colOff>403860</xdr:colOff>
      <xdr:row>21</xdr:row>
      <xdr:rowOff>175260</xdr:rowOff>
    </xdr:to>
    <xdr:pic>
      <xdr:nvPicPr>
        <xdr:cNvPr id="3" name="Picture 2" descr="Skin Depth">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1657350"/>
          <a:ext cx="351472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31750</xdr:colOff>
          <xdr:row>7</xdr:row>
          <xdr:rowOff>19050</xdr:rowOff>
        </xdr:from>
        <xdr:to>
          <xdr:col>3</xdr:col>
          <xdr:colOff>571500</xdr:colOff>
          <xdr:row>7</xdr:row>
          <xdr:rowOff>146050</xdr:rowOff>
        </xdr:to>
        <xdr:sp macro="" textlink="">
          <xdr:nvSpPr>
            <xdr:cNvPr id="112641" name="Check Box 1" descr="Enable Ch0" hidden="1">
              <a:extLst>
                <a:ext uri="{63B3BB69-23CF-44E3-9099-C40C66FF867C}">
                  <a14:compatExt spid="_x0000_s112641"/>
                </a:ext>
                <a:ext uri="{FF2B5EF4-FFF2-40B4-BE49-F238E27FC236}">
                  <a16:creationId xmlns:a16="http://schemas.microsoft.com/office/drawing/2014/main" id="{00000000-0008-0000-0400-000001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31750</xdr:colOff>
          <xdr:row>7</xdr:row>
          <xdr:rowOff>152400</xdr:rowOff>
        </xdr:from>
        <xdr:to>
          <xdr:col>3</xdr:col>
          <xdr:colOff>774700</xdr:colOff>
          <xdr:row>13</xdr:row>
          <xdr:rowOff>19050</xdr:rowOff>
        </xdr:to>
        <xdr:sp macro="" textlink="">
          <xdr:nvSpPr>
            <xdr:cNvPr id="112645" name="Check Box 5" descr="Enable Ch0" hidden="1">
              <a:extLst>
                <a:ext uri="{63B3BB69-23CF-44E3-9099-C40C66FF867C}">
                  <a14:compatExt spid="_x0000_s112645"/>
                </a:ext>
                <a:ext uri="{FF2B5EF4-FFF2-40B4-BE49-F238E27FC236}">
                  <a16:creationId xmlns:a16="http://schemas.microsoft.com/office/drawing/2014/main" id="{00000000-0008-0000-0400-00000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8</xdr:row>
          <xdr:rowOff>12700</xdr:rowOff>
        </xdr:from>
        <xdr:to>
          <xdr:col>5</xdr:col>
          <xdr:colOff>755650</xdr:colOff>
          <xdr:row>8</xdr:row>
          <xdr:rowOff>146050</xdr:rowOff>
        </xdr:to>
        <xdr:sp macro="" textlink="">
          <xdr:nvSpPr>
            <xdr:cNvPr id="112646" name="Check Box 6" descr="Enable Ch0" hidden="1">
              <a:extLst>
                <a:ext uri="{63B3BB69-23CF-44E3-9099-C40C66FF867C}">
                  <a14:compatExt spid="_x0000_s112646"/>
                </a:ext>
                <a:ext uri="{FF2B5EF4-FFF2-40B4-BE49-F238E27FC236}">
                  <a16:creationId xmlns:a16="http://schemas.microsoft.com/office/drawing/2014/main" id="{00000000-0008-0000-0400-00000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146050</xdr:rowOff>
        </xdr:from>
        <xdr:to>
          <xdr:col>7</xdr:col>
          <xdr:colOff>781050</xdr:colOff>
          <xdr:row>9</xdr:row>
          <xdr:rowOff>0</xdr:rowOff>
        </xdr:to>
        <xdr:sp macro="" textlink="">
          <xdr:nvSpPr>
            <xdr:cNvPr id="112647" name="Check Box 7" descr="Enable Ch0" hidden="1">
              <a:extLst>
                <a:ext uri="{63B3BB69-23CF-44E3-9099-C40C66FF867C}">
                  <a14:compatExt spid="_x0000_s112647"/>
                </a:ext>
                <a:ext uri="{FF2B5EF4-FFF2-40B4-BE49-F238E27FC236}">
                  <a16:creationId xmlns:a16="http://schemas.microsoft.com/office/drawing/2014/main" id="{00000000-0008-0000-0400-000007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8</xdr:row>
          <xdr:rowOff>12700</xdr:rowOff>
        </xdr:from>
        <xdr:to>
          <xdr:col>9</xdr:col>
          <xdr:colOff>742950</xdr:colOff>
          <xdr:row>8</xdr:row>
          <xdr:rowOff>146050</xdr:rowOff>
        </xdr:to>
        <xdr:sp macro="" textlink="">
          <xdr:nvSpPr>
            <xdr:cNvPr id="112648" name="Check Box 8" descr="Enable Ch0" hidden="1">
              <a:extLst>
                <a:ext uri="{63B3BB69-23CF-44E3-9099-C40C66FF867C}">
                  <a14:compatExt spid="_x0000_s112648"/>
                </a:ext>
                <a:ext uri="{FF2B5EF4-FFF2-40B4-BE49-F238E27FC236}">
                  <a16:creationId xmlns:a16="http://schemas.microsoft.com/office/drawing/2014/main" id="{00000000-0008-0000-0400-000008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467570</xdr:colOff>
      <xdr:row>43</xdr:row>
      <xdr:rowOff>57150</xdr:rowOff>
    </xdr:from>
    <xdr:to>
      <xdr:col>13</xdr:col>
      <xdr:colOff>247650</xdr:colOff>
      <xdr:row>68</xdr:row>
      <xdr:rowOff>190499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31750</xdr:colOff>
          <xdr:row>4</xdr:row>
          <xdr:rowOff>19050</xdr:rowOff>
        </xdr:from>
        <xdr:to>
          <xdr:col>3</xdr:col>
          <xdr:colOff>571500</xdr:colOff>
          <xdr:row>4</xdr:row>
          <xdr:rowOff>146050</xdr:rowOff>
        </xdr:to>
        <xdr:sp macro="" textlink="">
          <xdr:nvSpPr>
            <xdr:cNvPr id="112654" name="Check Box 14" descr="Enable Ch0" hidden="1">
              <a:extLst>
                <a:ext uri="{63B3BB69-23CF-44E3-9099-C40C66FF867C}">
                  <a14:compatExt spid="_x0000_s112654"/>
                </a:ext>
                <a:ext uri="{FF2B5EF4-FFF2-40B4-BE49-F238E27FC236}">
                  <a16:creationId xmlns:a16="http://schemas.microsoft.com/office/drawing/2014/main" id="{00000000-0008-0000-0400-00000E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Raw</a:t>
              </a:r>
            </a:p>
          </xdr:txBody>
        </xdr:sp>
        <xdr:clientData fLocksWithSheet="0"/>
      </xdr:twoCellAnchor>
    </mc:Choice>
    <mc:Fallback/>
  </mc:AlternateContent>
  <xdr:twoCellAnchor>
    <xdr:from>
      <xdr:col>7</xdr:col>
      <xdr:colOff>895350</xdr:colOff>
      <xdr:row>92</xdr:row>
      <xdr:rowOff>9525</xdr:rowOff>
    </xdr:from>
    <xdr:to>
      <xdr:col>15</xdr:col>
      <xdr:colOff>563250</xdr:colOff>
      <xdr:row>124</xdr:row>
      <xdr:rowOff>66675</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12700</xdr:colOff>
          <xdr:row>7</xdr:row>
          <xdr:rowOff>0</xdr:rowOff>
        </xdr:from>
        <xdr:to>
          <xdr:col>5</xdr:col>
          <xdr:colOff>552450</xdr:colOff>
          <xdr:row>7</xdr:row>
          <xdr:rowOff>146050</xdr:rowOff>
        </xdr:to>
        <xdr:sp macro="" textlink="">
          <xdr:nvSpPr>
            <xdr:cNvPr id="112660" name="Check Box 20" descr="Enable Ch0" hidden="1">
              <a:extLst>
                <a:ext uri="{63B3BB69-23CF-44E3-9099-C40C66FF867C}">
                  <a14:compatExt spid="_x0000_s112660"/>
                </a:ext>
                <a:ext uri="{FF2B5EF4-FFF2-40B4-BE49-F238E27FC236}">
                  <a16:creationId xmlns:a16="http://schemas.microsoft.com/office/drawing/2014/main" id="{00000000-0008-0000-0400-000014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0</xdr:rowOff>
        </xdr:from>
        <xdr:to>
          <xdr:col>7</xdr:col>
          <xdr:colOff>571500</xdr:colOff>
          <xdr:row>7</xdr:row>
          <xdr:rowOff>146050</xdr:rowOff>
        </xdr:to>
        <xdr:sp macro="" textlink="">
          <xdr:nvSpPr>
            <xdr:cNvPr id="112661" name="Check Box 21" descr="Enable Ch0" hidden="1">
              <a:extLst>
                <a:ext uri="{63B3BB69-23CF-44E3-9099-C40C66FF867C}">
                  <a14:compatExt spid="_x0000_s112661"/>
                </a:ext>
                <a:ext uri="{FF2B5EF4-FFF2-40B4-BE49-F238E27FC236}">
                  <a16:creationId xmlns:a16="http://schemas.microsoft.com/office/drawing/2014/main" id="{00000000-0008-0000-0400-00001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7</xdr:row>
          <xdr:rowOff>0</xdr:rowOff>
        </xdr:from>
        <xdr:to>
          <xdr:col>9</xdr:col>
          <xdr:colOff>552450</xdr:colOff>
          <xdr:row>7</xdr:row>
          <xdr:rowOff>152400</xdr:rowOff>
        </xdr:to>
        <xdr:sp macro="" textlink="">
          <xdr:nvSpPr>
            <xdr:cNvPr id="112662" name="Check Box 22" descr="Enable Ch0" hidden="1">
              <a:extLst>
                <a:ext uri="{63B3BB69-23CF-44E3-9099-C40C66FF867C}">
                  <a14:compatExt spid="_x0000_s112662"/>
                </a:ext>
                <a:ext uri="{FF2B5EF4-FFF2-40B4-BE49-F238E27FC236}">
                  <a16:creationId xmlns:a16="http://schemas.microsoft.com/office/drawing/2014/main" id="{00000000-0008-0000-0400-00001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279400</xdr:colOff>
          <xdr:row>98</xdr:row>
          <xdr:rowOff>19050</xdr:rowOff>
        </xdr:from>
        <xdr:to>
          <xdr:col>4</xdr:col>
          <xdr:colOff>222250</xdr:colOff>
          <xdr:row>99</xdr:row>
          <xdr:rowOff>0</xdr:rowOff>
        </xdr:to>
        <xdr:sp macro="" textlink="">
          <xdr:nvSpPr>
            <xdr:cNvPr id="112665" name="Check Box 25" descr="Enable Ch0" hidden="1">
              <a:extLst>
                <a:ext uri="{63B3BB69-23CF-44E3-9099-C40C66FF867C}">
                  <a14:compatExt spid="_x0000_s112665"/>
                </a:ext>
                <a:ext uri="{FF2B5EF4-FFF2-40B4-BE49-F238E27FC236}">
                  <a16:creationId xmlns:a16="http://schemas.microsoft.com/office/drawing/2014/main" id="{00000000-0008-0000-0400-000019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xdr:wsDr>
</file>

<file path=xl/drawings/drawing5.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31750</xdr:colOff>
          <xdr:row>6</xdr:row>
          <xdr:rowOff>19050</xdr:rowOff>
        </xdr:from>
        <xdr:to>
          <xdr:col>3</xdr:col>
          <xdr:colOff>571500</xdr:colOff>
          <xdr:row>6</xdr:row>
          <xdr:rowOff>146050</xdr:rowOff>
        </xdr:to>
        <xdr:sp macro="" textlink="">
          <xdr:nvSpPr>
            <xdr:cNvPr id="88065" name="Check Box 1" descr="Enable Ch0" hidden="1">
              <a:extLst>
                <a:ext uri="{63B3BB69-23CF-44E3-9099-C40C66FF867C}">
                  <a14:compatExt spid="_x0000_s88065"/>
                </a:ext>
                <a:ext uri="{FF2B5EF4-FFF2-40B4-BE49-F238E27FC236}">
                  <a16:creationId xmlns:a16="http://schemas.microsoft.com/office/drawing/2014/main" id="{00000000-0008-0000-0500-0000015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146050</xdr:rowOff>
        </xdr:from>
        <xdr:to>
          <xdr:col>7</xdr:col>
          <xdr:colOff>571500</xdr:colOff>
          <xdr:row>6</xdr:row>
          <xdr:rowOff>107950</xdr:rowOff>
        </xdr:to>
        <xdr:sp macro="" textlink="">
          <xdr:nvSpPr>
            <xdr:cNvPr id="88066" name="Check Box 2" descr="Enable Ch0" hidden="1">
              <a:extLst>
                <a:ext uri="{63B3BB69-23CF-44E3-9099-C40C66FF867C}">
                  <a14:compatExt spid="_x0000_s88066"/>
                </a:ext>
                <a:ext uri="{FF2B5EF4-FFF2-40B4-BE49-F238E27FC236}">
                  <a16:creationId xmlns:a16="http://schemas.microsoft.com/office/drawing/2014/main" id="{00000000-0008-0000-0500-000002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5</xdr:row>
          <xdr:rowOff>146050</xdr:rowOff>
        </xdr:from>
        <xdr:to>
          <xdr:col>9</xdr:col>
          <xdr:colOff>552450</xdr:colOff>
          <xdr:row>6</xdr:row>
          <xdr:rowOff>114300</xdr:rowOff>
        </xdr:to>
        <xdr:sp macro="" textlink="">
          <xdr:nvSpPr>
            <xdr:cNvPr id="88067" name="Check Box 3" descr="Enable Ch0" hidden="1">
              <a:extLst>
                <a:ext uri="{63B3BB69-23CF-44E3-9099-C40C66FF867C}">
                  <a14:compatExt spid="_x0000_s88067"/>
                </a:ext>
                <a:ext uri="{FF2B5EF4-FFF2-40B4-BE49-F238E27FC236}">
                  <a16:creationId xmlns:a16="http://schemas.microsoft.com/office/drawing/2014/main" id="{00000000-0008-0000-0500-000003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xdr:row>
          <xdr:rowOff>146050</xdr:rowOff>
        </xdr:from>
        <xdr:to>
          <xdr:col>5</xdr:col>
          <xdr:colOff>552450</xdr:colOff>
          <xdr:row>6</xdr:row>
          <xdr:rowOff>107950</xdr:rowOff>
        </xdr:to>
        <xdr:sp macro="" textlink="">
          <xdr:nvSpPr>
            <xdr:cNvPr id="88068" name="Check Box 4" descr="Enable Ch0" hidden="1">
              <a:extLst>
                <a:ext uri="{63B3BB69-23CF-44E3-9099-C40C66FF867C}">
                  <a14:compatExt spid="_x0000_s88068"/>
                </a:ext>
                <a:ext uri="{FF2B5EF4-FFF2-40B4-BE49-F238E27FC236}">
                  <a16:creationId xmlns:a16="http://schemas.microsoft.com/office/drawing/2014/main" id="{00000000-0008-0000-0500-000004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31750</xdr:colOff>
          <xdr:row>6</xdr:row>
          <xdr:rowOff>152400</xdr:rowOff>
        </xdr:from>
        <xdr:to>
          <xdr:col>3</xdr:col>
          <xdr:colOff>774700</xdr:colOff>
          <xdr:row>8</xdr:row>
          <xdr:rowOff>19050</xdr:rowOff>
        </xdr:to>
        <xdr:sp macro="" textlink="">
          <xdr:nvSpPr>
            <xdr:cNvPr id="88069" name="Check Box 5" descr="Enable Ch0" hidden="1">
              <a:extLst>
                <a:ext uri="{63B3BB69-23CF-44E3-9099-C40C66FF867C}">
                  <a14:compatExt spid="_x0000_s88069"/>
                </a:ext>
                <a:ext uri="{FF2B5EF4-FFF2-40B4-BE49-F238E27FC236}">
                  <a16:creationId xmlns:a16="http://schemas.microsoft.com/office/drawing/2014/main" id="{00000000-0008-0000-0500-000005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7</xdr:row>
          <xdr:rowOff>12700</xdr:rowOff>
        </xdr:from>
        <xdr:to>
          <xdr:col>5</xdr:col>
          <xdr:colOff>755650</xdr:colOff>
          <xdr:row>7</xdr:row>
          <xdr:rowOff>146050</xdr:rowOff>
        </xdr:to>
        <xdr:sp macro="" textlink="">
          <xdr:nvSpPr>
            <xdr:cNvPr id="88070" name="Check Box 6" descr="Enable Ch0" hidden="1">
              <a:extLst>
                <a:ext uri="{63B3BB69-23CF-44E3-9099-C40C66FF867C}">
                  <a14:compatExt spid="_x0000_s88070"/>
                </a:ext>
                <a:ext uri="{FF2B5EF4-FFF2-40B4-BE49-F238E27FC236}">
                  <a16:creationId xmlns:a16="http://schemas.microsoft.com/office/drawing/2014/main" id="{00000000-0008-0000-0500-000006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6</xdr:row>
          <xdr:rowOff>146050</xdr:rowOff>
        </xdr:from>
        <xdr:to>
          <xdr:col>7</xdr:col>
          <xdr:colOff>781050</xdr:colOff>
          <xdr:row>8</xdr:row>
          <xdr:rowOff>0</xdr:rowOff>
        </xdr:to>
        <xdr:sp macro="" textlink="">
          <xdr:nvSpPr>
            <xdr:cNvPr id="88071" name="Check Box 7" descr="Enable Ch0" hidden="1">
              <a:extLst>
                <a:ext uri="{63B3BB69-23CF-44E3-9099-C40C66FF867C}">
                  <a14:compatExt spid="_x0000_s88071"/>
                </a:ext>
                <a:ext uri="{FF2B5EF4-FFF2-40B4-BE49-F238E27FC236}">
                  <a16:creationId xmlns:a16="http://schemas.microsoft.com/office/drawing/2014/main" id="{00000000-0008-0000-0500-000007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7</xdr:row>
          <xdr:rowOff>12700</xdr:rowOff>
        </xdr:from>
        <xdr:to>
          <xdr:col>9</xdr:col>
          <xdr:colOff>742950</xdr:colOff>
          <xdr:row>7</xdr:row>
          <xdr:rowOff>146050</xdr:rowOff>
        </xdr:to>
        <xdr:sp macro="" textlink="">
          <xdr:nvSpPr>
            <xdr:cNvPr id="88072" name="Check Box 8" descr="Enable Ch0" hidden="1">
              <a:extLst>
                <a:ext uri="{63B3BB69-23CF-44E3-9099-C40C66FF867C}">
                  <a14:compatExt spid="_x0000_s88072"/>
                </a:ext>
                <a:ext uri="{FF2B5EF4-FFF2-40B4-BE49-F238E27FC236}">
                  <a16:creationId xmlns:a16="http://schemas.microsoft.com/office/drawing/2014/main" id="{00000000-0008-0000-0500-000008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229445</xdr:colOff>
      <xdr:row>43</xdr:row>
      <xdr:rowOff>125642</xdr:rowOff>
    </xdr:from>
    <xdr:to>
      <xdr:col>12</xdr:col>
      <xdr:colOff>318479</xdr:colOff>
      <xdr:row>67</xdr:row>
      <xdr:rowOff>849</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8.xml><?xml version="1.0" encoding="utf-8"?>
<xdr:wsDr xmlns:xdr="http://schemas.openxmlformats.org/drawingml/2006/spreadsheetDrawing" xmlns:a="http://schemas.openxmlformats.org/drawingml/2006/main">
  <xdr:twoCellAnchor>
    <xdr:from>
      <xdr:col>5</xdr:col>
      <xdr:colOff>218255</xdr:colOff>
      <xdr:row>144</xdr:row>
      <xdr:rowOff>133351</xdr:rowOff>
    </xdr:from>
    <xdr:to>
      <xdr:col>12</xdr:col>
      <xdr:colOff>352424</xdr:colOff>
      <xdr:row>163</xdr:row>
      <xdr:rowOff>7805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14942</xdr:colOff>
      <xdr:row>0</xdr:row>
      <xdr:rowOff>49927</xdr:rowOff>
    </xdr:from>
    <xdr:to>
      <xdr:col>2</xdr:col>
      <xdr:colOff>1084874</xdr:colOff>
      <xdr:row>2</xdr:row>
      <xdr:rowOff>174602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4942" y="49927"/>
          <a:ext cx="1876756" cy="49820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355600</xdr:colOff>
          <xdr:row>42</xdr:row>
          <xdr:rowOff>12700</xdr:rowOff>
        </xdr:from>
        <xdr:to>
          <xdr:col>6</xdr:col>
          <xdr:colOff>19050</xdr:colOff>
          <xdr:row>43</xdr:row>
          <xdr:rowOff>0</xdr:rowOff>
        </xdr:to>
        <xdr:sp macro="" textlink="">
          <xdr:nvSpPr>
            <xdr:cNvPr id="96373" name="Check Box 117" descr="Enable Ch0" hidden="1">
              <a:extLst>
                <a:ext uri="{63B3BB69-23CF-44E3-9099-C40C66FF867C}">
                  <a14:compatExt spid="_x0000_s96373"/>
                </a:ext>
                <a:ext uri="{FF2B5EF4-FFF2-40B4-BE49-F238E27FC236}">
                  <a16:creationId xmlns:a16="http://schemas.microsoft.com/office/drawing/2014/main" id="{00000000-0008-0000-0600-0000757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112</xdr:row>
          <xdr:rowOff>12700</xdr:rowOff>
        </xdr:from>
        <xdr:to>
          <xdr:col>6</xdr:col>
          <xdr:colOff>685800</xdr:colOff>
          <xdr:row>127</xdr:row>
          <xdr:rowOff>38100</xdr:rowOff>
        </xdr:to>
        <xdr:sp macro="" textlink="">
          <xdr:nvSpPr>
            <xdr:cNvPr id="96625" name="Check Box 369" descr="Lock Gain at 1x" hidden="1">
              <a:extLst>
                <a:ext uri="{63B3BB69-23CF-44E3-9099-C40C66FF867C}">
                  <a14:compatExt spid="_x0000_s96625"/>
                </a:ext>
                <a:ext uri="{FF2B5EF4-FFF2-40B4-BE49-F238E27FC236}">
                  <a16:creationId xmlns:a16="http://schemas.microsoft.com/office/drawing/2014/main" id="{00000000-0008-0000-0600-00007179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Do Not Enable LDC131x Gain (1x)</a:t>
              </a:r>
            </a:p>
          </xdr:txBody>
        </xdr:sp>
        <xdr:clientData fLocksWithSheet="0" fPrintsWithSheet="0"/>
      </xdr:twoCellAnchor>
    </mc:Choice>
    <mc:Fallback/>
  </mc:AlternateContent>
  <xdr:twoCellAnchor editAs="oneCell">
    <xdr:from>
      <xdr:col>5</xdr:col>
      <xdr:colOff>742950</xdr:colOff>
      <xdr:row>2</xdr:row>
      <xdr:rowOff>165100</xdr:rowOff>
    </xdr:from>
    <xdr:to>
      <xdr:col>6</xdr:col>
      <xdr:colOff>819150</xdr:colOff>
      <xdr:row>5</xdr:row>
      <xdr:rowOff>200025</xdr:rowOff>
    </xdr:to>
    <xdr:sp macro="" textlink="">
      <xdr:nvSpPr>
        <xdr:cNvPr id="96627" name="Object 371" hidden="1">
          <a:extLst>
            <a:ext uri="{63B3BB69-23CF-44E3-9099-C40C66FF867C}">
              <a14:compatExt xmlns:a14="http://schemas.microsoft.com/office/drawing/2010/main" spid="_x0000_s96627"/>
            </a:ext>
            <a:ext uri="{FF2B5EF4-FFF2-40B4-BE49-F238E27FC236}">
              <a16:creationId xmlns:a16="http://schemas.microsoft.com/office/drawing/2014/main" id="{00000000-0008-0000-0600-000073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6</xdr:col>
      <xdr:colOff>0</xdr:colOff>
      <xdr:row>4</xdr:row>
      <xdr:rowOff>0</xdr:rowOff>
    </xdr:from>
    <xdr:to>
      <xdr:col>7</xdr:col>
      <xdr:colOff>38100</xdr:colOff>
      <xdr:row>8</xdr:row>
      <xdr:rowOff>19050</xdr:rowOff>
    </xdr:to>
    <xdr:sp macro="" textlink="">
      <xdr:nvSpPr>
        <xdr:cNvPr id="96626" name="Object 370" hidden="1">
          <a:extLst>
            <a:ext uri="{63B3BB69-23CF-44E3-9099-C40C66FF867C}">
              <a14:compatExt xmlns:a14="http://schemas.microsoft.com/office/drawing/2010/main" spid="_x0000_s96626"/>
            </a:ext>
            <a:ext uri="{FF2B5EF4-FFF2-40B4-BE49-F238E27FC236}">
              <a16:creationId xmlns:a16="http://schemas.microsoft.com/office/drawing/2014/main" id="{00000000-0008-0000-0600-000072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6</xdr:col>
          <xdr:colOff>114300</xdr:colOff>
          <xdr:row>3</xdr:row>
          <xdr:rowOff>165100</xdr:rowOff>
        </xdr:from>
        <xdr:to>
          <xdr:col>7</xdr:col>
          <xdr:colOff>152400</xdr:colOff>
          <xdr:row>6</xdr:row>
          <xdr:rowOff>171450</xdr:rowOff>
        </xdr:to>
        <xdr:sp macro="" textlink="">
          <xdr:nvSpPr>
            <xdr:cNvPr id="4" name="Object 370" hidden="1">
              <a:extLst>
                <a:ext uri="{63B3BB69-23CF-44E3-9099-C40C66FF867C}">
                  <a14:compatExt spid="_x0000_s96626"/>
                </a:ext>
                <a:ext uri="{FF2B5EF4-FFF2-40B4-BE49-F238E27FC236}">
                  <a16:creationId xmlns:a16="http://schemas.microsoft.com/office/drawing/2014/main" id="{00000000-0008-0000-06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546100</xdr:colOff>
      <xdr:row>34</xdr:row>
      <xdr:rowOff>174627</xdr:rowOff>
    </xdr:from>
    <xdr:to>
      <xdr:col>4</xdr:col>
      <xdr:colOff>384173</xdr:colOff>
      <xdr:row>36</xdr:row>
      <xdr:rowOff>2711939</xdr:rowOff>
    </xdr:to>
    <xdr:graphicFrame macro="">
      <xdr:nvGraphicFramePr>
        <xdr:cNvPr id="2" name="Chart 2">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501650</xdr:colOff>
      <xdr:row>59</xdr:row>
      <xdr:rowOff>38100</xdr:rowOff>
    </xdr:from>
    <xdr:to>
      <xdr:col>4</xdr:col>
      <xdr:colOff>333375</xdr:colOff>
      <xdr:row>60</xdr:row>
      <xdr:rowOff>2755900</xdr:rowOff>
    </xdr:to>
    <xdr:graphicFrame macro="">
      <xdr:nvGraphicFramePr>
        <xdr:cNvPr id="3" name="Chart 4">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596900</xdr:colOff>
      <xdr:row>110</xdr:row>
      <xdr:rowOff>220738</xdr:rowOff>
    </xdr:from>
    <xdr:to>
      <xdr:col>2</xdr:col>
      <xdr:colOff>523250</xdr:colOff>
      <xdr:row>113</xdr:row>
      <xdr:rowOff>113812</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38250" y="9733038"/>
          <a:ext cx="2587000" cy="2020324"/>
        </a:xfrm>
        <a:prstGeom prst="rect">
          <a:avLst/>
        </a:prstGeom>
      </xdr:spPr>
    </xdr:pic>
    <xdr:clientData/>
  </xdr:twoCellAnchor>
  <xdr:twoCellAnchor editAs="oneCell">
    <xdr:from>
      <xdr:col>4</xdr:col>
      <xdr:colOff>127000</xdr:colOff>
      <xdr:row>3</xdr:row>
      <xdr:rowOff>69850</xdr:rowOff>
    </xdr:from>
    <xdr:to>
      <xdr:col>4</xdr:col>
      <xdr:colOff>1041400</xdr:colOff>
      <xdr:row>6</xdr:row>
      <xdr:rowOff>133350</xdr:rowOff>
    </xdr:to>
    <xdr:sp macro="" textlink="">
      <xdr:nvSpPr>
        <xdr:cNvPr id="41998" name="Object 14" hidden="1">
          <a:extLst>
            <a:ext uri="{63B3BB69-23CF-44E3-9099-C40C66FF867C}">
              <a14:compatExt xmlns:a14="http://schemas.microsoft.com/office/drawing/2010/main" spid="_x0000_s41998"/>
            </a:ext>
            <a:ext uri="{FF2B5EF4-FFF2-40B4-BE49-F238E27FC236}">
              <a16:creationId xmlns:a16="http://schemas.microsoft.com/office/drawing/2014/main" id="{00000000-0008-0000-0700-00000E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542925</xdr:colOff>
      <xdr:row>86</xdr:row>
      <xdr:rowOff>57149</xdr:rowOff>
    </xdr:from>
    <xdr:to>
      <xdr:col>4</xdr:col>
      <xdr:colOff>2190750</xdr:colOff>
      <xdr:row>108</xdr:row>
      <xdr:rowOff>9524</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371475</xdr:colOff>
      <xdr:row>2</xdr:row>
      <xdr:rowOff>28575</xdr:rowOff>
    </xdr:from>
    <xdr:to>
      <xdr:col>4</xdr:col>
      <xdr:colOff>1104900</xdr:colOff>
      <xdr:row>5</xdr:row>
      <xdr:rowOff>104775</xdr:rowOff>
    </xdr:to>
    <xdr:sp macro="" textlink="">
      <xdr:nvSpPr>
        <xdr:cNvPr id="41999" name="Object 15" hidden="1">
          <a:extLst>
            <a:ext uri="{63B3BB69-23CF-44E3-9099-C40C66FF867C}">
              <a14:compatExt xmlns:a14="http://schemas.microsoft.com/office/drawing/2010/main" spid="_x0000_s41999"/>
            </a:ext>
            <a:ext uri="{FF2B5EF4-FFF2-40B4-BE49-F238E27FC236}">
              <a16:creationId xmlns:a16="http://schemas.microsoft.com/office/drawing/2014/main" id="{00000000-0008-0000-0700-00000F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4</xdr:col>
          <xdr:colOff>685800</xdr:colOff>
          <xdr:row>2</xdr:row>
          <xdr:rowOff>133350</xdr:rowOff>
        </xdr:from>
        <xdr:to>
          <xdr:col>4</xdr:col>
          <xdr:colOff>1422400</xdr:colOff>
          <xdr:row>6</xdr:row>
          <xdr:rowOff>0</xdr:rowOff>
        </xdr:to>
        <xdr:sp macro="" textlink="">
          <xdr:nvSpPr>
            <xdr:cNvPr id="4" name="Object 14" hidden="1">
              <a:extLst>
                <a:ext uri="{63B3BB69-23CF-44E3-9099-C40C66FF867C}">
                  <a14:compatExt spid="_x0000_s41998"/>
                </a:ext>
                <a:ext uri="{FF2B5EF4-FFF2-40B4-BE49-F238E27FC236}">
                  <a16:creationId xmlns:a16="http://schemas.microsoft.com/office/drawing/2014/main" id="{00000000-0008-0000-07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e2e.ti.com/blogs_/b/analogwire/archive/2014/06/10/inductive-sensing-how-to-use-a-tiny-2mm-pcb-inductor-as-a-senso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e2e.ti.com/support/sensor/inductive-sensing/"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e2e.ti.com/blogs_/b/analogwire/archive/2016/11/29/how-you-can-use-the-ldc-racetrack-inductor-designer-tool" TargetMode="External"/><Relationship Id="rId6" Type="http://schemas.openxmlformats.org/officeDocument/2006/relationships/image" Target="../media/image3.emf"/><Relationship Id="rId5" Type="http://schemas.openxmlformats.org/officeDocument/2006/relationships/oleObject" Target="../embeddings/oleObject2.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4.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5.xml"/><Relationship Id="rId3" Type="http://schemas.openxmlformats.org/officeDocument/2006/relationships/vmlDrawing" Target="../drawings/vmlDrawing5.vml"/><Relationship Id="rId7" Type="http://schemas.openxmlformats.org/officeDocument/2006/relationships/ctrlProp" Target="../ctrlProps/ctrlProp14.xml"/><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11" Type="http://schemas.openxmlformats.org/officeDocument/2006/relationships/ctrlProp" Target="../ctrlProps/ctrlProp18.xml"/><Relationship Id="rId5" Type="http://schemas.openxmlformats.org/officeDocument/2006/relationships/ctrlProp" Target="../ctrlProps/ctrlProp12.xml"/><Relationship Id="rId10" Type="http://schemas.openxmlformats.org/officeDocument/2006/relationships/ctrlProp" Target="../ctrlProps/ctrlProp17.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20.xml"/><Relationship Id="rId3" Type="http://schemas.openxmlformats.org/officeDocument/2006/relationships/drawing" Target="../drawings/drawing8.xml"/><Relationship Id="rId7" Type="http://schemas.openxmlformats.org/officeDocument/2006/relationships/ctrlProp" Target="../ctrlProps/ctrlProp19.xml"/><Relationship Id="rId2" Type="http://schemas.openxmlformats.org/officeDocument/2006/relationships/printerSettings" Target="../printerSettings/printerSettings6.bin"/><Relationship Id="rId1" Type="http://schemas.openxmlformats.org/officeDocument/2006/relationships/hyperlink" Target="http://www.ti.com/lit/an/snoa949/snoa949.pdf" TargetMode="External"/><Relationship Id="rId6" Type="http://schemas.openxmlformats.org/officeDocument/2006/relationships/image" Target="../media/image3.emf"/><Relationship Id="rId5" Type="http://schemas.openxmlformats.org/officeDocument/2006/relationships/oleObject" Target="../embeddings/oleObject3.bin"/><Relationship Id="rId4" Type="http://schemas.openxmlformats.org/officeDocument/2006/relationships/vmlDrawing" Target="../drawings/vmlDrawing6.vml"/><Relationship Id="rId9"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9.xml"/><Relationship Id="rId7" Type="http://schemas.openxmlformats.org/officeDocument/2006/relationships/comments" Target="../comments4.xml"/><Relationship Id="rId2" Type="http://schemas.openxmlformats.org/officeDocument/2006/relationships/printerSettings" Target="../printerSettings/printerSettings7.bin"/><Relationship Id="rId1" Type="http://schemas.openxmlformats.org/officeDocument/2006/relationships/hyperlink" Target="http://www.ti.com/lit/ds/symlink/ldc0851.pdf" TargetMode="External"/><Relationship Id="rId6" Type="http://schemas.openxmlformats.org/officeDocument/2006/relationships/image" Target="../media/image3.emf"/><Relationship Id="rId5" Type="http://schemas.openxmlformats.org/officeDocument/2006/relationships/oleObject" Target="../embeddings/oleObject4.bin"/><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oleObject" Target="../embeddings/oleObject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A3:D128"/>
  <sheetViews>
    <sheetView topLeftCell="A103" workbookViewId="0">
      <selection activeCell="D133" sqref="D133"/>
    </sheetView>
  </sheetViews>
  <sheetFormatPr defaultRowHeight="14.5" x14ac:dyDescent="0.35"/>
  <cols>
    <col min="3" max="3" width="10.7265625" bestFit="1" customWidth="1"/>
    <col min="4" max="4" width="75.26953125" customWidth="1"/>
  </cols>
  <sheetData>
    <row r="3" spans="1:4" x14ac:dyDescent="0.35">
      <c r="A3" t="s">
        <v>493</v>
      </c>
    </row>
    <row r="4" spans="1:4" x14ac:dyDescent="0.35">
      <c r="A4" s="1"/>
      <c r="B4" s="1" t="s">
        <v>494</v>
      </c>
      <c r="C4" s="1" t="s">
        <v>495</v>
      </c>
      <c r="D4" s="1" t="s">
        <v>496</v>
      </c>
    </row>
    <row r="5" spans="1:4" x14ac:dyDescent="0.35">
      <c r="B5">
        <v>12</v>
      </c>
      <c r="C5" s="237">
        <v>42066</v>
      </c>
      <c r="D5" t="s">
        <v>497</v>
      </c>
    </row>
    <row r="6" spans="1:4" x14ac:dyDescent="0.35">
      <c r="B6">
        <v>13</v>
      </c>
      <c r="D6" t="s">
        <v>498</v>
      </c>
    </row>
    <row r="7" spans="1:4" x14ac:dyDescent="0.35">
      <c r="D7" t="s">
        <v>499</v>
      </c>
    </row>
    <row r="8" spans="1:4" x14ac:dyDescent="0.35">
      <c r="D8" t="s">
        <v>500</v>
      </c>
    </row>
    <row r="9" spans="1:4" x14ac:dyDescent="0.35">
      <c r="D9" t="s">
        <v>501</v>
      </c>
    </row>
    <row r="10" spans="1:4" x14ac:dyDescent="0.35">
      <c r="D10" t="s">
        <v>502</v>
      </c>
    </row>
    <row r="11" spans="1:4" x14ac:dyDescent="0.35">
      <c r="D11" t="s">
        <v>503</v>
      </c>
    </row>
    <row r="12" spans="1:4" x14ac:dyDescent="0.35">
      <c r="D12" t="s">
        <v>504</v>
      </c>
    </row>
    <row r="13" spans="1:4" x14ac:dyDescent="0.35">
      <c r="D13" t="s">
        <v>505</v>
      </c>
    </row>
    <row r="14" spans="1:4" x14ac:dyDescent="0.35">
      <c r="B14">
        <v>14</v>
      </c>
      <c r="D14" t="s">
        <v>506</v>
      </c>
    </row>
    <row r="15" spans="1:4" x14ac:dyDescent="0.35">
      <c r="D15" t="s">
        <v>507</v>
      </c>
    </row>
    <row r="16" spans="1:4" x14ac:dyDescent="0.35">
      <c r="D16" t="s">
        <v>508</v>
      </c>
    </row>
    <row r="17" spans="2:4" x14ac:dyDescent="0.35">
      <c r="B17">
        <v>15</v>
      </c>
      <c r="D17" t="s">
        <v>509</v>
      </c>
    </row>
    <row r="18" spans="2:4" x14ac:dyDescent="0.35">
      <c r="D18" t="s">
        <v>510</v>
      </c>
    </row>
    <row r="19" spans="2:4" x14ac:dyDescent="0.35">
      <c r="D19" t="s">
        <v>511</v>
      </c>
    </row>
    <row r="20" spans="2:4" x14ac:dyDescent="0.35">
      <c r="B20">
        <v>16</v>
      </c>
      <c r="D20" t="s">
        <v>512</v>
      </c>
    </row>
    <row r="21" spans="2:4" x14ac:dyDescent="0.35">
      <c r="B21">
        <v>17</v>
      </c>
      <c r="D21" t="s">
        <v>513</v>
      </c>
    </row>
    <row r="22" spans="2:4" x14ac:dyDescent="0.35">
      <c r="B22">
        <v>18</v>
      </c>
      <c r="C22" s="237">
        <v>42307</v>
      </c>
      <c r="D22" t="s">
        <v>514</v>
      </c>
    </row>
    <row r="23" spans="2:4" x14ac:dyDescent="0.35">
      <c r="D23" t="s">
        <v>515</v>
      </c>
    </row>
    <row r="24" spans="2:4" x14ac:dyDescent="0.35">
      <c r="D24" t="s">
        <v>516</v>
      </c>
    </row>
    <row r="25" spans="2:4" x14ac:dyDescent="0.35">
      <c r="D25" t="s">
        <v>517</v>
      </c>
    </row>
    <row r="26" spans="2:4" x14ac:dyDescent="0.35">
      <c r="D26" t="s">
        <v>518</v>
      </c>
    </row>
    <row r="27" spans="2:4" x14ac:dyDescent="0.35">
      <c r="D27" t="s">
        <v>519</v>
      </c>
    </row>
    <row r="28" spans="2:4" x14ac:dyDescent="0.35">
      <c r="D28" t="s">
        <v>520</v>
      </c>
    </row>
    <row r="29" spans="2:4" x14ac:dyDescent="0.35">
      <c r="D29" t="s">
        <v>521</v>
      </c>
    </row>
    <row r="30" spans="2:4" x14ac:dyDescent="0.35">
      <c r="D30" t="s">
        <v>522</v>
      </c>
    </row>
    <row r="31" spans="2:4" x14ac:dyDescent="0.35">
      <c r="B31">
        <v>21</v>
      </c>
      <c r="D31" t="s">
        <v>523</v>
      </c>
    </row>
    <row r="32" spans="2:4" x14ac:dyDescent="0.35">
      <c r="D32" t="s">
        <v>524</v>
      </c>
    </row>
    <row r="33" spans="2:4" x14ac:dyDescent="0.35">
      <c r="D33" t="s">
        <v>525</v>
      </c>
    </row>
    <row r="34" spans="2:4" x14ac:dyDescent="0.35">
      <c r="B34">
        <v>22</v>
      </c>
      <c r="D34" t="s">
        <v>526</v>
      </c>
    </row>
    <row r="35" spans="2:4" x14ac:dyDescent="0.35">
      <c r="B35">
        <v>23</v>
      </c>
      <c r="C35" s="237">
        <v>42552</v>
      </c>
      <c r="D35" t="s">
        <v>527</v>
      </c>
    </row>
    <row r="36" spans="2:4" x14ac:dyDescent="0.35">
      <c r="D36" t="s">
        <v>528</v>
      </c>
    </row>
    <row r="37" spans="2:4" x14ac:dyDescent="0.35">
      <c r="D37" t="s">
        <v>530</v>
      </c>
    </row>
    <row r="38" spans="2:4" x14ac:dyDescent="0.35">
      <c r="B38">
        <v>24</v>
      </c>
      <c r="C38" s="237">
        <v>42569</v>
      </c>
      <c r="D38" t="s">
        <v>531</v>
      </c>
    </row>
    <row r="39" spans="2:4" x14ac:dyDescent="0.35">
      <c r="D39" t="s">
        <v>572</v>
      </c>
    </row>
    <row r="40" spans="2:4" x14ac:dyDescent="0.35">
      <c r="D40" t="s">
        <v>574</v>
      </c>
    </row>
    <row r="41" spans="2:4" x14ac:dyDescent="0.35">
      <c r="D41" t="s">
        <v>579</v>
      </c>
    </row>
    <row r="42" spans="2:4" x14ac:dyDescent="0.35">
      <c r="B42">
        <v>25</v>
      </c>
      <c r="C42" s="237">
        <v>42620</v>
      </c>
      <c r="D42" t="s">
        <v>582</v>
      </c>
    </row>
    <row r="43" spans="2:4" x14ac:dyDescent="0.35">
      <c r="D43" t="s">
        <v>610</v>
      </c>
    </row>
    <row r="44" spans="2:4" x14ac:dyDescent="0.35">
      <c r="D44" t="s">
        <v>596</v>
      </c>
    </row>
    <row r="45" spans="2:4" x14ac:dyDescent="0.35">
      <c r="D45" t="s">
        <v>597</v>
      </c>
    </row>
    <row r="46" spans="2:4" x14ac:dyDescent="0.35">
      <c r="D46" t="s">
        <v>598</v>
      </c>
    </row>
    <row r="47" spans="2:4" x14ac:dyDescent="0.35">
      <c r="D47" t="s">
        <v>599</v>
      </c>
    </row>
    <row r="48" spans="2:4" x14ac:dyDescent="0.35">
      <c r="D48" t="s">
        <v>611</v>
      </c>
    </row>
    <row r="49" spans="2:4" x14ac:dyDescent="0.35">
      <c r="D49" t="s">
        <v>601</v>
      </c>
    </row>
    <row r="50" spans="2:4" x14ac:dyDescent="0.35">
      <c r="D50" t="s">
        <v>602</v>
      </c>
    </row>
    <row r="51" spans="2:4" x14ac:dyDescent="0.35">
      <c r="D51" t="s">
        <v>606</v>
      </c>
    </row>
    <row r="52" spans="2:4" x14ac:dyDescent="0.35">
      <c r="D52" t="s">
        <v>607</v>
      </c>
    </row>
    <row r="53" spans="2:4" x14ac:dyDescent="0.35">
      <c r="D53" t="s">
        <v>524</v>
      </c>
    </row>
    <row r="54" spans="2:4" x14ac:dyDescent="0.35">
      <c r="B54">
        <v>26</v>
      </c>
      <c r="C54" s="237">
        <v>42635</v>
      </c>
      <c r="D54" t="s">
        <v>612</v>
      </c>
    </row>
    <row r="55" spans="2:4" x14ac:dyDescent="0.35">
      <c r="C55" s="237"/>
      <c r="D55" t="s">
        <v>613</v>
      </c>
    </row>
    <row r="56" spans="2:4" x14ac:dyDescent="0.35">
      <c r="B56">
        <v>27</v>
      </c>
      <c r="C56" s="237">
        <v>42643</v>
      </c>
      <c r="D56" t="s">
        <v>615</v>
      </c>
    </row>
    <row r="57" spans="2:4" x14ac:dyDescent="0.35">
      <c r="C57" s="237">
        <v>42675</v>
      </c>
      <c r="D57" t="s">
        <v>622</v>
      </c>
    </row>
    <row r="58" spans="2:4" x14ac:dyDescent="0.35">
      <c r="D58" t="s">
        <v>625</v>
      </c>
    </row>
    <row r="59" spans="2:4" x14ac:dyDescent="0.35">
      <c r="D59" t="s">
        <v>626</v>
      </c>
    </row>
    <row r="60" spans="2:4" x14ac:dyDescent="0.35">
      <c r="B60">
        <v>28</v>
      </c>
      <c r="C60" s="237">
        <v>42688</v>
      </c>
      <c r="D60" t="s">
        <v>702</v>
      </c>
    </row>
    <row r="61" spans="2:4" x14ac:dyDescent="0.35">
      <c r="C61" s="237"/>
      <c r="D61" t="s">
        <v>703</v>
      </c>
    </row>
    <row r="62" spans="2:4" x14ac:dyDescent="0.35">
      <c r="C62" s="237"/>
      <c r="D62" t="s">
        <v>705</v>
      </c>
    </row>
    <row r="63" spans="2:4" x14ac:dyDescent="0.35">
      <c r="C63" s="237"/>
      <c r="D63" t="s">
        <v>706</v>
      </c>
    </row>
    <row r="64" spans="2:4" x14ac:dyDescent="0.35">
      <c r="C64" s="237"/>
      <c r="D64" t="s">
        <v>710</v>
      </c>
    </row>
    <row r="65" spans="2:4" x14ac:dyDescent="0.35">
      <c r="C65" s="237"/>
      <c r="D65" t="s">
        <v>711</v>
      </c>
    </row>
    <row r="66" spans="2:4" x14ac:dyDescent="0.35">
      <c r="B66">
        <v>29</v>
      </c>
      <c r="C66" s="237">
        <v>42711</v>
      </c>
      <c r="D66" t="s">
        <v>713</v>
      </c>
    </row>
    <row r="67" spans="2:4" x14ac:dyDescent="0.35">
      <c r="C67" s="237"/>
      <c r="D67" t="s">
        <v>714</v>
      </c>
    </row>
    <row r="68" spans="2:4" x14ac:dyDescent="0.35">
      <c r="C68" s="237"/>
      <c r="D68" t="s">
        <v>736</v>
      </c>
    </row>
    <row r="69" spans="2:4" x14ac:dyDescent="0.35">
      <c r="C69" s="237"/>
      <c r="D69" t="s">
        <v>737</v>
      </c>
    </row>
    <row r="70" spans="2:4" x14ac:dyDescent="0.35">
      <c r="C70" s="237"/>
      <c r="D70" t="s">
        <v>738</v>
      </c>
    </row>
    <row r="71" spans="2:4" x14ac:dyDescent="0.35">
      <c r="C71" s="237"/>
      <c r="D71" t="s">
        <v>742</v>
      </c>
    </row>
    <row r="72" spans="2:4" x14ac:dyDescent="0.35">
      <c r="B72">
        <v>30</v>
      </c>
      <c r="C72" s="237">
        <v>42717</v>
      </c>
      <c r="D72" t="s">
        <v>762</v>
      </c>
    </row>
    <row r="73" spans="2:4" x14ac:dyDescent="0.35">
      <c r="C73" s="237"/>
      <c r="D73" t="s">
        <v>763</v>
      </c>
    </row>
    <row r="74" spans="2:4" x14ac:dyDescent="0.35">
      <c r="C74" s="237"/>
      <c r="D74" t="s">
        <v>812</v>
      </c>
    </row>
    <row r="75" spans="2:4" x14ac:dyDescent="0.35">
      <c r="C75" s="237"/>
      <c r="D75" t="s">
        <v>813</v>
      </c>
    </row>
    <row r="76" spans="2:4" x14ac:dyDescent="0.35">
      <c r="C76" s="237"/>
      <c r="D76" t="s">
        <v>820</v>
      </c>
    </row>
    <row r="77" spans="2:4" x14ac:dyDescent="0.35">
      <c r="B77">
        <v>31</v>
      </c>
      <c r="C77" s="237">
        <v>42738</v>
      </c>
      <c r="D77" t="s">
        <v>836</v>
      </c>
    </row>
    <row r="78" spans="2:4" x14ac:dyDescent="0.35">
      <c r="C78" s="237"/>
      <c r="D78" t="s">
        <v>846</v>
      </c>
    </row>
    <row r="79" spans="2:4" x14ac:dyDescent="0.35">
      <c r="B79">
        <v>33</v>
      </c>
      <c r="C79" s="237">
        <v>42768</v>
      </c>
      <c r="D79" t="s">
        <v>956</v>
      </c>
    </row>
    <row r="80" spans="2:4" x14ac:dyDescent="0.35">
      <c r="C80" s="237"/>
      <c r="D80" t="s">
        <v>980</v>
      </c>
    </row>
    <row r="81" spans="2:4" x14ac:dyDescent="0.35">
      <c r="B81">
        <v>34</v>
      </c>
      <c r="C81" s="237">
        <v>42775</v>
      </c>
      <c r="D81" t="s">
        <v>1004</v>
      </c>
    </row>
    <row r="82" spans="2:4" x14ac:dyDescent="0.35">
      <c r="C82" s="237"/>
      <c r="D82" t="s">
        <v>1031</v>
      </c>
    </row>
    <row r="83" spans="2:4" x14ac:dyDescent="0.35">
      <c r="C83" s="237"/>
      <c r="D83" t="s">
        <v>1032</v>
      </c>
    </row>
    <row r="84" spans="2:4" x14ac:dyDescent="0.35">
      <c r="B84">
        <v>35</v>
      </c>
      <c r="C84" s="237">
        <v>42779</v>
      </c>
      <c r="D84" t="s">
        <v>1052</v>
      </c>
    </row>
    <row r="85" spans="2:4" x14ac:dyDescent="0.35">
      <c r="C85" s="237"/>
      <c r="D85" t="s">
        <v>1053</v>
      </c>
    </row>
    <row r="86" spans="2:4" ht="29" x14ac:dyDescent="0.35">
      <c r="C86" s="237"/>
      <c r="D86" s="75" t="s">
        <v>1061</v>
      </c>
    </row>
    <row r="87" spans="2:4" x14ac:dyDescent="0.35">
      <c r="B87">
        <v>36</v>
      </c>
      <c r="C87" s="237">
        <v>42782</v>
      </c>
      <c r="D87" t="s">
        <v>1062</v>
      </c>
    </row>
    <row r="88" spans="2:4" x14ac:dyDescent="0.35">
      <c r="C88" s="237"/>
      <c r="D88" t="s">
        <v>1073</v>
      </c>
    </row>
    <row r="89" spans="2:4" x14ac:dyDescent="0.35">
      <c r="C89" s="237"/>
      <c r="D89" t="s">
        <v>1063</v>
      </c>
    </row>
    <row r="90" spans="2:4" x14ac:dyDescent="0.35">
      <c r="C90" s="237"/>
      <c r="D90" t="s">
        <v>1083</v>
      </c>
    </row>
    <row r="91" spans="2:4" x14ac:dyDescent="0.35">
      <c r="C91" s="237"/>
      <c r="D91" t="s">
        <v>1084</v>
      </c>
    </row>
    <row r="92" spans="2:4" x14ac:dyDescent="0.35">
      <c r="C92" s="237"/>
      <c r="D92" t="s">
        <v>1086</v>
      </c>
    </row>
    <row r="93" spans="2:4" x14ac:dyDescent="0.35">
      <c r="C93" s="237">
        <v>42838</v>
      </c>
      <c r="D93" t="s">
        <v>1091</v>
      </c>
    </row>
    <row r="94" spans="2:4" x14ac:dyDescent="0.35">
      <c r="C94" s="237"/>
      <c r="D94" t="s">
        <v>1092</v>
      </c>
    </row>
    <row r="95" spans="2:4" x14ac:dyDescent="0.35">
      <c r="C95" s="237"/>
      <c r="D95" t="s">
        <v>1094</v>
      </c>
    </row>
    <row r="96" spans="2:4" x14ac:dyDescent="0.35">
      <c r="C96" s="237"/>
      <c r="D96" t="s">
        <v>1096</v>
      </c>
    </row>
    <row r="97" spans="2:4" x14ac:dyDescent="0.35">
      <c r="B97">
        <v>39</v>
      </c>
      <c r="C97" s="237">
        <v>42867</v>
      </c>
      <c r="D97" t="s">
        <v>1397</v>
      </c>
    </row>
    <row r="98" spans="2:4" x14ac:dyDescent="0.35">
      <c r="C98" s="237"/>
      <c r="D98" t="s">
        <v>1416</v>
      </c>
    </row>
    <row r="99" spans="2:4" x14ac:dyDescent="0.35">
      <c r="C99" s="237"/>
      <c r="D99" t="s">
        <v>1417</v>
      </c>
    </row>
    <row r="100" spans="2:4" x14ac:dyDescent="0.35">
      <c r="C100" s="237"/>
      <c r="D100" t="s">
        <v>1425</v>
      </c>
    </row>
    <row r="101" spans="2:4" x14ac:dyDescent="0.35">
      <c r="C101" s="237"/>
    </row>
    <row r="102" spans="2:4" x14ac:dyDescent="0.35">
      <c r="B102">
        <v>41</v>
      </c>
      <c r="C102" s="237">
        <v>42907</v>
      </c>
      <c r="D102" t="s">
        <v>1619</v>
      </c>
    </row>
    <row r="103" spans="2:4" x14ac:dyDescent="0.35">
      <c r="C103" s="237"/>
      <c r="D103" t="s">
        <v>1440</v>
      </c>
    </row>
    <row r="104" spans="2:4" x14ac:dyDescent="0.35">
      <c r="B104">
        <v>42</v>
      </c>
      <c r="C104" s="237">
        <v>42950</v>
      </c>
      <c r="D104" t="s">
        <v>1500</v>
      </c>
    </row>
    <row r="105" spans="2:4" x14ac:dyDescent="0.35">
      <c r="C105" s="237"/>
      <c r="D105" t="s">
        <v>1502</v>
      </c>
    </row>
    <row r="106" spans="2:4" x14ac:dyDescent="0.35">
      <c r="B106">
        <v>45</v>
      </c>
      <c r="C106" s="237">
        <v>42993</v>
      </c>
      <c r="D106" t="s">
        <v>1527</v>
      </c>
    </row>
    <row r="107" spans="2:4" x14ac:dyDescent="0.35">
      <c r="B107">
        <v>46</v>
      </c>
      <c r="C107" s="237">
        <v>42998</v>
      </c>
      <c r="D107" t="s">
        <v>1539</v>
      </c>
    </row>
    <row r="108" spans="2:4" x14ac:dyDescent="0.35">
      <c r="C108" s="237"/>
      <c r="D108" t="s">
        <v>1540</v>
      </c>
    </row>
    <row r="109" spans="2:4" x14ac:dyDescent="0.35">
      <c r="B109">
        <v>47</v>
      </c>
      <c r="C109" s="237">
        <v>43089</v>
      </c>
      <c r="D109" t="s">
        <v>1546</v>
      </c>
    </row>
    <row r="110" spans="2:4" x14ac:dyDescent="0.35">
      <c r="C110" s="237"/>
      <c r="D110" t="s">
        <v>1547</v>
      </c>
    </row>
    <row r="111" spans="2:4" x14ac:dyDescent="0.35">
      <c r="B111">
        <v>48</v>
      </c>
      <c r="C111" s="237">
        <v>43116</v>
      </c>
      <c r="D111" t="s">
        <v>1568</v>
      </c>
    </row>
    <row r="112" spans="2:4" x14ac:dyDescent="0.35">
      <c r="C112" s="237"/>
      <c r="D112" t="s">
        <v>1580</v>
      </c>
    </row>
    <row r="113" spans="1:4" x14ac:dyDescent="0.35">
      <c r="C113" s="237"/>
      <c r="D113" t="s">
        <v>1618</v>
      </c>
    </row>
    <row r="114" spans="1:4" x14ac:dyDescent="0.35">
      <c r="C114" s="237">
        <v>43136</v>
      </c>
      <c r="D114" t="s">
        <v>1584</v>
      </c>
    </row>
    <row r="115" spans="1:4" x14ac:dyDescent="0.35">
      <c r="C115" s="237">
        <v>43174</v>
      </c>
      <c r="D115" t="s">
        <v>1614</v>
      </c>
    </row>
    <row r="116" spans="1:4" x14ac:dyDescent="0.35">
      <c r="C116" s="237">
        <v>43180</v>
      </c>
      <c r="D116" t="s">
        <v>1611</v>
      </c>
    </row>
    <row r="117" spans="1:4" x14ac:dyDescent="0.35">
      <c r="C117" s="237"/>
      <c r="D117" t="s">
        <v>1613</v>
      </c>
    </row>
    <row r="118" spans="1:4" x14ac:dyDescent="0.35">
      <c r="B118" t="s">
        <v>1615</v>
      </c>
      <c r="C118" s="237">
        <v>43181</v>
      </c>
      <c r="D118" t="s">
        <v>1616</v>
      </c>
    </row>
    <row r="119" spans="1:4" x14ac:dyDescent="0.35">
      <c r="C119" s="237"/>
      <c r="D119" t="s">
        <v>1617</v>
      </c>
    </row>
    <row r="120" spans="1:4" x14ac:dyDescent="0.35">
      <c r="C120" s="237"/>
      <c r="D120" t="s">
        <v>1627</v>
      </c>
    </row>
    <row r="121" spans="1:4" x14ac:dyDescent="0.35">
      <c r="B121">
        <v>49</v>
      </c>
      <c r="C121" s="237">
        <v>43206</v>
      </c>
      <c r="D121" t="s">
        <v>1628</v>
      </c>
    </row>
    <row r="122" spans="1:4" x14ac:dyDescent="0.35">
      <c r="C122" s="237">
        <v>43210</v>
      </c>
      <c r="D122" t="s">
        <v>1629</v>
      </c>
    </row>
    <row r="123" spans="1:4" x14ac:dyDescent="0.35">
      <c r="C123" s="237"/>
      <c r="D123" t="s">
        <v>1637</v>
      </c>
    </row>
    <row r="124" spans="1:4" x14ac:dyDescent="0.35">
      <c r="C124" s="237">
        <v>43215</v>
      </c>
      <c r="D124" t="s">
        <v>1639</v>
      </c>
    </row>
    <row r="125" spans="1:4" x14ac:dyDescent="0.35">
      <c r="C125" s="237">
        <v>43250</v>
      </c>
      <c r="D125" t="s">
        <v>1641</v>
      </c>
    </row>
    <row r="126" spans="1:4" x14ac:dyDescent="0.35">
      <c r="B126">
        <v>50</v>
      </c>
      <c r="C126" s="237">
        <v>44196</v>
      </c>
      <c r="D126" t="s">
        <v>1664</v>
      </c>
    </row>
    <row r="127" spans="1:4" x14ac:dyDescent="0.35">
      <c r="B127">
        <v>51</v>
      </c>
      <c r="C127" s="237">
        <v>44364</v>
      </c>
      <c r="D127" t="s">
        <v>1546</v>
      </c>
    </row>
    <row r="128" spans="1:4" x14ac:dyDescent="0.35">
      <c r="A128" s="55"/>
      <c r="C128" s="237">
        <v>44376</v>
      </c>
      <c r="D128" t="s">
        <v>1671</v>
      </c>
    </row>
  </sheetData>
  <sheetProtection algorithmName="SHA-512" hashValue="vA4vyq5k4PMtYLShJj6NaxZuaDQ5Dxi8nGuxwxmO/jThuYIGYeNGHETRbKxwh9tGwWV7Gx5IESm/i5wj8BSscg==" saltValue="Ho/jD/zoMh9AQ+c8JjqaJQ==" spinCount="100000" sheet="1" objects="1" scenarios="1" selectLockedCells="1"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4" tint="0.59999389629810485"/>
  </sheetPr>
  <dimension ref="B2:N216"/>
  <sheetViews>
    <sheetView showGridLines="0" showRowColHeaders="0" zoomScaleNormal="100" workbookViewId="0">
      <selection activeCell="O119" sqref="O119"/>
    </sheetView>
  </sheetViews>
  <sheetFormatPr defaultRowHeight="14.5" x14ac:dyDescent="0.35"/>
  <cols>
    <col min="1" max="1" width="3.81640625" customWidth="1"/>
    <col min="2" max="2" width="5.453125" customWidth="1"/>
    <col min="3" max="3" width="35" customWidth="1"/>
    <col min="4" max="4" width="11.1796875" style="82" customWidth="1"/>
    <col min="5" max="5" width="7.1796875" style="82" customWidth="1"/>
    <col min="6" max="6" width="10.54296875" style="82" customWidth="1"/>
    <col min="8" max="8" width="7.453125" customWidth="1"/>
    <col min="9" max="9" width="18.54296875" style="82" customWidth="1"/>
    <col min="10" max="10" width="6.54296875" style="82" customWidth="1"/>
    <col min="11" max="11" width="10.7265625" style="82" customWidth="1"/>
  </cols>
  <sheetData>
    <row r="2" spans="3:14" ht="18.5" x14ac:dyDescent="0.45">
      <c r="C2" s="81" t="s">
        <v>764</v>
      </c>
      <c r="D2"/>
      <c r="H2" s="14" t="s">
        <v>198</v>
      </c>
    </row>
    <row r="3" spans="3:14" x14ac:dyDescent="0.35">
      <c r="D3"/>
      <c r="H3" t="s">
        <v>845</v>
      </c>
    </row>
    <row r="4" spans="3:14" x14ac:dyDescent="0.35">
      <c r="D4" s="83"/>
      <c r="I4" s="83"/>
      <c r="L4" s="82"/>
    </row>
    <row r="5" spans="3:14" ht="15.5" x14ac:dyDescent="0.35">
      <c r="C5" s="84" t="s">
        <v>293</v>
      </c>
      <c r="I5" s="328" t="s">
        <v>765</v>
      </c>
    </row>
    <row r="6" spans="3:14" x14ac:dyDescent="0.35">
      <c r="C6" t="s">
        <v>159</v>
      </c>
      <c r="D6" s="329">
        <v>220</v>
      </c>
      <c r="E6" s="93" t="s">
        <v>27</v>
      </c>
      <c r="F6" s="85" t="str">
        <f>IF(D6&lt;C54,"too small",IF(D6&gt;D54,"too large","In Range"))</f>
        <v>In Range</v>
      </c>
      <c r="I6" s="330" t="s">
        <v>766</v>
      </c>
      <c r="J6" s="330" t="s">
        <v>767</v>
      </c>
      <c r="K6" s="330" t="s">
        <v>768</v>
      </c>
    </row>
    <row r="7" spans="3:14" x14ac:dyDescent="0.35">
      <c r="C7" t="s">
        <v>294</v>
      </c>
      <c r="D7" s="331">
        <v>6.07</v>
      </c>
      <c r="E7" s="93" t="s">
        <v>70</v>
      </c>
      <c r="F7" s="85" t="str">
        <f>IF(D7&lt;C55,"too small",IF(D7&gt;D55,"too large","In Range"))</f>
        <v>In Range</v>
      </c>
      <c r="I7" s="332" t="s">
        <v>769</v>
      </c>
      <c r="J7" s="151" t="s">
        <v>770</v>
      </c>
      <c r="K7" s="100" t="str">
        <f>D23</f>
        <v>0x45</v>
      </c>
      <c r="N7" s="87"/>
    </row>
    <row r="8" spans="3:14" ht="16.5" x14ac:dyDescent="0.45">
      <c r="C8" t="s">
        <v>814</v>
      </c>
      <c r="D8" s="165">
        <f>micro/(2*PI()*SQRT(pico*D6*D7*micro))</f>
        <v>4.3552636011306554</v>
      </c>
      <c r="E8" s="93" t="s">
        <v>0</v>
      </c>
      <c r="F8" s="85" t="str">
        <f>IF(D8&lt;C56,"too low",IF(D8&gt;D56,"too high","In Range"))</f>
        <v>In Range</v>
      </c>
      <c r="I8" s="332" t="s">
        <v>771</v>
      </c>
      <c r="J8" s="151" t="s">
        <v>772</v>
      </c>
      <c r="K8" s="333" t="str">
        <f>D27</f>
        <v>0xDE</v>
      </c>
    </row>
    <row r="9" spans="3:14" x14ac:dyDescent="0.35">
      <c r="C9" s="35" t="s">
        <v>624</v>
      </c>
      <c r="D9" s="331">
        <v>3.96</v>
      </c>
      <c r="E9" s="95" t="str">
        <f>RIGHT(E59,E10)&amp;"@"&amp;LEFT(D8,5)&amp;"MHz"</f>
        <v>kΩ@4.355MHz</v>
      </c>
      <c r="I9" s="332" t="s">
        <v>773</v>
      </c>
      <c r="J9" s="151" t="s">
        <v>774</v>
      </c>
      <c r="K9" s="91" t="str">
        <f>D30</f>
        <v>0xFD</v>
      </c>
    </row>
    <row r="10" spans="3:14" hidden="1" x14ac:dyDescent="0.35">
      <c r="C10" s="59" t="s">
        <v>388</v>
      </c>
      <c r="D10" s="397">
        <f>IF(C9="Sensor Rs",D9,1000*D7/(D6*D9))</f>
        <v>6.9674012855831036</v>
      </c>
      <c r="E10" s="344">
        <f>IF(C9="Sensor Rp",2,1)</f>
        <v>2</v>
      </c>
      <c r="I10" s="398"/>
      <c r="J10" s="85"/>
      <c r="K10" s="86"/>
    </row>
    <row r="11" spans="3:14" x14ac:dyDescent="0.35">
      <c r="C11" t="str">
        <f>IF(C9="Sensor Rs","Rp","Rs")</f>
        <v>Rs</v>
      </c>
      <c r="D11" s="368">
        <f>1000*D7/(D6*D9)</f>
        <v>6.9674012855831036</v>
      </c>
      <c r="E11" s="95" t="str">
        <f>IF(C11="Rs","Ω","kΩ")</f>
        <v>Ω</v>
      </c>
      <c r="I11" s="332" t="s">
        <v>775</v>
      </c>
      <c r="J11" s="151" t="s">
        <v>776</v>
      </c>
      <c r="K11" s="91" t="str">
        <f>"0x"&amp;DEC2HEX((D100*16+D99),2)</f>
        <v>0xE7</v>
      </c>
    </row>
    <row r="12" spans="3:14" x14ac:dyDescent="0.35">
      <c r="C12" t="s">
        <v>403</v>
      </c>
      <c r="D12" s="331">
        <v>20</v>
      </c>
      <c r="E12" s="373" t="s">
        <v>34</v>
      </c>
      <c r="I12" s="332" t="s">
        <v>777</v>
      </c>
      <c r="J12" s="151" t="s">
        <v>778</v>
      </c>
      <c r="K12" s="100" t="str">
        <f>"0x"&amp;DEC2HEX(D111,2)</f>
        <v>0x00</v>
      </c>
    </row>
    <row r="13" spans="3:14" x14ac:dyDescent="0.35">
      <c r="C13" t="s">
        <v>433</v>
      </c>
      <c r="D13" s="331">
        <v>18</v>
      </c>
      <c r="E13" s="373" t="s">
        <v>34</v>
      </c>
      <c r="I13" s="332" t="s">
        <v>779</v>
      </c>
      <c r="J13" s="151" t="s">
        <v>780</v>
      </c>
      <c r="K13" s="100" t="str">
        <f>"0x"&amp;DEC2HEX(FLOOR(D110/256,1),2)</f>
        <v>0x02</v>
      </c>
    </row>
    <row r="14" spans="3:14" hidden="1" x14ac:dyDescent="0.35">
      <c r="C14" t="s">
        <v>816</v>
      </c>
      <c r="D14" s="370">
        <f>IF(E12="mm",D12,D12*0.0254)</f>
        <v>20</v>
      </c>
      <c r="E14" s="152"/>
    </row>
    <row r="15" spans="3:14" hidden="1" x14ac:dyDescent="0.35">
      <c r="C15" t="s">
        <v>817</v>
      </c>
      <c r="D15" s="370">
        <f>IF(E13="mm",D13,D13*0.0254)</f>
        <v>18</v>
      </c>
      <c r="E15" s="95"/>
      <c r="I15" s="23"/>
      <c r="K15" s="369"/>
    </row>
    <row r="16" spans="3:14" hidden="1" x14ac:dyDescent="0.35">
      <c r="C16" t="s">
        <v>818</v>
      </c>
      <c r="D16" s="370">
        <f>D15/D14</f>
        <v>0.9</v>
      </c>
      <c r="E16" s="95"/>
      <c r="I16" s="23"/>
      <c r="K16" s="369"/>
    </row>
    <row r="17" spans="3:14" hidden="1" x14ac:dyDescent="0.35">
      <c r="C17" t="s">
        <v>819</v>
      </c>
      <c r="D17" s="370">
        <f>(0.00406832344757895+15.5588911/(1+(D7/0.0358077078721068)^0.865185989584669))+(0.973523646945684-1.1322846019223/(1+(D7/1.1356393338887)^1.06847511981245))*(1-EXP(-(10.3324121181807-56.0213701830392/(1+(D7/0.0139455036722347)^0.572123422421793))*D16))</f>
        <v>0.99660667260636515</v>
      </c>
      <c r="E17" s="95"/>
      <c r="I17" s="23"/>
      <c r="K17" s="369"/>
    </row>
    <row r="18" spans="3:14" ht="16.5" x14ac:dyDescent="0.45">
      <c r="C18" t="s">
        <v>815</v>
      </c>
      <c r="D18" s="334">
        <f>D8/SQRT(D17)</f>
        <v>4.3626718781453206</v>
      </c>
      <c r="E18" s="93" t="s">
        <v>0</v>
      </c>
      <c r="I18" s="332" t="s">
        <v>781</v>
      </c>
      <c r="J18" s="151" t="s">
        <v>782</v>
      </c>
      <c r="K18" s="100" t="str">
        <f>"0x"&amp;DEC2HEX(LOG(D104,2),2)</f>
        <v>0x01</v>
      </c>
    </row>
    <row r="19" spans="3:14" x14ac:dyDescent="0.35">
      <c r="D19" s="7"/>
      <c r="E19" s="95"/>
      <c r="N19" s="89"/>
    </row>
    <row r="20" spans="3:14" ht="17.5" x14ac:dyDescent="0.45">
      <c r="C20" s="84" t="s">
        <v>849</v>
      </c>
      <c r="D20" s="7"/>
      <c r="E20" s="95"/>
      <c r="H20" s="383"/>
      <c r="I20" s="384"/>
      <c r="J20" s="384"/>
      <c r="K20" s="384"/>
      <c r="L20" s="383"/>
      <c r="M20" s="383"/>
    </row>
    <row r="21" spans="3:14" x14ac:dyDescent="0.35">
      <c r="C21" t="s">
        <v>326</v>
      </c>
      <c r="D21" s="41">
        <v>3</v>
      </c>
      <c r="E21" s="95" t="s">
        <v>243</v>
      </c>
      <c r="F21" s="85" t="str">
        <f>IF(AND(C65&gt;=C63,C65&lt;=D63),"in Range",IF(C65&lt;C63,"too large",IF(C65&gt;D63,"too small")))</f>
        <v>in Range</v>
      </c>
      <c r="G21" s="140"/>
      <c r="H21" s="383"/>
      <c r="I21" s="384"/>
      <c r="J21" s="384"/>
      <c r="K21" s="384"/>
      <c r="L21" s="383"/>
      <c r="M21" s="383"/>
      <c r="N21" s="140"/>
    </row>
    <row r="22" spans="3:14" x14ac:dyDescent="0.35">
      <c r="C22" t="str">
        <f>IF(D22&gt;D21,"RpMAX Setting","RPMAX must be &gt;RpMIN")</f>
        <v>RpMAX Setting</v>
      </c>
      <c r="D22" s="335">
        <v>6</v>
      </c>
      <c r="E22" s="95" t="s">
        <v>243</v>
      </c>
      <c r="F22" s="85" t="str">
        <f>IF(AND(D22&gt;=C59,D22&lt;=2.05*C59),"in Range",IF(D22&gt;2.05*C59,"too large",IF(D22&lt;C59,"too small")))</f>
        <v>in Range</v>
      </c>
      <c r="G22" s="140"/>
      <c r="H22" s="383"/>
      <c r="I22" s="384"/>
      <c r="J22" s="384"/>
      <c r="K22" s="384"/>
      <c r="L22" s="383"/>
      <c r="M22" s="383"/>
      <c r="N22" s="140"/>
    </row>
    <row r="23" spans="3:14" hidden="1" x14ac:dyDescent="0.35">
      <c r="C23" s="1" t="s">
        <v>353</v>
      </c>
      <c r="D23" s="336" t="str">
        <f>"0x"&amp;DEC2HEX(TEXT((((7-LOG(D22/0.75,2))*16)+(7-LOG(D21/0.75,2))),"0"),2)</f>
        <v>0x45</v>
      </c>
      <c r="E23" s="95"/>
      <c r="F23" s="102" t="s">
        <v>354</v>
      </c>
      <c r="G23" s="140"/>
      <c r="H23" s="383"/>
      <c r="I23" s="384"/>
      <c r="J23" s="384"/>
      <c r="K23" s="384"/>
      <c r="L23" s="383"/>
      <c r="M23" s="383"/>
      <c r="N23" s="140"/>
    </row>
    <row r="24" spans="3:14" x14ac:dyDescent="0.35">
      <c r="C24" t="s">
        <v>297</v>
      </c>
      <c r="D24" s="337">
        <f>1000*C59*SQRT(pico*D6/(micro*D7))</f>
        <v>23.840325506661852</v>
      </c>
      <c r="E24" s="95"/>
      <c r="F24" s="85" t="str">
        <f>IF(D24&gt;=C57,"in Range","too small")</f>
        <v>in Range</v>
      </c>
      <c r="G24" s="140"/>
      <c r="H24" s="383"/>
      <c r="I24" s="384"/>
      <c r="J24" s="384"/>
      <c r="K24" s="384"/>
      <c r="L24" s="383"/>
      <c r="M24" s="383"/>
      <c r="N24" s="140"/>
    </row>
    <row r="25" spans="3:14" x14ac:dyDescent="0.35">
      <c r="C25" t="s">
        <v>298</v>
      </c>
      <c r="D25" s="338">
        <f>IF(1000*SQRT(2)/(PI()*0.6*D35*(6))&gt;C84,6,IF(1000*SQRT(2)/(PI()*0.6*D35*(3))&gt;C84,3,IF(1000*SQRT(2)/(PI()*0.6*D35*(1.5))&gt;C84,1.5,IF(1000*SQRT(2)/(PI()*0.6*D35*(0.75))&gt;C84,0.75,"Too Low"))))</f>
        <v>6</v>
      </c>
      <c r="E25" s="93" t="s">
        <v>27</v>
      </c>
      <c r="F25" s="85" t="str">
        <f>IF(AND(D25&gt;=C78,D25&lt;=C81),"in Range", "error")</f>
        <v>in Range</v>
      </c>
      <c r="G25" s="140"/>
      <c r="H25" s="383"/>
      <c r="I25" s="384"/>
      <c r="J25" s="384"/>
      <c r="K25" s="384"/>
      <c r="L25" s="383"/>
      <c r="M25" s="383"/>
      <c r="N25" s="140"/>
    </row>
    <row r="26" spans="3:14" x14ac:dyDescent="0.35">
      <c r="C26" t="s">
        <v>300</v>
      </c>
      <c r="D26" s="339">
        <f>(1000*SQRT(2)/(PI()*0.6*D8*(D25)))</f>
        <v>28.710990711821864</v>
      </c>
      <c r="E26" s="95" t="s">
        <v>243</v>
      </c>
      <c r="F26" s="85" t="str">
        <f>IF(D26&lt;C84,"too small",IF(D26&gt;C85,"too large","In Range"))</f>
        <v>In Range</v>
      </c>
      <c r="G26" s="140"/>
      <c r="H26" s="383"/>
      <c r="I26" s="384"/>
      <c r="J26" s="384"/>
      <c r="K26" s="384"/>
      <c r="L26" s="383"/>
      <c r="M26" s="383"/>
      <c r="N26" s="140"/>
    </row>
    <row r="27" spans="3:14" hidden="1" x14ac:dyDescent="0.35">
      <c r="C27" s="1" t="s">
        <v>349</v>
      </c>
      <c r="D27" s="340" t="str">
        <f>"0x"&amp;DEC2HEX(TEXT((((LOG(D25/0.75,2))*64)+FLOOR(-(D26-417)/12.77,1)),"0"),2)</f>
        <v>0xDE</v>
      </c>
      <c r="E27" s="95"/>
      <c r="F27" s="102" t="s">
        <v>350</v>
      </c>
      <c r="G27" s="140"/>
      <c r="H27" s="383"/>
      <c r="I27" s="384"/>
      <c r="J27" s="384"/>
      <c r="K27" s="384"/>
      <c r="L27" s="383"/>
      <c r="M27" s="383"/>
      <c r="N27" s="140"/>
    </row>
    <row r="28" spans="3:14" x14ac:dyDescent="0.35">
      <c r="C28" t="s">
        <v>302</v>
      </c>
      <c r="D28" s="338">
        <f>IF(((2*D21*D6/24)&gt;C94),24,IF(((2*D21*D6/12)&gt;C94),12,IF(((2*D21*D6/6)&gt;C94),6,IF(((2*D21*D6/3)&gt;C94),3,"Too Low"))))</f>
        <v>24</v>
      </c>
      <c r="E28" s="93" t="s">
        <v>27</v>
      </c>
      <c r="F28" s="85" t="str">
        <f>IF(AND(D28&gt;=C88,D28&lt;=C91),"In Range", "error")</f>
        <v>In Range</v>
      </c>
      <c r="G28" s="140"/>
      <c r="H28" s="383"/>
      <c r="I28" s="384"/>
      <c r="J28" s="384"/>
      <c r="K28" s="384"/>
      <c r="L28" s="383"/>
      <c r="M28" s="383"/>
      <c r="N28" s="140"/>
    </row>
    <row r="29" spans="3:14" x14ac:dyDescent="0.35">
      <c r="C29" t="s">
        <v>304</v>
      </c>
      <c r="D29" s="339">
        <f>2*D21*D6/(D28)</f>
        <v>55</v>
      </c>
      <c r="E29" s="95" t="s">
        <v>243</v>
      </c>
      <c r="F29" s="85" t="str">
        <f>IF(D29&lt;C94,"too small",IF(D29&gt;C95,"too large","In Range"))</f>
        <v>In Range</v>
      </c>
      <c r="G29" s="140"/>
      <c r="H29" s="383"/>
      <c r="I29" s="384"/>
      <c r="J29" s="384"/>
      <c r="K29" s="384"/>
      <c r="L29" s="383"/>
      <c r="M29" s="383"/>
      <c r="N29" s="140"/>
    </row>
    <row r="30" spans="3:14" hidden="1" x14ac:dyDescent="0.35">
      <c r="C30" s="1" t="s">
        <v>352</v>
      </c>
      <c r="D30" s="341" t="str">
        <f>"0x"&amp;DEC2HEX(TEXT((((LOG(D28/3,2))*64)+FLOOR(-(D29-835)/12.77,1)),"0"),2)</f>
        <v>0xFD</v>
      </c>
      <c r="E30" s="95"/>
      <c r="F30" s="102" t="s">
        <v>351</v>
      </c>
      <c r="G30" s="140"/>
      <c r="H30" s="383"/>
      <c r="I30" s="384"/>
      <c r="J30" s="384"/>
      <c r="K30" s="384"/>
      <c r="L30" s="383"/>
      <c r="M30" s="383"/>
      <c r="N30" s="140"/>
    </row>
    <row r="31" spans="3:14" hidden="1" x14ac:dyDescent="0.35">
      <c r="G31" s="140"/>
      <c r="H31" s="383"/>
      <c r="I31" s="384"/>
      <c r="J31" s="384"/>
      <c r="K31" s="384"/>
      <c r="L31" s="383"/>
      <c r="M31" s="383"/>
      <c r="N31" s="140"/>
    </row>
    <row r="32" spans="3:14" hidden="1" x14ac:dyDescent="0.35">
      <c r="C32" s="225" t="s">
        <v>331</v>
      </c>
      <c r="D32" s="342"/>
      <c r="E32" s="342"/>
      <c r="F32" s="342"/>
      <c r="G32" s="140"/>
      <c r="H32" s="383"/>
      <c r="I32" s="384"/>
      <c r="J32" s="384"/>
      <c r="K32" s="384"/>
      <c r="L32" s="383"/>
      <c r="M32" s="383"/>
      <c r="N32" s="140"/>
    </row>
    <row r="33" spans="3:14" hidden="1" x14ac:dyDescent="0.35">
      <c r="C33" s="59" t="s">
        <v>355</v>
      </c>
      <c r="D33" s="343">
        <v>0.94216</v>
      </c>
      <c r="E33" s="342"/>
      <c r="F33" s="344" t="s">
        <v>356</v>
      </c>
      <c r="G33" s="140"/>
      <c r="H33" s="383"/>
      <c r="I33" s="384"/>
      <c r="J33" s="384"/>
      <c r="K33" s="384"/>
      <c r="L33" s="383"/>
      <c r="M33" s="383"/>
      <c r="N33" s="140"/>
    </row>
    <row r="34" spans="3:14" hidden="1" x14ac:dyDescent="0.35">
      <c r="C34" s="59" t="s">
        <v>295</v>
      </c>
      <c r="D34" s="86">
        <f>D7*D33</f>
        <v>5.7189112</v>
      </c>
      <c r="E34" s="345" t="s">
        <v>70</v>
      </c>
      <c r="F34" s="85" t="str">
        <f>IF(D34&lt;C55,"too small",IF(D34&gt;D55,"too large","In Range"))</f>
        <v>In Range</v>
      </c>
      <c r="G34" s="140"/>
      <c r="H34" s="383"/>
      <c r="I34" s="384"/>
      <c r="J34" s="384"/>
      <c r="K34" s="384"/>
      <c r="L34" s="383"/>
      <c r="M34" s="383"/>
      <c r="N34" s="140"/>
    </row>
    <row r="35" spans="3:14" hidden="1" x14ac:dyDescent="0.35">
      <c r="C35" s="59" t="s">
        <v>296</v>
      </c>
      <c r="D35" s="88">
        <f>0.001/(2*PI()*SQRT(pico*D6*D34))</f>
        <v>4.48695913973103</v>
      </c>
      <c r="E35" s="345" t="s">
        <v>0</v>
      </c>
      <c r="F35" s="85" t="str">
        <f>IF(D35&lt;C56,"too low",IF(D35&gt;D56,"too high","In Range"))</f>
        <v>In Range</v>
      </c>
      <c r="G35" s="140"/>
      <c r="H35" s="383"/>
      <c r="I35" s="384"/>
      <c r="J35" s="384"/>
      <c r="K35" s="384"/>
      <c r="L35" s="383"/>
      <c r="M35" s="383"/>
      <c r="N35" s="140"/>
    </row>
    <row r="36" spans="3:14" ht="16.5" hidden="1" x14ac:dyDescent="0.45">
      <c r="C36" s="59" t="s">
        <v>461</v>
      </c>
      <c r="D36" s="346">
        <v>0.99399999999999999</v>
      </c>
      <c r="E36" s="344"/>
      <c r="F36" s="344" t="s">
        <v>362</v>
      </c>
      <c r="G36" s="140"/>
      <c r="H36" s="383"/>
      <c r="I36" s="384"/>
      <c r="J36" s="384"/>
      <c r="K36" s="384"/>
      <c r="L36" s="383"/>
      <c r="M36" s="383"/>
      <c r="N36" s="140"/>
    </row>
    <row r="37" spans="3:14" ht="16.5" hidden="1" x14ac:dyDescent="0.45">
      <c r="C37" s="59" t="s">
        <v>462</v>
      </c>
      <c r="D37" s="86">
        <f>D59</f>
        <v>6.5250203544536278</v>
      </c>
      <c r="E37" s="344" t="s">
        <v>325</v>
      </c>
      <c r="F37" s="342"/>
      <c r="G37" s="140"/>
      <c r="H37" s="383"/>
      <c r="I37" s="384"/>
      <c r="J37" s="384"/>
      <c r="K37" s="384"/>
      <c r="L37" s="383"/>
      <c r="M37" s="383"/>
      <c r="N37" s="140"/>
    </row>
    <row r="38" spans="3:14" hidden="1" x14ac:dyDescent="0.35">
      <c r="C38" s="59"/>
      <c r="D38" s="342"/>
      <c r="E38" s="344"/>
      <c r="F38" s="342"/>
      <c r="G38" s="140"/>
      <c r="H38" s="383"/>
      <c r="I38" s="384"/>
      <c r="J38" s="384"/>
      <c r="K38" s="384"/>
      <c r="L38" s="383"/>
      <c r="M38" s="383"/>
      <c r="N38" s="140"/>
    </row>
    <row r="39" spans="3:14" hidden="1" x14ac:dyDescent="0.35">
      <c r="C39" s="59" t="s">
        <v>326</v>
      </c>
      <c r="D39" s="85">
        <f>D21</f>
        <v>3</v>
      </c>
      <c r="E39" s="344" t="s">
        <v>243</v>
      </c>
      <c r="F39" s="85" t="str">
        <f>IF(D65&lt;C63,"too large",IF(D65&gt;D63,"too small","In Range"))</f>
        <v>In Range</v>
      </c>
      <c r="G39" s="140"/>
      <c r="H39" s="383"/>
      <c r="I39" s="384"/>
      <c r="J39" s="384"/>
      <c r="K39" s="384"/>
      <c r="L39" s="383"/>
      <c r="M39" s="383"/>
      <c r="N39" s="140"/>
    </row>
    <row r="40" spans="3:14" hidden="1" x14ac:dyDescent="0.35">
      <c r="C40" s="59" t="s">
        <v>327</v>
      </c>
      <c r="D40" s="90">
        <f>D22</f>
        <v>6</v>
      </c>
      <c r="E40" s="344" t="s">
        <v>243</v>
      </c>
      <c r="F40" s="85" t="str">
        <f>IF(D22&gt;2.05*D37/D33,"too large",IF(D22&lt;D37,"too small","In Range"))</f>
        <v>too small</v>
      </c>
      <c r="G40" s="140"/>
      <c r="H40" s="383"/>
      <c r="I40" s="384"/>
      <c r="J40" s="384"/>
      <c r="K40" s="384"/>
      <c r="L40" s="383"/>
      <c r="M40" s="383"/>
      <c r="N40" s="140"/>
    </row>
    <row r="41" spans="3:14" ht="16.5" hidden="1" x14ac:dyDescent="0.45">
      <c r="C41" s="59" t="s">
        <v>463</v>
      </c>
      <c r="D41" s="90">
        <f>1000*D21*SQRT(pico*D6/(micro*D34))</f>
        <v>18.606981188844291</v>
      </c>
      <c r="E41" s="345"/>
      <c r="F41" s="85" t="str">
        <f>IF(D41&lt;E57,"too small",IF(D41&gt;D57,"too large","In Range"))</f>
        <v>In Range</v>
      </c>
      <c r="G41" s="140"/>
      <c r="H41" s="383"/>
      <c r="I41" s="384"/>
      <c r="J41" s="384"/>
      <c r="K41" s="384"/>
      <c r="L41" s="383"/>
      <c r="M41" s="383"/>
      <c r="N41" s="140"/>
    </row>
    <row r="42" spans="3:14" hidden="1" x14ac:dyDescent="0.35">
      <c r="C42" s="59" t="s">
        <v>299</v>
      </c>
      <c r="D42" s="90">
        <f>D25</f>
        <v>6</v>
      </c>
      <c r="E42" s="347" t="s">
        <v>27</v>
      </c>
      <c r="F42" s="85" t="str">
        <f>IF(AND(D42&gt;=C78,D42&lt;=C81),"In Range", "error")</f>
        <v>In Range</v>
      </c>
      <c r="G42" s="140"/>
      <c r="H42" s="383"/>
      <c r="I42" s="384"/>
      <c r="J42" s="384"/>
      <c r="K42" s="384"/>
      <c r="L42" s="383"/>
      <c r="M42" s="383"/>
      <c r="N42" s="140"/>
    </row>
    <row r="43" spans="3:14" hidden="1" x14ac:dyDescent="0.35">
      <c r="C43" s="59" t="s">
        <v>301</v>
      </c>
      <c r="D43" s="86">
        <f>D26</f>
        <v>28.710990711821864</v>
      </c>
      <c r="E43" s="344" t="s">
        <v>243</v>
      </c>
      <c r="F43" s="85" t="str">
        <f>IF(D43&lt;C84,"too small",IF(D43&gt;C85,"too large","In Range"))</f>
        <v>In Range</v>
      </c>
      <c r="G43" s="140"/>
      <c r="H43" s="383"/>
      <c r="I43" s="384"/>
      <c r="J43" s="384"/>
      <c r="K43" s="384"/>
      <c r="L43" s="383"/>
      <c r="M43" s="383"/>
      <c r="N43" s="140"/>
    </row>
    <row r="44" spans="3:14" hidden="1" x14ac:dyDescent="0.35">
      <c r="C44" s="59" t="s">
        <v>303</v>
      </c>
      <c r="D44" s="86">
        <f>D28</f>
        <v>24</v>
      </c>
      <c r="E44" s="347" t="s">
        <v>27</v>
      </c>
      <c r="F44" s="85" t="str">
        <f>IF(AND(D44&gt;=C88,D44&lt;=C91),"In Range", "error")</f>
        <v>In Range</v>
      </c>
      <c r="G44" s="140"/>
      <c r="H44" s="383"/>
      <c r="I44" s="384"/>
      <c r="J44" s="384"/>
      <c r="K44" s="384"/>
      <c r="L44" s="383"/>
      <c r="M44" s="383"/>
      <c r="N44" s="140"/>
    </row>
    <row r="45" spans="3:14" hidden="1" x14ac:dyDescent="0.35">
      <c r="C45" s="59" t="s">
        <v>305</v>
      </c>
      <c r="D45" s="86">
        <f>0.001*1.4142/(Mega*D35*PI()*pico*D28*0.6)</f>
        <v>6.9670087094902824</v>
      </c>
      <c r="E45" s="344" t="s">
        <v>243</v>
      </c>
      <c r="F45" s="85" t="str">
        <f>IF(D45&lt;C94,"too small",IF(D45&gt;C95,"too large","In Range"))</f>
        <v>too small</v>
      </c>
      <c r="G45" s="140"/>
      <c r="H45" s="383"/>
      <c r="I45" s="384"/>
      <c r="J45" s="384"/>
      <c r="K45" s="384"/>
      <c r="L45" s="383"/>
      <c r="M45" s="383"/>
      <c r="N45" s="140"/>
    </row>
    <row r="46" spans="3:14" hidden="1" x14ac:dyDescent="0.35">
      <c r="G46" s="140"/>
      <c r="H46" s="383"/>
      <c r="I46" s="384"/>
      <c r="J46" s="384"/>
      <c r="K46" s="384"/>
      <c r="L46" s="383"/>
      <c r="M46" s="383"/>
      <c r="N46" s="140"/>
    </row>
    <row r="47" spans="3:14" ht="15.5" hidden="1" x14ac:dyDescent="0.35">
      <c r="C47" s="16" t="s">
        <v>783</v>
      </c>
      <c r="G47" s="140"/>
      <c r="H47" s="383"/>
      <c r="I47" s="384"/>
      <c r="J47" s="384"/>
      <c r="K47" s="384"/>
      <c r="L47" s="383"/>
      <c r="M47" s="383"/>
      <c r="N47" s="140"/>
    </row>
    <row r="48" spans="3:14" hidden="1" x14ac:dyDescent="0.35">
      <c r="C48" s="103" t="s">
        <v>306</v>
      </c>
      <c r="D48" s="104"/>
      <c r="E48" s="104"/>
      <c r="G48" s="140"/>
      <c r="H48" s="383"/>
      <c r="I48" s="384"/>
      <c r="J48" s="384"/>
      <c r="K48" s="384"/>
      <c r="L48" s="383"/>
      <c r="M48" s="383"/>
      <c r="N48" s="140"/>
    </row>
    <row r="49" spans="2:14" hidden="1" x14ac:dyDescent="0.35">
      <c r="C49" s="105">
        <v>9.9999999999999998E-13</v>
      </c>
      <c r="D49" s="6" t="s">
        <v>307</v>
      </c>
      <c r="E49" s="104"/>
      <c r="G49" s="140"/>
      <c r="H49" s="383"/>
      <c r="I49" s="384"/>
      <c r="J49" s="384"/>
      <c r="K49" s="384"/>
      <c r="L49" s="383"/>
      <c r="M49" s="383"/>
      <c r="N49" s="140"/>
    </row>
    <row r="50" spans="2:14" hidden="1" x14ac:dyDescent="0.35">
      <c r="C50" s="105">
        <v>9.9999999999999995E-7</v>
      </c>
      <c r="D50" s="6" t="s">
        <v>308</v>
      </c>
      <c r="E50" s="104"/>
      <c r="G50" s="140"/>
      <c r="H50" s="383"/>
      <c r="I50" s="384"/>
      <c r="J50" s="384"/>
      <c r="K50" s="384"/>
      <c r="L50" s="383"/>
      <c r="M50" s="383"/>
      <c r="N50" s="140"/>
    </row>
    <row r="51" spans="2:14" hidden="1" x14ac:dyDescent="0.35">
      <c r="C51" s="105">
        <v>1000000</v>
      </c>
      <c r="D51" s="6" t="s">
        <v>309</v>
      </c>
      <c r="E51" s="104"/>
      <c r="G51" s="140"/>
      <c r="H51" s="383"/>
      <c r="I51" s="384"/>
      <c r="J51" s="384"/>
      <c r="K51" s="384"/>
      <c r="L51" s="383"/>
      <c r="M51" s="383"/>
      <c r="N51" s="140"/>
    </row>
    <row r="52" spans="2:14" hidden="1" x14ac:dyDescent="0.35">
      <c r="C52" s="104"/>
      <c r="D52" s="104"/>
      <c r="E52" s="104"/>
      <c r="G52" s="140"/>
      <c r="H52" s="383"/>
      <c r="I52" s="384"/>
      <c r="J52" s="384"/>
      <c r="K52" s="384"/>
      <c r="L52" s="383"/>
      <c r="M52" s="383"/>
      <c r="N52" s="140"/>
    </row>
    <row r="53" spans="2:14" hidden="1" x14ac:dyDescent="0.35">
      <c r="B53" s="1" t="s">
        <v>310</v>
      </c>
      <c r="C53" s="106" t="s">
        <v>311</v>
      </c>
      <c r="D53" s="106" t="s">
        <v>312</v>
      </c>
      <c r="E53" s="6"/>
      <c r="G53" s="140"/>
      <c r="H53" s="383"/>
      <c r="I53" s="384"/>
      <c r="J53" s="384"/>
      <c r="K53" s="384"/>
      <c r="L53" s="383"/>
      <c r="M53" s="383"/>
      <c r="N53" s="140"/>
    </row>
    <row r="54" spans="2:14" hidden="1" x14ac:dyDescent="0.35">
      <c r="B54" s="6" t="s">
        <v>159</v>
      </c>
      <c r="C54" s="107">
        <v>100</v>
      </c>
      <c r="D54" s="107">
        <v>56000</v>
      </c>
      <c r="E54" s="6" t="s">
        <v>27</v>
      </c>
      <c r="G54" s="140"/>
      <c r="H54" s="383"/>
      <c r="I54" s="384"/>
      <c r="J54" s="384"/>
      <c r="K54" s="384"/>
      <c r="L54" s="383"/>
      <c r="M54" s="383"/>
      <c r="N54" s="140"/>
    </row>
    <row r="55" spans="2:14" hidden="1" x14ac:dyDescent="0.35">
      <c r="B55" s="6" t="s">
        <v>313</v>
      </c>
      <c r="C55" s="107">
        <v>1</v>
      </c>
      <c r="D55" s="107">
        <v>500</v>
      </c>
      <c r="E55" s="17" t="s">
        <v>96</v>
      </c>
      <c r="G55" s="140"/>
      <c r="H55" s="383"/>
      <c r="I55" s="384"/>
      <c r="J55" s="384"/>
      <c r="K55" s="384"/>
      <c r="L55" s="383"/>
      <c r="M55" s="383"/>
      <c r="N55" s="140"/>
    </row>
    <row r="56" spans="2:14" hidden="1" x14ac:dyDescent="0.35">
      <c r="B56" s="6" t="s">
        <v>314</v>
      </c>
      <c r="C56" s="108">
        <v>0.5</v>
      </c>
      <c r="D56" s="108">
        <v>10</v>
      </c>
      <c r="E56" s="6"/>
      <c r="G56" s="140"/>
      <c r="H56" s="383"/>
      <c r="I56" s="384"/>
      <c r="J56" s="384"/>
      <c r="K56" s="384"/>
      <c r="L56" s="383"/>
      <c r="M56" s="383"/>
      <c r="N56" s="140"/>
    </row>
    <row r="57" spans="2:14" hidden="1" x14ac:dyDescent="0.35">
      <c r="B57" s="6" t="s">
        <v>315</v>
      </c>
      <c r="C57" s="107">
        <f>1/D63</f>
        <v>9.9906656960671203</v>
      </c>
      <c r="D57" s="107">
        <f>1/C63</f>
        <v>399.6266278426848</v>
      </c>
      <c r="E57" s="6"/>
      <c r="G57" s="140"/>
      <c r="H57" s="383"/>
      <c r="I57" s="384"/>
      <c r="J57" s="384"/>
      <c r="K57" s="384"/>
      <c r="L57" s="383"/>
      <c r="M57" s="383"/>
      <c r="N57" s="140"/>
    </row>
    <row r="58" spans="2:14" hidden="1" x14ac:dyDescent="0.35">
      <c r="B58" s="6"/>
      <c r="C58" s="107"/>
      <c r="D58" s="107"/>
      <c r="E58" s="6"/>
      <c r="G58" s="140"/>
      <c r="H58" s="383"/>
      <c r="I58" s="384"/>
      <c r="J58" s="384"/>
      <c r="K58" s="384"/>
      <c r="L58" s="383"/>
      <c r="M58" s="383"/>
      <c r="N58" s="140"/>
    </row>
    <row r="59" spans="2:14" hidden="1" x14ac:dyDescent="0.35">
      <c r="B59" s="6" t="s">
        <v>316</v>
      </c>
      <c r="C59" s="399">
        <f>0.001*micro*D7/(pico*D6*D10)</f>
        <v>3.9600000000000009</v>
      </c>
      <c r="D59" s="109">
        <f>0.001*D34*micro/(D6*pico*D9)*D36</f>
        <v>6.5250203544536278</v>
      </c>
      <c r="E59" s="396" t="s">
        <v>850</v>
      </c>
      <c r="G59" s="140"/>
      <c r="H59" s="383"/>
      <c r="I59" s="384"/>
      <c r="J59" s="384"/>
      <c r="K59" s="384"/>
      <c r="L59" s="383"/>
      <c r="M59" s="383"/>
      <c r="N59" s="140"/>
    </row>
    <row r="60" spans="2:14" hidden="1" x14ac:dyDescent="0.35">
      <c r="B60" s="6"/>
      <c r="C60" s="110"/>
      <c r="D60" s="110"/>
      <c r="E60" s="6"/>
      <c r="G60" s="140"/>
      <c r="H60" s="383"/>
      <c r="I60" s="384"/>
      <c r="J60" s="384"/>
      <c r="K60" s="384"/>
      <c r="L60" s="383"/>
      <c r="M60" s="383"/>
      <c r="N60" s="140"/>
    </row>
    <row r="61" spans="2:14" hidden="1" x14ac:dyDescent="0.35">
      <c r="B61" s="6" t="s">
        <v>317</v>
      </c>
      <c r="C61" s="109">
        <v>1.131</v>
      </c>
      <c r="D61" s="110"/>
      <c r="E61" s="6"/>
      <c r="G61" s="140"/>
      <c r="H61" s="383"/>
      <c r="I61" s="384"/>
      <c r="J61" s="384"/>
      <c r="K61" s="384"/>
      <c r="L61" s="383"/>
      <c r="M61" s="383"/>
      <c r="N61" s="140"/>
    </row>
    <row r="62" spans="2:14" hidden="1" x14ac:dyDescent="0.35">
      <c r="B62" s="6" t="s">
        <v>318</v>
      </c>
      <c r="C62" s="111">
        <v>0.28299999999999997</v>
      </c>
      <c r="D62" s="110"/>
      <c r="E62" s="6"/>
      <c r="G62" s="140"/>
      <c r="H62" s="383"/>
      <c r="I62" s="384"/>
      <c r="J62" s="384"/>
      <c r="K62" s="384"/>
      <c r="L62" s="383"/>
      <c r="M62" s="383"/>
      <c r="N62" s="140"/>
    </row>
    <row r="63" spans="2:14" hidden="1" x14ac:dyDescent="0.35">
      <c r="B63" s="6" t="s">
        <v>319</v>
      </c>
      <c r="C63" s="111">
        <f>D63/40</f>
        <v>2.5023357562490942E-3</v>
      </c>
      <c r="D63" s="111">
        <f>1.2567*C62/(PI()*C61)</f>
        <v>0.10009343024996377</v>
      </c>
      <c r="E63" s="6"/>
      <c r="G63" s="140"/>
      <c r="H63" s="383"/>
      <c r="I63" s="384"/>
      <c r="J63" s="384"/>
      <c r="K63" s="384"/>
      <c r="L63" s="383"/>
      <c r="M63" s="383"/>
      <c r="N63" s="140"/>
    </row>
    <row r="64" spans="2:14" hidden="1" x14ac:dyDescent="0.35">
      <c r="B64" s="6" t="s">
        <v>320</v>
      </c>
      <c r="C64" s="111">
        <f>1/(2*PI()*D6*pico*D21*1000)</f>
        <v>241143.85316953837</v>
      </c>
      <c r="D64" s="110"/>
      <c r="E64" s="6"/>
      <c r="G64" s="140"/>
      <c r="H64" s="383"/>
      <c r="I64" s="384"/>
      <c r="J64" s="384"/>
      <c r="K64" s="384"/>
      <c r="L64" s="383"/>
      <c r="M64" s="383"/>
      <c r="N64" s="140"/>
    </row>
    <row r="65" spans="2:14" hidden="1" x14ac:dyDescent="0.35">
      <c r="B65" s="6" t="s">
        <v>321</v>
      </c>
      <c r="C65" s="111">
        <f>C64/(Mega*D8)</f>
        <v>5.5368371527945139E-2</v>
      </c>
      <c r="D65" s="111">
        <f>C64/(Mega*D35)</f>
        <v>5.3743269252056018E-2</v>
      </c>
      <c r="E65" s="6"/>
      <c r="F65"/>
      <c r="G65" s="372"/>
      <c r="H65" s="383"/>
      <c r="I65" s="384"/>
      <c r="J65" s="384"/>
      <c r="K65" s="384"/>
      <c r="L65" s="383"/>
      <c r="M65" s="383"/>
      <c r="N65" s="140"/>
    </row>
    <row r="66" spans="2:14" hidden="1" x14ac:dyDescent="0.35">
      <c r="C66" s="6"/>
      <c r="D66" s="104"/>
      <c r="E66" s="104"/>
      <c r="G66" s="140"/>
      <c r="H66" s="383"/>
      <c r="I66" s="384"/>
      <c r="J66" s="384"/>
      <c r="K66" s="384"/>
      <c r="L66" s="383"/>
      <c r="M66" s="383"/>
      <c r="N66" s="140"/>
    </row>
    <row r="67" spans="2:14" hidden="1" x14ac:dyDescent="0.35">
      <c r="C67" s="106" t="s">
        <v>322</v>
      </c>
      <c r="D67" s="104"/>
      <c r="E67" s="104"/>
      <c r="G67" s="140"/>
      <c r="H67" s="383"/>
      <c r="I67" s="384"/>
      <c r="J67" s="384"/>
      <c r="K67" s="384"/>
      <c r="L67" s="383"/>
      <c r="M67" s="383"/>
      <c r="N67" s="140"/>
    </row>
    <row r="68" spans="2:14" hidden="1" x14ac:dyDescent="0.35">
      <c r="B68">
        <v>0</v>
      </c>
      <c r="C68" s="109">
        <v>0.75</v>
      </c>
      <c r="D68" s="6" t="s">
        <v>357</v>
      </c>
      <c r="E68" s="104"/>
      <c r="G68" s="140"/>
      <c r="H68" s="383"/>
      <c r="I68" s="384"/>
      <c r="J68" s="384"/>
      <c r="K68" s="384"/>
      <c r="L68" s="383"/>
      <c r="M68" s="383"/>
      <c r="N68" s="140"/>
    </row>
    <row r="69" spans="2:14" hidden="1" x14ac:dyDescent="0.35">
      <c r="B69">
        <v>1</v>
      </c>
      <c r="C69" s="109">
        <v>1.5</v>
      </c>
      <c r="D69" s="6" t="s">
        <v>357</v>
      </c>
      <c r="E69" s="104"/>
      <c r="G69" s="140"/>
      <c r="H69" s="383"/>
      <c r="I69" s="384"/>
      <c r="J69" s="384"/>
      <c r="K69" s="384"/>
      <c r="L69" s="383"/>
      <c r="M69" s="383"/>
      <c r="N69" s="140"/>
    </row>
    <row r="70" spans="2:14" hidden="1" x14ac:dyDescent="0.35">
      <c r="B70">
        <v>2</v>
      </c>
      <c r="C70" s="109">
        <v>3</v>
      </c>
      <c r="D70" s="6" t="s">
        <v>357</v>
      </c>
      <c r="E70" s="104"/>
      <c r="G70" s="140"/>
      <c r="H70" s="383"/>
      <c r="I70" s="384"/>
      <c r="J70" s="384"/>
      <c r="K70" s="384"/>
      <c r="L70" s="383"/>
      <c r="M70" s="383"/>
      <c r="N70" s="140"/>
    </row>
    <row r="71" spans="2:14" hidden="1" x14ac:dyDescent="0.35">
      <c r="B71">
        <v>3</v>
      </c>
      <c r="C71" s="109">
        <v>6</v>
      </c>
      <c r="D71" s="6" t="s">
        <v>357</v>
      </c>
      <c r="E71" s="104"/>
      <c r="G71" s="140"/>
      <c r="H71" s="383"/>
      <c r="I71" s="384"/>
      <c r="J71" s="384"/>
      <c r="K71" s="384"/>
      <c r="L71" s="383"/>
      <c r="M71" s="383"/>
      <c r="N71" s="140"/>
    </row>
    <row r="72" spans="2:14" hidden="1" x14ac:dyDescent="0.35">
      <c r="B72">
        <v>4</v>
      </c>
      <c r="C72" s="109">
        <v>12</v>
      </c>
      <c r="D72" s="6" t="s">
        <v>357</v>
      </c>
      <c r="E72" s="104"/>
      <c r="G72" s="140"/>
      <c r="H72" s="383"/>
      <c r="I72" s="384"/>
      <c r="J72" s="384"/>
      <c r="K72" s="384"/>
      <c r="L72" s="383"/>
      <c r="M72" s="383"/>
      <c r="N72" s="140"/>
    </row>
    <row r="73" spans="2:14" hidden="1" x14ac:dyDescent="0.35">
      <c r="B73">
        <v>5</v>
      </c>
      <c r="C73" s="109">
        <v>24</v>
      </c>
      <c r="D73" s="6" t="s">
        <v>357</v>
      </c>
      <c r="E73" s="104"/>
      <c r="G73" s="140"/>
      <c r="H73" s="383"/>
      <c r="I73" s="384"/>
      <c r="J73" s="384"/>
      <c r="K73" s="384"/>
      <c r="L73" s="383"/>
      <c r="M73" s="383"/>
      <c r="N73" s="140"/>
    </row>
    <row r="74" spans="2:14" hidden="1" x14ac:dyDescent="0.35">
      <c r="B74">
        <v>6</v>
      </c>
      <c r="C74" s="109">
        <v>48</v>
      </c>
      <c r="D74" s="6" t="s">
        <v>357</v>
      </c>
      <c r="E74" s="104"/>
      <c r="G74" s="140"/>
      <c r="H74" s="383"/>
      <c r="I74" s="384"/>
      <c r="J74" s="384"/>
      <c r="K74" s="384"/>
      <c r="L74" s="383"/>
      <c r="M74" s="383"/>
      <c r="N74" s="140"/>
    </row>
    <row r="75" spans="2:14" hidden="1" x14ac:dyDescent="0.35">
      <c r="B75">
        <v>7</v>
      </c>
      <c r="C75" s="109">
        <v>96</v>
      </c>
      <c r="D75" s="6" t="s">
        <v>357</v>
      </c>
      <c r="E75" s="104"/>
      <c r="G75" s="140"/>
      <c r="H75" s="383"/>
      <c r="I75" s="384"/>
      <c r="J75" s="384"/>
      <c r="K75" s="384"/>
      <c r="L75" s="383"/>
      <c r="M75" s="383"/>
      <c r="N75" s="140"/>
    </row>
    <row r="76" spans="2:14" hidden="1" x14ac:dyDescent="0.35">
      <c r="C76" s="6"/>
      <c r="D76" s="104"/>
      <c r="E76" s="104"/>
      <c r="G76" s="140"/>
      <c r="H76" s="383"/>
      <c r="I76" s="384"/>
      <c r="J76" s="384"/>
      <c r="K76" s="384"/>
      <c r="L76" s="383"/>
      <c r="M76" s="383"/>
      <c r="N76" s="140"/>
    </row>
    <row r="77" spans="2:14" hidden="1" x14ac:dyDescent="0.35">
      <c r="C77" s="106" t="s">
        <v>323</v>
      </c>
      <c r="D77" s="104"/>
      <c r="E77" s="104"/>
      <c r="G77" s="140"/>
      <c r="H77" s="383"/>
      <c r="I77" s="384"/>
      <c r="J77" s="384"/>
      <c r="K77" s="384"/>
      <c r="L77" s="383"/>
      <c r="M77" s="383"/>
      <c r="N77" s="140"/>
    </row>
    <row r="78" spans="2:14" hidden="1" x14ac:dyDescent="0.35">
      <c r="B78">
        <v>0</v>
      </c>
      <c r="C78" s="109">
        <v>0.75</v>
      </c>
      <c r="D78" s="112" t="s">
        <v>27</v>
      </c>
      <c r="E78" s="104"/>
      <c r="G78" s="140"/>
      <c r="H78" s="383"/>
      <c r="I78" s="384"/>
      <c r="J78" s="384"/>
      <c r="K78" s="384"/>
      <c r="L78" s="383"/>
      <c r="M78" s="383"/>
      <c r="N78" s="140"/>
    </row>
    <row r="79" spans="2:14" hidden="1" x14ac:dyDescent="0.35">
      <c r="B79">
        <v>1</v>
      </c>
      <c r="C79" s="109">
        <v>1.5</v>
      </c>
      <c r="D79" s="112" t="s">
        <v>27</v>
      </c>
      <c r="E79" s="104"/>
      <c r="G79" s="140"/>
      <c r="H79" s="383"/>
      <c r="I79" s="384"/>
      <c r="J79" s="384"/>
      <c r="K79" s="384"/>
      <c r="L79" s="383"/>
      <c r="M79" s="383"/>
      <c r="N79" s="140"/>
    </row>
    <row r="80" spans="2:14" hidden="1" x14ac:dyDescent="0.35">
      <c r="B80">
        <v>2</v>
      </c>
      <c r="C80" s="109">
        <v>3</v>
      </c>
      <c r="D80" s="112" t="s">
        <v>27</v>
      </c>
      <c r="E80" s="104"/>
      <c r="G80" s="140"/>
      <c r="H80" s="383"/>
      <c r="I80" s="384"/>
      <c r="J80" s="384"/>
      <c r="K80" s="384"/>
      <c r="L80" s="383"/>
      <c r="M80" s="383"/>
      <c r="N80" s="140"/>
    </row>
    <row r="81" spans="2:14" hidden="1" x14ac:dyDescent="0.35">
      <c r="B81">
        <v>3</v>
      </c>
      <c r="C81" s="109">
        <v>6</v>
      </c>
      <c r="D81" s="112" t="s">
        <v>27</v>
      </c>
      <c r="E81" s="104"/>
      <c r="G81" s="140"/>
      <c r="H81" s="383"/>
      <c r="I81" s="384"/>
      <c r="J81" s="384"/>
      <c r="K81" s="384"/>
      <c r="L81" s="383"/>
      <c r="M81" s="383"/>
      <c r="N81" s="140"/>
    </row>
    <row r="82" spans="2:14" hidden="1" x14ac:dyDescent="0.35">
      <c r="C82" s="6"/>
      <c r="D82" s="104"/>
      <c r="E82" s="104"/>
      <c r="G82" s="140"/>
      <c r="H82" s="383"/>
      <c r="I82" s="384"/>
      <c r="J82" s="384"/>
      <c r="K82" s="384"/>
      <c r="L82" s="383"/>
      <c r="M82" s="383"/>
      <c r="N82" s="140"/>
    </row>
    <row r="83" spans="2:14" hidden="1" x14ac:dyDescent="0.35">
      <c r="C83" s="106" t="s">
        <v>358</v>
      </c>
      <c r="D83" s="104"/>
      <c r="E83" s="104"/>
      <c r="G83" s="140"/>
      <c r="H83" s="383"/>
      <c r="I83" s="384"/>
      <c r="J83" s="384"/>
      <c r="K83" s="384"/>
      <c r="L83" s="383"/>
      <c r="M83" s="383"/>
      <c r="N83" s="140"/>
    </row>
    <row r="84" spans="2:14" hidden="1" x14ac:dyDescent="0.35">
      <c r="B84">
        <v>0</v>
      </c>
      <c r="C84" s="109">
        <v>20.6</v>
      </c>
      <c r="D84" s="6" t="s">
        <v>357</v>
      </c>
      <c r="E84" s="104"/>
      <c r="F84" s="78"/>
      <c r="G84" s="140"/>
      <c r="H84" s="383"/>
      <c r="I84" s="384"/>
      <c r="J84" s="384"/>
      <c r="K84" s="384"/>
      <c r="L84" s="383"/>
      <c r="M84" s="383"/>
      <c r="N84" s="140"/>
    </row>
    <row r="85" spans="2:14" hidden="1" x14ac:dyDescent="0.35">
      <c r="B85">
        <v>1</v>
      </c>
      <c r="C85" s="109">
        <v>417.4</v>
      </c>
      <c r="D85" s="6" t="s">
        <v>357</v>
      </c>
      <c r="E85" s="104"/>
      <c r="F85" s="78"/>
      <c r="G85" s="140"/>
      <c r="H85" s="383"/>
      <c r="I85" s="384"/>
      <c r="J85" s="384"/>
      <c r="K85" s="384"/>
      <c r="L85" s="383"/>
      <c r="M85" s="383"/>
      <c r="N85" s="140"/>
    </row>
    <row r="86" spans="2:14" hidden="1" x14ac:dyDescent="0.35">
      <c r="C86" s="6"/>
      <c r="D86" s="104"/>
      <c r="E86" s="104"/>
      <c r="G86" s="140"/>
      <c r="H86" s="383"/>
      <c r="I86" s="384"/>
      <c r="J86" s="384"/>
      <c r="K86" s="384"/>
      <c r="L86" s="383"/>
      <c r="M86" s="383"/>
      <c r="N86" s="140"/>
    </row>
    <row r="87" spans="2:14" hidden="1" x14ac:dyDescent="0.35">
      <c r="C87" s="106" t="s">
        <v>324</v>
      </c>
      <c r="D87" s="104"/>
      <c r="E87" s="104"/>
      <c r="G87" s="140"/>
      <c r="H87" s="383"/>
      <c r="I87" s="384"/>
      <c r="J87" s="384"/>
      <c r="K87" s="384"/>
      <c r="L87" s="383"/>
      <c r="M87" s="383"/>
      <c r="N87" s="140"/>
    </row>
    <row r="88" spans="2:14" hidden="1" x14ac:dyDescent="0.35">
      <c r="B88">
        <v>0</v>
      </c>
      <c r="C88" s="109">
        <v>3</v>
      </c>
      <c r="D88" s="112" t="s">
        <v>27</v>
      </c>
      <c r="E88" s="104"/>
      <c r="G88" s="140"/>
      <c r="H88" s="383"/>
      <c r="I88" s="384"/>
      <c r="J88" s="384"/>
      <c r="K88" s="384"/>
      <c r="L88" s="383"/>
      <c r="M88" s="383"/>
      <c r="N88" s="140"/>
    </row>
    <row r="89" spans="2:14" hidden="1" x14ac:dyDescent="0.35">
      <c r="B89">
        <v>1</v>
      </c>
      <c r="C89" s="109">
        <v>6</v>
      </c>
      <c r="D89" s="112" t="s">
        <v>27</v>
      </c>
      <c r="E89" s="104"/>
      <c r="G89" s="140"/>
      <c r="H89" s="383"/>
      <c r="I89" s="384"/>
      <c r="J89" s="384"/>
      <c r="K89" s="384"/>
      <c r="L89" s="383"/>
      <c r="M89" s="383"/>
      <c r="N89" s="140"/>
    </row>
    <row r="90" spans="2:14" hidden="1" x14ac:dyDescent="0.35">
      <c r="B90">
        <v>2</v>
      </c>
      <c r="C90" s="109">
        <v>12</v>
      </c>
      <c r="D90" s="112" t="s">
        <v>27</v>
      </c>
      <c r="E90" s="104"/>
      <c r="G90" s="140"/>
      <c r="H90" s="383"/>
      <c r="I90" s="384"/>
      <c r="J90" s="384"/>
      <c r="K90" s="384"/>
      <c r="L90" s="383"/>
      <c r="M90" s="383"/>
      <c r="N90" s="140"/>
    </row>
    <row r="91" spans="2:14" hidden="1" x14ac:dyDescent="0.35">
      <c r="B91">
        <v>3</v>
      </c>
      <c r="C91" s="109">
        <v>24</v>
      </c>
      <c r="D91" s="112" t="s">
        <v>27</v>
      </c>
      <c r="E91" s="104"/>
      <c r="G91" s="140"/>
      <c r="H91" s="383"/>
      <c r="I91" s="384"/>
      <c r="J91" s="384"/>
      <c r="K91" s="384"/>
      <c r="L91" s="383"/>
      <c r="M91" s="383"/>
      <c r="N91" s="140"/>
    </row>
    <row r="92" spans="2:14" hidden="1" x14ac:dyDescent="0.35">
      <c r="C92" s="6"/>
      <c r="D92" s="104"/>
      <c r="E92" s="104"/>
      <c r="G92" s="140"/>
      <c r="H92" s="383"/>
      <c r="I92" s="384"/>
      <c r="J92" s="384"/>
      <c r="K92" s="384"/>
      <c r="L92" s="383"/>
      <c r="M92" s="383"/>
      <c r="N92" s="140"/>
    </row>
    <row r="93" spans="2:14" hidden="1" x14ac:dyDescent="0.35">
      <c r="C93" s="106" t="s">
        <v>359</v>
      </c>
      <c r="D93" s="104"/>
      <c r="E93" s="104"/>
      <c r="G93" s="140"/>
      <c r="H93" s="383"/>
      <c r="I93" s="384"/>
      <c r="J93" s="384"/>
      <c r="K93" s="384"/>
      <c r="L93" s="383"/>
      <c r="M93" s="383"/>
      <c r="N93" s="140"/>
    </row>
    <row r="94" spans="2:14" hidden="1" x14ac:dyDescent="0.35">
      <c r="B94">
        <v>0</v>
      </c>
      <c r="C94" s="109">
        <v>24.6</v>
      </c>
      <c r="D94" s="6" t="s">
        <v>357</v>
      </c>
      <c r="E94" s="104"/>
      <c r="G94" s="140"/>
      <c r="H94" s="383"/>
      <c r="I94" s="384"/>
      <c r="J94" s="384"/>
      <c r="K94" s="384"/>
      <c r="L94" s="383"/>
      <c r="M94" s="383"/>
      <c r="N94" s="140"/>
    </row>
    <row r="95" spans="2:14" hidden="1" x14ac:dyDescent="0.35">
      <c r="B95">
        <v>1</v>
      </c>
      <c r="C95" s="109">
        <v>834.8</v>
      </c>
      <c r="D95" s="6" t="s">
        <v>357</v>
      </c>
      <c r="E95" s="104"/>
      <c r="G95" s="140"/>
      <c r="H95" s="383"/>
      <c r="I95" s="384"/>
      <c r="J95" s="384"/>
      <c r="K95" s="384"/>
      <c r="L95" s="383"/>
      <c r="M95" s="383"/>
      <c r="N95" s="140"/>
    </row>
    <row r="96" spans="2:14" x14ac:dyDescent="0.35">
      <c r="C96" s="348"/>
      <c r="D96" s="6"/>
      <c r="E96" s="104"/>
      <c r="G96" s="140"/>
      <c r="H96" s="383"/>
      <c r="I96" s="384"/>
      <c r="J96" s="384"/>
      <c r="K96" s="384"/>
      <c r="L96" s="383"/>
      <c r="M96" s="383"/>
      <c r="N96" s="140"/>
    </row>
    <row r="97" spans="3:14" ht="15.5" x14ac:dyDescent="0.35">
      <c r="C97" s="16" t="s">
        <v>784</v>
      </c>
      <c r="D97" s="6"/>
      <c r="E97" s="104"/>
      <c r="G97" s="140"/>
      <c r="H97" s="140"/>
      <c r="I97" s="371"/>
      <c r="J97" s="371"/>
      <c r="K97" s="371"/>
      <c r="L97" s="140"/>
      <c r="M97" s="140"/>
      <c r="N97" s="140"/>
    </row>
    <row r="98" spans="3:14" ht="15" x14ac:dyDescent="0.4">
      <c r="C98" t="s">
        <v>785</v>
      </c>
      <c r="D98" s="349">
        <v>1536</v>
      </c>
      <c r="E98" s="94"/>
      <c r="F98" s="95" t="s">
        <v>786</v>
      </c>
      <c r="N98" s="82"/>
    </row>
    <row r="99" spans="3:14" hidden="1" x14ac:dyDescent="0.35">
      <c r="C99" t="s">
        <v>787</v>
      </c>
      <c r="D99" s="350">
        <f>LOG((D98/48),2)</f>
        <v>5</v>
      </c>
      <c r="E99" s="94"/>
      <c r="F99" s="95"/>
    </row>
    <row r="100" spans="3:14" hidden="1" x14ac:dyDescent="0.35">
      <c r="C100" t="s">
        <v>788</v>
      </c>
      <c r="D100" s="350">
        <f>16-(8/MIN(16,D8))</f>
        <v>14.163142180895056</v>
      </c>
      <c r="E100" s="94"/>
      <c r="F100" s="95"/>
    </row>
    <row r="101" spans="3:14" x14ac:dyDescent="0.35">
      <c r="C101" t="s">
        <v>19</v>
      </c>
      <c r="D101" s="351">
        <v>16</v>
      </c>
      <c r="E101" s="23" t="s">
        <v>0</v>
      </c>
      <c r="F101" s="95" t="str">
        <f>IF(D101&lt;D102/2,"Reference Frequency too low for Sensor","[1MHz to 16 MHz] - Not needed for Rp-only Measurements")</f>
        <v>[1MHz to 16 MHz] - Not needed for Rp-only Measurements</v>
      </c>
    </row>
    <row r="102" spans="3:14" hidden="1" x14ac:dyDescent="0.35">
      <c r="C102" t="s">
        <v>789</v>
      </c>
      <c r="D102" s="352">
        <f>D18</f>
        <v>4.3626718781453206</v>
      </c>
      <c r="F102" s="95" t="s">
        <v>1058</v>
      </c>
    </row>
    <row r="103" spans="3:14" hidden="1" x14ac:dyDescent="0.35">
      <c r="C103" t="s">
        <v>790</v>
      </c>
      <c r="D103" s="88">
        <f>D102/(D101/4)</f>
        <v>1.0906679695363302</v>
      </c>
      <c r="F103" s="95" t="s">
        <v>1059</v>
      </c>
      <c r="H103" s="313"/>
    </row>
    <row r="104" spans="3:14" hidden="1" x14ac:dyDescent="0.35">
      <c r="C104" t="s">
        <v>791</v>
      </c>
      <c r="D104" s="85">
        <f>MAX(MIN(2^(CEILING(LOG(D103,2),1)),8),1)</f>
        <v>2</v>
      </c>
      <c r="F104" s="95" t="s">
        <v>1060</v>
      </c>
    </row>
    <row r="105" spans="3:14" ht="16.5" x14ac:dyDescent="0.45">
      <c r="C105" t="s">
        <v>792</v>
      </c>
      <c r="D105" s="334">
        <f>(1/D8)*D98/3</f>
        <v>117.55890042271641</v>
      </c>
      <c r="E105" s="353" t="s">
        <v>222</v>
      </c>
      <c r="F105" s="95" t="s">
        <v>793</v>
      </c>
    </row>
    <row r="106" spans="3:14" ht="16.5" x14ac:dyDescent="0.45">
      <c r="C106" t="s">
        <v>794</v>
      </c>
      <c r="D106" s="160">
        <f>1000/D105</f>
        <v>8.5063742209583122</v>
      </c>
      <c r="E106" s="95" t="s">
        <v>202</v>
      </c>
      <c r="I106"/>
    </row>
    <row r="107" spans="3:14" x14ac:dyDescent="0.35">
      <c r="C107" s="46" t="str">
        <f>IF(E107="hex","RCOUNT Setting (range:0x0003 to 0xFFFF)","RCOUNT Setting (range:3 to 65535)")</f>
        <v>RCOUNT Setting (range:0x0003 to 0xFFFF)</v>
      </c>
      <c r="D107" s="212">
        <v>200</v>
      </c>
      <c r="E107" s="210" t="s">
        <v>369</v>
      </c>
      <c r="F107" s="354" t="str">
        <f>IF(D108&lt;3,"RCOUNT Below Minimum of 3",IF(D108&gt;65535,"RCOUNT exceeds maximum of decimal 65535","For LHR Measurements"))</f>
        <v>For LHR Measurements</v>
      </c>
      <c r="I107"/>
    </row>
    <row r="108" spans="3:14" hidden="1" x14ac:dyDescent="0.35">
      <c r="C108" s="69" t="s">
        <v>378</v>
      </c>
      <c r="D108" s="355">
        <f>IF(E107="hex",HEX2DEC(D107),D107)</f>
        <v>512</v>
      </c>
      <c r="E108" s="310"/>
      <c r="F108" s="356"/>
      <c r="I108"/>
    </row>
    <row r="109" spans="3:14" hidden="1" x14ac:dyDescent="0.35">
      <c r="C109" s="69" t="s">
        <v>795</v>
      </c>
      <c r="D109" s="355" t="b">
        <f>IF(D108&lt;3,FALSE,IF(D108&gt;65535,FALSE,TRUE))</f>
        <v>1</v>
      </c>
      <c r="E109" s="310"/>
      <c r="F109" s="356"/>
      <c r="I109"/>
    </row>
    <row r="110" spans="3:14" hidden="1" x14ac:dyDescent="0.35">
      <c r="C110" s="69" t="s">
        <v>796</v>
      </c>
      <c r="D110" s="357">
        <f>IF(D109,D108,0)</f>
        <v>512</v>
      </c>
      <c r="E110" s="5"/>
      <c r="F110"/>
      <c r="I110"/>
    </row>
    <row r="111" spans="3:14" hidden="1" x14ac:dyDescent="0.35">
      <c r="C111" s="358" t="s">
        <v>797</v>
      </c>
      <c r="D111" s="359">
        <f>MOD(D110,256)</f>
        <v>0</v>
      </c>
      <c r="E111" s="69"/>
      <c r="F111" s="5"/>
      <c r="I111"/>
    </row>
    <row r="112" spans="3:14" hidden="1" x14ac:dyDescent="0.35">
      <c r="C112" s="358" t="s">
        <v>220</v>
      </c>
      <c r="D112" s="360">
        <f>D110*16</f>
        <v>8192</v>
      </c>
      <c r="E112" s="69"/>
      <c r="F112"/>
      <c r="I112"/>
    </row>
    <row r="113" spans="3:9" hidden="1" x14ac:dyDescent="0.35">
      <c r="C113" s="358" t="s">
        <v>370</v>
      </c>
      <c r="D113" s="361">
        <v>55</v>
      </c>
      <c r="E113" s="5"/>
      <c r="F113"/>
      <c r="I113"/>
    </row>
    <row r="114" spans="3:9" hidden="1" x14ac:dyDescent="0.35">
      <c r="C114" s="358" t="s">
        <v>282</v>
      </c>
      <c r="D114" s="361">
        <f>(D112+D113)/D101</f>
        <v>515.4375</v>
      </c>
      <c r="E114" s="15" t="s">
        <v>222</v>
      </c>
      <c r="F114"/>
      <c r="I114"/>
    </row>
    <row r="115" spans="3:9" hidden="1" x14ac:dyDescent="0.35">
      <c r="C115" s="358" t="s">
        <v>798</v>
      </c>
      <c r="D115" s="362">
        <f>8000000/(3*9)</f>
        <v>296296.29629629629</v>
      </c>
      <c r="E115" s="15" t="s">
        <v>405</v>
      </c>
      <c r="F115"/>
      <c r="I115"/>
    </row>
    <row r="116" spans="3:9" hidden="1" x14ac:dyDescent="0.35">
      <c r="C116" s="358" t="s">
        <v>529</v>
      </c>
      <c r="D116" s="363">
        <f>1000000/D115</f>
        <v>3.375</v>
      </c>
      <c r="E116" s="15" t="s">
        <v>222</v>
      </c>
      <c r="F116"/>
      <c r="I116"/>
    </row>
    <row r="117" spans="3:9" x14ac:dyDescent="0.35">
      <c r="C117" t="s">
        <v>799</v>
      </c>
      <c r="D117" s="27">
        <f>IF(D114&gt;1000,D114/1000,D114)</f>
        <v>515.4375</v>
      </c>
      <c r="E117" s="48" t="str">
        <f>IF(D114&gt;1000,"ms","µs")</f>
        <v>µs</v>
      </c>
      <c r="F117"/>
      <c r="I117"/>
    </row>
    <row r="118" spans="3:9" x14ac:dyDescent="0.35">
      <c r="C118" t="s">
        <v>800</v>
      </c>
      <c r="D118" s="27">
        <f>1000/D117</f>
        <v>1.9400994300957923</v>
      </c>
      <c r="E118" s="49" t="str">
        <f>IF(E117="µs","ksps","sps")</f>
        <v>ksps</v>
      </c>
      <c r="F118" s="55"/>
      <c r="I118"/>
    </row>
    <row r="119" spans="3:9" x14ac:dyDescent="0.35">
      <c r="D119"/>
      <c r="E119"/>
      <c r="F119"/>
      <c r="I119"/>
    </row>
    <row r="120" spans="3:9" ht="15.5" x14ac:dyDescent="0.35">
      <c r="C120" s="84" t="s">
        <v>822</v>
      </c>
      <c r="D120"/>
      <c r="E120"/>
      <c r="F120"/>
      <c r="I120"/>
    </row>
    <row r="121" spans="3:9" x14ac:dyDescent="0.35">
      <c r="C121" s="99" t="s">
        <v>838</v>
      </c>
      <c r="D121"/>
      <c r="E121"/>
      <c r="F121"/>
      <c r="I121"/>
    </row>
    <row r="122" spans="3:9" x14ac:dyDescent="0.35">
      <c r="C122" s="99" t="s">
        <v>833</v>
      </c>
      <c r="F122"/>
      <c r="I122"/>
    </row>
    <row r="123" spans="3:9" x14ac:dyDescent="0.35">
      <c r="C123" s="46" t="s">
        <v>835</v>
      </c>
      <c r="D123" s="380" t="s">
        <v>828</v>
      </c>
      <c r="F123"/>
      <c r="I123"/>
    </row>
    <row r="124" spans="3:9" x14ac:dyDescent="0.35">
      <c r="C124" s="46" t="s">
        <v>837</v>
      </c>
      <c r="D124" s="122">
        <v>2</v>
      </c>
      <c r="E124" s="5" t="str">
        <f>IF(D145&gt;0,"sps","This Sample Rate is too high and cannot use Sleep Mode")</f>
        <v>sps</v>
      </c>
      <c r="F124"/>
      <c r="I124"/>
    </row>
    <row r="125" spans="3:9" x14ac:dyDescent="0.35">
      <c r="C125" s="46" t="s">
        <v>844</v>
      </c>
      <c r="D125" s="203">
        <v>8000</v>
      </c>
      <c r="E125" s="5" t="s">
        <v>231</v>
      </c>
      <c r="F125"/>
      <c r="I125"/>
    </row>
    <row r="126" spans="3:9" hidden="1" x14ac:dyDescent="0.35">
      <c r="C126" s="46" t="s">
        <v>823</v>
      </c>
      <c r="D126" s="376">
        <f>5*D105/1000</f>
        <v>0.58779450211358197</v>
      </c>
      <c r="E126" s="353" t="s">
        <v>229</v>
      </c>
      <c r="F126" t="s">
        <v>829</v>
      </c>
      <c r="I126"/>
    </row>
    <row r="127" spans="3:9" hidden="1" x14ac:dyDescent="0.35">
      <c r="C127" s="46" t="s">
        <v>824</v>
      </c>
      <c r="D127" s="377">
        <f>2*D114/1000</f>
        <v>1.030875</v>
      </c>
      <c r="E127" s="353" t="s">
        <v>229</v>
      </c>
      <c r="F127" t="s">
        <v>834</v>
      </c>
      <c r="I127"/>
    </row>
    <row r="128" spans="3:9" hidden="1" x14ac:dyDescent="0.35">
      <c r="C128" t="s">
        <v>233</v>
      </c>
      <c r="D128" s="274">
        <v>0.8</v>
      </c>
      <c r="E128" t="s">
        <v>229</v>
      </c>
      <c r="F128" t="s">
        <v>831</v>
      </c>
      <c r="I128"/>
    </row>
    <row r="129" spans="3:9" hidden="1" x14ac:dyDescent="0.35">
      <c r="C129" t="s">
        <v>209</v>
      </c>
      <c r="D129" s="378">
        <f>12</f>
        <v>12</v>
      </c>
      <c r="E129"/>
      <c r="F129"/>
      <c r="I129"/>
    </row>
    <row r="130" spans="3:9" hidden="1" x14ac:dyDescent="0.35">
      <c r="C130" t="s">
        <v>826</v>
      </c>
      <c r="D130" s="378">
        <v>17</v>
      </c>
      <c r="E130"/>
      <c r="F130"/>
      <c r="I130"/>
    </row>
    <row r="131" spans="3:9" hidden="1" x14ac:dyDescent="0.35">
      <c r="C131" t="s">
        <v>830</v>
      </c>
      <c r="D131" s="378">
        <v>9</v>
      </c>
      <c r="E131"/>
      <c r="F131"/>
      <c r="I131"/>
    </row>
    <row r="132" spans="3:9" hidden="1" x14ac:dyDescent="0.35">
      <c r="C132" t="s">
        <v>827</v>
      </c>
      <c r="D132" s="92">
        <f>D129*D130/D125</f>
        <v>2.5499999999999998E-2</v>
      </c>
      <c r="E132" t="s">
        <v>229</v>
      </c>
      <c r="F132"/>
      <c r="I132"/>
    </row>
    <row r="133" spans="3:9" ht="29" hidden="1" x14ac:dyDescent="0.35">
      <c r="C133" s="75" t="s">
        <v>383</v>
      </c>
      <c r="D133" s="92">
        <f>(D130+4*D131)/D125</f>
        <v>6.6249999999999998E-3</v>
      </c>
      <c r="E133" t="s">
        <v>229</v>
      </c>
      <c r="F133"/>
      <c r="I133"/>
    </row>
    <row r="134" spans="3:9" hidden="1" x14ac:dyDescent="0.35">
      <c r="C134" t="s">
        <v>825</v>
      </c>
      <c r="D134" s="92">
        <f>D132+D128</f>
        <v>0.82550000000000001</v>
      </c>
      <c r="E134" t="s">
        <v>229</v>
      </c>
      <c r="F134"/>
      <c r="I134"/>
    </row>
    <row r="135" spans="3:9" hidden="1" x14ac:dyDescent="0.35">
      <c r="C135" t="s">
        <v>236</v>
      </c>
      <c r="D135" s="92">
        <f>0.04+(0.008+0.002*D161)/D8</f>
        <v>4.2755286728657416E-2</v>
      </c>
      <c r="E135" t="s">
        <v>229</v>
      </c>
      <c r="F135" t="s">
        <v>847</v>
      </c>
      <c r="I135"/>
    </row>
    <row r="136" spans="3:9" hidden="1" x14ac:dyDescent="0.35">
      <c r="C136" t="s">
        <v>241</v>
      </c>
      <c r="D136" s="377">
        <f>IF(D123="LHR",D127,D126)</f>
        <v>1.030875</v>
      </c>
      <c r="E136" t="s">
        <v>229</v>
      </c>
      <c r="F136"/>
      <c r="I136"/>
    </row>
    <row r="137" spans="3:9" hidden="1" x14ac:dyDescent="0.35">
      <c r="C137" t="s">
        <v>832</v>
      </c>
      <c r="D137" s="92">
        <f>D136+D135+D133</f>
        <v>1.0802552867286574</v>
      </c>
      <c r="E137" t="s">
        <v>229</v>
      </c>
      <c r="F137"/>
      <c r="I137"/>
    </row>
    <row r="138" spans="3:9" hidden="1" x14ac:dyDescent="0.35">
      <c r="C138" t="s">
        <v>238</v>
      </c>
      <c r="D138" s="325">
        <f>D137*D124</f>
        <v>2.1605105734573149</v>
      </c>
      <c r="E138" t="s">
        <v>229</v>
      </c>
      <c r="F138"/>
      <c r="I138"/>
    </row>
    <row r="139" spans="3:9" hidden="1" x14ac:dyDescent="0.35">
      <c r="C139" t="s">
        <v>250</v>
      </c>
      <c r="D139" s="325">
        <f>(D134)*D124</f>
        <v>1.651</v>
      </c>
      <c r="E139" t="s">
        <v>229</v>
      </c>
      <c r="F139"/>
      <c r="I139"/>
    </row>
    <row r="140" spans="3:9" hidden="1" x14ac:dyDescent="0.35">
      <c r="C140" t="s">
        <v>245</v>
      </c>
      <c r="D140" s="92">
        <f>0.45/D21</f>
        <v>0.15</v>
      </c>
      <c r="E140" t="s">
        <v>244</v>
      </c>
      <c r="F140"/>
      <c r="I140"/>
    </row>
    <row r="141" spans="3:9" hidden="1" x14ac:dyDescent="0.35">
      <c r="C141" t="s">
        <v>385</v>
      </c>
      <c r="D141" s="274">
        <v>3.1</v>
      </c>
      <c r="E141" t="s">
        <v>244</v>
      </c>
      <c r="F141"/>
      <c r="I141"/>
    </row>
    <row r="142" spans="3:9" hidden="1" x14ac:dyDescent="0.35">
      <c r="C142" t="s">
        <v>386</v>
      </c>
      <c r="D142" s="274">
        <f>D141+D140</f>
        <v>3.25</v>
      </c>
      <c r="E142" t="s">
        <v>244</v>
      </c>
      <c r="F142"/>
      <c r="I142"/>
    </row>
    <row r="143" spans="3:9" hidden="1" x14ac:dyDescent="0.35">
      <c r="C143" t="s">
        <v>247</v>
      </c>
      <c r="D143" s="96">
        <v>0.13500000000000001</v>
      </c>
      <c r="E143" t="s">
        <v>244</v>
      </c>
      <c r="F143"/>
      <c r="I143"/>
    </row>
    <row r="144" spans="3:9" hidden="1" x14ac:dyDescent="0.35">
      <c r="C144" t="s">
        <v>246</v>
      </c>
      <c r="D144" s="96">
        <v>2E-3</v>
      </c>
      <c r="E144" t="s">
        <v>244</v>
      </c>
      <c r="F144"/>
      <c r="I144"/>
    </row>
    <row r="145" spans="3:9" hidden="1" x14ac:dyDescent="0.35">
      <c r="C145" t="s">
        <v>1095</v>
      </c>
      <c r="D145" s="92">
        <f>1000-D138-D139</f>
        <v>996.18848942654279</v>
      </c>
      <c r="E145" t="s">
        <v>229</v>
      </c>
      <c r="F145"/>
      <c r="I145"/>
    </row>
    <row r="146" spans="3:9" hidden="1" x14ac:dyDescent="0.35">
      <c r="C146" s="46" t="s">
        <v>211</v>
      </c>
      <c r="D146" s="377">
        <f>D144*D145/1000</f>
        <v>1.9923769788530855E-3</v>
      </c>
      <c r="E146"/>
      <c r="F146"/>
      <c r="I146"/>
    </row>
    <row r="147" spans="3:9" hidden="1" x14ac:dyDescent="0.35">
      <c r="C147" s="46" t="s">
        <v>212</v>
      </c>
      <c r="D147" s="377">
        <f>D143*D139/1000</f>
        <v>2.2288500000000003E-4</v>
      </c>
      <c r="E147"/>
      <c r="F147"/>
      <c r="I147"/>
    </row>
    <row r="148" spans="3:9" hidden="1" x14ac:dyDescent="0.35">
      <c r="C148" s="46" t="s">
        <v>213</v>
      </c>
      <c r="D148" s="377">
        <f>D142*D138/1000</f>
        <v>7.0216593637362733E-3</v>
      </c>
      <c r="E148"/>
      <c r="F148"/>
      <c r="I148"/>
    </row>
    <row r="149" spans="3:9" x14ac:dyDescent="0.35">
      <c r="C149" s="203" t="s">
        <v>832</v>
      </c>
      <c r="D149" s="129">
        <f>INDEX(D126:D145,MATCH(C149,C126:C145,0))</f>
        <v>1.0802552867286574</v>
      </c>
      <c r="E149" t="str">
        <f>INDEX(E126:E145,MATCH(C149,C126:C145,0))</f>
        <v>ms</v>
      </c>
      <c r="F149"/>
      <c r="I149"/>
    </row>
    <row r="150" spans="3:9" ht="16.5" customHeight="1" x14ac:dyDescent="0.35">
      <c r="C150" s="374" t="s">
        <v>839</v>
      </c>
      <c r="D150" s="393">
        <f>1000*SUM(D146:D148)</f>
        <v>9.2369213425893584</v>
      </c>
      <c r="E150" s="5" t="s">
        <v>253</v>
      </c>
      <c r="F150" s="56"/>
      <c r="I150"/>
    </row>
    <row r="151" spans="3:9" ht="15.5" x14ac:dyDescent="0.35">
      <c r="C151" s="379" t="s">
        <v>1640</v>
      </c>
      <c r="D151" s="394">
        <f>1000*(D143*D145/1000+D147+D148)</f>
        <v>141.72999043631955</v>
      </c>
      <c r="E151" s="5" t="s">
        <v>253</v>
      </c>
      <c r="F151" s="56"/>
      <c r="I151"/>
    </row>
    <row r="152" spans="3:9" x14ac:dyDescent="0.35">
      <c r="D152"/>
      <c r="E152"/>
      <c r="F152"/>
      <c r="I152"/>
    </row>
    <row r="153" spans="3:9" ht="15.5" x14ac:dyDescent="0.35">
      <c r="C153" s="16" t="s">
        <v>801</v>
      </c>
      <c r="D153"/>
      <c r="E153" s="6"/>
      <c r="F153"/>
    </row>
    <row r="154" spans="3:9" hidden="1" x14ac:dyDescent="0.35">
      <c r="C154" s="56" t="s">
        <v>264</v>
      </c>
      <c r="D154" s="364">
        <f>D6</f>
        <v>220</v>
      </c>
      <c r="E154" s="6" t="s">
        <v>99</v>
      </c>
      <c r="F154"/>
    </row>
    <row r="155" spans="3:9" x14ac:dyDescent="0.35">
      <c r="C155" t="s">
        <v>261</v>
      </c>
      <c r="D155" s="21">
        <f>2^24-1</f>
        <v>16777215</v>
      </c>
      <c r="E155" s="6"/>
      <c r="F155"/>
    </row>
    <row r="156" spans="3:9" x14ac:dyDescent="0.35">
      <c r="C156" t="str">
        <f>IF(E156="dec","Output Code","Output Code                   0x")</f>
        <v>Output Code                   0x</v>
      </c>
      <c r="D156" s="41" t="s">
        <v>802</v>
      </c>
      <c r="E156" s="201" t="s">
        <v>347</v>
      </c>
      <c r="F156" s="5" t="s">
        <v>803</v>
      </c>
    </row>
    <row r="157" spans="3:9" hidden="1" x14ac:dyDescent="0.35">
      <c r="D157" s="123">
        <f>IF(E156="Hex",HEX2DEC(D156),D156)</f>
        <v>3256611</v>
      </c>
      <c r="E157" s="202" t="s">
        <v>360</v>
      </c>
      <c r="F157" s="5"/>
    </row>
    <row r="158" spans="3:9" x14ac:dyDescent="0.35">
      <c r="C158" t="str">
        <f>IF(E158="dec","Channel Offset","Channel Offset               0x")</f>
        <v>Channel Offset               0x</v>
      </c>
      <c r="D158" s="35">
        <v>0</v>
      </c>
      <c r="E158" s="201" t="s">
        <v>347</v>
      </c>
      <c r="F158" s="5" t="s">
        <v>263</v>
      </c>
    </row>
    <row r="159" spans="3:9" hidden="1" x14ac:dyDescent="0.35">
      <c r="D159" s="123">
        <f>IF(E158="Hex",HEX2DEC(D158),D158)</f>
        <v>0</v>
      </c>
      <c r="E159" s="6" t="s">
        <v>360</v>
      </c>
      <c r="F159" s="5"/>
    </row>
    <row r="160" spans="3:9" hidden="1" x14ac:dyDescent="0.35">
      <c r="C160" t="s">
        <v>269</v>
      </c>
      <c r="D160" s="364">
        <f>D101</f>
        <v>16</v>
      </c>
      <c r="E160" s="6" t="s">
        <v>0</v>
      </c>
      <c r="F160" s="312"/>
    </row>
    <row r="161" spans="3:6" x14ac:dyDescent="0.35">
      <c r="C161" t="s">
        <v>267</v>
      </c>
      <c r="D161" s="395">
        <f>D104</f>
        <v>2</v>
      </c>
      <c r="E161" s="6"/>
      <c r="F161" s="5" t="s">
        <v>848</v>
      </c>
    </row>
    <row r="162" spans="3:6" x14ac:dyDescent="0.35">
      <c r="C162" t="s">
        <v>804</v>
      </c>
      <c r="D162" s="20">
        <f>D161*(D160)*(D157/D155+D159/65536)</f>
        <v>6.2114929086859769</v>
      </c>
      <c r="E162" s="58" t="s">
        <v>0</v>
      </c>
      <c r="F162" s="55" t="str">
        <f>IF(D162&gt;10,"Note: This sensor frequency is higher than specified max"," ")</f>
        <v xml:space="preserve"> </v>
      </c>
    </row>
    <row r="163" spans="3:6" hidden="1" x14ac:dyDescent="0.35">
      <c r="C163" s="12"/>
      <c r="D163" s="62">
        <f>D154*0.000000000001</f>
        <v>2.1999999999999999E-10</v>
      </c>
      <c r="E163" s="18" t="s">
        <v>97</v>
      </c>
      <c r="F163" s="12"/>
    </row>
    <row r="164" spans="3:6" hidden="1" x14ac:dyDescent="0.35">
      <c r="C164" s="12"/>
      <c r="D164" s="63">
        <f>1/(D163*(D162*1000000*2*PI())^2)</f>
        <v>2.9841839823873213E-6</v>
      </c>
      <c r="E164" s="18" t="s">
        <v>1</v>
      </c>
      <c r="F164" s="12"/>
    </row>
    <row r="165" spans="3:6" ht="15.5" x14ac:dyDescent="0.35">
      <c r="C165" t="s">
        <v>278</v>
      </c>
      <c r="D165" s="37">
        <f>D164*1000000</f>
        <v>2.9841839823873215</v>
      </c>
      <c r="E165" s="17" t="s">
        <v>96</v>
      </c>
      <c r="F165"/>
    </row>
    <row r="166" spans="3:6" x14ac:dyDescent="0.35">
      <c r="D166"/>
      <c r="E166"/>
      <c r="F166"/>
    </row>
    <row r="167" spans="3:6" ht="17.5" x14ac:dyDescent="0.45">
      <c r="C167" s="16" t="s">
        <v>805</v>
      </c>
      <c r="D167"/>
      <c r="E167"/>
      <c r="F167"/>
    </row>
    <row r="168" spans="3:6" hidden="1" x14ac:dyDescent="0.35">
      <c r="C168" s="56" t="s">
        <v>98</v>
      </c>
      <c r="D168" s="365">
        <f>D98</f>
        <v>1536</v>
      </c>
      <c r="E168"/>
      <c r="F168" t="s">
        <v>361</v>
      </c>
    </row>
    <row r="169" spans="3:6" x14ac:dyDescent="0.35">
      <c r="C169" s="56" t="str">
        <f>IF(E169="decimal","Count Output","Count Output           0x")</f>
        <v>Count Output</v>
      </c>
      <c r="D169" s="35">
        <v>2638</v>
      </c>
      <c r="E169" s="201" t="s">
        <v>363</v>
      </c>
      <c r="F169" s="5" t="s">
        <v>806</v>
      </c>
    </row>
    <row r="170" spans="3:6" hidden="1" x14ac:dyDescent="0.35">
      <c r="C170" s="56"/>
      <c r="D170" s="96">
        <f>IF(E169="Hex",HEX2DEC(D169),D169)</f>
        <v>2638</v>
      </c>
      <c r="E170" s="6" t="s">
        <v>360</v>
      </c>
      <c r="F170"/>
    </row>
    <row r="171" spans="3:6" hidden="1" x14ac:dyDescent="0.35">
      <c r="C171" s="56" t="s">
        <v>19</v>
      </c>
      <c r="D171" s="364">
        <f>D101</f>
        <v>16</v>
      </c>
      <c r="E171" s="6" t="s">
        <v>0</v>
      </c>
      <c r="F171"/>
    </row>
    <row r="172" spans="3:6" x14ac:dyDescent="0.35">
      <c r="C172" s="56" t="s">
        <v>2</v>
      </c>
      <c r="D172" s="20">
        <f>D171*D168/(3*D170)</f>
        <v>3.1053828658074298</v>
      </c>
      <c r="E172" s="58" t="s">
        <v>0</v>
      </c>
      <c r="F172" s="55"/>
    </row>
    <row r="173" spans="3:6" hidden="1" x14ac:dyDescent="0.35">
      <c r="C173" s="56" t="s">
        <v>264</v>
      </c>
      <c r="D173" s="364">
        <f>D6</f>
        <v>220</v>
      </c>
      <c r="E173" s="6" t="s">
        <v>99</v>
      </c>
      <c r="F173"/>
    </row>
    <row r="174" spans="3:6" hidden="1" x14ac:dyDescent="0.35">
      <c r="C174" s="57"/>
      <c r="D174" s="62">
        <f>D173*0.000000000001</f>
        <v>2.1999999999999999E-10</v>
      </c>
      <c r="E174" s="18" t="s">
        <v>97</v>
      </c>
      <c r="F174" s="12"/>
    </row>
    <row r="175" spans="3:6" hidden="1" x14ac:dyDescent="0.35">
      <c r="C175" s="57"/>
      <c r="D175" s="63">
        <f>1/(D174*(D172*1000000*2*PI())^2)</f>
        <v>1.1939531278527409E-5</v>
      </c>
      <c r="E175" s="18" t="s">
        <v>1</v>
      </c>
      <c r="F175" s="12"/>
    </row>
    <row r="176" spans="3:6" x14ac:dyDescent="0.35">
      <c r="C176" s="56" t="s">
        <v>100</v>
      </c>
      <c r="D176" s="27">
        <f>D175*1000000</f>
        <v>11.93953127852741</v>
      </c>
      <c r="E176" s="17" t="s">
        <v>96</v>
      </c>
      <c r="F176"/>
    </row>
    <row r="177" spans="3:13" ht="14.15" hidden="1" customHeight="1" x14ac:dyDescent="0.35">
      <c r="C177" s="99" t="s">
        <v>337</v>
      </c>
      <c r="D177" s="123">
        <f>D21</f>
        <v>3</v>
      </c>
      <c r="E177" s="13" t="s">
        <v>340</v>
      </c>
      <c r="F177"/>
    </row>
    <row r="178" spans="3:13" hidden="1" x14ac:dyDescent="0.35">
      <c r="C178" s="99" t="s">
        <v>336</v>
      </c>
      <c r="D178" s="123">
        <f>D22</f>
        <v>6</v>
      </c>
      <c r="E178" s="13" t="s">
        <v>340</v>
      </c>
      <c r="F178"/>
    </row>
    <row r="179" spans="3:13" hidden="1" x14ac:dyDescent="0.35">
      <c r="C179" s="99" t="s">
        <v>342</v>
      </c>
      <c r="D179" s="123">
        <v>65535</v>
      </c>
      <c r="E179" s="15" t="s">
        <v>360</v>
      </c>
      <c r="F179"/>
    </row>
    <row r="180" spans="3:13" x14ac:dyDescent="0.35">
      <c r="C180" s="99" t="str">
        <f>IF(E180="Hex","RP Data Output                0x","RP Data Output")</f>
        <v>RP Data Output                0x</v>
      </c>
      <c r="D180" s="41" t="s">
        <v>384</v>
      </c>
      <c r="E180" s="201" t="s">
        <v>347</v>
      </c>
      <c r="F180" s="5" t="s">
        <v>807</v>
      </c>
    </row>
    <row r="181" spans="3:13" hidden="1" x14ac:dyDescent="0.35">
      <c r="C181" s="99" t="s">
        <v>344</v>
      </c>
      <c r="D181" s="96">
        <f>IF(E180="Decimal",D180,HEX2DEC(D180))</f>
        <v>13297</v>
      </c>
      <c r="E181" s="6" t="s">
        <v>360</v>
      </c>
      <c r="F181"/>
    </row>
    <row r="182" spans="3:13" ht="16.5" x14ac:dyDescent="0.45">
      <c r="C182" s="114" t="s">
        <v>364</v>
      </c>
      <c r="D182" s="76">
        <f>(D177*D178)/(D178*(1-D181/65535)+D177*(D181/65535))</f>
        <v>3.3387109099708758</v>
      </c>
      <c r="E182" s="13" t="s">
        <v>340</v>
      </c>
      <c r="F182"/>
    </row>
    <row r="184" spans="3:13" hidden="1" x14ac:dyDescent="0.35"/>
    <row r="185" spans="3:13" hidden="1" x14ac:dyDescent="0.35"/>
    <row r="186" spans="3:13" hidden="1" x14ac:dyDescent="0.35"/>
    <row r="187" spans="3:13" hidden="1" x14ac:dyDescent="0.35">
      <c r="D187"/>
      <c r="E187"/>
      <c r="F187"/>
      <c r="I187"/>
      <c r="J187" s="140"/>
      <c r="K187" s="140"/>
      <c r="L187" s="140"/>
      <c r="M187" s="140"/>
    </row>
    <row r="188" spans="3:13" hidden="1" x14ac:dyDescent="0.35">
      <c r="D188"/>
      <c r="E188"/>
      <c r="F188"/>
      <c r="I188"/>
      <c r="J188" s="140"/>
      <c r="K188" s="140"/>
      <c r="L188" s="140"/>
      <c r="M188" s="140"/>
    </row>
    <row r="189" spans="3:13" hidden="1" x14ac:dyDescent="0.35">
      <c r="D189"/>
      <c r="E189"/>
      <c r="F189"/>
      <c r="I189"/>
      <c r="J189" s="140"/>
      <c r="K189" s="140"/>
      <c r="L189" s="140"/>
      <c r="M189" s="140"/>
    </row>
    <row r="190" spans="3:13" hidden="1" x14ac:dyDescent="0.35">
      <c r="D190"/>
      <c r="E190"/>
      <c r="F190"/>
      <c r="I190"/>
      <c r="J190" s="140"/>
      <c r="K190" s="140"/>
      <c r="L190" s="140"/>
      <c r="M190" s="140"/>
    </row>
    <row r="191" spans="3:13" ht="18.5" hidden="1" x14ac:dyDescent="0.45">
      <c r="C191" s="3"/>
      <c r="D191"/>
      <c r="E191"/>
      <c r="F191"/>
      <c r="I191"/>
      <c r="J191" s="140"/>
      <c r="K191" s="140"/>
      <c r="L191" s="140"/>
      <c r="M191" s="140"/>
    </row>
    <row r="192" spans="3:13" ht="15.5" x14ac:dyDescent="0.35">
      <c r="C192" s="382" t="s">
        <v>841</v>
      </c>
      <c r="D192"/>
      <c r="E192"/>
      <c r="F192"/>
      <c r="I192"/>
      <c r="J192" s="140"/>
      <c r="K192" s="140"/>
      <c r="L192" s="140"/>
      <c r="M192" s="140"/>
    </row>
    <row r="193" spans="3:13" x14ac:dyDescent="0.35">
      <c r="C193" t="s">
        <v>206</v>
      </c>
      <c r="D193" s="35">
        <v>0.7</v>
      </c>
      <c r="E193" t="s">
        <v>16</v>
      </c>
      <c r="F193"/>
      <c r="I193"/>
      <c r="J193" s="140"/>
      <c r="K193" s="140"/>
      <c r="L193" s="140"/>
      <c r="M193" s="140"/>
    </row>
    <row r="194" spans="3:13" hidden="1" x14ac:dyDescent="0.35">
      <c r="C194" s="2"/>
      <c r="D194" s="271">
        <v>299790000</v>
      </c>
      <c r="E194" s="2"/>
      <c r="F194"/>
      <c r="I194"/>
      <c r="J194" s="140"/>
      <c r="K194" s="140"/>
      <c r="L194" s="140"/>
      <c r="M194" s="140"/>
    </row>
    <row r="195" spans="3:13" hidden="1" x14ac:dyDescent="0.35">
      <c r="C195" t="s">
        <v>840</v>
      </c>
      <c r="D195" s="381">
        <f>D102</f>
        <v>4.3626718781453206</v>
      </c>
      <c r="E195" t="s">
        <v>0</v>
      </c>
      <c r="F195"/>
      <c r="I195"/>
      <c r="J195" s="140"/>
      <c r="K195" s="140"/>
      <c r="L195" s="140"/>
      <c r="M195" s="140"/>
    </row>
    <row r="196" spans="3:13" hidden="1" x14ac:dyDescent="0.35">
      <c r="C196" s="2"/>
      <c r="D196" s="61">
        <v>5</v>
      </c>
      <c r="E196" s="101"/>
      <c r="F196"/>
      <c r="I196"/>
      <c r="J196" s="140"/>
      <c r="K196" s="140"/>
      <c r="L196" s="140"/>
      <c r="M196" s="140"/>
    </row>
    <row r="197" spans="3:13" hidden="1" x14ac:dyDescent="0.35">
      <c r="C197" s="2"/>
      <c r="D197" s="61">
        <v>20</v>
      </c>
      <c r="E197" s="101"/>
      <c r="F197"/>
      <c r="I197"/>
      <c r="J197" s="140"/>
      <c r="K197" s="140"/>
      <c r="L197" s="140"/>
      <c r="M197" s="140"/>
    </row>
    <row r="198" spans="3:13" hidden="1" x14ac:dyDescent="0.35">
      <c r="C198" s="2"/>
      <c r="D198" s="61">
        <f>D197/360/(D195*1000000)</f>
        <v>1.2734296116528844E-8</v>
      </c>
      <c r="E198" s="101"/>
      <c r="F198"/>
      <c r="I198"/>
      <c r="J198" s="140"/>
      <c r="K198" s="140"/>
      <c r="L198" s="140"/>
      <c r="M198" s="140"/>
    </row>
    <row r="199" spans="3:13" hidden="1" x14ac:dyDescent="0.35">
      <c r="C199" s="2"/>
      <c r="D199" s="61">
        <f>(D198-(D196*0.000000001))/2</f>
        <v>3.8671480582644219E-9</v>
      </c>
      <c r="E199" s="2"/>
      <c r="F199"/>
      <c r="I199"/>
      <c r="J199" s="140"/>
      <c r="K199" s="140"/>
      <c r="L199" s="140"/>
      <c r="M199" s="140"/>
    </row>
    <row r="200" spans="3:13" ht="15.5" x14ac:dyDescent="0.35">
      <c r="C200" s="1" t="s">
        <v>5</v>
      </c>
      <c r="D200" s="37">
        <f>MAX(50*D199*D193*D194,1)</f>
        <v>40.576631073548178</v>
      </c>
      <c r="E200" t="s">
        <v>3</v>
      </c>
      <c r="F200"/>
      <c r="I200"/>
      <c r="J200" s="140"/>
      <c r="K200" s="140"/>
      <c r="L200" s="140"/>
      <c r="M200" s="140"/>
    </row>
    <row r="201" spans="3:13" x14ac:dyDescent="0.35">
      <c r="C201" t="s">
        <v>842</v>
      </c>
      <c r="D201"/>
      <c r="E201"/>
      <c r="F201"/>
      <c r="I201"/>
      <c r="J201" s="140"/>
      <c r="K201" s="140"/>
      <c r="L201" s="140"/>
      <c r="M201" s="140"/>
    </row>
    <row r="202" spans="3:13" x14ac:dyDescent="0.35">
      <c r="C202" t="s">
        <v>843</v>
      </c>
      <c r="D202"/>
      <c r="E202"/>
      <c r="F202"/>
      <c r="I202"/>
      <c r="J202" s="140"/>
      <c r="K202" s="140"/>
      <c r="L202" s="140"/>
      <c r="M202" s="140"/>
    </row>
    <row r="203" spans="3:13" x14ac:dyDescent="0.35">
      <c r="C203" t="s">
        <v>217</v>
      </c>
      <c r="D203"/>
      <c r="E203"/>
      <c r="F203"/>
      <c r="I203"/>
      <c r="J203" s="140"/>
      <c r="K203" s="140"/>
      <c r="L203" s="140"/>
      <c r="M203" s="140"/>
    </row>
    <row r="204" spans="3:13" x14ac:dyDescent="0.35">
      <c r="C204" s="68" t="s">
        <v>11</v>
      </c>
      <c r="D204"/>
      <c r="E204"/>
      <c r="F204"/>
      <c r="I204"/>
      <c r="J204" s="140"/>
      <c r="K204" s="140"/>
      <c r="L204" s="140"/>
      <c r="M204" s="140"/>
    </row>
    <row r="205" spans="3:13" x14ac:dyDescent="0.35">
      <c r="C205" s="68" t="s">
        <v>203</v>
      </c>
      <c r="D205"/>
      <c r="E205"/>
      <c r="F205"/>
      <c r="I205"/>
      <c r="J205" s="140"/>
      <c r="K205" s="140"/>
      <c r="L205" s="140"/>
      <c r="M205" s="140"/>
    </row>
    <row r="206" spans="3:13" x14ac:dyDescent="0.35">
      <c r="C206" s="68" t="s">
        <v>12</v>
      </c>
      <c r="D206"/>
      <c r="E206"/>
      <c r="F206"/>
      <c r="I206"/>
      <c r="J206" s="140"/>
      <c r="K206" s="140"/>
      <c r="L206" s="140"/>
      <c r="M206" s="140"/>
    </row>
    <row r="207" spans="3:13" x14ac:dyDescent="0.35">
      <c r="C207" s="68" t="s">
        <v>95</v>
      </c>
      <c r="D207"/>
      <c r="E207"/>
      <c r="F207"/>
      <c r="I207"/>
      <c r="J207" s="140"/>
      <c r="K207" s="140"/>
      <c r="L207" s="140"/>
      <c r="M207" s="140"/>
    </row>
    <row r="208" spans="3:13" x14ac:dyDescent="0.35">
      <c r="D208"/>
      <c r="E208"/>
      <c r="F208"/>
      <c r="I208"/>
      <c r="J208" s="140"/>
      <c r="K208" s="140"/>
      <c r="L208" s="140"/>
      <c r="M208" s="140"/>
    </row>
    <row r="209" spans="3:13" x14ac:dyDescent="0.35">
      <c r="D209"/>
      <c r="E209"/>
      <c r="F209"/>
      <c r="I209"/>
      <c r="J209" s="140"/>
      <c r="K209" s="140"/>
      <c r="L209" s="140"/>
      <c r="M209" s="140"/>
    </row>
    <row r="210" spans="3:13" x14ac:dyDescent="0.35">
      <c r="D210"/>
      <c r="E210"/>
      <c r="F210"/>
      <c r="I210"/>
      <c r="J210" s="140"/>
      <c r="K210" s="140"/>
      <c r="L210" s="140"/>
      <c r="M210" s="140"/>
    </row>
    <row r="211" spans="3:13" x14ac:dyDescent="0.35">
      <c r="D211"/>
      <c r="E211"/>
      <c r="F211"/>
      <c r="I211"/>
      <c r="J211" s="140"/>
      <c r="K211" s="140"/>
      <c r="L211" s="140"/>
      <c r="M211" s="140"/>
    </row>
    <row r="212" spans="3:13" x14ac:dyDescent="0.35">
      <c r="D212"/>
      <c r="E212"/>
      <c r="F212"/>
      <c r="I212"/>
      <c r="J212" s="140"/>
      <c r="K212" s="140"/>
      <c r="L212" s="140"/>
      <c r="M212" s="140"/>
    </row>
    <row r="213" spans="3:13" x14ac:dyDescent="0.35">
      <c r="D213"/>
      <c r="E213"/>
      <c r="F213"/>
      <c r="I213"/>
      <c r="J213" s="140"/>
      <c r="K213" s="140"/>
      <c r="L213" s="140"/>
      <c r="M213" s="140"/>
    </row>
    <row r="214" spans="3:13" x14ac:dyDescent="0.35">
      <c r="C214" s="1"/>
      <c r="D214"/>
      <c r="E214"/>
      <c r="F214"/>
      <c r="I214"/>
      <c r="J214" s="140"/>
      <c r="K214" s="140"/>
      <c r="L214" s="140"/>
      <c r="M214" s="140"/>
    </row>
    <row r="215" spans="3:13" x14ac:dyDescent="0.35">
      <c r="C215" s="223"/>
      <c r="D215"/>
      <c r="E215"/>
      <c r="F215"/>
      <c r="I215"/>
      <c r="J215" s="140"/>
      <c r="K215" s="140"/>
      <c r="L215" s="140"/>
      <c r="M215" s="140"/>
    </row>
    <row r="216" spans="3:13" x14ac:dyDescent="0.35">
      <c r="C216" s="140"/>
      <c r="D216" s="140"/>
      <c r="E216" s="140"/>
      <c r="F216" s="140"/>
      <c r="G216" s="140"/>
      <c r="H216" s="140"/>
      <c r="I216" s="270"/>
      <c r="J216" s="270"/>
      <c r="K216" s="140"/>
      <c r="L216" s="140"/>
      <c r="M216" s="140"/>
    </row>
  </sheetData>
  <sheetProtection algorithmName="SHA-512" hashValue="fin7xRbJFbr5IIPGBfE+KJ5ktZfcV9IzVtzZufBAQmCaFddllk4958Hswk3q1nwWkJgT6iDkbF7G0KDSA25cJw==" saltValue="VfCmlPYdcPWhUwM6iyrPIw==" spinCount="100000" sheet="1" objects="1" scenarios="1"/>
  <conditionalFormatting sqref="D22">
    <cfRule type="cellIs" dxfId="19" priority="6" operator="greaterThan">
      <formula>$D$21</formula>
    </cfRule>
  </conditionalFormatting>
  <conditionalFormatting sqref="D160">
    <cfRule type="cellIs" dxfId="18" priority="3" operator="greaterThan">
      <formula>42</formula>
    </cfRule>
    <cfRule type="cellIs" dxfId="17" priority="4" operator="greaterThan">
      <formula>40</formula>
    </cfRule>
  </conditionalFormatting>
  <conditionalFormatting sqref="E124">
    <cfRule type="expression" dxfId="16" priority="1">
      <formula>$D$39&lt;0</formula>
    </cfRule>
  </conditionalFormatting>
  <conditionalFormatting sqref="F6:F7 F9:F18 F21:F30 F33:F34 F36:F37 F39:F45 F98:F100 F105:F106">
    <cfRule type="cellIs" dxfId="15" priority="14" operator="equal">
      <formula>"too small"</formula>
    </cfRule>
    <cfRule type="cellIs" dxfId="14" priority="15" operator="equal">
      <formula>"too large"</formula>
    </cfRule>
  </conditionalFormatting>
  <conditionalFormatting sqref="F6:F7 F9:F18 F21:F30 F98:F100 F105:F106">
    <cfRule type="cellIs" dxfId="13" priority="17" operator="equal">
      <formula>"in range"</formula>
    </cfRule>
  </conditionalFormatting>
  <conditionalFormatting sqref="F8">
    <cfRule type="cellIs" dxfId="12" priority="10" operator="equal">
      <formula>"In range"</formula>
    </cfRule>
    <cfRule type="cellIs" dxfId="11" priority="11" operator="equal">
      <formula>"too low"</formula>
    </cfRule>
    <cfRule type="cellIs" dxfId="10" priority="12" operator="equal">
      <formula>"too high"</formula>
    </cfRule>
  </conditionalFormatting>
  <conditionalFormatting sqref="F33:F34 F36:F37">
    <cfRule type="cellIs" dxfId="9" priority="16" operator="equal">
      <formula>"in range"</formula>
    </cfRule>
  </conditionalFormatting>
  <conditionalFormatting sqref="F35">
    <cfRule type="cellIs" dxfId="8" priority="7" operator="equal">
      <formula>"In Range"</formula>
    </cfRule>
    <cfRule type="cellIs" dxfId="7" priority="8" operator="equal">
      <formula>"too high"</formula>
    </cfRule>
    <cfRule type="cellIs" dxfId="6" priority="9" operator="equal">
      <formula>"too low"</formula>
    </cfRule>
  </conditionalFormatting>
  <conditionalFormatting sqref="F39:F45">
    <cfRule type="cellIs" dxfId="5" priority="13" operator="equal">
      <formula>"in range"</formula>
    </cfRule>
  </conditionalFormatting>
  <conditionalFormatting sqref="F107">
    <cfRule type="expression" dxfId="4" priority="5">
      <formula>$D$109</formula>
    </cfRule>
  </conditionalFormatting>
  <dataValidations count="28">
    <dataValidation type="list" allowBlank="1" showInputMessage="1" showErrorMessage="1" sqref="D21:D22" xr:uid="{00000000-0002-0000-0900-000000000000}">
      <formula1>$C$68:$C$75</formula1>
    </dataValidation>
    <dataValidation errorStyle="warning" allowBlank="1" showInputMessage="1" showErrorMessage="1" errorTitle="Invalid Reference Count" error="The LDC131x/161x minimum reference count is 48 and the maximum reference count is 1048560." sqref="D112" xr:uid="{00000000-0002-0000-0900-000001000000}"/>
    <dataValidation allowBlank="1" showInputMessage="1" showErrorMessage="1" errorTitle="Invalid RCount" error="Rcount is restricted to the range of 3 to 65535 (0x0003 to 0xFFFF)." sqref="D107" xr:uid="{00000000-0002-0000-0900-000002000000}"/>
    <dataValidation type="list" allowBlank="1" showInputMessage="1" showErrorMessage="1" sqref="E107" xr:uid="{00000000-0002-0000-0900-000003000000}">
      <formula1>"hex,decimal"</formula1>
    </dataValidation>
    <dataValidation type="list" allowBlank="1" showInputMessage="1" showErrorMessage="1" sqref="D98" xr:uid="{00000000-0002-0000-0900-000004000000}">
      <formula1>"192,384,768, 1536,3072,6144"</formula1>
    </dataValidation>
    <dataValidation type="decimal" errorStyle="warning" allowBlank="1" showInputMessage="1" showErrorMessage="1" errorTitle="Fref Invalid" error="This Reference frequency is outside the LDC1101 specified range of 1MHz to 16MHz." sqref="D101" xr:uid="{00000000-0002-0000-0900-000005000000}">
      <formula1>1</formula1>
      <formula2>16</formula2>
    </dataValidation>
    <dataValidation allowBlank="1" showInputMessage="1" showErrorMessage="1" errorTitle="Invalid Number of Channels" error="LDC1312 &amp; LDC1612 maximum setting is 2 channels. _x000a_LDC1314 &amp; LDC1614 maximum setting is 4 channels." sqref="D113:D116" xr:uid="{00000000-0002-0000-0900-000006000000}"/>
    <dataValidation type="decimal" allowBlank="1" showInputMessage="1" showErrorMessage="1" sqref="D157" xr:uid="{00000000-0002-0000-0900-000007000000}">
      <formula1>0</formula1>
      <formula2>D155</formula2>
    </dataValidation>
    <dataValidation type="list" allowBlank="1" showInputMessage="1" showErrorMessage="1" sqref="E169 E156 E158" xr:uid="{00000000-0002-0000-0900-000008000000}">
      <formula1>"Hex,decimal"</formula1>
    </dataValidation>
    <dataValidation errorStyle="warning" allowBlank="1" showInputMessage="1" showErrorMessage="1" errorTitle="Invalid Output Code" error="The output code entered exceeds the maximum output code for the device." sqref="D180" xr:uid="{00000000-0002-0000-0900-000009000000}"/>
    <dataValidation type="list" allowBlank="1" showInputMessage="1" showErrorMessage="1" sqref="E180" xr:uid="{00000000-0002-0000-0900-00000A000000}">
      <formula1>"Hex,Decimal"</formula1>
    </dataValidation>
    <dataValidation type="whole" errorStyle="warning" allowBlank="1" showInputMessage="1" showErrorMessage="1" errorTitle="Invalid Output Code" error="The output code entered exceeds the maximum output code for the device." sqref="D181" xr:uid="{00000000-0002-0000-0900-00000B000000}">
      <formula1>0</formula1>
      <formula2>#REF!</formula2>
    </dataValidation>
    <dataValidation type="list" allowBlank="1" showInputMessage="1" showErrorMessage="1" sqref="D177:D178" xr:uid="{00000000-0002-0000-0900-00000C000000}">
      <formula1>$C$86:$C$117</formula1>
    </dataValidation>
    <dataValidation type="whole" allowBlank="1" showInputMessage="1" showErrorMessage="1" sqref="D169:D170 D159" xr:uid="{00000000-0002-0000-0900-00000D000000}">
      <formula1>0</formula1>
      <formula2>20000000</formula2>
    </dataValidation>
    <dataValidation allowBlank="1" showInputMessage="1" showErrorMessage="1" errorTitle="Invalid Output Code" error="The output code must be between 0 and the full-scale output code." sqref="D156" xr:uid="{00000000-0002-0000-0900-00000E000000}"/>
    <dataValidation errorStyle="warning" operator="lessThanOrEqual" allowBlank="1" showInputMessage="1" showErrorMessage="1" errorTitle="Frequency too High" error="The Multichannel LDC devices have a FIN divider between 1 and 15." sqref="D161" xr:uid="{00000000-0002-0000-0900-00000F000000}"/>
    <dataValidation type="decimal" allowBlank="1" showInputMessage="1" showErrorMessage="1" errorTitle="Invalid setting" error="The Offset register programmed value can only be between 0 and 65535." sqref="D158" xr:uid="{00000000-0002-0000-0900-000010000000}">
      <formula1>0</formula1>
      <formula2>65535</formula2>
    </dataValidation>
    <dataValidation type="decimal" errorStyle="warning" operator="lessThanOrEqual" allowBlank="1" showInputMessage="1" showErrorMessage="1" errorTitle="Frequency too High" error="This exceeds the maximum CLKIN frequency." sqref="D160" xr:uid="{00000000-0002-0000-0900-000011000000}">
      <formula1>#REF!</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154 D173" xr:uid="{00000000-0002-0000-0900-000012000000}">
      <formula1>80</formula1>
    </dataValidation>
    <dataValidation type="decimal" errorStyle="warning" allowBlank="1" showInputMessage="1" showErrorMessage="1" errorTitle="Frequency too High" error="Entered frequency exceeds maximum specified Reference freuqency." sqref="D171" xr:uid="{00000000-0002-0000-0900-000013000000}">
      <formula1>1</formula1>
      <formula2>#REF!</formula2>
    </dataValidation>
    <dataValidation type="list" allowBlank="1" showInputMessage="1" showErrorMessage="1" sqref="D168" xr:uid="{00000000-0002-0000-0900-000014000000}">
      <formula1>"192,384,768,1536,3072,6144"</formula1>
    </dataValidation>
    <dataValidation type="list" allowBlank="1" showInputMessage="1" showErrorMessage="1" sqref="E12:E13" xr:uid="{00000000-0002-0000-0900-000015000000}">
      <formula1>"mm, mil"</formula1>
    </dataValidation>
    <dataValidation type="list" allowBlank="1" showInputMessage="1" showErrorMessage="1" sqref="D123" xr:uid="{00000000-0002-0000-0900-000016000000}">
      <formula1>"LHR,RP+L"</formula1>
    </dataValidation>
    <dataValidation type="decimal" errorStyle="information" allowBlank="1" showInputMessage="1" showErrorMessage="1" errorTitle="Sample Rate out of bounds" error="The sample rate is either extremely low - use the shutdown mode, or the sample rate needed cannot use the low power modes." sqref="D124" xr:uid="{00000000-0002-0000-0900-000017000000}">
      <formula1>0.1</formula1>
      <formula2>1000</formula2>
    </dataValidation>
    <dataValidation type="decimal" errorStyle="warning" allowBlank="1" showInputMessage="1" showErrorMessage="1" errorTitle="Sensor Frequency too high" error="The Sensor frequency cannot exceed the IC Max Frequency" sqref="D195" xr:uid="{00000000-0002-0000-0900-000018000000}">
      <formula1>#REF!</formula1>
      <formula2>#REF!</formula2>
    </dataValidation>
    <dataValidation type="decimal" allowBlank="1" showInputMessage="1" showErrorMessage="1" sqref="D193" xr:uid="{00000000-0002-0000-0900-000019000000}">
      <formula1>0.000001</formula1>
      <formula2>1</formula2>
    </dataValidation>
    <dataValidation type="list" allowBlank="1" showInputMessage="1" showErrorMessage="1" sqref="C9" xr:uid="{00000000-0002-0000-0900-00001A000000}">
      <formula1>"Sensor Rs, Sensor Rp"</formula1>
    </dataValidation>
    <dataValidation type="list" allowBlank="1" showInputMessage="1" showErrorMessage="1" sqref="C149" xr:uid="{00000000-0002-0000-0900-00001B000000}">
      <formula1>$C$126:$C$145</formula1>
    </dataValidation>
  </dataValidations>
  <hyperlinks>
    <hyperlink ref="H2" location="Contents!A1" display="Return to Main Page" xr:uid="{00000000-0004-0000-0900-000000000000}"/>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tint="0.59999389629810485"/>
  </sheetPr>
  <dimension ref="A2:Q142"/>
  <sheetViews>
    <sheetView showGridLines="0" showRowColHeaders="0" workbookViewId="0">
      <selection activeCell="D9" sqref="D9"/>
    </sheetView>
  </sheetViews>
  <sheetFormatPr defaultRowHeight="14.5" x14ac:dyDescent="0.35"/>
  <cols>
    <col min="1" max="1" width="7.26953125" customWidth="1"/>
    <col min="2" max="2" width="4.7265625" customWidth="1"/>
    <col min="3" max="3" width="23.26953125" customWidth="1"/>
    <col min="4" max="4" width="14.26953125" customWidth="1"/>
    <col min="5" max="5" width="7.7265625" customWidth="1"/>
    <col min="6" max="6" width="43.54296875" customWidth="1"/>
    <col min="9" max="9" width="11.81640625" bestFit="1" customWidth="1"/>
  </cols>
  <sheetData>
    <row r="2" spans="2:6" ht="18.5" x14ac:dyDescent="0.45">
      <c r="B2" s="3" t="s">
        <v>1067</v>
      </c>
      <c r="F2" s="14" t="s">
        <v>198</v>
      </c>
    </row>
    <row r="3" spans="2:6" x14ac:dyDescent="0.35">
      <c r="C3" t="s">
        <v>335</v>
      </c>
    </row>
    <row r="4" spans="2:6" x14ac:dyDescent="0.35">
      <c r="E4" s="6"/>
    </row>
    <row r="5" spans="2:6" x14ac:dyDescent="0.35">
      <c r="E5" s="6"/>
    </row>
    <row r="6" spans="2:6" ht="15.5" x14ac:dyDescent="0.35">
      <c r="B6" s="16" t="s">
        <v>1071</v>
      </c>
      <c r="D6" s="4"/>
      <c r="E6" s="5"/>
    </row>
    <row r="7" spans="2:6" ht="15.5" hidden="1" x14ac:dyDescent="0.35">
      <c r="C7" t="s">
        <v>15</v>
      </c>
      <c r="D7" s="209" t="s">
        <v>1064</v>
      </c>
      <c r="E7" s="5"/>
      <c r="F7" t="s">
        <v>1065</v>
      </c>
    </row>
    <row r="8" spans="2:6" ht="15.5" x14ac:dyDescent="0.35">
      <c r="C8" t="s">
        <v>379</v>
      </c>
      <c r="D8" s="301">
        <f>IF(D7="LDC1101",16,8)</f>
        <v>8</v>
      </c>
      <c r="E8" s="5" t="s">
        <v>0</v>
      </c>
    </row>
    <row r="9" spans="2:6" ht="15.5" x14ac:dyDescent="0.35">
      <c r="C9" t="s">
        <v>17</v>
      </c>
      <c r="D9" s="206">
        <v>8</v>
      </c>
      <c r="E9" s="5" t="s">
        <v>0</v>
      </c>
    </row>
    <row r="10" spans="2:6" hidden="1" x14ac:dyDescent="0.35">
      <c r="D10" s="67">
        <f>D9*1000000</f>
        <v>8000000</v>
      </c>
      <c r="E10" s="70" t="s">
        <v>1</v>
      </c>
    </row>
    <row r="11" spans="2:6" ht="15.5" x14ac:dyDescent="0.35">
      <c r="C11" s="72" t="s">
        <v>278</v>
      </c>
      <c r="D11" s="207">
        <v>32.979999999999997</v>
      </c>
      <c r="E11" s="71" t="s">
        <v>96</v>
      </c>
    </row>
    <row r="12" spans="2:6" ht="15.5" x14ac:dyDescent="0.35">
      <c r="C12" s="73" t="s">
        <v>264</v>
      </c>
      <c r="D12" s="207">
        <v>10000</v>
      </c>
      <c r="E12" s="69" t="s">
        <v>27</v>
      </c>
    </row>
    <row r="13" spans="2:6" ht="15.5" x14ac:dyDescent="0.35">
      <c r="C13" s="74" t="s">
        <v>279</v>
      </c>
      <c r="D13" s="43">
        <f>1000/(2*PI()*SQRT(D12*D11))</f>
        <v>0.27713718796629278</v>
      </c>
      <c r="E13" s="69" t="s">
        <v>0</v>
      </c>
    </row>
    <row r="14" spans="2:6" ht="15.5" hidden="1" x14ac:dyDescent="0.35">
      <c r="C14" t="s">
        <v>380</v>
      </c>
      <c r="D14" s="120">
        <f>IF(D7="LDC1101",10,5)</f>
        <v>5</v>
      </c>
      <c r="E14" s="69" t="s">
        <v>0</v>
      </c>
    </row>
    <row r="15" spans="2:6" ht="29" x14ac:dyDescent="0.35">
      <c r="C15" s="75" t="s">
        <v>280</v>
      </c>
      <c r="D15" s="208">
        <f>D13</f>
        <v>0.27713718796629278</v>
      </c>
      <c r="E15" s="5" t="s">
        <v>0</v>
      </c>
    </row>
    <row r="16" spans="2:6" ht="15.5" x14ac:dyDescent="0.35">
      <c r="C16" t="s">
        <v>18</v>
      </c>
      <c r="D16" s="205">
        <v>6144</v>
      </c>
      <c r="E16" s="5" t="s">
        <v>166</v>
      </c>
    </row>
    <row r="17" spans="2:9" ht="15.5" x14ac:dyDescent="0.35">
      <c r="C17" t="s">
        <v>282</v>
      </c>
      <c r="D17" s="77">
        <f>IF((1/D15*D16/3)&gt;3000,0.001/D15*D16/3,1/D15*D16/3)</f>
        <v>7.3898418867160158</v>
      </c>
      <c r="E17" s="49" t="str">
        <f>IF((1/D15*D16/3)&gt;3000,"ms","µs")</f>
        <v>ms</v>
      </c>
    </row>
    <row r="18" spans="2:9" ht="15.5" x14ac:dyDescent="0.35">
      <c r="C18" t="s">
        <v>201</v>
      </c>
      <c r="D18" s="76">
        <f>1000/D17</f>
        <v>135.3208925616664</v>
      </c>
      <c r="E18" s="49" t="str">
        <f>IF(E17="µs","ksps","sps")</f>
        <v>sps</v>
      </c>
      <c r="I18" s="299"/>
    </row>
    <row r="19" spans="2:9" ht="15.5" x14ac:dyDescent="0.35">
      <c r="C19" t="s">
        <v>285</v>
      </c>
      <c r="D19" s="37">
        <f>LOG(D16/3*D9/D15,2)</f>
        <v>15.851327781416328</v>
      </c>
      <c r="E19" s="5" t="s">
        <v>281</v>
      </c>
    </row>
    <row r="20" spans="2:9" x14ac:dyDescent="0.35">
      <c r="C20" t="s">
        <v>1543</v>
      </c>
      <c r="D20" s="595">
        <f>CEILING(68.94*LOG(D15:D15/0.0025,10),1)</f>
        <v>141</v>
      </c>
      <c r="E20" s="6"/>
    </row>
    <row r="22" spans="2:9" x14ac:dyDescent="0.35">
      <c r="B22" s="1" t="s">
        <v>1074</v>
      </c>
    </row>
    <row r="23" spans="2:9" ht="15.5" x14ac:dyDescent="0.35">
      <c r="B23" s="16"/>
      <c r="C23" t="s">
        <v>1069</v>
      </c>
    </row>
    <row r="24" spans="2:9" ht="15.5" x14ac:dyDescent="0.35">
      <c r="B24" s="16"/>
    </row>
    <row r="25" spans="2:9" ht="15.5" hidden="1" x14ac:dyDescent="0.35">
      <c r="B25" s="16"/>
      <c r="C25" t="s">
        <v>15</v>
      </c>
      <c r="D25" s="211" t="s">
        <v>1066</v>
      </c>
      <c r="F25" t="s">
        <v>1065</v>
      </c>
    </row>
    <row r="26" spans="2:9" x14ac:dyDescent="0.35">
      <c r="C26" s="56" t="s">
        <v>98</v>
      </c>
      <c r="D26" s="35">
        <v>6144</v>
      </c>
      <c r="F26" t="s">
        <v>361</v>
      </c>
    </row>
    <row r="27" spans="2:9" x14ac:dyDescent="0.35">
      <c r="C27" s="56" t="str">
        <f>IF(E27="decimal","Count Output","Count Output           0x")</f>
        <v>Count Output</v>
      </c>
      <c r="D27" s="35">
        <v>7154</v>
      </c>
      <c r="E27" s="201" t="s">
        <v>363</v>
      </c>
      <c r="F27" t="s">
        <v>167</v>
      </c>
    </row>
    <row r="28" spans="2:9" hidden="1" x14ac:dyDescent="0.35">
      <c r="C28" s="56"/>
      <c r="D28" s="96">
        <f>IF(E27="Hex",HEX2DEC(D27),D27)</f>
        <v>7154</v>
      </c>
      <c r="E28" s="6" t="s">
        <v>360</v>
      </c>
    </row>
    <row r="29" spans="2:9" x14ac:dyDescent="0.35">
      <c r="C29" s="56" t="s">
        <v>333</v>
      </c>
      <c r="D29" s="29">
        <f>IF(D25="LDC1101",16,8)</f>
        <v>8</v>
      </c>
      <c r="E29" s="6" t="s">
        <v>0</v>
      </c>
    </row>
    <row r="30" spans="2:9" x14ac:dyDescent="0.35">
      <c r="C30" s="56" t="s">
        <v>19</v>
      </c>
      <c r="D30" s="199">
        <v>8</v>
      </c>
      <c r="E30" s="6" t="s">
        <v>0</v>
      </c>
      <c r="F30" t="s">
        <v>1072</v>
      </c>
    </row>
    <row r="31" spans="2:9" x14ac:dyDescent="0.35">
      <c r="C31" s="56" t="s">
        <v>334</v>
      </c>
      <c r="D31" s="29">
        <f>IF(D25="LDC1101",10,5)</f>
        <v>5</v>
      </c>
      <c r="E31" s="6" t="s">
        <v>0</v>
      </c>
      <c r="F31" s="12"/>
    </row>
    <row r="32" spans="2:9" x14ac:dyDescent="0.35">
      <c r="C32" s="56" t="s">
        <v>2</v>
      </c>
      <c r="D32" s="20">
        <f>D30*D26/(3*D28)</f>
        <v>2.2901873077998323</v>
      </c>
      <c r="E32" s="58" t="s">
        <v>0</v>
      </c>
      <c r="F32" s="55" t="str">
        <f>IF(D32&gt;D31,"Note: This sensor frequency is higher than specified max"," ")</f>
        <v xml:space="preserve"> </v>
      </c>
    </row>
    <row r="33" spans="2:17" x14ac:dyDescent="0.35">
      <c r="C33" s="56" t="s">
        <v>264</v>
      </c>
      <c r="D33" s="35">
        <v>220</v>
      </c>
      <c r="E33" s="6" t="s">
        <v>99</v>
      </c>
      <c r="F33" t="s">
        <v>265</v>
      </c>
    </row>
    <row r="34" spans="2:17" hidden="1" x14ac:dyDescent="0.35">
      <c r="C34" s="57"/>
      <c r="D34" s="62">
        <f>D33*0.000000000001</f>
        <v>2.1999999999999999E-10</v>
      </c>
      <c r="E34" s="18" t="s">
        <v>97</v>
      </c>
      <c r="F34" s="12"/>
    </row>
    <row r="35" spans="2:17" hidden="1" x14ac:dyDescent="0.35">
      <c r="C35" s="57"/>
      <c r="D35" s="63">
        <f>1/(D34*(D32*1000000*2*PI())^2)</f>
        <v>2.1952074882992174E-5</v>
      </c>
      <c r="E35" s="18" t="s">
        <v>1</v>
      </c>
      <c r="F35" s="12"/>
    </row>
    <row r="36" spans="2:17" x14ac:dyDescent="0.35">
      <c r="C36" s="56" t="s">
        <v>100</v>
      </c>
      <c r="D36" s="27">
        <f>D35*1000000</f>
        <v>21.952074882992175</v>
      </c>
      <c r="E36" s="17" t="s">
        <v>96</v>
      </c>
    </row>
    <row r="37" spans="2:17" x14ac:dyDescent="0.35">
      <c r="C37" s="56" t="s">
        <v>257</v>
      </c>
      <c r="D37" s="47">
        <f>1/(D28/D32/1000)</f>
        <v>0.32012682524459496</v>
      </c>
      <c r="E37" s="6" t="s">
        <v>202</v>
      </c>
    </row>
    <row r="38" spans="2:17" x14ac:dyDescent="0.35">
      <c r="E38" s="6"/>
    </row>
    <row r="39" spans="2:17" ht="16.5" x14ac:dyDescent="0.45">
      <c r="B39" s="1" t="s">
        <v>1070</v>
      </c>
    </row>
    <row r="40" spans="2:17" x14ac:dyDescent="0.35">
      <c r="C40" s="46" t="s">
        <v>15</v>
      </c>
      <c r="D40" s="203" t="s">
        <v>10</v>
      </c>
    </row>
    <row r="41" spans="2:17" x14ac:dyDescent="0.35">
      <c r="C41" s="99" t="s">
        <v>337</v>
      </c>
      <c r="D41" s="35">
        <v>1.026</v>
      </c>
      <c r="E41" s="13" t="s">
        <v>340</v>
      </c>
      <c r="F41" t="str">
        <f>IF(D42&lt;D41,"RP Min must be less than Rpmax setting!","Register 0x01")</f>
        <v>Register 0x01</v>
      </c>
    </row>
    <row r="42" spans="2:17" x14ac:dyDescent="0.35">
      <c r="C42" s="99" t="s">
        <v>336</v>
      </c>
      <c r="D42" s="35">
        <v>27.704000000000001</v>
      </c>
      <c r="E42" s="13" t="s">
        <v>340</v>
      </c>
      <c r="F42" t="str">
        <f>IF(D42&lt;D41,"RP Min must be less than Rpmax setting!",IF(D40="LDC1101","Register 0x01", "Register 0x02"))</f>
        <v>Register 0x02</v>
      </c>
    </row>
    <row r="43" spans="2:17" hidden="1" x14ac:dyDescent="0.35">
      <c r="C43" s="99" t="s">
        <v>342</v>
      </c>
      <c r="D43" s="123">
        <f>IF(D40="LDC1041/1051",255,IF(D40="LDC1000",32768,IF(D40="LDC1101",65535)))</f>
        <v>32768</v>
      </c>
      <c r="E43" s="15" t="s">
        <v>360</v>
      </c>
      <c r="O43" s="35" t="s">
        <v>228</v>
      </c>
      <c r="P43" s="20" t="e">
        <f>IF(O43="fsensor",0.000001/(2*PI()*SQRT(#REF!*0.000001*#REF!*0.000000000001)),IF(O43="C",1000000000000/((#REF!*0.000001)*(2*PI()*#REF!*1000000)^2),1000000/((#REF!*0.000000000001)*(2*PI()*#REF!*1000000)^2)))</f>
        <v>#REF!</v>
      </c>
      <c r="Q43" s="21" t="str">
        <f>IF(O43="fsensor","MHz",IF(O43="L","µH","pF"))</f>
        <v>MHz</v>
      </c>
    </row>
    <row r="44" spans="2:17" x14ac:dyDescent="0.35">
      <c r="C44" s="99" t="str">
        <f>IF(E44="Hex","RP Data Output                0x","RP Data Output")</f>
        <v>RP Data Output</v>
      </c>
      <c r="D44" s="35">
        <v>10000</v>
      </c>
      <c r="E44" s="201" t="s">
        <v>360</v>
      </c>
      <c r="F44" t="str">
        <f>IF(D45&gt;D43,"Output Code exceeds maximum for device!",IF(D40="LDC1041/1051","LDC output from Register 0x22","LDC output from Registers [0x21:0x22]"))</f>
        <v>LDC output from Registers [0x21:0x22]</v>
      </c>
    </row>
    <row r="45" spans="2:17" hidden="1" x14ac:dyDescent="0.35">
      <c r="C45" s="99" t="s">
        <v>344</v>
      </c>
      <c r="D45" s="96">
        <f>IF(E44="Decimal",D44,HEX2DEC(D44))</f>
        <v>10000</v>
      </c>
      <c r="E45" s="6" t="s">
        <v>360</v>
      </c>
    </row>
    <row r="46" spans="2:17" hidden="1" x14ac:dyDescent="0.35">
      <c r="C46" s="99" t="s">
        <v>343</v>
      </c>
      <c r="D46" s="92">
        <f>(D41*D42*1000)/(D41*1000*(1-D45/D43)+D42*1000*D45/D43)</f>
        <v>3.1005582313244457</v>
      </c>
      <c r="E46" s="13" t="s">
        <v>340</v>
      </c>
    </row>
    <row r="47" spans="2:17" hidden="1" x14ac:dyDescent="0.35">
      <c r="C47" s="99" t="s">
        <v>341</v>
      </c>
      <c r="D47" s="92">
        <f>(D41*D42)/(D42*(1-D45/65535)+D41*(D45/65535))</f>
        <v>1.2027277829070482</v>
      </c>
      <c r="E47" s="13" t="s">
        <v>340</v>
      </c>
    </row>
    <row r="48" spans="2:17" ht="16.5" x14ac:dyDescent="0.45">
      <c r="C48" s="114" t="s">
        <v>364</v>
      </c>
      <c r="D48" s="366">
        <f>IF(D40="LDC1101",D47,(D41*D42*1000)/(D41*1000*(1-D45/D43)+D42*1000*D45/D43))</f>
        <v>3.1005582313244457</v>
      </c>
      <c r="E48" s="13" t="s">
        <v>340</v>
      </c>
    </row>
    <row r="49" spans="3:15" x14ac:dyDescent="0.35">
      <c r="F49" s="140"/>
      <c r="G49" s="140"/>
      <c r="H49" s="140"/>
      <c r="I49" s="140"/>
      <c r="J49" s="140"/>
      <c r="K49" s="140"/>
      <c r="L49" s="140"/>
      <c r="M49" s="140"/>
      <c r="N49" s="140"/>
      <c r="O49" s="140"/>
    </row>
    <row r="50" spans="3:15" x14ac:dyDescent="0.35">
      <c r="F50" s="140"/>
      <c r="G50" s="140"/>
      <c r="H50" s="140"/>
      <c r="I50" s="140"/>
      <c r="J50" s="140"/>
      <c r="K50" s="140"/>
      <c r="L50" s="140"/>
      <c r="M50" s="140"/>
      <c r="N50" s="140"/>
      <c r="O50" s="140"/>
    </row>
    <row r="51" spans="3:15" ht="18.5" x14ac:dyDescent="0.45">
      <c r="C51" s="3" t="s">
        <v>4</v>
      </c>
      <c r="G51" s="126" t="s">
        <v>198</v>
      </c>
      <c r="J51" s="140"/>
      <c r="K51" s="140"/>
      <c r="L51" s="140"/>
      <c r="M51" s="140"/>
      <c r="N51" s="140"/>
      <c r="O51" s="140"/>
    </row>
    <row r="52" spans="3:15" ht="15.5" x14ac:dyDescent="0.35">
      <c r="C52" s="4" t="s">
        <v>216</v>
      </c>
      <c r="J52" s="140"/>
      <c r="K52" s="140"/>
      <c r="L52" s="140"/>
      <c r="M52" s="140"/>
      <c r="N52" s="140"/>
      <c r="O52" s="140"/>
    </row>
    <row r="53" spans="3:15" ht="15.5" x14ac:dyDescent="0.35">
      <c r="C53" s="4" t="s">
        <v>218</v>
      </c>
      <c r="J53" s="140"/>
      <c r="K53" s="140"/>
      <c r="L53" s="140"/>
      <c r="M53" s="140"/>
      <c r="N53" s="140"/>
      <c r="O53" s="140"/>
    </row>
    <row r="54" spans="3:15" ht="15.5" x14ac:dyDescent="0.35">
      <c r="C54" s="4" t="s">
        <v>217</v>
      </c>
      <c r="J54" s="140"/>
      <c r="K54" s="140"/>
      <c r="L54" s="140"/>
      <c r="M54" s="140"/>
      <c r="N54" s="140"/>
      <c r="O54" s="140"/>
    </row>
    <row r="55" spans="3:15" ht="15.5" x14ac:dyDescent="0.35">
      <c r="C55" s="127" t="s">
        <v>11</v>
      </c>
      <c r="J55" s="140"/>
      <c r="K55" s="140"/>
      <c r="L55" s="140"/>
      <c r="M55" s="140"/>
      <c r="N55" s="140"/>
      <c r="O55" s="140"/>
    </row>
    <row r="56" spans="3:15" ht="18.5" x14ac:dyDescent="0.45">
      <c r="C56" s="3"/>
      <c r="J56" s="140"/>
      <c r="K56" s="140"/>
      <c r="L56" s="140"/>
      <c r="M56" s="140"/>
      <c r="N56" s="140"/>
      <c r="O56" s="140"/>
    </row>
    <row r="57" spans="3:15" x14ac:dyDescent="0.35">
      <c r="C57" s="56" t="s">
        <v>6</v>
      </c>
      <c r="J57" s="140"/>
      <c r="K57" s="140"/>
      <c r="L57" s="140"/>
      <c r="M57" s="140"/>
      <c r="N57" s="140"/>
      <c r="O57" s="140"/>
    </row>
    <row r="58" spans="3:15" x14ac:dyDescent="0.35">
      <c r="C58" s="1" t="s">
        <v>7</v>
      </c>
      <c r="D58" s="41" t="s">
        <v>10</v>
      </c>
      <c r="J58" s="140"/>
      <c r="K58" s="140"/>
      <c r="L58" s="140"/>
      <c r="M58" s="140"/>
      <c r="N58" s="140"/>
      <c r="O58" s="140"/>
    </row>
    <row r="59" spans="3:15" x14ac:dyDescent="0.35">
      <c r="C59" t="s">
        <v>204</v>
      </c>
      <c r="D59" s="38">
        <f>INDEX(D87:D92,MATCH(D58,C87:C92,0))</f>
        <v>5</v>
      </c>
      <c r="E59" t="s">
        <v>0</v>
      </c>
      <c r="J59" s="140"/>
      <c r="K59" s="140"/>
      <c r="L59" s="140"/>
      <c r="M59" s="140"/>
      <c r="N59" s="140"/>
      <c r="O59" s="140"/>
    </row>
    <row r="60" spans="3:15" x14ac:dyDescent="0.35">
      <c r="C60" t="s">
        <v>205</v>
      </c>
      <c r="D60" s="219">
        <f>INDEX(E87:E92,MATCH(D58,C87:C92,0))</f>
        <v>5.0000000000000001E-3</v>
      </c>
      <c r="E60" t="s">
        <v>0</v>
      </c>
      <c r="J60" s="140"/>
      <c r="K60" s="140"/>
      <c r="L60" s="140"/>
      <c r="M60" s="140"/>
      <c r="N60" s="140"/>
      <c r="O60" s="140"/>
    </row>
    <row r="61" spans="3:15" x14ac:dyDescent="0.35">
      <c r="C61" t="s">
        <v>206</v>
      </c>
      <c r="D61" s="35">
        <v>0.7</v>
      </c>
      <c r="E61" t="s">
        <v>16</v>
      </c>
      <c r="J61" s="140"/>
      <c r="K61" s="140"/>
      <c r="L61" s="140"/>
      <c r="M61" s="140"/>
      <c r="N61" s="140"/>
      <c r="O61" s="140"/>
    </row>
    <row r="62" spans="3:15" hidden="1" x14ac:dyDescent="0.35">
      <c r="C62" s="2"/>
      <c r="D62" s="271">
        <v>299790000</v>
      </c>
      <c r="E62" s="2"/>
      <c r="J62" s="140"/>
      <c r="K62" s="140"/>
      <c r="L62" s="140"/>
      <c r="M62" s="140"/>
      <c r="N62" s="140"/>
      <c r="O62" s="140"/>
    </row>
    <row r="63" spans="3:15" x14ac:dyDescent="0.35">
      <c r="C63" t="s">
        <v>207</v>
      </c>
      <c r="D63" s="36">
        <v>3.5</v>
      </c>
      <c r="E63" t="s">
        <v>0</v>
      </c>
      <c r="J63" s="140"/>
      <c r="K63" s="140"/>
      <c r="L63" s="140"/>
      <c r="M63" s="140"/>
      <c r="N63" s="140"/>
      <c r="O63" s="140"/>
    </row>
    <row r="64" spans="3:15" hidden="1" x14ac:dyDescent="0.35">
      <c r="C64" s="2"/>
      <c r="D64" s="61">
        <f>INDEX(F87:F92,MATCH(D58,C87:C92,0))</f>
        <v>5</v>
      </c>
      <c r="E64" s="101"/>
      <c r="J64" s="140"/>
      <c r="K64" s="140"/>
      <c r="L64" s="140"/>
      <c r="M64" s="140"/>
      <c r="N64" s="140"/>
      <c r="O64" s="140"/>
    </row>
    <row r="65" spans="3:15" hidden="1" x14ac:dyDescent="0.35">
      <c r="C65" s="2"/>
      <c r="D65" s="61">
        <f>INDEX(G87:G92,MATCH(D58,C87:C92,0))</f>
        <v>10</v>
      </c>
      <c r="E65" s="101"/>
      <c r="J65" s="140"/>
      <c r="K65" s="140"/>
      <c r="L65" s="140"/>
      <c r="M65" s="140"/>
      <c r="N65" s="140"/>
      <c r="O65" s="140"/>
    </row>
    <row r="66" spans="3:15" hidden="1" x14ac:dyDescent="0.35">
      <c r="C66" s="2"/>
      <c r="D66" s="61">
        <f>D65/360/(D63*1000000)</f>
        <v>7.9365079365079361E-9</v>
      </c>
      <c r="E66" s="101"/>
      <c r="J66" s="140"/>
      <c r="K66" s="140"/>
      <c r="L66" s="140"/>
      <c r="M66" s="140"/>
      <c r="N66" s="140"/>
      <c r="O66" s="140"/>
    </row>
    <row r="67" spans="3:15" hidden="1" x14ac:dyDescent="0.35">
      <c r="C67" s="2"/>
      <c r="D67" s="61">
        <f>(D66-(D64*0.000000001))/2</f>
        <v>1.468253968253968E-9</v>
      </c>
      <c r="E67" s="2"/>
      <c r="J67" s="140"/>
      <c r="K67" s="140"/>
      <c r="L67" s="140"/>
      <c r="M67" s="140"/>
      <c r="N67" s="140"/>
      <c r="O67" s="140"/>
    </row>
    <row r="68" spans="3:15" ht="15.5" x14ac:dyDescent="0.35">
      <c r="C68" s="1" t="s">
        <v>5</v>
      </c>
      <c r="D68" s="37">
        <f>MAX(50*D67*D61*D62,1)</f>
        <v>15.405874999999995</v>
      </c>
      <c r="E68" t="s">
        <v>3</v>
      </c>
      <c r="J68" s="140"/>
      <c r="K68" s="140"/>
      <c r="L68" s="140"/>
      <c r="M68" s="140"/>
      <c r="N68" s="140"/>
      <c r="O68" s="140"/>
    </row>
    <row r="69" spans="3:15" x14ac:dyDescent="0.35">
      <c r="J69" s="140"/>
      <c r="K69" s="140"/>
      <c r="L69" s="140"/>
      <c r="M69" s="140"/>
      <c r="N69" s="140"/>
      <c r="O69" s="140"/>
    </row>
    <row r="70" spans="3:15" x14ac:dyDescent="0.35">
      <c r="C70" s="99" t="s">
        <v>8</v>
      </c>
      <c r="J70" s="140"/>
      <c r="K70" s="140"/>
      <c r="L70" s="140"/>
      <c r="M70" s="140"/>
      <c r="N70" s="140"/>
      <c r="O70" s="140"/>
    </row>
    <row r="71" spans="3:15" x14ac:dyDescent="0.35">
      <c r="C71" s="46" t="s">
        <v>208</v>
      </c>
      <c r="D71" s="40">
        <v>15</v>
      </c>
      <c r="E71" s="46" t="s">
        <v>3</v>
      </c>
      <c r="J71" s="140"/>
      <c r="K71" s="140"/>
      <c r="L71" s="140"/>
      <c r="M71" s="140"/>
      <c r="N71" s="140"/>
      <c r="O71" s="140"/>
    </row>
    <row r="72" spans="3:15" hidden="1" x14ac:dyDescent="0.35">
      <c r="C72" s="30"/>
      <c r="D72" s="220">
        <f>0.02*D71/D62</f>
        <v>1.0007004903432402E-9</v>
      </c>
      <c r="E72" s="30"/>
      <c r="J72" s="140"/>
      <c r="K72" s="140"/>
      <c r="L72" s="140"/>
      <c r="M72" s="140"/>
      <c r="N72" s="140"/>
      <c r="O72" s="140"/>
    </row>
    <row r="73" spans="3:15" hidden="1" x14ac:dyDescent="0.35">
      <c r="C73" s="30"/>
      <c r="D73" s="220">
        <f>D72*2/D61</f>
        <v>2.8591442581235437E-9</v>
      </c>
      <c r="E73" s="30"/>
      <c r="J73" s="140"/>
      <c r="K73" s="140"/>
      <c r="L73" s="140"/>
      <c r="M73" s="140"/>
      <c r="N73" s="140"/>
      <c r="O73" s="140"/>
    </row>
    <row r="74" spans="3:15" hidden="1" x14ac:dyDescent="0.35">
      <c r="C74" s="30"/>
      <c r="D74" s="220">
        <f>D73+(D64*0.000000001)</f>
        <v>7.8591442581235438E-9</v>
      </c>
      <c r="E74" s="30"/>
      <c r="J74" s="140"/>
      <c r="K74" s="140"/>
      <c r="L74" s="140"/>
      <c r="M74" s="140"/>
      <c r="N74" s="140"/>
      <c r="O74" s="140"/>
    </row>
    <row r="75" spans="3:15" hidden="1" x14ac:dyDescent="0.35">
      <c r="C75" s="30"/>
      <c r="D75" s="220">
        <f>D65/(360*D74)</f>
        <v>3534453.226134066</v>
      </c>
      <c r="E75" s="30"/>
      <c r="J75" s="140"/>
      <c r="K75" s="140"/>
      <c r="L75" s="140"/>
      <c r="M75" s="140"/>
      <c r="N75" s="140"/>
      <c r="O75" s="140"/>
    </row>
    <row r="76" spans="3:15" ht="15.5" x14ac:dyDescent="0.35">
      <c r="C76" s="221" t="s">
        <v>9</v>
      </c>
      <c r="D76" s="222">
        <f>D75*0.000001</f>
        <v>3.5344532261340658</v>
      </c>
      <c r="E76" s="46" t="s">
        <v>0</v>
      </c>
      <c r="J76" s="140"/>
      <c r="K76" s="140"/>
      <c r="L76" s="140"/>
      <c r="M76" s="140"/>
      <c r="N76" s="140"/>
      <c r="O76" s="140"/>
    </row>
    <row r="77" spans="3:15" x14ac:dyDescent="0.35">
      <c r="J77" s="140"/>
      <c r="K77" s="140"/>
      <c r="L77" s="140"/>
      <c r="M77" s="140"/>
      <c r="N77" s="140"/>
      <c r="O77" s="140"/>
    </row>
    <row r="78" spans="3:15" x14ac:dyDescent="0.35">
      <c r="C78" s="68" t="s">
        <v>203</v>
      </c>
      <c r="J78" s="140"/>
      <c r="K78" s="140"/>
      <c r="L78" s="140"/>
      <c r="M78" s="140"/>
      <c r="N78" s="140"/>
      <c r="O78" s="140"/>
    </row>
    <row r="79" spans="3:15" x14ac:dyDescent="0.35">
      <c r="C79" s="68" t="s">
        <v>12</v>
      </c>
      <c r="J79" s="140"/>
      <c r="K79" s="140"/>
      <c r="L79" s="140"/>
      <c r="M79" s="140"/>
      <c r="N79" s="140"/>
      <c r="O79" s="140"/>
    </row>
    <row r="80" spans="3:15" x14ac:dyDescent="0.35">
      <c r="C80" s="68" t="s">
        <v>95</v>
      </c>
      <c r="J80" s="140"/>
      <c r="K80" s="140"/>
      <c r="L80" s="140"/>
      <c r="M80" s="140"/>
      <c r="N80" s="140"/>
      <c r="O80" s="140"/>
    </row>
    <row r="81" spans="1:15" x14ac:dyDescent="0.35">
      <c r="C81" t="s">
        <v>330</v>
      </c>
      <c r="J81" s="140"/>
      <c r="K81" s="140"/>
      <c r="L81" s="140"/>
      <c r="M81" s="140"/>
      <c r="N81" s="140"/>
      <c r="O81" s="140"/>
    </row>
    <row r="82" spans="1:15" x14ac:dyDescent="0.35">
      <c r="J82" s="140"/>
      <c r="K82" s="140"/>
      <c r="L82" s="140"/>
      <c r="M82" s="140"/>
      <c r="N82" s="140"/>
      <c r="O82" s="140"/>
    </row>
    <row r="83" spans="1:15" x14ac:dyDescent="0.35">
      <c r="J83" s="140"/>
      <c r="K83" s="140"/>
      <c r="L83" s="140"/>
      <c r="M83" s="140"/>
      <c r="N83" s="140"/>
      <c r="O83" s="140"/>
    </row>
    <row r="84" spans="1:15" ht="15.5" x14ac:dyDescent="0.35">
      <c r="C84" s="16"/>
      <c r="J84" s="140"/>
      <c r="K84" s="140"/>
      <c r="L84" s="140"/>
      <c r="M84" s="140"/>
      <c r="N84" s="140"/>
      <c r="O84" s="140"/>
    </row>
    <row r="85" spans="1:15" x14ac:dyDescent="0.35">
      <c r="C85" s="1"/>
      <c r="J85" s="140"/>
      <c r="K85" s="140"/>
      <c r="L85" s="140"/>
      <c r="M85" s="140"/>
      <c r="N85" s="140"/>
      <c r="O85" s="140"/>
    </row>
    <row r="86" spans="1:15" x14ac:dyDescent="0.35">
      <c r="C86" s="223"/>
      <c r="J86" s="140"/>
      <c r="K86" s="140"/>
      <c r="L86" s="140"/>
      <c r="M86" s="140"/>
      <c r="N86" s="140"/>
      <c r="O86" s="140"/>
    </row>
    <row r="87" spans="1:15" ht="18.5" hidden="1" x14ac:dyDescent="0.45">
      <c r="C87" s="224" t="s">
        <v>15</v>
      </c>
      <c r="D87" s="225" t="s">
        <v>13</v>
      </c>
      <c r="E87" s="225" t="s">
        <v>14</v>
      </c>
      <c r="F87" s="226"/>
      <c r="G87" s="226"/>
      <c r="J87" s="140"/>
      <c r="K87" s="140"/>
      <c r="L87" s="140"/>
      <c r="M87" s="140"/>
      <c r="N87" s="140"/>
      <c r="O87" s="140"/>
    </row>
    <row r="88" spans="1:15" hidden="1" x14ac:dyDescent="0.35">
      <c r="C88" s="227" t="s">
        <v>10</v>
      </c>
      <c r="D88" s="59">
        <v>5</v>
      </c>
      <c r="E88" s="59">
        <v>5.0000000000000001E-3</v>
      </c>
      <c r="F88" s="59">
        <v>5</v>
      </c>
      <c r="G88" s="59">
        <v>10</v>
      </c>
      <c r="J88" s="140"/>
      <c r="K88" s="140"/>
      <c r="L88" s="140"/>
      <c r="M88" s="140"/>
      <c r="N88" s="140"/>
      <c r="O88" s="140"/>
    </row>
    <row r="89" spans="1:15" hidden="1" x14ac:dyDescent="0.35">
      <c r="C89" s="227" t="s">
        <v>183</v>
      </c>
      <c r="D89" s="59">
        <v>5</v>
      </c>
      <c r="E89" s="59">
        <v>5.0000000000000001E-3</v>
      </c>
      <c r="F89" s="59">
        <v>5</v>
      </c>
      <c r="G89" s="59">
        <v>10</v>
      </c>
      <c r="J89" s="140"/>
      <c r="K89" s="140"/>
      <c r="L89" s="140"/>
      <c r="M89" s="140"/>
      <c r="N89" s="140"/>
      <c r="O89" s="140"/>
    </row>
    <row r="90" spans="1:15" hidden="1" x14ac:dyDescent="0.35">
      <c r="C90" s="227" t="s">
        <v>214</v>
      </c>
      <c r="D90" s="59">
        <v>10</v>
      </c>
      <c r="E90" s="59">
        <v>1E-3</v>
      </c>
      <c r="F90" s="59">
        <v>6</v>
      </c>
      <c r="G90" s="59">
        <v>14</v>
      </c>
      <c r="J90" s="140"/>
      <c r="K90" s="140"/>
      <c r="L90" s="140"/>
      <c r="M90" s="140"/>
      <c r="N90" s="140"/>
      <c r="O90" s="140"/>
    </row>
    <row r="91" spans="1:15" hidden="1" x14ac:dyDescent="0.35">
      <c r="C91" s="227" t="s">
        <v>215</v>
      </c>
      <c r="D91" s="59">
        <v>10</v>
      </c>
      <c r="E91" s="59">
        <v>1E-3</v>
      </c>
      <c r="F91" s="59">
        <v>6</v>
      </c>
      <c r="G91" s="59">
        <v>14</v>
      </c>
      <c r="I91" s="228"/>
      <c r="J91" s="269"/>
      <c r="K91" s="140"/>
      <c r="L91" s="140"/>
      <c r="M91" s="140"/>
      <c r="N91" s="140"/>
      <c r="O91" s="140"/>
    </row>
    <row r="92" spans="1:15" hidden="1" x14ac:dyDescent="0.35">
      <c r="C92" s="59" t="s">
        <v>332</v>
      </c>
      <c r="D92" s="59">
        <v>10</v>
      </c>
      <c r="E92" s="59">
        <v>0.5</v>
      </c>
      <c r="F92" s="59">
        <v>5</v>
      </c>
      <c r="G92" s="59">
        <v>20</v>
      </c>
      <c r="I92" s="150"/>
      <c r="J92" s="270"/>
      <c r="K92" s="140"/>
      <c r="L92" s="140"/>
      <c r="M92" s="140"/>
      <c r="N92" s="140"/>
      <c r="O92" s="140"/>
    </row>
    <row r="93" spans="1:15" x14ac:dyDescent="0.35">
      <c r="I93" s="150"/>
      <c r="J93" s="270"/>
      <c r="K93" s="140"/>
      <c r="L93" s="140"/>
      <c r="M93" s="140"/>
      <c r="N93" s="140"/>
      <c r="O93" s="140"/>
    </row>
    <row r="94" spans="1:15" x14ac:dyDescent="0.35">
      <c r="C94" s="140"/>
      <c r="D94" s="140"/>
      <c r="E94" s="140"/>
      <c r="F94" s="140"/>
      <c r="G94" s="140"/>
      <c r="H94" s="140"/>
      <c r="I94" s="270"/>
      <c r="J94" s="270"/>
      <c r="K94" s="140"/>
      <c r="L94" s="140"/>
      <c r="M94" s="140"/>
      <c r="N94" s="140"/>
      <c r="O94" s="140"/>
    </row>
    <row r="95" spans="1:15" x14ac:dyDescent="0.35">
      <c r="F95" s="140"/>
      <c r="G95" s="140"/>
      <c r="H95" s="140"/>
      <c r="I95" s="140"/>
      <c r="J95" s="140"/>
      <c r="K95" s="140"/>
      <c r="L95" s="140"/>
      <c r="M95" s="140"/>
      <c r="N95" s="140"/>
      <c r="O95" s="140"/>
    </row>
    <row r="96" spans="1:15" x14ac:dyDescent="0.35">
      <c r="A96" s="303"/>
      <c r="B96" s="303"/>
      <c r="F96" s="140"/>
      <c r="G96" s="140"/>
      <c r="H96" s="140"/>
      <c r="I96" s="140"/>
      <c r="J96" s="140"/>
      <c r="K96" s="140"/>
      <c r="L96" s="140"/>
      <c r="M96" s="140"/>
      <c r="N96" s="140"/>
      <c r="O96" s="140"/>
    </row>
    <row r="97" spans="1:15" x14ac:dyDescent="0.35">
      <c r="A97" s="303"/>
      <c r="B97" s="303"/>
      <c r="F97" s="140"/>
      <c r="G97" s="140"/>
      <c r="H97" s="140"/>
      <c r="I97" s="140"/>
      <c r="J97" s="140"/>
      <c r="K97" s="140"/>
      <c r="L97" s="140"/>
      <c r="M97" s="140"/>
      <c r="N97" s="140"/>
      <c r="O97" s="140"/>
    </row>
    <row r="98" spans="1:15" x14ac:dyDescent="0.35">
      <c r="A98" s="303"/>
      <c r="B98" s="303"/>
      <c r="F98" s="140"/>
      <c r="G98" s="140"/>
      <c r="H98" s="140"/>
      <c r="I98" s="140"/>
      <c r="J98" s="140"/>
      <c r="K98" s="140"/>
      <c r="L98" s="140"/>
      <c r="M98" s="140"/>
      <c r="N98" s="140"/>
      <c r="O98" s="140"/>
    </row>
    <row r="99" spans="1:15" x14ac:dyDescent="0.35">
      <c r="A99" s="303"/>
      <c r="B99" s="303"/>
      <c r="F99" s="140"/>
      <c r="G99" s="140"/>
      <c r="H99" s="140"/>
      <c r="I99" s="140"/>
      <c r="J99" s="140"/>
      <c r="K99" s="140"/>
      <c r="L99" s="140"/>
      <c r="M99" s="140"/>
      <c r="N99" s="140"/>
      <c r="O99" s="140"/>
    </row>
    <row r="100" spans="1:15" x14ac:dyDescent="0.35">
      <c r="A100" s="303"/>
      <c r="B100" s="303"/>
      <c r="F100" s="140"/>
      <c r="G100" s="140"/>
      <c r="H100" s="140"/>
      <c r="I100" s="140"/>
      <c r="J100" s="140"/>
      <c r="K100" s="140"/>
      <c r="L100" s="140"/>
      <c r="M100" s="140"/>
      <c r="N100" s="140"/>
      <c r="O100" s="140"/>
    </row>
    <row r="101" spans="1:15" x14ac:dyDescent="0.35">
      <c r="A101" s="303"/>
      <c r="B101" s="303"/>
    </row>
    <row r="102" spans="1:15" x14ac:dyDescent="0.35">
      <c r="A102" s="303"/>
      <c r="B102" s="303"/>
    </row>
    <row r="103" spans="1:15" x14ac:dyDescent="0.35">
      <c r="A103" s="303"/>
      <c r="B103" s="303"/>
    </row>
    <row r="104" spans="1:15" x14ac:dyDescent="0.35">
      <c r="A104" s="303"/>
      <c r="B104" s="303"/>
    </row>
    <row r="110" spans="1:15" x14ac:dyDescent="0.35">
      <c r="C110" s="98" t="s">
        <v>339</v>
      </c>
      <c r="D110" s="98" t="s">
        <v>338</v>
      </c>
      <c r="E110" s="98"/>
    </row>
    <row r="111" spans="1:15" x14ac:dyDescent="0.35">
      <c r="C111" s="97">
        <f>IF(D$40="LDC1101",E111,D111)</f>
        <v>3926.991</v>
      </c>
      <c r="D111" s="97">
        <v>3926.991</v>
      </c>
      <c r="E111" s="97"/>
    </row>
    <row r="112" spans="1:15" x14ac:dyDescent="0.35">
      <c r="C112" s="97">
        <f t="shared" ref="C112:C142" si="0">IF(D$40="LDC1101",E112,D112)</f>
        <v>3141.5929999999998</v>
      </c>
      <c r="D112" s="97">
        <v>3141.5929999999998</v>
      </c>
      <c r="E112" s="97"/>
    </row>
    <row r="113" spans="3:5" x14ac:dyDescent="0.35">
      <c r="C113" s="97">
        <f t="shared" si="0"/>
        <v>2243.9949999999999</v>
      </c>
      <c r="D113" s="97">
        <v>2243.9949999999999</v>
      </c>
      <c r="E113" s="97"/>
    </row>
    <row r="114" spans="3:5" x14ac:dyDescent="0.35">
      <c r="C114" s="97">
        <f t="shared" si="0"/>
        <v>1745.329</v>
      </c>
      <c r="D114" s="97">
        <v>1745.329</v>
      </c>
      <c r="E114" s="97"/>
    </row>
    <row r="115" spans="3:5" x14ac:dyDescent="0.35">
      <c r="C115" s="97">
        <f t="shared" si="0"/>
        <v>1308.9970000000001</v>
      </c>
      <c r="D115" s="97">
        <v>1308.9970000000001</v>
      </c>
      <c r="E115" s="97"/>
    </row>
    <row r="116" spans="3:5" x14ac:dyDescent="0.35">
      <c r="C116" s="97">
        <f t="shared" si="0"/>
        <v>981.74800000000005</v>
      </c>
      <c r="D116" s="97">
        <v>981.74800000000005</v>
      </c>
      <c r="E116" s="97"/>
    </row>
    <row r="117" spans="3:5" x14ac:dyDescent="0.35">
      <c r="C117" s="97">
        <f t="shared" si="0"/>
        <v>747.99800000000005</v>
      </c>
      <c r="D117" s="97">
        <v>747.99800000000005</v>
      </c>
      <c r="E117" s="97"/>
    </row>
    <row r="118" spans="3:5" x14ac:dyDescent="0.35">
      <c r="C118" s="97">
        <f t="shared" si="0"/>
        <v>581.77599999999995</v>
      </c>
      <c r="D118" s="97">
        <v>581.77599999999995</v>
      </c>
      <c r="E118" s="97"/>
    </row>
    <row r="119" spans="3:5" x14ac:dyDescent="0.35">
      <c r="C119" s="97">
        <f t="shared" si="0"/>
        <v>436.33199999999999</v>
      </c>
      <c r="D119" s="97">
        <v>436.33199999999999</v>
      </c>
      <c r="E119" s="97"/>
    </row>
    <row r="120" spans="3:5" x14ac:dyDescent="0.35">
      <c r="C120" s="97">
        <f t="shared" si="0"/>
        <v>349.06599999999997</v>
      </c>
      <c r="D120" s="97">
        <v>349.06599999999997</v>
      </c>
      <c r="E120" s="97"/>
    </row>
    <row r="121" spans="3:5" x14ac:dyDescent="0.35">
      <c r="C121" s="97">
        <f t="shared" si="0"/>
        <v>249.333</v>
      </c>
      <c r="D121" s="97">
        <v>249.333</v>
      </c>
      <c r="E121" s="97"/>
    </row>
    <row r="122" spans="3:5" x14ac:dyDescent="0.35">
      <c r="C122" s="97">
        <f t="shared" si="0"/>
        <v>193.92599999999999</v>
      </c>
      <c r="D122" s="97">
        <v>193.92599999999999</v>
      </c>
      <c r="E122" s="97"/>
    </row>
    <row r="123" spans="3:5" x14ac:dyDescent="0.35">
      <c r="C123" s="97">
        <f t="shared" si="0"/>
        <v>145.44399999999999</v>
      </c>
      <c r="D123" s="97">
        <v>145.44399999999999</v>
      </c>
      <c r="E123" s="97"/>
    </row>
    <row r="124" spans="3:5" x14ac:dyDescent="0.35">
      <c r="C124" s="97">
        <f t="shared" si="0"/>
        <v>109.083</v>
      </c>
      <c r="D124" s="97">
        <v>109.083</v>
      </c>
      <c r="E124" s="97"/>
    </row>
    <row r="125" spans="3:5" x14ac:dyDescent="0.35">
      <c r="C125" s="97">
        <f t="shared" si="0"/>
        <v>83.111000000000004</v>
      </c>
      <c r="D125" s="97">
        <v>83.111000000000004</v>
      </c>
      <c r="E125" s="97"/>
    </row>
    <row r="126" spans="3:5" x14ac:dyDescent="0.35">
      <c r="C126" s="97">
        <f t="shared" si="0"/>
        <v>64.641999999999996</v>
      </c>
      <c r="D126" s="97">
        <v>64.641999999999996</v>
      </c>
      <c r="E126" s="97"/>
    </row>
    <row r="127" spans="3:5" x14ac:dyDescent="0.35">
      <c r="C127" s="97">
        <f t="shared" si="0"/>
        <v>48.481000000000002</v>
      </c>
      <c r="D127" s="97">
        <v>48.481000000000002</v>
      </c>
      <c r="E127" s="97"/>
    </row>
    <row r="128" spans="3:5" x14ac:dyDescent="0.35">
      <c r="C128" s="97">
        <f t="shared" si="0"/>
        <v>38.784999999999997</v>
      </c>
      <c r="D128" s="97">
        <v>38.784999999999997</v>
      </c>
      <c r="E128" s="97"/>
    </row>
    <row r="129" spans="3:5" x14ac:dyDescent="0.35">
      <c r="C129" s="97">
        <f t="shared" si="0"/>
        <v>27.704000000000001</v>
      </c>
      <c r="D129" s="97">
        <v>27.704000000000001</v>
      </c>
      <c r="E129" s="97"/>
    </row>
    <row r="130" spans="3:5" x14ac:dyDescent="0.35">
      <c r="C130" s="97">
        <f t="shared" si="0"/>
        <v>21.547000000000001</v>
      </c>
      <c r="D130" s="97">
        <v>21.547000000000001</v>
      </c>
      <c r="E130" s="97"/>
    </row>
    <row r="131" spans="3:5" x14ac:dyDescent="0.35">
      <c r="C131" s="97">
        <f t="shared" si="0"/>
        <v>16.16</v>
      </c>
      <c r="D131" s="97">
        <v>16.16</v>
      </c>
      <c r="E131" s="97"/>
    </row>
    <row r="132" spans="3:5" x14ac:dyDescent="0.35">
      <c r="C132" s="97">
        <f t="shared" si="0"/>
        <v>12.12</v>
      </c>
      <c r="D132" s="97">
        <v>12.12</v>
      </c>
      <c r="E132" s="97"/>
    </row>
    <row r="133" spans="3:5" x14ac:dyDescent="0.35">
      <c r="C133" s="97">
        <f t="shared" si="0"/>
        <v>9.2349999999999994</v>
      </c>
      <c r="D133" s="97">
        <v>9.2349999999999994</v>
      </c>
      <c r="E133" s="97"/>
    </row>
    <row r="134" spans="3:5" x14ac:dyDescent="0.35">
      <c r="C134" s="97">
        <f t="shared" si="0"/>
        <v>7.1820000000000004</v>
      </c>
      <c r="D134" s="97">
        <v>7.1820000000000004</v>
      </c>
      <c r="E134" s="97"/>
    </row>
    <row r="135" spans="3:5" x14ac:dyDescent="0.35">
      <c r="C135" s="97">
        <f t="shared" si="0"/>
        <v>5.3869999999999996</v>
      </c>
      <c r="D135" s="97">
        <v>5.3869999999999996</v>
      </c>
      <c r="E135" s="97"/>
    </row>
    <row r="136" spans="3:5" x14ac:dyDescent="0.35">
      <c r="C136" s="97">
        <f t="shared" si="0"/>
        <v>4.3090000000000002</v>
      </c>
      <c r="D136" s="97">
        <v>4.3090000000000002</v>
      </c>
      <c r="E136" s="97"/>
    </row>
    <row r="137" spans="3:5" x14ac:dyDescent="0.35">
      <c r="C137" s="97">
        <f t="shared" si="0"/>
        <v>3.0779999999999998</v>
      </c>
      <c r="D137" s="97">
        <v>3.0779999999999998</v>
      </c>
      <c r="E137" s="97"/>
    </row>
    <row r="138" spans="3:5" x14ac:dyDescent="0.35">
      <c r="C138" s="97">
        <f t="shared" si="0"/>
        <v>2.3940000000000001</v>
      </c>
      <c r="D138" s="97">
        <v>2.3940000000000001</v>
      </c>
      <c r="E138" s="97"/>
    </row>
    <row r="139" spans="3:5" x14ac:dyDescent="0.35">
      <c r="C139" s="97">
        <f t="shared" si="0"/>
        <v>1.796</v>
      </c>
      <c r="D139" s="97">
        <v>1.796</v>
      </c>
      <c r="E139" s="97"/>
    </row>
    <row r="140" spans="3:5" x14ac:dyDescent="0.35">
      <c r="C140" s="97">
        <f t="shared" si="0"/>
        <v>1.347</v>
      </c>
      <c r="D140" s="97">
        <v>1.347</v>
      </c>
      <c r="E140" s="97"/>
    </row>
    <row r="141" spans="3:5" x14ac:dyDescent="0.35">
      <c r="C141" s="97">
        <f t="shared" si="0"/>
        <v>1.026</v>
      </c>
      <c r="D141" s="97">
        <v>1.026</v>
      </c>
      <c r="E141" s="97"/>
    </row>
    <row r="142" spans="3:5" x14ac:dyDescent="0.35">
      <c r="C142" s="97">
        <f t="shared" si="0"/>
        <v>0.79800000000000004</v>
      </c>
      <c r="D142" s="97">
        <v>0.79800000000000004</v>
      </c>
      <c r="E142" s="97"/>
    </row>
  </sheetData>
  <sheetProtection algorithmName="SHA-512" hashValue="dLN31WIb8YhNPEPsnCq1Q54bT7F88kr+1gGARQ27ZYvnokOfQwNMS+pZr/GEIsS57kJtKSt+4a69VpMVrxUXig==" saltValue="gAe92fczpp61loKVTuE5PA==" spinCount="100000" sheet="1" objects="1" scenarios="1"/>
  <conditionalFormatting sqref="D30">
    <cfRule type="cellIs" dxfId="3" priority="2" operator="greaterThan">
      <formula>8</formula>
    </cfRule>
  </conditionalFormatting>
  <dataValidations count="19">
    <dataValidation type="list" allowBlank="1" showInputMessage="1" showErrorMessage="1" sqref="E27" xr:uid="{00000000-0002-0000-0A00-000000000000}">
      <formula1>"Hex,decimal"</formula1>
    </dataValidation>
    <dataValidation type="list" allowBlank="1" showInputMessage="1" showErrorMessage="1" sqref="O43" xr:uid="{00000000-0002-0000-0A00-000001000000}">
      <formula1>"fsensor,L,C"</formula1>
    </dataValidation>
    <dataValidation errorStyle="warning" allowBlank="1" showInputMessage="1" showErrorMessage="1" errorTitle="Invalid Output Code" error="The output code entered exceeds the maximum output code for the device." sqref="D44" xr:uid="{00000000-0002-0000-0A00-000002000000}"/>
    <dataValidation type="list" allowBlank="1" showInputMessage="1" showErrorMessage="1" sqref="E44" xr:uid="{00000000-0002-0000-0A00-000003000000}">
      <formula1>"Hex,Decimal"</formula1>
    </dataValidation>
    <dataValidation type="whole" errorStyle="warning" allowBlank="1" showInputMessage="1" showErrorMessage="1" errorTitle="Invalid Output Code" error="The output code entered exceeds the maximum output code for the device." sqref="D45" xr:uid="{00000000-0002-0000-0A00-000004000000}">
      <formula1>0</formula1>
      <formula2>#REF!</formula2>
    </dataValidation>
    <dataValidation type="list" allowBlank="1" showInputMessage="1" showErrorMessage="1" sqref="D41:D42" xr:uid="{00000000-0002-0000-0A00-000005000000}">
      <formula1>$C$111:$C$142</formula1>
    </dataValidation>
    <dataValidation type="list" allowBlank="1" showInputMessage="1" showErrorMessage="1" sqref="D40" xr:uid="{00000000-0002-0000-0A00-000006000000}">
      <formula1>"LDC1000,LDC1041/1051"</formula1>
    </dataValidation>
    <dataValidation type="whole" allowBlank="1" showInputMessage="1" showErrorMessage="1" sqref="D27:D29 D31" xr:uid="{00000000-0002-0000-0A00-000007000000}">
      <formula1>0</formula1>
      <formula2>20000000</formula2>
    </dataValidation>
    <dataValidation type="list" allowBlank="1" showInputMessage="1" showErrorMessage="1" sqref="D25" xr:uid="{00000000-0002-0000-0A00-000008000000}">
      <formula1>"LDC1000/10x1,LDC1101"</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33" xr:uid="{00000000-0002-0000-0A00-000009000000}">
      <formula1>80</formula1>
    </dataValidation>
    <dataValidation type="decimal" errorStyle="warning" allowBlank="1" showInputMessage="1" showErrorMessage="1" errorTitle="Frequency too High" error="Entered frequency exceeds maximum specified Reference freuqency." sqref="D30" xr:uid="{00000000-0002-0000-0A00-00000A000000}">
      <formula1>1</formula1>
      <formula2>D29</formula2>
    </dataValidation>
    <dataValidation type="list" allowBlank="1" showInputMessage="1" showErrorMessage="1" sqref="D26" xr:uid="{00000000-0002-0000-0A00-00000B000000}">
      <formula1>"192,384,768,1536,3072,6144"</formula1>
    </dataValidation>
    <dataValidation type="list" allowBlank="1" showInputMessage="1" showErrorMessage="1" sqref="D7" xr:uid="{00000000-0002-0000-0A00-00000C000000}">
      <formula1>"LDC1101,LDC1000/41/51"</formula1>
    </dataValidation>
    <dataValidation type="list" errorStyle="warning" allowBlank="1" showInputMessage="1" showErrorMessage="1" sqref="D16" xr:uid="{00000000-0002-0000-0A00-00000D000000}">
      <formula1>"192,384,768,1536,3072,6144"</formula1>
    </dataValidation>
    <dataValidation type="decimal" errorStyle="warning" allowBlank="1" showInputMessage="1" showErrorMessage="1" errorTitle="Sensor Frequency out of range" error="The LDC1000/1041/1051 sensor range is limited to the range of 5kHz to 5MHz." sqref="D15" xr:uid="{00000000-0002-0000-0A00-00000E000000}">
      <formula1>0.005</formula1>
      <formula2>D14</formula2>
    </dataValidation>
    <dataValidation type="decimal" errorStyle="warning" allowBlank="1" showInputMessage="1" showErrorMessage="1" errorTitle="Exceeds Maximum fReference" error="This input exceeds the LDC maximum reference frequency." sqref="D9" xr:uid="{00000000-0002-0000-0A00-00000F000000}">
      <formula1>0.001</formula1>
      <formula2>D8</formula2>
    </dataValidation>
    <dataValidation type="decimal" errorStyle="warning" allowBlank="1" showInputMessage="1" showErrorMessage="1" errorTitle="Sensor Frequency too high" error="The Sensor frequency cannot exceed the IC Max Frequency" sqref="D63" xr:uid="{00000000-0002-0000-0A00-000010000000}">
      <formula1>D60</formula1>
      <formula2>D59</formula2>
    </dataValidation>
    <dataValidation type="list" allowBlank="1" showInputMessage="1" showErrorMessage="1" sqref="D58" xr:uid="{00000000-0002-0000-0A00-000011000000}">
      <formula1>$C$88:$C$92</formula1>
    </dataValidation>
    <dataValidation type="decimal" allowBlank="1" showInputMessage="1" showErrorMessage="1" sqref="D61" xr:uid="{00000000-0002-0000-0A00-000012000000}">
      <formula1>0.000001</formula1>
      <formula2>1</formula2>
    </dataValidation>
  </dataValidations>
  <hyperlinks>
    <hyperlink ref="F2" location="Contents!A1" display="Return to Main Page" xr:uid="{00000000-0004-0000-0A00-000000000000}"/>
    <hyperlink ref="G51" location="Contents!A1" display="Return to Main Page" xr:uid="{00000000-0004-0000-0A00-000001000000}"/>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3" tint="0.39997558519241921"/>
  </sheetPr>
  <dimension ref="A1:X181"/>
  <sheetViews>
    <sheetView showGridLines="0" showRowColHeaders="0" zoomScaleNormal="100" workbookViewId="0">
      <selection activeCell="S54" sqref="S54"/>
    </sheetView>
  </sheetViews>
  <sheetFormatPr defaultRowHeight="14.5" x14ac:dyDescent="0.35"/>
  <cols>
    <col min="2" max="2" width="21.54296875" customWidth="1"/>
    <col min="3" max="3" width="10.81640625" customWidth="1"/>
    <col min="4" max="4" width="9.1796875" customWidth="1"/>
    <col min="9" max="9" width="3.1796875" customWidth="1"/>
    <col min="11" max="11" width="8.7265625" customWidth="1"/>
    <col min="12" max="12" width="1.81640625" customWidth="1"/>
    <col min="13" max="13" width="8" customWidth="1"/>
    <col min="14" max="14" width="7.453125" customWidth="1"/>
    <col min="15" max="15" width="3.453125" customWidth="1"/>
    <col min="16" max="17" width="10.81640625" bestFit="1" customWidth="1"/>
    <col min="18" max="18" width="2.7265625" customWidth="1"/>
    <col min="19" max="19" width="13.1796875" customWidth="1"/>
    <col min="20" max="20" width="2.81640625" customWidth="1"/>
    <col min="21" max="21" width="12.453125" customWidth="1"/>
  </cols>
  <sheetData>
    <row r="1" spans="2:19" x14ac:dyDescent="0.35">
      <c r="G1" s="140"/>
      <c r="H1" s="140"/>
      <c r="I1" s="140"/>
      <c r="J1" s="140"/>
      <c r="K1" s="140"/>
      <c r="L1" s="140"/>
      <c r="M1" s="140"/>
      <c r="N1" s="140"/>
      <c r="O1" s="140"/>
      <c r="P1" s="140"/>
      <c r="Q1" s="140"/>
      <c r="R1" s="140"/>
      <c r="S1" s="140"/>
    </row>
    <row r="2" spans="2:19" ht="17" x14ac:dyDescent="0.4">
      <c r="B2" s="616" t="s">
        <v>1491</v>
      </c>
      <c r="E2" s="14" t="s">
        <v>199</v>
      </c>
      <c r="G2" s="140"/>
      <c r="H2" s="140"/>
      <c r="I2" s="140"/>
      <c r="J2" s="140"/>
      <c r="K2" s="140"/>
      <c r="L2" s="140"/>
      <c r="M2" s="140"/>
      <c r="N2" s="140"/>
      <c r="O2" s="140"/>
      <c r="P2" s="140"/>
      <c r="Q2" s="140"/>
      <c r="R2" s="140"/>
      <c r="S2" s="140"/>
    </row>
    <row r="3" spans="2:19" x14ac:dyDescent="0.35">
      <c r="G3" s="140"/>
      <c r="H3" s="140"/>
      <c r="I3" s="140"/>
      <c r="J3" s="140"/>
      <c r="K3" s="140"/>
      <c r="L3" s="140"/>
      <c r="M3" s="140"/>
      <c r="N3" s="140"/>
      <c r="O3" s="140"/>
      <c r="P3" s="140"/>
      <c r="Q3" s="140"/>
      <c r="R3" s="140"/>
      <c r="S3" s="140"/>
    </row>
    <row r="4" spans="2:19" x14ac:dyDescent="0.35">
      <c r="B4" s="1" t="s">
        <v>1456</v>
      </c>
      <c r="C4" s="238" t="s">
        <v>1441</v>
      </c>
      <c r="D4" s="238" t="s">
        <v>1442</v>
      </c>
      <c r="E4" s="238" t="s">
        <v>1443</v>
      </c>
      <c r="F4" s="238" t="s">
        <v>1444</v>
      </c>
      <c r="G4" s="140"/>
      <c r="H4" s="140"/>
      <c r="I4" s="140"/>
      <c r="J4" s="140"/>
      <c r="K4" s="140"/>
      <c r="L4" s="140"/>
      <c r="M4" s="140"/>
      <c r="N4" s="140"/>
      <c r="O4" s="140"/>
      <c r="P4" s="140"/>
      <c r="Q4" s="140"/>
      <c r="R4" s="140"/>
      <c r="S4" s="140"/>
    </row>
    <row r="5" spans="2:19" x14ac:dyDescent="0.35">
      <c r="B5" s="238" t="s">
        <v>1445</v>
      </c>
      <c r="C5" s="124">
        <v>1670</v>
      </c>
      <c r="D5" s="124">
        <v>0</v>
      </c>
      <c r="E5" s="124">
        <v>-35</v>
      </c>
      <c r="F5" s="124">
        <v>0</v>
      </c>
      <c r="G5" s="140"/>
      <c r="H5" s="140"/>
      <c r="I5" s="140"/>
      <c r="J5" s="140"/>
      <c r="K5" s="140"/>
      <c r="L5" s="140"/>
      <c r="M5" s="140"/>
      <c r="N5" s="140"/>
      <c r="O5" s="140"/>
      <c r="P5" s="140"/>
      <c r="Q5" s="140"/>
      <c r="R5" s="140"/>
      <c r="S5" s="140"/>
    </row>
    <row r="6" spans="2:19" x14ac:dyDescent="0.35">
      <c r="B6" s="238" t="s">
        <v>1446</v>
      </c>
      <c r="C6" s="124">
        <v>-30</v>
      </c>
      <c r="D6" s="124">
        <v>0</v>
      </c>
      <c r="E6" s="124">
        <v>1615</v>
      </c>
      <c r="F6" s="124">
        <v>0</v>
      </c>
      <c r="G6" s="140"/>
      <c r="H6" s="140"/>
      <c r="I6" s="140"/>
      <c r="J6" s="140"/>
      <c r="K6" s="140"/>
      <c r="L6" s="140"/>
      <c r="M6" s="140"/>
      <c r="N6" s="140"/>
      <c r="O6" s="140"/>
      <c r="P6" s="140"/>
      <c r="Q6" s="140"/>
      <c r="R6" s="140"/>
      <c r="S6" s="140"/>
    </row>
    <row r="7" spans="2:19" x14ac:dyDescent="0.35">
      <c r="B7" s="238" t="s">
        <v>1447</v>
      </c>
      <c r="C7" s="124">
        <v>-1730</v>
      </c>
      <c r="D7" s="124">
        <v>0</v>
      </c>
      <c r="E7" s="124">
        <v>-35</v>
      </c>
      <c r="F7" s="124">
        <v>0</v>
      </c>
      <c r="G7" s="140"/>
      <c r="H7" s="140"/>
      <c r="I7" s="140"/>
      <c r="J7" s="140"/>
      <c r="K7" s="140"/>
      <c r="L7" s="140"/>
      <c r="M7" s="140"/>
      <c r="N7" s="140"/>
      <c r="O7" s="140"/>
      <c r="P7" s="140"/>
      <c r="Q7" s="140"/>
      <c r="R7" s="140"/>
      <c r="S7" s="140"/>
    </row>
    <row r="8" spans="2:19" x14ac:dyDescent="0.35">
      <c r="B8" s="238" t="s">
        <v>1520</v>
      </c>
      <c r="C8" s="124">
        <v>-30</v>
      </c>
      <c r="D8" s="124">
        <v>0</v>
      </c>
      <c r="E8" s="124">
        <v>-1685</v>
      </c>
      <c r="F8" s="124">
        <v>0</v>
      </c>
      <c r="G8" s="140"/>
      <c r="H8" s="140"/>
      <c r="I8" s="140"/>
      <c r="J8" s="140"/>
      <c r="K8" s="140"/>
      <c r="L8" s="140"/>
      <c r="M8" s="140"/>
      <c r="N8" s="140"/>
      <c r="O8" s="140"/>
      <c r="P8" s="140"/>
      <c r="Q8" s="140"/>
      <c r="R8" s="140"/>
      <c r="S8" s="140"/>
    </row>
    <row r="9" spans="2:19" x14ac:dyDescent="0.35">
      <c r="G9" s="140"/>
      <c r="H9" s="140"/>
      <c r="I9" s="140"/>
      <c r="J9" s="140"/>
      <c r="K9" s="140"/>
      <c r="L9" s="140"/>
      <c r="M9" s="140"/>
      <c r="N9" s="140"/>
      <c r="O9" s="140"/>
      <c r="P9" s="140"/>
      <c r="Q9" s="140"/>
      <c r="R9" s="140"/>
      <c r="S9" s="140"/>
    </row>
    <row r="10" spans="2:19" x14ac:dyDescent="0.35">
      <c r="B10" s="1" t="s">
        <v>1515</v>
      </c>
      <c r="C10" s="238" t="s">
        <v>1449</v>
      </c>
      <c r="D10" s="238" t="s">
        <v>83</v>
      </c>
      <c r="G10" s="140"/>
      <c r="H10" s="140"/>
      <c r="I10" s="140"/>
      <c r="J10" s="140"/>
      <c r="K10" s="140"/>
      <c r="L10" s="140"/>
      <c r="M10" s="140"/>
      <c r="N10" s="140"/>
      <c r="O10" s="140"/>
      <c r="P10" s="140"/>
      <c r="Q10" s="140"/>
      <c r="R10" s="140"/>
      <c r="S10" s="140"/>
    </row>
    <row r="11" spans="2:19" x14ac:dyDescent="0.35">
      <c r="B11" s="238" t="s">
        <v>1445</v>
      </c>
      <c r="C11" s="32">
        <f>C5-D5</f>
        <v>1670</v>
      </c>
      <c r="D11" s="32">
        <f>E5-F5</f>
        <v>-35</v>
      </c>
      <c r="G11" s="140"/>
      <c r="H11" s="140"/>
      <c r="I11" s="140"/>
      <c r="J11" s="140"/>
      <c r="K11" s="140"/>
      <c r="L11" s="140"/>
      <c r="M11" s="140"/>
      <c r="N11" s="140"/>
      <c r="O11" s="140"/>
      <c r="P11" s="140"/>
      <c r="Q11" s="140"/>
      <c r="R11" s="140"/>
      <c r="S11" s="140"/>
    </row>
    <row r="12" spans="2:19" x14ac:dyDescent="0.35">
      <c r="B12" s="238" t="s">
        <v>1446</v>
      </c>
      <c r="C12" s="32">
        <f>C6-D6</f>
        <v>-30</v>
      </c>
      <c r="D12" s="32">
        <f>E6-F6</f>
        <v>1615</v>
      </c>
      <c r="G12" s="140"/>
      <c r="H12" s="140"/>
      <c r="I12" s="140"/>
      <c r="J12" s="140"/>
      <c r="K12" s="140"/>
      <c r="L12" s="140"/>
      <c r="M12" s="140"/>
      <c r="N12" s="140"/>
      <c r="O12" s="140"/>
      <c r="P12" s="140"/>
      <c r="Q12" s="140"/>
      <c r="R12" s="140"/>
      <c r="S12" s="140"/>
    </row>
    <row r="13" spans="2:19" x14ac:dyDescent="0.35">
      <c r="B13" s="238" t="s">
        <v>1447</v>
      </c>
      <c r="C13" s="32">
        <f>C7-D7</f>
        <v>-1730</v>
      </c>
      <c r="D13" s="32">
        <f>E7-F7</f>
        <v>-35</v>
      </c>
      <c r="G13" s="140"/>
      <c r="H13" s="140"/>
      <c r="I13" s="140"/>
      <c r="J13" s="140"/>
      <c r="K13" s="140"/>
      <c r="L13" s="140"/>
      <c r="M13" s="140"/>
      <c r="N13" s="140"/>
      <c r="O13" s="140"/>
      <c r="P13" s="140"/>
      <c r="Q13" s="140"/>
      <c r="R13" s="140"/>
      <c r="S13" s="140"/>
    </row>
    <row r="14" spans="2:19" x14ac:dyDescent="0.35">
      <c r="B14" s="238" t="s">
        <v>1448</v>
      </c>
      <c r="C14" s="32">
        <f>C8-D8</f>
        <v>-30</v>
      </c>
      <c r="D14" s="32">
        <f>E8-F8</f>
        <v>-1685</v>
      </c>
      <c r="G14" s="140"/>
      <c r="H14" s="140"/>
      <c r="I14" s="140"/>
      <c r="J14" s="140"/>
      <c r="K14" s="140"/>
      <c r="L14" s="140"/>
      <c r="M14" s="140"/>
      <c r="N14" s="140"/>
      <c r="O14" s="140"/>
      <c r="P14" s="140"/>
      <c r="Q14" s="140"/>
      <c r="R14" s="140"/>
      <c r="S14" s="140"/>
    </row>
    <row r="15" spans="2:19" x14ac:dyDescent="0.35">
      <c r="G15" s="140"/>
      <c r="H15" s="140"/>
      <c r="I15" s="140"/>
      <c r="J15" s="140"/>
      <c r="K15" s="140"/>
      <c r="L15" s="140"/>
      <c r="M15" s="140"/>
      <c r="N15" s="140"/>
      <c r="O15" s="140"/>
      <c r="P15" s="140"/>
      <c r="Q15" s="140"/>
      <c r="R15" s="140"/>
      <c r="S15" s="140"/>
    </row>
    <row r="16" spans="2:19" x14ac:dyDescent="0.35">
      <c r="B16" s="1" t="s">
        <v>1452</v>
      </c>
      <c r="C16" s="238" t="s">
        <v>1449</v>
      </c>
      <c r="D16" s="238" t="s">
        <v>83</v>
      </c>
      <c r="G16" s="140"/>
      <c r="H16" s="140"/>
      <c r="I16" s="140"/>
      <c r="J16" s="140"/>
      <c r="K16" s="140"/>
      <c r="L16" s="140"/>
      <c r="M16" s="140"/>
      <c r="N16" s="140"/>
      <c r="O16" s="140"/>
      <c r="P16" s="140"/>
      <c r="Q16" s="140"/>
      <c r="R16" s="140"/>
      <c r="S16" s="140"/>
    </row>
    <row r="17" spans="2:19" x14ac:dyDescent="0.35">
      <c r="B17" s="238" t="s">
        <v>1452</v>
      </c>
      <c r="C17" s="32">
        <f>AVERAGE(C12,C14)</f>
        <v>-30</v>
      </c>
      <c r="D17" s="32">
        <f>AVERAGE(D11,D13)</f>
        <v>-35</v>
      </c>
      <c r="F17" t="s">
        <v>1453</v>
      </c>
      <c r="G17" s="140"/>
      <c r="H17" s="140"/>
      <c r="I17" s="140"/>
      <c r="J17" s="140"/>
      <c r="K17" s="140"/>
      <c r="L17" s="140"/>
      <c r="M17" s="140"/>
      <c r="N17" s="140"/>
      <c r="O17" s="140"/>
      <c r="P17" s="140"/>
      <c r="Q17" s="140"/>
      <c r="R17" s="140"/>
      <c r="S17" s="140"/>
    </row>
    <row r="18" spans="2:19" x14ac:dyDescent="0.35">
      <c r="B18" s="238" t="s">
        <v>1451</v>
      </c>
      <c r="C18" s="32">
        <f>(C11-C13)/2</f>
        <v>1700</v>
      </c>
      <c r="D18" s="32">
        <f>(D12-D14)/2</f>
        <v>1650</v>
      </c>
      <c r="G18" s="140"/>
      <c r="H18" s="140"/>
      <c r="I18" s="140"/>
      <c r="J18" s="140"/>
      <c r="K18" s="140"/>
      <c r="L18" s="140"/>
      <c r="M18" s="140"/>
      <c r="N18" s="140"/>
      <c r="O18" s="140"/>
      <c r="P18" s="140"/>
      <c r="Q18" s="140"/>
      <c r="R18" s="140"/>
      <c r="S18" s="140"/>
    </row>
    <row r="19" spans="2:19" x14ac:dyDescent="0.35">
      <c r="G19" s="140"/>
      <c r="H19" s="140"/>
      <c r="I19" s="140"/>
      <c r="J19" s="140"/>
      <c r="K19" s="140"/>
      <c r="L19" s="140"/>
      <c r="M19" s="140"/>
      <c r="N19" s="140"/>
      <c r="O19" s="140"/>
      <c r="P19" s="140"/>
      <c r="Q19" s="140"/>
      <c r="R19" s="140"/>
      <c r="S19" s="140"/>
    </row>
    <row r="20" spans="2:19" x14ac:dyDescent="0.35">
      <c r="B20" s="1" t="s">
        <v>1455</v>
      </c>
      <c r="C20" s="238" t="s">
        <v>1449</v>
      </c>
      <c r="D20" s="238" t="s">
        <v>83</v>
      </c>
      <c r="G20" s="140"/>
      <c r="H20" s="140"/>
      <c r="I20" s="140"/>
      <c r="J20" s="140"/>
      <c r="K20" s="140"/>
      <c r="L20" s="140"/>
      <c r="M20" s="140"/>
      <c r="N20" s="140"/>
      <c r="O20" s="140"/>
      <c r="P20" s="140"/>
      <c r="Q20" s="140"/>
      <c r="R20" s="140"/>
      <c r="S20" s="140"/>
    </row>
    <row r="21" spans="2:19" x14ac:dyDescent="0.35">
      <c r="B21" s="238" t="s">
        <v>1445</v>
      </c>
      <c r="C21" s="32">
        <f>(C11-C$17)/C$18</f>
        <v>1</v>
      </c>
      <c r="D21" s="32">
        <f>(D11-D$17)/D$18</f>
        <v>0</v>
      </c>
      <c r="G21" s="140"/>
      <c r="H21" s="140"/>
      <c r="I21" s="140"/>
      <c r="J21" s="140"/>
      <c r="K21" s="140"/>
      <c r="L21" s="140"/>
      <c r="M21" s="140"/>
      <c r="N21" s="140"/>
      <c r="O21" s="140"/>
      <c r="P21" s="140"/>
      <c r="Q21" s="140"/>
      <c r="R21" s="140"/>
      <c r="S21" s="140"/>
    </row>
    <row r="22" spans="2:19" x14ac:dyDescent="0.35">
      <c r="B22" s="238" t="s">
        <v>1446</v>
      </c>
      <c r="C22" s="32">
        <f t="shared" ref="C22:D24" si="0">(C12-C$17)/C$18</f>
        <v>0</v>
      </c>
      <c r="D22" s="32">
        <f t="shared" si="0"/>
        <v>1</v>
      </c>
      <c r="G22" s="140"/>
      <c r="H22" s="140"/>
      <c r="I22" s="140"/>
      <c r="J22" s="140"/>
      <c r="K22" s="140"/>
      <c r="L22" s="140"/>
      <c r="M22" s="140"/>
      <c r="N22" s="140"/>
      <c r="O22" s="140"/>
      <c r="P22" s="140"/>
      <c r="Q22" s="140"/>
      <c r="R22" s="140"/>
      <c r="S22" s="140"/>
    </row>
    <row r="23" spans="2:19" x14ac:dyDescent="0.35">
      <c r="B23" s="238" t="s">
        <v>1447</v>
      </c>
      <c r="C23" s="32">
        <f t="shared" si="0"/>
        <v>-1</v>
      </c>
      <c r="D23" s="32">
        <f t="shared" si="0"/>
        <v>0</v>
      </c>
      <c r="G23" s="140"/>
      <c r="H23" s="140"/>
      <c r="I23" s="140"/>
      <c r="J23" s="140"/>
      <c r="K23" s="140"/>
      <c r="L23" s="140"/>
      <c r="M23" s="140"/>
      <c r="N23" s="140"/>
      <c r="O23" s="140"/>
      <c r="P23" s="140"/>
      <c r="Q23" s="140"/>
      <c r="R23" s="140"/>
      <c r="S23" s="140"/>
    </row>
    <row r="24" spans="2:19" x14ac:dyDescent="0.35">
      <c r="B24" s="238" t="s">
        <v>1448</v>
      </c>
      <c r="C24" s="32">
        <f t="shared" si="0"/>
        <v>0</v>
      </c>
      <c r="D24" s="32">
        <f t="shared" si="0"/>
        <v>-1</v>
      </c>
      <c r="G24" s="140"/>
      <c r="H24" s="140"/>
      <c r="I24" s="140"/>
      <c r="J24" s="140"/>
      <c r="K24" s="140"/>
      <c r="L24" s="140"/>
      <c r="M24" s="140"/>
      <c r="N24" s="140"/>
      <c r="O24" s="140"/>
      <c r="P24" s="140"/>
      <c r="Q24" s="140"/>
      <c r="R24" s="140"/>
      <c r="S24" s="140"/>
    </row>
    <row r="25" spans="2:19" x14ac:dyDescent="0.35">
      <c r="G25" s="140"/>
      <c r="H25" s="140"/>
      <c r="I25" s="140"/>
      <c r="J25" s="140"/>
      <c r="K25" s="140"/>
      <c r="L25" s="140"/>
      <c r="M25" s="140"/>
      <c r="N25" s="140"/>
      <c r="O25" s="140"/>
      <c r="P25" s="140"/>
      <c r="Q25" s="140"/>
      <c r="R25" s="140"/>
      <c r="S25" s="140"/>
    </row>
    <row r="26" spans="2:19" x14ac:dyDescent="0.35">
      <c r="B26" s="1" t="s">
        <v>1450</v>
      </c>
      <c r="C26" s="238" t="s">
        <v>1441</v>
      </c>
      <c r="D26" s="238" t="s">
        <v>1442</v>
      </c>
      <c r="E26" s="238" t="s">
        <v>1443</v>
      </c>
      <c r="F26" s="238" t="s">
        <v>1444</v>
      </c>
      <c r="G26" s="140"/>
      <c r="H26" s="140"/>
      <c r="I26" s="140"/>
      <c r="J26" s="140"/>
      <c r="K26" s="140"/>
      <c r="L26" s="140"/>
      <c r="M26" s="140"/>
      <c r="N26" s="140"/>
      <c r="O26" s="140"/>
      <c r="P26" s="140"/>
      <c r="Q26" s="140"/>
      <c r="R26" s="140"/>
      <c r="S26" s="140"/>
    </row>
    <row r="27" spans="2:19" x14ac:dyDescent="0.35">
      <c r="B27" s="238" t="s">
        <v>1445</v>
      </c>
      <c r="C27" s="124">
        <v>1410.16</v>
      </c>
      <c r="D27" s="124">
        <f>D7</f>
        <v>0</v>
      </c>
      <c r="E27" s="124">
        <v>-1251.6400000000001</v>
      </c>
      <c r="F27" s="124">
        <f>F7</f>
        <v>0</v>
      </c>
      <c r="G27" s="140"/>
      <c r="H27" s="140"/>
      <c r="I27" s="140"/>
      <c r="J27" s="140"/>
      <c r="K27" s="140"/>
      <c r="L27" s="140"/>
      <c r="M27" s="140"/>
      <c r="N27" s="140"/>
      <c r="O27" s="140"/>
      <c r="P27" s="140"/>
      <c r="Q27" s="140"/>
      <c r="R27" s="140"/>
      <c r="S27" s="140"/>
    </row>
    <row r="28" spans="2:19" x14ac:dyDescent="0.35">
      <c r="B28" s="1"/>
      <c r="C28" s="78"/>
      <c r="D28" s="78"/>
      <c r="E28" s="78"/>
      <c r="F28" s="78"/>
      <c r="G28" s="140"/>
      <c r="H28" s="140"/>
      <c r="I28" s="140"/>
      <c r="J28" s="140"/>
      <c r="K28" s="140"/>
      <c r="L28" s="140"/>
      <c r="M28" s="140"/>
      <c r="N28" s="140"/>
      <c r="O28" s="140"/>
      <c r="P28" s="140"/>
      <c r="Q28" s="140"/>
      <c r="R28" s="140"/>
      <c r="S28" s="140"/>
    </row>
    <row r="29" spans="2:19" x14ac:dyDescent="0.35">
      <c r="B29" s="1" t="s">
        <v>1458</v>
      </c>
      <c r="D29" s="78"/>
      <c r="E29" s="78"/>
      <c r="F29" s="78"/>
      <c r="G29" s="140"/>
      <c r="H29" s="140"/>
      <c r="I29" s="140"/>
      <c r="J29" s="140"/>
      <c r="K29" s="140"/>
      <c r="L29" s="140"/>
      <c r="M29" s="140"/>
      <c r="N29" s="140"/>
      <c r="O29" s="140"/>
      <c r="P29" s="140"/>
      <c r="Q29" s="140"/>
      <c r="R29" s="140"/>
      <c r="S29" s="140"/>
    </row>
    <row r="30" spans="2:19" x14ac:dyDescent="0.35">
      <c r="B30" s="238" t="s">
        <v>1449</v>
      </c>
      <c r="C30" s="32">
        <f>C27-D27</f>
        <v>1410.16</v>
      </c>
      <c r="D30" s="78"/>
      <c r="E30" s="78"/>
      <c r="F30" s="78"/>
      <c r="G30" s="140"/>
      <c r="H30" s="140"/>
      <c r="I30" s="140"/>
      <c r="J30" s="140"/>
      <c r="K30" s="140"/>
      <c r="L30" s="140"/>
      <c r="M30" s="140"/>
      <c r="N30" s="140"/>
      <c r="O30" s="140"/>
      <c r="P30" s="140"/>
      <c r="Q30" s="140"/>
      <c r="R30" s="140"/>
      <c r="S30" s="140"/>
    </row>
    <row r="31" spans="2:19" x14ac:dyDescent="0.35">
      <c r="B31" s="238" t="s">
        <v>83</v>
      </c>
      <c r="C31" s="32">
        <f>E27-F27</f>
        <v>-1251.6400000000001</v>
      </c>
      <c r="D31" s="78"/>
      <c r="E31" s="78"/>
      <c r="F31" s="78"/>
      <c r="G31" s="140"/>
      <c r="H31" s="140"/>
      <c r="I31" s="140"/>
      <c r="J31" s="140"/>
      <c r="K31" s="140"/>
      <c r="L31" s="140"/>
      <c r="M31" s="140"/>
      <c r="N31" s="140"/>
      <c r="O31" s="140"/>
      <c r="P31" s="140"/>
      <c r="Q31" s="140"/>
      <c r="R31" s="140"/>
      <c r="S31" s="140"/>
    </row>
    <row r="32" spans="2:19" x14ac:dyDescent="0.35">
      <c r="B32" s="1"/>
      <c r="C32" s="78"/>
      <c r="D32" s="78"/>
      <c r="E32" s="78"/>
      <c r="F32" s="78"/>
      <c r="G32" s="140"/>
      <c r="H32" s="140"/>
      <c r="I32" s="140"/>
      <c r="J32" s="140"/>
      <c r="K32" s="140"/>
      <c r="L32" s="140"/>
      <c r="M32" s="140"/>
      <c r="N32" s="140"/>
      <c r="O32" s="140"/>
      <c r="P32" s="140"/>
      <c r="Q32" s="140"/>
      <c r="R32" s="140"/>
      <c r="S32" s="140"/>
    </row>
    <row r="33" spans="2:19" x14ac:dyDescent="0.35">
      <c r="B33" s="1" t="s">
        <v>1454</v>
      </c>
      <c r="G33" s="140"/>
      <c r="H33" s="140"/>
      <c r="I33" s="140"/>
      <c r="J33" s="140"/>
      <c r="K33" s="140"/>
      <c r="L33" s="140"/>
      <c r="M33" s="140"/>
      <c r="N33" s="140"/>
      <c r="O33" s="140"/>
      <c r="P33" s="140"/>
      <c r="Q33" s="140"/>
      <c r="R33" s="140"/>
      <c r="S33" s="140"/>
    </row>
    <row r="34" spans="2:19" x14ac:dyDescent="0.35">
      <c r="B34" s="238" t="s">
        <v>1449</v>
      </c>
      <c r="C34" s="31">
        <f>(C30-C17)/C18</f>
        <v>0.84715294117647066</v>
      </c>
      <c r="G34" s="140"/>
      <c r="H34" s="140"/>
      <c r="I34" s="140"/>
      <c r="J34" s="140"/>
      <c r="K34" s="140"/>
      <c r="L34" s="140"/>
      <c r="M34" s="140"/>
      <c r="N34" s="140"/>
      <c r="O34" s="140"/>
      <c r="P34" s="140"/>
      <c r="Q34" s="140"/>
      <c r="R34" s="140"/>
      <c r="S34" s="140"/>
    </row>
    <row r="35" spans="2:19" x14ac:dyDescent="0.35">
      <c r="B35" s="238" t="s">
        <v>83</v>
      </c>
      <c r="C35" s="31">
        <f>(C31-D17)/D18</f>
        <v>-0.73735757575757577</v>
      </c>
      <c r="G35" s="140"/>
      <c r="H35" s="140"/>
      <c r="I35" s="140"/>
      <c r="J35" s="140"/>
      <c r="K35" s="140"/>
      <c r="L35" s="140"/>
      <c r="M35" s="140"/>
      <c r="N35" s="140"/>
      <c r="O35" s="140"/>
      <c r="P35" s="140"/>
      <c r="Q35" s="140"/>
      <c r="R35" s="140"/>
      <c r="S35" s="140"/>
    </row>
    <row r="36" spans="2:19" x14ac:dyDescent="0.35">
      <c r="G36" s="140"/>
      <c r="H36" s="140"/>
      <c r="I36" s="140"/>
      <c r="J36" s="140"/>
      <c r="K36" s="140"/>
      <c r="L36" s="140"/>
      <c r="M36" s="140"/>
      <c r="N36" s="140"/>
      <c r="O36" s="140"/>
      <c r="P36" s="140"/>
      <c r="Q36" s="140"/>
      <c r="R36" s="140"/>
      <c r="S36" s="140"/>
    </row>
    <row r="37" spans="2:19" x14ac:dyDescent="0.35">
      <c r="B37" s="1" t="s">
        <v>1457</v>
      </c>
      <c r="G37" s="140"/>
      <c r="H37" s="140"/>
      <c r="I37" s="140"/>
      <c r="J37" s="140"/>
      <c r="K37" s="140"/>
      <c r="L37" s="140"/>
      <c r="M37" s="140"/>
      <c r="N37" s="140"/>
      <c r="O37" s="140"/>
      <c r="P37" s="140"/>
      <c r="Q37" s="140"/>
      <c r="R37" s="140"/>
      <c r="S37" s="140"/>
    </row>
    <row r="38" spans="2:19" x14ac:dyDescent="0.35">
      <c r="B38" s="1" t="s">
        <v>1459</v>
      </c>
      <c r="C38" s="35">
        <v>1.5209999999999999</v>
      </c>
      <c r="E38" t="s">
        <v>1553</v>
      </c>
      <c r="G38" s="140"/>
      <c r="H38" s="140"/>
      <c r="I38" s="140"/>
      <c r="J38" s="140"/>
      <c r="K38" s="140"/>
      <c r="L38" s="140"/>
      <c r="M38" s="140"/>
      <c r="N38" s="140"/>
      <c r="O38" s="140"/>
      <c r="P38" s="140"/>
      <c r="Q38" s="140"/>
      <c r="R38" s="140"/>
      <c r="S38" s="140"/>
    </row>
    <row r="39" spans="2:19" x14ac:dyDescent="0.35">
      <c r="B39" s="238" t="s">
        <v>1449</v>
      </c>
      <c r="C39" s="31">
        <f>SIGN(C34)*(ABS(C34)^C38)</f>
        <v>0.77701594818808206</v>
      </c>
      <c r="G39" s="140"/>
      <c r="H39" s="140"/>
      <c r="I39" s="140"/>
      <c r="J39" s="140"/>
      <c r="K39" s="140"/>
      <c r="L39" s="140"/>
      <c r="M39" s="140"/>
      <c r="N39" s="140"/>
      <c r="O39" s="140"/>
      <c r="P39" s="140"/>
      <c r="Q39" s="140"/>
      <c r="R39" s="140"/>
      <c r="S39" s="140"/>
    </row>
    <row r="40" spans="2:19" x14ac:dyDescent="0.35">
      <c r="B40" s="238" t="s">
        <v>83</v>
      </c>
      <c r="C40" s="31">
        <f>SIGN(C35)*(ABS(C35)^C38)</f>
        <v>-0.62912719845973908</v>
      </c>
      <c r="G40" s="140"/>
      <c r="H40" s="140"/>
      <c r="I40" s="140"/>
      <c r="J40" s="140"/>
      <c r="K40" s="140"/>
      <c r="L40" s="140"/>
      <c r="M40" s="140"/>
      <c r="N40" s="140"/>
      <c r="O40" s="140"/>
      <c r="P40" s="140"/>
      <c r="Q40" s="140"/>
      <c r="R40" s="140"/>
      <c r="S40" s="140"/>
    </row>
    <row r="41" spans="2:19" x14ac:dyDescent="0.35">
      <c r="G41" s="140"/>
      <c r="H41" s="140"/>
      <c r="I41" s="140"/>
      <c r="J41" s="140"/>
      <c r="K41" s="140"/>
      <c r="L41" s="140"/>
      <c r="M41" s="140"/>
      <c r="N41" s="140"/>
      <c r="O41" s="140"/>
      <c r="P41" s="140"/>
      <c r="Q41" s="140"/>
      <c r="R41" s="140"/>
      <c r="S41" s="140"/>
    </row>
    <row r="42" spans="2:19" x14ac:dyDescent="0.35">
      <c r="B42" s="238" t="s">
        <v>1483</v>
      </c>
      <c r="C42" s="32">
        <f>IF(C39&lt;0,180,IF(C40&lt;0,360,0))</f>
        <v>360</v>
      </c>
      <c r="D42" s="13" t="s">
        <v>537</v>
      </c>
      <c r="G42" s="140"/>
      <c r="H42" s="140"/>
      <c r="I42" s="140"/>
      <c r="J42" s="140"/>
      <c r="K42" s="140"/>
      <c r="L42" s="140"/>
      <c r="M42" s="140"/>
      <c r="N42" s="140"/>
      <c r="O42" s="140"/>
      <c r="P42" s="140"/>
      <c r="Q42" s="140"/>
      <c r="R42" s="140"/>
      <c r="S42" s="140"/>
    </row>
    <row r="43" spans="2:19" x14ac:dyDescent="0.35">
      <c r="B43" s="238" t="s">
        <v>1460</v>
      </c>
      <c r="C43" s="31">
        <f>ATAN2(C39,C40)</f>
        <v>-0.68061007422545483</v>
      </c>
      <c r="D43" s="13" t="s">
        <v>1461</v>
      </c>
      <c r="G43" s="140"/>
      <c r="H43" s="140"/>
      <c r="I43" s="140"/>
      <c r="J43" s="140"/>
      <c r="K43" s="140"/>
      <c r="L43" s="140"/>
      <c r="M43" s="140"/>
      <c r="N43" s="140"/>
      <c r="O43" s="140"/>
      <c r="P43" s="140"/>
      <c r="Q43" s="140"/>
      <c r="R43" s="140"/>
      <c r="S43" s="140"/>
    </row>
    <row r="44" spans="2:19" x14ac:dyDescent="0.35">
      <c r="B44" s="238" t="s">
        <v>1460</v>
      </c>
      <c r="C44" s="32">
        <f>DEGREES(C43)</f>
        <v>-38.996084747204257</v>
      </c>
      <c r="D44" s="13" t="s">
        <v>537</v>
      </c>
      <c r="G44" s="140"/>
      <c r="H44" s="140"/>
      <c r="I44" s="140"/>
      <c r="J44" s="140"/>
      <c r="K44" s="140"/>
      <c r="L44" s="140"/>
      <c r="M44" s="140"/>
      <c r="N44" s="140"/>
      <c r="O44" s="140"/>
      <c r="P44" s="140"/>
      <c r="Q44" s="140"/>
      <c r="R44" s="140"/>
      <c r="S44" s="140"/>
    </row>
    <row r="45" spans="2:19" x14ac:dyDescent="0.35">
      <c r="G45" s="140"/>
      <c r="H45" s="140"/>
      <c r="I45" s="140"/>
      <c r="J45" s="140"/>
      <c r="K45" s="140"/>
      <c r="L45" s="140"/>
      <c r="M45" s="140"/>
      <c r="N45" s="140"/>
      <c r="O45" s="140"/>
      <c r="P45" s="140"/>
      <c r="Q45" s="140"/>
      <c r="R45" s="140"/>
      <c r="S45" s="140"/>
    </row>
    <row r="46" spans="2:19" x14ac:dyDescent="0.35">
      <c r="B46" s="1" t="s">
        <v>1484</v>
      </c>
    </row>
    <row r="47" spans="2:19" x14ac:dyDescent="0.35">
      <c r="B47" s="1" t="s">
        <v>1455</v>
      </c>
      <c r="C47" s="238" t="s">
        <v>1449</v>
      </c>
      <c r="D47" s="238" t="s">
        <v>83</v>
      </c>
    </row>
    <row r="48" spans="2:19" x14ac:dyDescent="0.35">
      <c r="B48" s="238" t="s">
        <v>1523</v>
      </c>
      <c r="C48" s="131">
        <f>SIGN(C21)*ABS(C21)^$C$38</f>
        <v>1</v>
      </c>
      <c r="D48" s="131">
        <f>SIGN(D21)*ABS(D21)^$C$38</f>
        <v>0</v>
      </c>
    </row>
    <row r="49" spans="2:4" x14ac:dyDescent="0.35">
      <c r="B49" s="238" t="s">
        <v>1524</v>
      </c>
      <c r="C49" s="131">
        <f t="shared" ref="C49:D51" si="1">SIGN(C22)*ABS(C22)^$C$38</f>
        <v>0</v>
      </c>
      <c r="D49" s="131">
        <f t="shared" si="1"/>
        <v>1</v>
      </c>
    </row>
    <row r="50" spans="2:4" x14ac:dyDescent="0.35">
      <c r="B50" s="238" t="s">
        <v>1525</v>
      </c>
      <c r="C50" s="131">
        <f t="shared" si="1"/>
        <v>-1</v>
      </c>
      <c r="D50" s="131">
        <f t="shared" si="1"/>
        <v>0</v>
      </c>
    </row>
    <row r="51" spans="2:4" x14ac:dyDescent="0.35">
      <c r="B51" s="569" t="s">
        <v>1526</v>
      </c>
      <c r="C51" s="570">
        <f t="shared" si="1"/>
        <v>0</v>
      </c>
      <c r="D51" s="131">
        <f t="shared" si="1"/>
        <v>-1</v>
      </c>
    </row>
    <row r="52" spans="2:4" x14ac:dyDescent="0.35">
      <c r="B52" s="573"/>
      <c r="C52" s="574"/>
      <c r="D52" s="313"/>
    </row>
    <row r="53" spans="2:4" x14ac:dyDescent="0.35">
      <c r="B53" s="571" t="s">
        <v>1516</v>
      </c>
      <c r="C53" s="572">
        <f>DEGREES(ATAN2(C48,D48))</f>
        <v>0</v>
      </c>
    </row>
    <row r="54" spans="2:4" x14ac:dyDescent="0.35">
      <c r="B54" s="238" t="s">
        <v>1517</v>
      </c>
      <c r="C54" s="131">
        <f>DEGREES(ATAN2(C49,D49))</f>
        <v>90</v>
      </c>
    </row>
    <row r="55" spans="2:4" x14ac:dyDescent="0.35">
      <c r="B55" s="238" t="s">
        <v>1518</v>
      </c>
      <c r="C55" s="131">
        <f>DEGREES(ATAN2(C50,D50))</f>
        <v>180</v>
      </c>
    </row>
    <row r="56" spans="2:4" x14ac:dyDescent="0.35">
      <c r="B56" s="238" t="s">
        <v>1519</v>
      </c>
      <c r="C56" s="131">
        <f>DEGREES(ATAN2(C51,D51))</f>
        <v>-90</v>
      </c>
    </row>
    <row r="57" spans="2:4" x14ac:dyDescent="0.35">
      <c r="B57" s="238" t="s">
        <v>1488</v>
      </c>
      <c r="C57" s="131">
        <f>-C53</f>
        <v>0</v>
      </c>
      <c r="D57" s="13" t="s">
        <v>537</v>
      </c>
    </row>
    <row r="58" spans="2:4" x14ac:dyDescent="0.35">
      <c r="B58" s="564" t="s">
        <v>1489</v>
      </c>
      <c r="C58" s="131">
        <f>180-C55</f>
        <v>0</v>
      </c>
      <c r="D58" s="13" t="s">
        <v>537</v>
      </c>
    </row>
    <row r="59" spans="2:4" x14ac:dyDescent="0.35">
      <c r="B59" s="238" t="s">
        <v>1485</v>
      </c>
      <c r="C59" s="131">
        <f>C54-90</f>
        <v>0</v>
      </c>
      <c r="D59" s="13" t="s">
        <v>537</v>
      </c>
    </row>
    <row r="60" spans="2:4" x14ac:dyDescent="0.35">
      <c r="B60" s="564" t="s">
        <v>1486</v>
      </c>
      <c r="C60" s="131">
        <f>90+C56</f>
        <v>0</v>
      </c>
      <c r="D60" s="13" t="s">
        <v>537</v>
      </c>
    </row>
    <row r="61" spans="2:4" x14ac:dyDescent="0.35">
      <c r="B61" s="564" t="s">
        <v>1490</v>
      </c>
      <c r="C61" s="131">
        <f>IF(C40&lt;0,C58,C57)</f>
        <v>0</v>
      </c>
      <c r="D61" s="13" t="s">
        <v>537</v>
      </c>
    </row>
    <row r="62" spans="2:4" x14ac:dyDescent="0.35">
      <c r="B62" s="564" t="s">
        <v>1487</v>
      </c>
      <c r="C62" s="131">
        <f>IF(C39&lt;0,C59,C60)</f>
        <v>0</v>
      </c>
      <c r="D62" s="13" t="s">
        <v>537</v>
      </c>
    </row>
    <row r="63" spans="2:4" x14ac:dyDescent="0.35">
      <c r="B63" s="564" t="s">
        <v>1521</v>
      </c>
      <c r="C63" s="131">
        <f>-C62*(C39^2)-C61*(C40^2)</f>
        <v>0</v>
      </c>
      <c r="D63" s="13" t="s">
        <v>537</v>
      </c>
    </row>
    <row r="65" spans="2:10" ht="15.5" x14ac:dyDescent="0.35">
      <c r="B65" s="567" t="s">
        <v>1522</v>
      </c>
      <c r="C65" s="37">
        <f>C44-C63</f>
        <v>-38.996084747204257</v>
      </c>
      <c r="D65" s="568" t="s">
        <v>537</v>
      </c>
    </row>
    <row r="68" spans="2:10" ht="18.5" x14ac:dyDescent="0.45">
      <c r="B68" s="596" t="s">
        <v>1554</v>
      </c>
    </row>
    <row r="69" spans="2:10" x14ac:dyDescent="0.35">
      <c r="B69" t="s">
        <v>1555</v>
      </c>
    </row>
    <row r="70" spans="2:10" x14ac:dyDescent="0.35">
      <c r="B70" s="1" t="s">
        <v>1482</v>
      </c>
      <c r="C70" t="s">
        <v>1556</v>
      </c>
    </row>
    <row r="71" spans="2:10" x14ac:dyDescent="0.35">
      <c r="B71" s="1" t="s">
        <v>1482</v>
      </c>
      <c r="C71" t="s">
        <v>1557</v>
      </c>
    </row>
    <row r="72" spans="2:10" x14ac:dyDescent="0.35">
      <c r="B72" s="1" t="s">
        <v>1549</v>
      </c>
      <c r="C72" t="s">
        <v>1558</v>
      </c>
    </row>
    <row r="73" spans="2:10" x14ac:dyDescent="0.35">
      <c r="B73" s="1" t="s">
        <v>1550</v>
      </c>
      <c r="C73" t="s">
        <v>1552</v>
      </c>
    </row>
    <row r="74" spans="2:10" x14ac:dyDescent="0.35">
      <c r="B74" s="1" t="s">
        <v>1551</v>
      </c>
      <c r="C74" t="s">
        <v>1559</v>
      </c>
    </row>
    <row r="75" spans="2:10" x14ac:dyDescent="0.35">
      <c r="D75" s="140"/>
      <c r="E75" s="140"/>
      <c r="F75" s="140"/>
      <c r="G75" s="140"/>
      <c r="H75" s="140"/>
      <c r="I75" s="140"/>
      <c r="J75" s="140"/>
    </row>
    <row r="76" spans="2:10" x14ac:dyDescent="0.35">
      <c r="B76" s="21" t="s">
        <v>1471</v>
      </c>
      <c r="C76" s="612">
        <v>1.52</v>
      </c>
      <c r="D76" s="140"/>
      <c r="E76" s="140"/>
      <c r="F76" s="140"/>
      <c r="G76" s="140"/>
      <c r="H76" s="140"/>
      <c r="I76" s="140"/>
      <c r="J76" s="140"/>
    </row>
    <row r="77" spans="2:10" x14ac:dyDescent="0.35">
      <c r="B77" s="49" t="s">
        <v>1560</v>
      </c>
      <c r="C77" s="561">
        <f>1/C76</f>
        <v>0.65789473684210531</v>
      </c>
      <c r="D77" s="140"/>
      <c r="E77" s="140"/>
      <c r="F77" s="140"/>
      <c r="G77" s="140"/>
      <c r="H77" s="140"/>
      <c r="I77" s="140"/>
      <c r="J77" s="140"/>
    </row>
    <row r="78" spans="2:10" x14ac:dyDescent="0.35">
      <c r="B78" s="49" t="s">
        <v>1561</v>
      </c>
      <c r="C78" s="613">
        <v>1700</v>
      </c>
      <c r="D78" s="140"/>
      <c r="E78" s="140"/>
      <c r="F78" s="140"/>
      <c r="G78" s="140"/>
      <c r="H78" s="140"/>
      <c r="I78" s="140"/>
      <c r="J78" s="140"/>
    </row>
    <row r="79" spans="2:10" x14ac:dyDescent="0.35">
      <c r="B79" s="49" t="s">
        <v>1562</v>
      </c>
      <c r="C79" s="613">
        <v>-30</v>
      </c>
      <c r="D79" s="140"/>
      <c r="E79" s="140"/>
      <c r="F79" s="140"/>
      <c r="G79" s="140"/>
      <c r="H79" s="140"/>
      <c r="I79" s="140"/>
      <c r="J79" s="140"/>
    </row>
    <row r="80" spans="2:10" x14ac:dyDescent="0.35">
      <c r="B80" s="49" t="s">
        <v>1563</v>
      </c>
      <c r="C80" s="613">
        <v>1650</v>
      </c>
      <c r="D80" s="140"/>
      <c r="E80" s="140"/>
      <c r="F80" s="140"/>
      <c r="G80" s="140"/>
      <c r="H80" s="140"/>
      <c r="I80" s="140"/>
      <c r="J80" s="140"/>
    </row>
    <row r="81" spans="1:21" x14ac:dyDescent="0.35">
      <c r="B81" s="49" t="s">
        <v>1564</v>
      </c>
      <c r="C81" s="613">
        <v>-35</v>
      </c>
      <c r="D81" s="140"/>
      <c r="E81" s="140"/>
      <c r="F81" s="140"/>
      <c r="G81" s="140"/>
      <c r="H81" s="140"/>
      <c r="I81" s="140"/>
      <c r="J81" s="140"/>
    </row>
    <row r="82" spans="1:21" x14ac:dyDescent="0.35">
      <c r="D82" s="140"/>
      <c r="E82" s="140"/>
      <c r="F82" s="140"/>
      <c r="G82" s="140"/>
      <c r="H82" s="140"/>
      <c r="I82" s="140"/>
      <c r="J82" s="140"/>
    </row>
    <row r="83" spans="1:21" x14ac:dyDescent="0.35">
      <c r="B83" s="1" t="s">
        <v>1548</v>
      </c>
      <c r="D83" s="140"/>
      <c r="E83" s="140"/>
      <c r="F83" s="140"/>
      <c r="G83" s="140"/>
      <c r="H83" s="140"/>
      <c r="I83" s="140"/>
      <c r="J83" s="603" t="s">
        <v>1480</v>
      </c>
      <c r="M83" s="1" t="s">
        <v>1474</v>
      </c>
    </row>
    <row r="84" spans="1:21" x14ac:dyDescent="0.35">
      <c r="A84" s="140"/>
      <c r="B84" s="140"/>
      <c r="C84" s="559" t="s">
        <v>1463</v>
      </c>
      <c r="D84" s="559" t="s">
        <v>1464</v>
      </c>
      <c r="E84" s="559" t="s">
        <v>1465</v>
      </c>
      <c r="F84" s="559" t="s">
        <v>1466</v>
      </c>
      <c r="G84" s="559" t="s">
        <v>1469</v>
      </c>
      <c r="H84" s="559" t="s">
        <v>1470</v>
      </c>
      <c r="I84" s="1"/>
      <c r="J84" s="559" t="s">
        <v>1467</v>
      </c>
      <c r="K84" s="559" t="s">
        <v>1468</v>
      </c>
      <c r="M84" s="559" t="s">
        <v>1449</v>
      </c>
      <c r="N84" s="559" t="s">
        <v>83</v>
      </c>
      <c r="P84" s="559" t="s">
        <v>1477</v>
      </c>
      <c r="Q84" s="559" t="s">
        <v>1478</v>
      </c>
      <c r="S84" s="405" t="s">
        <v>1565</v>
      </c>
      <c r="U84" s="21" t="s">
        <v>1479</v>
      </c>
    </row>
    <row r="85" spans="1:21" x14ac:dyDescent="0.35">
      <c r="A85" s="140"/>
      <c r="B85" s="140"/>
      <c r="C85" s="199">
        <f>0</f>
        <v>0</v>
      </c>
      <c r="D85" s="561">
        <f>RADIANS(C85)</f>
        <v>0</v>
      </c>
      <c r="E85" s="124">
        <f>(SIGN(COS(D85))*(ABS(COS(D85))^C$77))*C$78+C$79</f>
        <v>1670</v>
      </c>
      <c r="F85" s="124"/>
      <c r="G85" s="124">
        <f>(SIGN(SIN(D85))*(ABS(SIN(D85))^C$77))*C$80+C$81</f>
        <v>-35</v>
      </c>
      <c r="H85" s="124"/>
      <c r="J85" s="561">
        <f>((E85-F85)-C$79)/C$78</f>
        <v>1</v>
      </c>
      <c r="K85" s="561">
        <f>((G85-H85)-C$81)/C$80</f>
        <v>0</v>
      </c>
      <c r="M85" s="561">
        <f>(SIGN(COS(D85))*ABS(COS(D85))^U$85)</f>
        <v>1</v>
      </c>
      <c r="N85" s="561">
        <f>(SIGN(SIN(D85))*ABS(SIN(D85))^U$85)</f>
        <v>0</v>
      </c>
      <c r="P85" s="561">
        <f>(J85-M85)^2</f>
        <v>0</v>
      </c>
      <c r="Q85" s="561">
        <f>(K85-N85)^2</f>
        <v>0</v>
      </c>
      <c r="S85" s="597">
        <f>SUM(P85:Q96)</f>
        <v>4.9304591730170647E-32</v>
      </c>
      <c r="U85" s="563">
        <f>IF(U88&lt;0.2,0.2,U88)</f>
        <v>0.6578947368421052</v>
      </c>
    </row>
    <row r="86" spans="1:21" x14ac:dyDescent="0.35">
      <c r="A86" s="140"/>
      <c r="B86" s="140"/>
      <c r="C86" s="199">
        <v>30</v>
      </c>
      <c r="D86" s="561">
        <f t="shared" ref="D86:D96" si="2">RADIANS(C86)</f>
        <v>0.52359877559829882</v>
      </c>
      <c r="E86" s="124">
        <f t="shared" ref="E86:E96" si="3">(SIGN(COS(D86))*(ABS(COS(D86))^C$77))*C$78+C$79</f>
        <v>1516.502593860416</v>
      </c>
      <c r="F86" s="124"/>
      <c r="G86" s="124">
        <f t="shared" ref="G86:G96" si="4">(SIGN(SIN(D86))*(ABS(SIN(D86))^C$77))*C$80+C$81</f>
        <v>1010.7741305674799</v>
      </c>
      <c r="H86" s="124"/>
      <c r="J86" s="561">
        <f t="shared" ref="J86:J96" si="5">((E86-F86)-C$79)/C$78</f>
        <v>0.90970740815318585</v>
      </c>
      <c r="K86" s="561">
        <f t="shared" ref="K86:K96" si="6">((G86-H86)-C$81)/C$80</f>
        <v>0.63380250337423027</v>
      </c>
      <c r="M86" s="561">
        <f t="shared" ref="M86:M96" si="7">(SIGN(COS(D86))*ABS(COS(D86))^U$85)</f>
        <v>0.90970740815318585</v>
      </c>
      <c r="N86" s="561">
        <f t="shared" ref="N86:N96" si="8">(SIGN(SIN(D86))*ABS(SIN(D86))^U$85)</f>
        <v>0.63380250337423027</v>
      </c>
      <c r="P86" s="561">
        <f t="shared" ref="P86:Q96" si="9">(J86-M86)^2</f>
        <v>0</v>
      </c>
      <c r="Q86" s="561">
        <f t="shared" si="9"/>
        <v>0</v>
      </c>
    </row>
    <row r="87" spans="1:21" x14ac:dyDescent="0.35">
      <c r="A87" s="140"/>
      <c r="B87" s="140"/>
      <c r="C87" s="199">
        <v>60</v>
      </c>
      <c r="D87" s="561">
        <f t="shared" si="2"/>
        <v>1.0471975511965976</v>
      </c>
      <c r="E87" s="124">
        <f t="shared" si="3"/>
        <v>1047.4642557361917</v>
      </c>
      <c r="F87" s="124"/>
      <c r="G87" s="124">
        <f t="shared" si="4"/>
        <v>1466.0172234527568</v>
      </c>
      <c r="H87" s="124"/>
      <c r="J87" s="561">
        <f t="shared" si="5"/>
        <v>0.63380250337423039</v>
      </c>
      <c r="K87" s="561">
        <f t="shared" si="6"/>
        <v>0.90970740815318596</v>
      </c>
      <c r="M87" s="561">
        <f t="shared" si="7"/>
        <v>0.63380250337423039</v>
      </c>
      <c r="N87" s="561">
        <f t="shared" si="8"/>
        <v>0.90970740815318585</v>
      </c>
      <c r="P87" s="561">
        <f t="shared" si="9"/>
        <v>0</v>
      </c>
      <c r="Q87" s="561">
        <f t="shared" si="9"/>
        <v>1.2325951644078309E-32</v>
      </c>
      <c r="U87" s="21" t="s">
        <v>1481</v>
      </c>
    </row>
    <row r="88" spans="1:21" x14ac:dyDescent="0.35">
      <c r="A88" s="140"/>
      <c r="B88" s="140"/>
      <c r="C88" s="199">
        <v>90</v>
      </c>
      <c r="D88" s="561">
        <f t="shared" si="2"/>
        <v>1.5707963267948966</v>
      </c>
      <c r="E88" s="124">
        <f t="shared" si="3"/>
        <v>-29.9999999633473</v>
      </c>
      <c r="F88" s="124"/>
      <c r="G88" s="124">
        <f t="shared" si="4"/>
        <v>1615</v>
      </c>
      <c r="H88" s="124"/>
      <c r="J88" s="561">
        <f t="shared" si="5"/>
        <v>2.1560412017820721E-11</v>
      </c>
      <c r="K88" s="561">
        <f t="shared" si="6"/>
        <v>1</v>
      </c>
      <c r="M88" s="561">
        <f t="shared" si="7"/>
        <v>2.1560411886447721E-11</v>
      </c>
      <c r="N88" s="561">
        <f t="shared" si="8"/>
        <v>1</v>
      </c>
      <c r="P88" s="561">
        <f t="shared" si="9"/>
        <v>1.7258864963228903E-38</v>
      </c>
      <c r="Q88" s="561">
        <f t="shared" si="9"/>
        <v>0</v>
      </c>
      <c r="U88" s="598">
        <v>0.6578947368421052</v>
      </c>
    </row>
    <row r="89" spans="1:21" x14ac:dyDescent="0.35">
      <c r="A89" s="140"/>
      <c r="B89" s="140"/>
      <c r="C89" s="199">
        <f>C88+30</f>
        <v>120</v>
      </c>
      <c r="D89" s="561">
        <f t="shared" si="2"/>
        <v>2.0943951023931953</v>
      </c>
      <c r="E89" s="124">
        <f t="shared" si="3"/>
        <v>-1107.4642557361913</v>
      </c>
      <c r="F89" s="124"/>
      <c r="G89" s="124">
        <f t="shared" si="4"/>
        <v>1466.0172234527568</v>
      </c>
      <c r="H89" s="124"/>
      <c r="J89" s="561">
        <f t="shared" si="5"/>
        <v>-0.63380250337423016</v>
      </c>
      <c r="K89" s="561">
        <f t="shared" si="6"/>
        <v>0.90970740815318596</v>
      </c>
      <c r="M89" s="561">
        <f t="shared" si="7"/>
        <v>-0.63380250337423016</v>
      </c>
      <c r="N89" s="561">
        <f t="shared" si="8"/>
        <v>0.90970740815318585</v>
      </c>
      <c r="P89" s="561">
        <f t="shared" si="9"/>
        <v>0</v>
      </c>
      <c r="Q89" s="561">
        <f t="shared" si="9"/>
        <v>1.2325951644078309E-32</v>
      </c>
    </row>
    <row r="90" spans="1:21" x14ac:dyDescent="0.35">
      <c r="A90" s="140"/>
      <c r="B90" s="140"/>
      <c r="C90" s="199">
        <f t="shared" ref="C90:C96" si="10">C89+30</f>
        <v>150</v>
      </c>
      <c r="D90" s="561">
        <f t="shared" si="2"/>
        <v>2.6179938779914944</v>
      </c>
      <c r="E90" s="124">
        <f t="shared" si="3"/>
        <v>-1576.502593860416</v>
      </c>
      <c r="F90" s="124"/>
      <c r="G90" s="124">
        <f t="shared" si="4"/>
        <v>1010.7741305674799</v>
      </c>
      <c r="H90" s="124"/>
      <c r="J90" s="561">
        <f t="shared" si="5"/>
        <v>-0.90970740815318585</v>
      </c>
      <c r="K90" s="561">
        <f t="shared" si="6"/>
        <v>0.63380250337423027</v>
      </c>
      <c r="M90" s="561">
        <f t="shared" si="7"/>
        <v>-0.90970740815318585</v>
      </c>
      <c r="N90" s="561">
        <f t="shared" si="8"/>
        <v>0.63380250337423027</v>
      </c>
      <c r="P90" s="561">
        <f t="shared" si="9"/>
        <v>0</v>
      </c>
      <c r="Q90" s="561">
        <f t="shared" si="9"/>
        <v>0</v>
      </c>
      <c r="U90" s="559" t="s">
        <v>1566</v>
      </c>
    </row>
    <row r="91" spans="1:21" ht="15.5" x14ac:dyDescent="0.35">
      <c r="A91" s="140"/>
      <c r="B91" s="140"/>
      <c r="C91" s="199">
        <f t="shared" si="10"/>
        <v>180</v>
      </c>
      <c r="D91" s="561">
        <f t="shared" si="2"/>
        <v>3.1415926535897931</v>
      </c>
      <c r="E91" s="124">
        <f t="shared" si="3"/>
        <v>-1730</v>
      </c>
      <c r="F91" s="124"/>
      <c r="G91" s="124">
        <f t="shared" si="4"/>
        <v>-34.999999943871032</v>
      </c>
      <c r="H91" s="124"/>
      <c r="J91" s="561">
        <f t="shared" si="5"/>
        <v>-1</v>
      </c>
      <c r="K91" s="561">
        <f t="shared" si="6"/>
        <v>3.4017556448485599E-11</v>
      </c>
      <c r="M91" s="561">
        <f t="shared" si="7"/>
        <v>-1</v>
      </c>
      <c r="N91" s="561">
        <f t="shared" si="8"/>
        <v>3.4017555581848556E-11</v>
      </c>
      <c r="P91" s="561">
        <f t="shared" si="9"/>
        <v>0</v>
      </c>
      <c r="Q91" s="561">
        <f t="shared" si="9"/>
        <v>7.51059765619284E-37</v>
      </c>
      <c r="U91" s="599">
        <f>1/U88</f>
        <v>1.5200000000000002</v>
      </c>
    </row>
    <row r="92" spans="1:21" x14ac:dyDescent="0.35">
      <c r="A92" s="140"/>
      <c r="B92" s="140"/>
      <c r="C92" s="199">
        <f t="shared" si="10"/>
        <v>210</v>
      </c>
      <c r="D92" s="561">
        <f t="shared" si="2"/>
        <v>3.6651914291880923</v>
      </c>
      <c r="E92" s="124">
        <f t="shared" si="3"/>
        <v>-1576.502593860416</v>
      </c>
      <c r="F92" s="124"/>
      <c r="G92" s="124">
        <f t="shared" si="4"/>
        <v>-1080.7741305674801</v>
      </c>
      <c r="H92" s="124"/>
      <c r="J92" s="561">
        <f t="shared" si="5"/>
        <v>-0.90970740815318585</v>
      </c>
      <c r="K92" s="561">
        <f t="shared" si="6"/>
        <v>-0.63380250337423039</v>
      </c>
      <c r="M92" s="561">
        <f t="shared" si="7"/>
        <v>-0.90970740815318585</v>
      </c>
      <c r="N92" s="561">
        <f t="shared" si="8"/>
        <v>-0.63380250337423039</v>
      </c>
      <c r="P92" s="561">
        <f t="shared" si="9"/>
        <v>0</v>
      </c>
      <c r="Q92" s="561">
        <f t="shared" si="9"/>
        <v>0</v>
      </c>
    </row>
    <row r="93" spans="1:21" x14ac:dyDescent="0.35">
      <c r="A93" s="140"/>
      <c r="B93" s="140"/>
      <c r="C93" s="199">
        <f t="shared" si="10"/>
        <v>240</v>
      </c>
      <c r="D93" s="561">
        <f t="shared" si="2"/>
        <v>4.1887902047863905</v>
      </c>
      <c r="E93" s="124">
        <f t="shared" si="3"/>
        <v>-1107.4642557361919</v>
      </c>
      <c r="F93" s="124"/>
      <c r="G93" s="124">
        <f t="shared" si="4"/>
        <v>-1536.0172234527563</v>
      </c>
      <c r="H93" s="124"/>
      <c r="J93" s="561">
        <f t="shared" si="5"/>
        <v>-0.63380250337423061</v>
      </c>
      <c r="K93" s="561">
        <f t="shared" si="6"/>
        <v>-0.90970740815318563</v>
      </c>
      <c r="M93" s="561">
        <f t="shared" si="7"/>
        <v>-0.63380250337423072</v>
      </c>
      <c r="N93" s="561">
        <f t="shared" si="8"/>
        <v>-0.90970740815318563</v>
      </c>
      <c r="P93" s="561">
        <f t="shared" si="9"/>
        <v>1.2325951644078309E-32</v>
      </c>
      <c r="Q93" s="561">
        <f t="shared" si="9"/>
        <v>0</v>
      </c>
    </row>
    <row r="94" spans="1:21" x14ac:dyDescent="0.35">
      <c r="A94" s="140"/>
      <c r="B94" s="140"/>
      <c r="C94" s="199">
        <f t="shared" si="10"/>
        <v>270</v>
      </c>
      <c r="D94" s="561">
        <f t="shared" si="2"/>
        <v>4.7123889803846897</v>
      </c>
      <c r="E94" s="124">
        <f t="shared" si="3"/>
        <v>-30.00000007550949</v>
      </c>
      <c r="F94" s="124"/>
      <c r="G94" s="124">
        <f t="shared" si="4"/>
        <v>-1685</v>
      </c>
      <c r="H94" s="124"/>
      <c r="J94" s="561">
        <f t="shared" si="5"/>
        <v>-4.4417347185919745E-11</v>
      </c>
      <c r="K94" s="561">
        <f t="shared" si="6"/>
        <v>-1</v>
      </c>
      <c r="M94" s="561">
        <f t="shared" si="7"/>
        <v>-4.4417347056169112E-11</v>
      </c>
      <c r="N94" s="561">
        <f t="shared" si="8"/>
        <v>-1</v>
      </c>
      <c r="P94" s="561">
        <f t="shared" si="9"/>
        <v>1.6835226823994921E-38</v>
      </c>
      <c r="Q94" s="561">
        <f t="shared" si="9"/>
        <v>0</v>
      </c>
    </row>
    <row r="95" spans="1:21" x14ac:dyDescent="0.35">
      <c r="A95" s="140"/>
      <c r="B95" s="140"/>
      <c r="C95" s="199">
        <f t="shared" si="10"/>
        <v>300</v>
      </c>
      <c r="D95" s="561">
        <f t="shared" si="2"/>
        <v>5.2359877559829888</v>
      </c>
      <c r="E95" s="124">
        <f t="shared" si="3"/>
        <v>1047.4642557361917</v>
      </c>
      <c r="F95" s="124"/>
      <c r="G95" s="124">
        <f t="shared" si="4"/>
        <v>-1536.0172234527568</v>
      </c>
      <c r="H95" s="124"/>
      <c r="J95" s="561">
        <f t="shared" si="5"/>
        <v>0.63380250337423039</v>
      </c>
      <c r="K95" s="561">
        <f t="shared" si="6"/>
        <v>-0.90970740815318596</v>
      </c>
      <c r="M95" s="561">
        <f t="shared" si="7"/>
        <v>0.63380250337423039</v>
      </c>
      <c r="N95" s="561">
        <f t="shared" si="8"/>
        <v>-0.90970740815318585</v>
      </c>
      <c r="P95" s="561">
        <f t="shared" si="9"/>
        <v>0</v>
      </c>
      <c r="Q95" s="561">
        <f t="shared" si="9"/>
        <v>1.2325951644078309E-32</v>
      </c>
    </row>
    <row r="96" spans="1:21" x14ac:dyDescent="0.35">
      <c r="A96" s="140"/>
      <c r="B96" s="140"/>
      <c r="C96" s="199">
        <f t="shared" si="10"/>
        <v>330</v>
      </c>
      <c r="D96" s="561">
        <f t="shared" si="2"/>
        <v>5.7595865315812871</v>
      </c>
      <c r="E96" s="124">
        <f t="shared" si="3"/>
        <v>1516.5025938604156</v>
      </c>
      <c r="F96" s="124"/>
      <c r="G96" s="124">
        <f t="shared" si="4"/>
        <v>-1080.7741305674806</v>
      </c>
      <c r="H96" s="124"/>
      <c r="J96" s="561">
        <f t="shared" si="5"/>
        <v>0.90970740815318563</v>
      </c>
      <c r="K96" s="561">
        <f t="shared" si="6"/>
        <v>-0.63380250337423072</v>
      </c>
      <c r="M96" s="561">
        <f t="shared" si="7"/>
        <v>0.90970740815318563</v>
      </c>
      <c r="N96" s="561">
        <f t="shared" si="8"/>
        <v>-0.63380250337423072</v>
      </c>
      <c r="P96" s="561">
        <f t="shared" si="9"/>
        <v>0</v>
      </c>
      <c r="Q96" s="561">
        <f t="shared" si="9"/>
        <v>0</v>
      </c>
    </row>
    <row r="97" spans="1:9" x14ac:dyDescent="0.35">
      <c r="A97" s="140"/>
      <c r="B97" s="140"/>
      <c r="C97" s="614"/>
      <c r="D97" s="615"/>
      <c r="E97" s="604"/>
      <c r="F97" s="604"/>
      <c r="G97" s="604"/>
      <c r="H97" s="604"/>
      <c r="I97" s="140"/>
    </row>
    <row r="98" spans="1:9" x14ac:dyDescent="0.35">
      <c r="A98" s="140"/>
      <c r="B98" s="140"/>
      <c r="C98" s="140"/>
      <c r="D98" s="140"/>
      <c r="E98" s="140"/>
      <c r="F98" s="140"/>
      <c r="G98" s="140"/>
      <c r="H98" s="140"/>
      <c r="I98" s="140"/>
    </row>
    <row r="99" spans="1:9" x14ac:dyDescent="0.35">
      <c r="A99" s="140"/>
      <c r="B99" s="140"/>
      <c r="C99" s="140"/>
      <c r="D99" s="140"/>
      <c r="E99" s="140"/>
      <c r="F99" s="140"/>
      <c r="G99" s="140"/>
      <c r="H99" s="140"/>
      <c r="I99" s="140"/>
    </row>
    <row r="100" spans="1:9" x14ac:dyDescent="0.35">
      <c r="A100" s="140"/>
      <c r="B100" s="140"/>
      <c r="C100" s="140"/>
      <c r="D100" s="140"/>
      <c r="E100" s="140"/>
      <c r="F100" s="140"/>
      <c r="G100" s="140"/>
      <c r="H100" s="140"/>
      <c r="I100" s="140"/>
    </row>
    <row r="101" spans="1:9" x14ac:dyDescent="0.35">
      <c r="A101" s="140"/>
      <c r="B101" s="140"/>
      <c r="C101" s="140"/>
      <c r="D101" s="140"/>
      <c r="E101" s="140"/>
      <c r="F101" s="140"/>
      <c r="G101" s="140"/>
      <c r="H101" s="140"/>
      <c r="I101" s="140"/>
    </row>
    <row r="102" spans="1:9" x14ac:dyDescent="0.35">
      <c r="A102" s="140"/>
      <c r="B102" s="140"/>
      <c r="C102" s="140"/>
      <c r="D102" s="140"/>
      <c r="E102" s="140"/>
      <c r="F102" s="140"/>
      <c r="G102" s="140"/>
      <c r="H102" s="140"/>
      <c r="I102" s="140"/>
    </row>
    <row r="103" spans="1:9" x14ac:dyDescent="0.35">
      <c r="A103" s="140"/>
      <c r="B103" s="140"/>
      <c r="C103" s="140"/>
      <c r="D103" s="140"/>
      <c r="E103" s="140"/>
      <c r="F103" s="140"/>
      <c r="G103" s="140"/>
      <c r="H103" s="140"/>
      <c r="I103" s="140"/>
    </row>
    <row r="104" spans="1:9" x14ac:dyDescent="0.35">
      <c r="A104" s="140"/>
      <c r="B104" s="140"/>
      <c r="C104" s="140"/>
      <c r="D104" s="140"/>
      <c r="E104" s="140"/>
      <c r="F104" s="140"/>
      <c r="G104" s="140"/>
      <c r="H104" s="140"/>
      <c r="I104" s="140"/>
    </row>
    <row r="132" spans="1:21" ht="15.5" x14ac:dyDescent="0.35">
      <c r="B132" s="16" t="s">
        <v>1494</v>
      </c>
    </row>
    <row r="134" spans="1:21" x14ac:dyDescent="0.35">
      <c r="B134" s="96" t="s">
        <v>1493</v>
      </c>
      <c r="C134" s="124">
        <v>3</v>
      </c>
      <c r="D134" s="13" t="s">
        <v>537</v>
      </c>
    </row>
    <row r="136" spans="1:21" x14ac:dyDescent="0.35">
      <c r="B136" s="21" t="s">
        <v>1471</v>
      </c>
      <c r="C136" s="612">
        <v>1.2</v>
      </c>
    </row>
    <row r="137" spans="1:21" x14ac:dyDescent="0.35">
      <c r="B137" s="560" t="s">
        <v>1471</v>
      </c>
      <c r="C137" s="562">
        <f>1/C136</f>
        <v>0.83333333333333337</v>
      </c>
    </row>
    <row r="139" spans="1:21" x14ac:dyDescent="0.35">
      <c r="B139" s="1" t="s">
        <v>1462</v>
      </c>
      <c r="J139" s="1" t="s">
        <v>1480</v>
      </c>
      <c r="M139" s="1" t="s">
        <v>1474</v>
      </c>
    </row>
    <row r="140" spans="1:21" x14ac:dyDescent="0.35">
      <c r="A140" s="1" t="s">
        <v>1492</v>
      </c>
      <c r="C140" s="559" t="s">
        <v>1463</v>
      </c>
      <c r="D140" s="559" t="s">
        <v>1464</v>
      </c>
      <c r="E140" s="559" t="s">
        <v>1465</v>
      </c>
      <c r="F140" s="559" t="s">
        <v>1466</v>
      </c>
      <c r="G140" s="559" t="s">
        <v>1469</v>
      </c>
      <c r="H140" s="559" t="s">
        <v>1470</v>
      </c>
      <c r="I140" s="1"/>
      <c r="J140" s="559" t="s">
        <v>1467</v>
      </c>
      <c r="K140" s="559" t="s">
        <v>1468</v>
      </c>
      <c r="M140" s="559" t="s">
        <v>1472</v>
      </c>
      <c r="N140" s="559" t="s">
        <v>1473</v>
      </c>
      <c r="P140" s="559" t="s">
        <v>1477</v>
      </c>
      <c r="Q140" s="559" t="s">
        <v>1478</v>
      </c>
      <c r="S140" s="559" t="s">
        <v>1567</v>
      </c>
      <c r="U140" s="21" t="s">
        <v>1479</v>
      </c>
    </row>
    <row r="141" spans="1:21" x14ac:dyDescent="0.35">
      <c r="A141" s="313"/>
      <c r="B141" s="299"/>
      <c r="C141" s="199">
        <f>0</f>
        <v>0</v>
      </c>
      <c r="D141" s="561">
        <f>C141*PI()/180</f>
        <v>0</v>
      </c>
      <c r="E141" s="35">
        <f t="shared" ref="E141:E152" si="11">(SIGN(SIN(D141+B141))*ABS(SIN(D141+B141))^C$137)*C$18+C$17</f>
        <v>-30</v>
      </c>
      <c r="F141" s="35"/>
      <c r="G141" s="35">
        <f t="shared" ref="G141:G152" si="12">(SIGN(COS(D141+B141))*ABS(COS(D141+B141))^C$137)*D$18+D$17</f>
        <v>1615</v>
      </c>
      <c r="H141" s="35"/>
      <c r="J141" s="561">
        <f>((E141-F141)-C$17)/C$18</f>
        <v>0</v>
      </c>
      <c r="K141" s="561">
        <f>((G141-H141)-D$17)/D$18</f>
        <v>1</v>
      </c>
      <c r="M141" s="561">
        <f>(SIGN(SIN(D141))*ABS(SIN(D141))^U$141)</f>
        <v>0</v>
      </c>
      <c r="N141" s="561">
        <f>(SIGN(COS(D141))*ABS(COS(D141))^U$141)</f>
        <v>1</v>
      </c>
      <c r="P141" s="561">
        <f>(J141-M141)^2</f>
        <v>0</v>
      </c>
      <c r="Q141" s="561">
        <f>(K141-N141)^2</f>
        <v>0</v>
      </c>
      <c r="S141" s="597">
        <f>SUM(P141:Q152)</f>
        <v>1.2510050670666667E-4</v>
      </c>
      <c r="U141" s="563">
        <f>IF(U144&lt;0.2,0.2,U144)</f>
        <v>0.82370409709871439</v>
      </c>
    </row>
    <row r="142" spans="1:21" x14ac:dyDescent="0.35">
      <c r="A142" s="313"/>
      <c r="B142" s="299"/>
      <c r="C142" s="199">
        <v>30</v>
      </c>
      <c r="D142" s="561">
        <f t="shared" ref="D142:D152" si="13">C142*PI()/180</f>
        <v>0.52359877559829882</v>
      </c>
      <c r="E142" s="35">
        <f t="shared" si="11"/>
        <v>924.09274106296687</v>
      </c>
      <c r="F142" s="35"/>
      <c r="G142" s="35">
        <f t="shared" si="12"/>
        <v>1428.6125922265353</v>
      </c>
      <c r="H142" s="35"/>
      <c r="J142" s="561">
        <f t="shared" ref="J142:J152" si="14">((E142-F142)-C$17)/C$18</f>
        <v>0.5612310241546864</v>
      </c>
      <c r="K142" s="561">
        <f t="shared" ref="K142:K152" si="15">((G142-H142)-D$17)/D$18</f>
        <v>0.88703793468274872</v>
      </c>
      <c r="M142" s="561">
        <f t="shared" ref="M142:M152" si="16">(SIGN(SIN(D142))*ABS(SIN(D142))^U$141)</f>
        <v>0.56498947715155912</v>
      </c>
      <c r="N142" s="561">
        <f t="shared" ref="N142:N152" si="17">(SIGN(COS(D142))*ABS(COS(D142))^U$141)</f>
        <v>0.88826740384000002</v>
      </c>
      <c r="P142" s="561">
        <f t="shared" ref="P142:Q152" si="18">(J142-M142)^2</f>
        <v>1.4125968929701521E-5</v>
      </c>
      <c r="Q142" s="561">
        <f t="shared" si="18"/>
        <v>1.5115944086322369E-6</v>
      </c>
    </row>
    <row r="143" spans="1:21" x14ac:dyDescent="0.35">
      <c r="A143" s="313"/>
      <c r="B143" s="299"/>
      <c r="C143" s="199">
        <v>60</v>
      </c>
      <c r="D143" s="561">
        <f t="shared" si="13"/>
        <v>1.0471975511965976</v>
      </c>
      <c r="E143" s="35">
        <f t="shared" si="11"/>
        <v>1477.9644889606725</v>
      </c>
      <c r="F143" s="35"/>
      <c r="G143" s="35">
        <f t="shared" si="12"/>
        <v>891.03118985523292</v>
      </c>
      <c r="H143" s="35"/>
      <c r="J143" s="561">
        <f t="shared" si="14"/>
        <v>0.8870379346827485</v>
      </c>
      <c r="K143" s="561">
        <f t="shared" si="15"/>
        <v>0.56123102415468662</v>
      </c>
      <c r="M143" s="561">
        <f t="shared" si="16"/>
        <v>0.88826740383999991</v>
      </c>
      <c r="N143" s="561">
        <f t="shared" si="17"/>
        <v>0.56498947715155923</v>
      </c>
      <c r="P143" s="561">
        <f t="shared" si="18"/>
        <v>1.5115944086325099E-6</v>
      </c>
      <c r="Q143" s="561">
        <f t="shared" si="18"/>
        <v>1.4125968929700685E-5</v>
      </c>
      <c r="U143" s="21" t="s">
        <v>1481</v>
      </c>
    </row>
    <row r="144" spans="1:21" x14ac:dyDescent="0.35">
      <c r="A144" s="313"/>
      <c r="B144" s="299"/>
      <c r="C144" s="199">
        <v>90</v>
      </c>
      <c r="D144" s="561">
        <f t="shared" si="13"/>
        <v>1.5707963267948966</v>
      </c>
      <c r="E144" s="35">
        <f t="shared" si="11"/>
        <v>1670</v>
      </c>
      <c r="F144" s="35"/>
      <c r="G144" s="35">
        <f t="shared" si="12"/>
        <v>-34.99999999994909</v>
      </c>
      <c r="H144" s="35"/>
      <c r="J144" s="561">
        <f t="shared" si="14"/>
        <v>1</v>
      </c>
      <c r="K144" s="561">
        <f t="shared" si="15"/>
        <v>3.0854780010431019E-14</v>
      </c>
      <c r="M144" s="561">
        <f t="shared" si="16"/>
        <v>1</v>
      </c>
      <c r="N144" s="561">
        <f t="shared" si="17"/>
        <v>4.4199383610325401E-14</v>
      </c>
      <c r="P144" s="561">
        <f t="shared" si="18"/>
        <v>0</v>
      </c>
      <c r="Q144" s="561">
        <f t="shared" si="18"/>
        <v>1.7807844523831409E-28</v>
      </c>
      <c r="U144" s="598">
        <v>0.82370409709871439</v>
      </c>
    </row>
    <row r="145" spans="1:24" x14ac:dyDescent="0.35">
      <c r="A145" s="313"/>
      <c r="B145" s="299"/>
      <c r="C145" s="199">
        <f>C144+30</f>
        <v>120</v>
      </c>
      <c r="D145" s="561">
        <f t="shared" si="13"/>
        <v>2.0943951023931953</v>
      </c>
      <c r="E145" s="35">
        <f t="shared" si="11"/>
        <v>1477.9644889606727</v>
      </c>
      <c r="F145" s="35"/>
      <c r="G145" s="35">
        <f t="shared" si="12"/>
        <v>-961.03118985523236</v>
      </c>
      <c r="H145" s="35"/>
      <c r="J145" s="561">
        <f t="shared" si="14"/>
        <v>0.88703793468274861</v>
      </c>
      <c r="K145" s="561">
        <f t="shared" si="15"/>
        <v>-0.56123102415468629</v>
      </c>
      <c r="M145" s="561">
        <f t="shared" si="16"/>
        <v>0.88826740384000002</v>
      </c>
      <c r="N145" s="561">
        <f t="shared" si="17"/>
        <v>-0.56498947715155889</v>
      </c>
      <c r="P145" s="561">
        <f t="shared" si="18"/>
        <v>1.5115944086325099E-6</v>
      </c>
      <c r="Q145" s="561">
        <f t="shared" si="18"/>
        <v>1.4125968929700685E-5</v>
      </c>
    </row>
    <row r="146" spans="1:24" x14ac:dyDescent="0.35">
      <c r="A146" s="313"/>
      <c r="B146" s="299"/>
      <c r="C146" s="199">
        <f t="shared" ref="C146:C152" si="19">C145+30</f>
        <v>150</v>
      </c>
      <c r="D146" s="561">
        <f t="shared" si="13"/>
        <v>2.6179938779914944</v>
      </c>
      <c r="E146" s="35">
        <f t="shared" si="11"/>
        <v>924.09274106296687</v>
      </c>
      <c r="F146" s="35"/>
      <c r="G146" s="35">
        <f t="shared" si="12"/>
        <v>-1498.6125922265353</v>
      </c>
      <c r="H146" s="35"/>
      <c r="J146" s="561">
        <f t="shared" si="14"/>
        <v>0.5612310241546864</v>
      </c>
      <c r="K146" s="561">
        <f t="shared" si="15"/>
        <v>-0.88703793468274872</v>
      </c>
      <c r="M146" s="561">
        <f t="shared" si="16"/>
        <v>0.56498947715155912</v>
      </c>
      <c r="N146" s="561">
        <f t="shared" si="17"/>
        <v>-0.88826740384000002</v>
      </c>
      <c r="P146" s="561">
        <f t="shared" si="18"/>
        <v>1.4125968929701521E-5</v>
      </c>
      <c r="Q146" s="561">
        <f t="shared" si="18"/>
        <v>1.5115944086322369E-6</v>
      </c>
    </row>
    <row r="147" spans="1:24" x14ac:dyDescent="0.35">
      <c r="A147" s="313"/>
      <c r="B147" s="299"/>
      <c r="C147" s="199">
        <f t="shared" si="19"/>
        <v>180</v>
      </c>
      <c r="D147" s="561">
        <f t="shared" si="13"/>
        <v>3.1415926535897931</v>
      </c>
      <c r="E147" s="35">
        <f t="shared" si="11"/>
        <v>-29.999999999906546</v>
      </c>
      <c r="F147" s="35"/>
      <c r="G147" s="35">
        <f t="shared" si="12"/>
        <v>-1685</v>
      </c>
      <c r="H147" s="35"/>
      <c r="J147" s="561">
        <f t="shared" si="14"/>
        <v>5.4973019600498337E-14</v>
      </c>
      <c r="K147" s="561">
        <f t="shared" si="15"/>
        <v>-1</v>
      </c>
      <c r="M147" s="561">
        <f t="shared" si="16"/>
        <v>7.8230454544321653E-14</v>
      </c>
      <c r="N147" s="561">
        <f t="shared" si="17"/>
        <v>-1</v>
      </c>
      <c r="P147" s="561">
        <f t="shared" si="18"/>
        <v>5.4090828016617391E-28</v>
      </c>
      <c r="Q147" s="561">
        <f t="shared" si="18"/>
        <v>0</v>
      </c>
    </row>
    <row r="148" spans="1:24" x14ac:dyDescent="0.35">
      <c r="A148" s="313"/>
      <c r="B148" s="299"/>
      <c r="C148" s="199">
        <f t="shared" si="19"/>
        <v>210</v>
      </c>
      <c r="D148" s="561">
        <f t="shared" si="13"/>
        <v>3.6651914291880923</v>
      </c>
      <c r="E148" s="35">
        <f t="shared" si="11"/>
        <v>-984.09274106296721</v>
      </c>
      <c r="F148" s="35"/>
      <c r="G148" s="35">
        <f t="shared" si="12"/>
        <v>-1498.6125922265351</v>
      </c>
      <c r="H148" s="35"/>
      <c r="J148" s="561">
        <f t="shared" si="14"/>
        <v>-0.56123102415468662</v>
      </c>
      <c r="K148" s="561">
        <f t="shared" si="15"/>
        <v>-0.8870379346827485</v>
      </c>
      <c r="M148" s="561">
        <f t="shared" si="16"/>
        <v>-0.56498947715155923</v>
      </c>
      <c r="N148" s="561">
        <f t="shared" si="17"/>
        <v>-0.88826740383999991</v>
      </c>
      <c r="P148" s="561">
        <f t="shared" si="18"/>
        <v>1.4125968929700685E-5</v>
      </c>
      <c r="Q148" s="561">
        <f t="shared" si="18"/>
        <v>1.5115944086325099E-6</v>
      </c>
    </row>
    <row r="149" spans="1:24" x14ac:dyDescent="0.35">
      <c r="A149" s="313"/>
      <c r="B149" s="299"/>
      <c r="C149" s="199">
        <f t="shared" si="19"/>
        <v>240</v>
      </c>
      <c r="D149" s="561">
        <f t="shared" si="13"/>
        <v>4.1887902047863905</v>
      </c>
      <c r="E149" s="35">
        <f t="shared" si="11"/>
        <v>-1537.9644889606723</v>
      </c>
      <c r="F149" s="35"/>
      <c r="G149" s="35">
        <f t="shared" si="12"/>
        <v>-961.03118985523349</v>
      </c>
      <c r="H149" s="35"/>
      <c r="J149" s="561">
        <f t="shared" si="14"/>
        <v>-0.88703793468274839</v>
      </c>
      <c r="K149" s="561">
        <f t="shared" si="15"/>
        <v>-0.56123102415468695</v>
      </c>
      <c r="M149" s="561">
        <f t="shared" si="16"/>
        <v>-0.8882674038399998</v>
      </c>
      <c r="N149" s="561">
        <f t="shared" si="17"/>
        <v>-0.56498947715155956</v>
      </c>
      <c r="P149" s="561">
        <f t="shared" si="18"/>
        <v>1.5115944086325099E-6</v>
      </c>
      <c r="Q149" s="561">
        <f t="shared" si="18"/>
        <v>1.4125968929700685E-5</v>
      </c>
    </row>
    <row r="150" spans="1:24" x14ac:dyDescent="0.35">
      <c r="A150" s="313"/>
      <c r="B150" s="299"/>
      <c r="C150" s="199">
        <f t="shared" si="19"/>
        <v>270</v>
      </c>
      <c r="D150" s="561">
        <f t="shared" si="13"/>
        <v>4.7123889803846897</v>
      </c>
      <c r="E150" s="35">
        <f t="shared" si="11"/>
        <v>-1730</v>
      </c>
      <c r="F150" s="35"/>
      <c r="G150" s="35">
        <f t="shared" si="12"/>
        <v>-35.000000000127173</v>
      </c>
      <c r="H150" s="35"/>
      <c r="J150" s="561">
        <f t="shared" si="14"/>
        <v>-1</v>
      </c>
      <c r="K150" s="561">
        <f t="shared" si="15"/>
        <v>-7.707450839172287E-14</v>
      </c>
      <c r="M150" s="561">
        <f t="shared" si="16"/>
        <v>-1</v>
      </c>
      <c r="N150" s="561">
        <f t="shared" si="17"/>
        <v>-1.0925037722362623E-13</v>
      </c>
      <c r="P150" s="561">
        <f t="shared" si="18"/>
        <v>0</v>
      </c>
      <c r="Q150" s="561">
        <f t="shared" si="18"/>
        <v>1.03528653508785E-27</v>
      </c>
    </row>
    <row r="151" spans="1:24" x14ac:dyDescent="0.35">
      <c r="A151" s="313"/>
      <c r="B151" s="299"/>
      <c r="C151" s="199">
        <f t="shared" si="19"/>
        <v>300</v>
      </c>
      <c r="D151" s="561">
        <f t="shared" si="13"/>
        <v>5.2359877559829888</v>
      </c>
      <c r="E151" s="35">
        <f t="shared" si="11"/>
        <v>-1537.9644889606725</v>
      </c>
      <c r="F151" s="35"/>
      <c r="G151" s="35">
        <f t="shared" si="12"/>
        <v>891.03118985523292</v>
      </c>
      <c r="H151" s="35"/>
      <c r="J151" s="561">
        <f t="shared" si="14"/>
        <v>-0.8870379346827485</v>
      </c>
      <c r="K151" s="561">
        <f t="shared" si="15"/>
        <v>0.56123102415468662</v>
      </c>
      <c r="M151" s="561">
        <f t="shared" si="16"/>
        <v>-0.88826740383999991</v>
      </c>
      <c r="N151" s="561">
        <f t="shared" si="17"/>
        <v>0.56498947715155923</v>
      </c>
      <c r="P151" s="561">
        <f t="shared" si="18"/>
        <v>1.5115944086325099E-6</v>
      </c>
      <c r="Q151" s="561">
        <f t="shared" si="18"/>
        <v>1.4125968929700685E-5</v>
      </c>
    </row>
    <row r="152" spans="1:24" x14ac:dyDescent="0.35">
      <c r="A152" s="313"/>
      <c r="B152" s="299"/>
      <c r="C152" s="199">
        <f t="shared" si="19"/>
        <v>330</v>
      </c>
      <c r="D152" s="561">
        <f t="shared" si="13"/>
        <v>5.7595865315812871</v>
      </c>
      <c r="E152" s="35">
        <f t="shared" si="11"/>
        <v>-984.09274106296778</v>
      </c>
      <c r="F152" s="35"/>
      <c r="G152" s="35">
        <f t="shared" si="12"/>
        <v>1428.6125922265348</v>
      </c>
      <c r="H152" s="35"/>
      <c r="J152" s="561">
        <f t="shared" si="14"/>
        <v>-0.56123102415468695</v>
      </c>
      <c r="K152" s="561">
        <f t="shared" si="15"/>
        <v>0.88703793468274839</v>
      </c>
      <c r="M152" s="561">
        <f t="shared" si="16"/>
        <v>-0.56498947715155956</v>
      </c>
      <c r="N152" s="561">
        <f t="shared" si="17"/>
        <v>0.8882674038399998</v>
      </c>
      <c r="P152" s="561">
        <f t="shared" si="18"/>
        <v>1.4125968929700685E-5</v>
      </c>
      <c r="Q152" s="561">
        <f t="shared" si="18"/>
        <v>1.5115944086325099E-6</v>
      </c>
    </row>
    <row r="153" spans="1:24" x14ac:dyDescent="0.35">
      <c r="E153" s="140"/>
      <c r="F153" s="140"/>
      <c r="G153" s="140"/>
      <c r="H153" s="140"/>
    </row>
    <row r="155" spans="1:24" x14ac:dyDescent="0.35">
      <c r="B155" t="s">
        <v>1495</v>
      </c>
    </row>
    <row r="156" spans="1:24" x14ac:dyDescent="0.35">
      <c r="C156" s="559" t="s">
        <v>1463</v>
      </c>
      <c r="D156" s="559" t="s">
        <v>1464</v>
      </c>
      <c r="E156" s="559" t="s">
        <v>1465</v>
      </c>
      <c r="F156" s="559" t="s">
        <v>1466</v>
      </c>
      <c r="G156" s="559" t="s">
        <v>1469</v>
      </c>
      <c r="H156" s="559" t="s">
        <v>1470</v>
      </c>
      <c r="I156" s="1"/>
      <c r="J156" s="559" t="s">
        <v>1467</v>
      </c>
      <c r="K156" s="559" t="s">
        <v>1468</v>
      </c>
      <c r="M156" s="559" t="s">
        <v>1472</v>
      </c>
      <c r="N156" s="559" t="s">
        <v>1473</v>
      </c>
      <c r="P156" s="559" t="s">
        <v>1475</v>
      </c>
      <c r="Q156" s="559" t="s">
        <v>1476</v>
      </c>
      <c r="S156" s="1" t="s">
        <v>1496</v>
      </c>
      <c r="T156" s="1"/>
      <c r="U156" s="1" t="s">
        <v>1497</v>
      </c>
      <c r="V156" s="1" t="s">
        <v>1498</v>
      </c>
      <c r="W156" s="1" t="s">
        <v>1496</v>
      </c>
      <c r="X156" s="1" t="s">
        <v>1499</v>
      </c>
    </row>
    <row r="157" spans="1:24" x14ac:dyDescent="0.35">
      <c r="C157" s="199">
        <f>0</f>
        <v>0</v>
      </c>
      <c r="D157" s="561">
        <f>C157*PI()/180</f>
        <v>0</v>
      </c>
      <c r="E157" s="35">
        <f>(SIGN(SIN(D157))*ABS(SIN(D157))^(1/C$137))</f>
        <v>0</v>
      </c>
      <c r="F157" s="35"/>
      <c r="G157" s="35">
        <f>(SIGN(COS(D157))*ABS(COS(D157))^(1/C$137))</f>
        <v>1</v>
      </c>
      <c r="H157" s="35"/>
      <c r="J157" s="561">
        <f>E157</f>
        <v>0</v>
      </c>
      <c r="K157" s="561">
        <f>G157</f>
        <v>1</v>
      </c>
      <c r="M157" s="561">
        <f>(SIGN(SIN(D157))*ABS(SIN(D157))^U$141)</f>
        <v>0</v>
      </c>
      <c r="N157" s="561">
        <f>(SIGN(COS(D157))*ABS(COS(D157))^U$141)</f>
        <v>1</v>
      </c>
      <c r="P157" s="561">
        <f>(J157-M157)</f>
        <v>0</v>
      </c>
      <c r="Q157" s="561">
        <f>(K157-N157)</f>
        <v>0</v>
      </c>
      <c r="S157" s="78">
        <f>IF(K157&lt;0,PI(),IF(J157&lt;0,2*PI(),0))</f>
        <v>0</v>
      </c>
      <c r="U157" s="313">
        <f>SIGN(J157)*(ABS(J157)^U$144)+0.000000001</f>
        <v>1.0000000000000001E-9</v>
      </c>
      <c r="V157" s="313">
        <f>SIGN(K157)*(ABS(K157)^U$144)</f>
        <v>1</v>
      </c>
      <c r="W157" s="78">
        <f>DEGREES(ATAN(U157/V157)+S157)</f>
        <v>5.7295779513082324E-8</v>
      </c>
      <c r="X157" s="78">
        <f>W157-C157</f>
        <v>5.7295779513082324E-8</v>
      </c>
    </row>
    <row r="158" spans="1:24" x14ac:dyDescent="0.35">
      <c r="C158" s="199">
        <f>C157+15</f>
        <v>15</v>
      </c>
      <c r="D158" s="561">
        <f t="shared" ref="D158:D181" si="20">C158*PI()/180</f>
        <v>0.26179938779914941</v>
      </c>
      <c r="E158" s="35">
        <f t="shared" ref="E158:E181" si="21">(SIGN(SIN(D158))*ABS(SIN(D158))^(1/C$137))</f>
        <v>0.1975129050348936</v>
      </c>
      <c r="F158" s="35"/>
      <c r="G158" s="35">
        <f t="shared" ref="G158:G181" si="22">(SIGN(COS(D158))*ABS(COS(D158))^(1/C$137))</f>
        <v>0.95925160323234604</v>
      </c>
      <c r="H158" s="35"/>
      <c r="J158" s="561">
        <f t="shared" ref="J158:J181" si="23">E158</f>
        <v>0.1975129050348936</v>
      </c>
      <c r="K158" s="561">
        <f t="shared" ref="K158:K181" si="24">G158</f>
        <v>0.95925160323234604</v>
      </c>
      <c r="M158" s="561">
        <f t="shared" ref="M158:M181" si="25">(SIGN(SIN(D158))*ABS(SIN(D158))^U$141)</f>
        <v>0.32846007681081807</v>
      </c>
      <c r="N158" s="561">
        <f t="shared" ref="N158:N181" si="26">(SIGN(COS(D158))*ABS(COS(D158))^U$141)</f>
        <v>0.97184751459413465</v>
      </c>
      <c r="P158" s="561">
        <f t="shared" ref="P158:Q181" si="27">(J158-M158)</f>
        <v>-0.13094717177592446</v>
      </c>
      <c r="Q158" s="561">
        <f t="shared" si="27"/>
        <v>-1.2595911361788614E-2</v>
      </c>
      <c r="S158" s="78">
        <f t="shared" ref="S158:S181" si="28">IF(K158&lt;0,PI(),IF(J158&lt;0,2*PI(),0))</f>
        <v>0</v>
      </c>
      <c r="U158" s="313">
        <f t="shared" ref="U158:U181" si="29">SIGN(J158)*(ABS(J158)^U$144)</f>
        <v>0.26289305190262524</v>
      </c>
      <c r="V158" s="313">
        <f t="shared" ref="V158:V181" si="30">SIGN(K158)*(ABS(K158)^U$144)</f>
        <v>0.96631284819901342</v>
      </c>
      <c r="W158" s="78">
        <f t="shared" ref="W158:W181" si="31">DEGREES(ATAN(U158/V158)+S158)</f>
        <v>15.219415987337387</v>
      </c>
      <c r="X158" s="78">
        <f t="shared" ref="X158:X181" si="32">W158-C158</f>
        <v>0.21941598733738665</v>
      </c>
    </row>
    <row r="159" spans="1:24" x14ac:dyDescent="0.35">
      <c r="C159" s="199">
        <f t="shared" ref="C159:C181" si="33">C158+15</f>
        <v>30</v>
      </c>
      <c r="D159" s="561">
        <f t="shared" si="20"/>
        <v>0.52359877559829882</v>
      </c>
      <c r="E159" s="35">
        <f t="shared" si="21"/>
        <v>0.43527528164806201</v>
      </c>
      <c r="F159" s="35"/>
      <c r="G159" s="35">
        <f t="shared" si="22"/>
        <v>0.84146635908464973</v>
      </c>
      <c r="H159" s="35"/>
      <c r="J159" s="561">
        <f t="shared" si="23"/>
        <v>0.43527528164806201</v>
      </c>
      <c r="K159" s="561">
        <f t="shared" si="24"/>
        <v>0.84146635908464973</v>
      </c>
      <c r="M159" s="561">
        <f t="shared" si="25"/>
        <v>0.56498947715155912</v>
      </c>
      <c r="N159" s="561">
        <f t="shared" si="26"/>
        <v>0.88826740384000002</v>
      </c>
      <c r="P159" s="561">
        <f t="shared" si="27"/>
        <v>-0.12971419550349711</v>
      </c>
      <c r="Q159" s="561">
        <f t="shared" si="27"/>
        <v>-4.6801044755350296E-2</v>
      </c>
      <c r="S159" s="78">
        <f t="shared" si="28"/>
        <v>0</v>
      </c>
      <c r="U159" s="313">
        <f t="shared" si="29"/>
        <v>0.50402076718698485</v>
      </c>
      <c r="V159" s="313">
        <f t="shared" si="30"/>
        <v>0.86746601732202677</v>
      </c>
      <c r="W159" s="78">
        <f t="shared" si="31"/>
        <v>30.157724060710844</v>
      </c>
      <c r="X159" s="78">
        <f t="shared" si="32"/>
        <v>0.15772406071084433</v>
      </c>
    </row>
    <row r="160" spans="1:24" x14ac:dyDescent="0.35">
      <c r="C160" s="199">
        <f t="shared" si="33"/>
        <v>45</v>
      </c>
      <c r="D160" s="561">
        <f t="shared" si="20"/>
        <v>0.78539816339744828</v>
      </c>
      <c r="E160" s="35">
        <f t="shared" si="21"/>
        <v>0.6597539553864471</v>
      </c>
      <c r="F160" s="35"/>
      <c r="G160" s="35">
        <f t="shared" si="22"/>
        <v>0.65975395538644721</v>
      </c>
      <c r="H160" s="35"/>
      <c r="J160" s="561">
        <f t="shared" si="23"/>
        <v>0.6597539553864471</v>
      </c>
      <c r="K160" s="561">
        <f t="shared" si="24"/>
        <v>0.65975395538644721</v>
      </c>
      <c r="M160" s="561">
        <f t="shared" si="25"/>
        <v>0.75165781919139174</v>
      </c>
      <c r="N160" s="561">
        <f t="shared" si="26"/>
        <v>0.75165781919139185</v>
      </c>
      <c r="P160" s="561">
        <f t="shared" si="27"/>
        <v>-9.1903863804944641E-2</v>
      </c>
      <c r="Q160" s="561">
        <f t="shared" si="27"/>
        <v>-9.1903863804944641E-2</v>
      </c>
      <c r="S160" s="78">
        <f t="shared" si="28"/>
        <v>0</v>
      </c>
      <c r="U160" s="313">
        <f t="shared" si="29"/>
        <v>0.70994420005165537</v>
      </c>
      <c r="V160" s="313">
        <f t="shared" si="30"/>
        <v>0.70994420005165548</v>
      </c>
      <c r="W160" s="78">
        <f t="shared" si="31"/>
        <v>45</v>
      </c>
      <c r="X160" s="78">
        <f t="shared" si="32"/>
        <v>0</v>
      </c>
    </row>
    <row r="161" spans="3:24" x14ac:dyDescent="0.35">
      <c r="C161" s="199">
        <f t="shared" si="33"/>
        <v>60</v>
      </c>
      <c r="D161" s="561">
        <f t="shared" si="20"/>
        <v>1.0471975511965976</v>
      </c>
      <c r="E161" s="35">
        <f t="shared" si="21"/>
        <v>0.84146635908464951</v>
      </c>
      <c r="F161" s="35"/>
      <c r="G161" s="35">
        <f t="shared" si="22"/>
        <v>0.43527528164806223</v>
      </c>
      <c r="H161" s="35"/>
      <c r="J161" s="561">
        <f t="shared" si="23"/>
        <v>0.84146635908464951</v>
      </c>
      <c r="K161" s="561">
        <f t="shared" si="24"/>
        <v>0.43527528164806223</v>
      </c>
      <c r="M161" s="561">
        <f t="shared" si="25"/>
        <v>0.88826740383999991</v>
      </c>
      <c r="N161" s="561">
        <f t="shared" si="26"/>
        <v>0.56498947715155923</v>
      </c>
      <c r="P161" s="561">
        <f t="shared" si="27"/>
        <v>-4.6801044755350407E-2</v>
      </c>
      <c r="Q161" s="561">
        <f t="shared" si="27"/>
        <v>-0.129714195503497</v>
      </c>
      <c r="S161" s="78">
        <f t="shared" si="28"/>
        <v>0</v>
      </c>
      <c r="U161" s="313">
        <f t="shared" si="29"/>
        <v>0.86746601732202666</v>
      </c>
      <c r="V161" s="313">
        <f t="shared" si="30"/>
        <v>0.50402076718698507</v>
      </c>
      <c r="W161" s="78">
        <f t="shared" si="31"/>
        <v>59.842275939289138</v>
      </c>
      <c r="X161" s="78">
        <f t="shared" si="32"/>
        <v>-0.15772406071086209</v>
      </c>
    </row>
    <row r="162" spans="3:24" x14ac:dyDescent="0.35">
      <c r="C162" s="199">
        <f t="shared" si="33"/>
        <v>75</v>
      </c>
      <c r="D162" s="561">
        <f t="shared" si="20"/>
        <v>1.3089969389957472</v>
      </c>
      <c r="E162" s="35">
        <f t="shared" si="21"/>
        <v>0.95925160323234604</v>
      </c>
      <c r="F162" s="35"/>
      <c r="G162" s="35">
        <f t="shared" si="22"/>
        <v>0.1975129050348936</v>
      </c>
      <c r="H162" s="35"/>
      <c r="J162" s="561">
        <f t="shared" si="23"/>
        <v>0.95925160323234604</v>
      </c>
      <c r="K162" s="561">
        <f t="shared" si="24"/>
        <v>0.1975129050348936</v>
      </c>
      <c r="M162" s="561">
        <f t="shared" si="25"/>
        <v>0.97184751459413465</v>
      </c>
      <c r="N162" s="561">
        <f t="shared" si="26"/>
        <v>0.32846007681081807</v>
      </c>
      <c r="P162" s="561">
        <f t="shared" si="27"/>
        <v>-1.2595911361788614E-2</v>
      </c>
      <c r="Q162" s="561">
        <f t="shared" si="27"/>
        <v>-0.13094717177592446</v>
      </c>
      <c r="S162" s="78">
        <f t="shared" si="28"/>
        <v>0</v>
      </c>
      <c r="U162" s="313">
        <f t="shared" si="29"/>
        <v>0.96631284819901342</v>
      </c>
      <c r="V162" s="313">
        <f t="shared" si="30"/>
        <v>0.26289305190262524</v>
      </c>
      <c r="W162" s="78">
        <f t="shared" si="31"/>
        <v>74.780584012662615</v>
      </c>
      <c r="X162" s="78">
        <f t="shared" si="32"/>
        <v>-0.21941598733738488</v>
      </c>
    </row>
    <row r="163" spans="3:24" x14ac:dyDescent="0.35">
      <c r="C163" s="199">
        <f t="shared" si="33"/>
        <v>90</v>
      </c>
      <c r="D163" s="561">
        <f t="shared" si="20"/>
        <v>1.5707963267948966</v>
      </c>
      <c r="E163" s="35">
        <f t="shared" si="21"/>
        <v>1</v>
      </c>
      <c r="F163" s="35"/>
      <c r="G163" s="35">
        <f t="shared" si="22"/>
        <v>3.5042127477909315E-20</v>
      </c>
      <c r="H163" s="35"/>
      <c r="J163" s="561">
        <f t="shared" si="23"/>
        <v>1</v>
      </c>
      <c r="K163" s="561">
        <f t="shared" si="24"/>
        <v>3.5042127477909315E-20</v>
      </c>
      <c r="M163" s="561">
        <f t="shared" si="25"/>
        <v>1</v>
      </c>
      <c r="N163" s="561">
        <f t="shared" si="26"/>
        <v>4.4199383610325401E-14</v>
      </c>
      <c r="P163" s="561">
        <f t="shared" si="27"/>
        <v>0</v>
      </c>
      <c r="Q163" s="561">
        <f t="shared" si="27"/>
        <v>-4.4199348568197925E-14</v>
      </c>
      <c r="S163" s="78">
        <f t="shared" si="28"/>
        <v>0</v>
      </c>
      <c r="U163" s="313">
        <f t="shared" si="29"/>
        <v>1</v>
      </c>
      <c r="V163" s="313">
        <f t="shared" si="30"/>
        <v>9.4297342907010488E-17</v>
      </c>
      <c r="W163" s="78">
        <f t="shared" si="31"/>
        <v>90</v>
      </c>
      <c r="X163" s="78">
        <f t="shared" si="32"/>
        <v>0</v>
      </c>
    </row>
    <row r="164" spans="3:24" x14ac:dyDescent="0.35">
      <c r="C164" s="199">
        <f t="shared" si="33"/>
        <v>105</v>
      </c>
      <c r="D164" s="561">
        <f t="shared" si="20"/>
        <v>1.8325957145940461</v>
      </c>
      <c r="E164" s="35">
        <f t="shared" si="21"/>
        <v>0.95925160323234604</v>
      </c>
      <c r="F164" s="35"/>
      <c r="G164" s="35">
        <f t="shared" si="22"/>
        <v>-0.19751290503489369</v>
      </c>
      <c r="H164" s="35"/>
      <c r="J164" s="561">
        <f t="shared" si="23"/>
        <v>0.95925160323234604</v>
      </c>
      <c r="K164" s="561">
        <f t="shared" si="24"/>
        <v>-0.19751290503489369</v>
      </c>
      <c r="M164" s="561">
        <f t="shared" si="25"/>
        <v>0.97184751459413465</v>
      </c>
      <c r="N164" s="561">
        <f t="shared" si="26"/>
        <v>-0.32846007681081824</v>
      </c>
      <c r="P164" s="561">
        <f t="shared" si="27"/>
        <v>-1.2595911361788614E-2</v>
      </c>
      <c r="Q164" s="561">
        <f t="shared" si="27"/>
        <v>0.13094717177592455</v>
      </c>
      <c r="S164" s="78">
        <f t="shared" si="28"/>
        <v>3.1415926535897931</v>
      </c>
      <c r="U164" s="313">
        <f t="shared" si="29"/>
        <v>0.96631284819901342</v>
      </c>
      <c r="V164" s="313">
        <f t="shared" si="30"/>
        <v>-0.26289305190262535</v>
      </c>
      <c r="W164" s="78">
        <f t="shared" si="31"/>
        <v>105.21941598733738</v>
      </c>
      <c r="X164" s="78">
        <f t="shared" si="32"/>
        <v>0.21941598733738488</v>
      </c>
    </row>
    <row r="165" spans="3:24" x14ac:dyDescent="0.35">
      <c r="C165" s="199">
        <f t="shared" si="33"/>
        <v>120</v>
      </c>
      <c r="D165" s="561">
        <f t="shared" si="20"/>
        <v>2.0943951023931953</v>
      </c>
      <c r="E165" s="35">
        <f t="shared" si="21"/>
        <v>0.84146635908464973</v>
      </c>
      <c r="F165" s="35"/>
      <c r="G165" s="35">
        <f t="shared" si="22"/>
        <v>-0.4352752816480619</v>
      </c>
      <c r="H165" s="35"/>
      <c r="J165" s="561">
        <f t="shared" si="23"/>
        <v>0.84146635908464973</v>
      </c>
      <c r="K165" s="561">
        <f t="shared" si="24"/>
        <v>-0.4352752816480619</v>
      </c>
      <c r="M165" s="561">
        <f t="shared" si="25"/>
        <v>0.88826740384000002</v>
      </c>
      <c r="N165" s="561">
        <f t="shared" si="26"/>
        <v>-0.56498947715155889</v>
      </c>
      <c r="P165" s="561">
        <f t="shared" si="27"/>
        <v>-4.6801044755350296E-2</v>
      </c>
      <c r="Q165" s="561">
        <f t="shared" si="27"/>
        <v>0.129714195503497</v>
      </c>
      <c r="S165" s="78">
        <f t="shared" si="28"/>
        <v>3.1415926535897931</v>
      </c>
      <c r="U165" s="313">
        <f t="shared" si="29"/>
        <v>0.86746601732202677</v>
      </c>
      <c r="V165" s="313">
        <f t="shared" si="30"/>
        <v>-0.50402076718698474</v>
      </c>
      <c r="W165" s="78">
        <f t="shared" si="31"/>
        <v>120.15772406071085</v>
      </c>
      <c r="X165" s="78">
        <f t="shared" si="32"/>
        <v>0.15772406071084788</v>
      </c>
    </row>
    <row r="166" spans="3:24" x14ac:dyDescent="0.35">
      <c r="C166" s="199">
        <f t="shared" si="33"/>
        <v>135</v>
      </c>
      <c r="D166" s="561">
        <f t="shared" si="20"/>
        <v>2.3561944901923448</v>
      </c>
      <c r="E166" s="35">
        <f t="shared" si="21"/>
        <v>0.65975395538644721</v>
      </c>
      <c r="F166" s="35"/>
      <c r="G166" s="35">
        <f t="shared" si="22"/>
        <v>-0.6597539553864471</v>
      </c>
      <c r="H166" s="35"/>
      <c r="J166" s="561">
        <f t="shared" si="23"/>
        <v>0.65975395538644721</v>
      </c>
      <c r="K166" s="561">
        <f t="shared" si="24"/>
        <v>-0.6597539553864471</v>
      </c>
      <c r="M166" s="561">
        <f t="shared" si="25"/>
        <v>0.75165781919139185</v>
      </c>
      <c r="N166" s="561">
        <f t="shared" si="26"/>
        <v>-0.75165781919139174</v>
      </c>
      <c r="P166" s="561">
        <f t="shared" si="27"/>
        <v>-9.1903863804944641E-2</v>
      </c>
      <c r="Q166" s="561">
        <f t="shared" si="27"/>
        <v>9.1903863804944641E-2</v>
      </c>
      <c r="S166" s="78">
        <f t="shared" si="28"/>
        <v>3.1415926535897931</v>
      </c>
      <c r="U166" s="313">
        <f t="shared" si="29"/>
        <v>0.70994420005165548</v>
      </c>
      <c r="V166" s="313">
        <f t="shared" si="30"/>
        <v>-0.70994420005165537</v>
      </c>
      <c r="W166" s="78">
        <f t="shared" si="31"/>
        <v>135</v>
      </c>
      <c r="X166" s="78">
        <f t="shared" si="32"/>
        <v>0</v>
      </c>
    </row>
    <row r="167" spans="3:24" x14ac:dyDescent="0.35">
      <c r="C167" s="199">
        <f t="shared" si="33"/>
        <v>150</v>
      </c>
      <c r="D167" s="561">
        <f t="shared" si="20"/>
        <v>2.6179938779914944</v>
      </c>
      <c r="E167" s="35">
        <f t="shared" si="21"/>
        <v>0.43527528164806201</v>
      </c>
      <c r="F167" s="35"/>
      <c r="G167" s="35">
        <f t="shared" si="22"/>
        <v>-0.84146635908464973</v>
      </c>
      <c r="H167" s="35"/>
      <c r="J167" s="561">
        <f t="shared" si="23"/>
        <v>0.43527528164806201</v>
      </c>
      <c r="K167" s="561">
        <f t="shared" si="24"/>
        <v>-0.84146635908464973</v>
      </c>
      <c r="M167" s="561">
        <f t="shared" si="25"/>
        <v>0.56498947715155912</v>
      </c>
      <c r="N167" s="561">
        <f t="shared" si="26"/>
        <v>-0.88826740384000002</v>
      </c>
      <c r="P167" s="561">
        <f t="shared" si="27"/>
        <v>-0.12971419550349711</v>
      </c>
      <c r="Q167" s="561">
        <f t="shared" si="27"/>
        <v>4.6801044755350296E-2</v>
      </c>
      <c r="S167" s="78">
        <f t="shared" si="28"/>
        <v>3.1415926535897931</v>
      </c>
      <c r="U167" s="313">
        <f t="shared" si="29"/>
        <v>0.50402076718698485</v>
      </c>
      <c r="V167" s="313">
        <f t="shared" si="30"/>
        <v>-0.86746601732202677</v>
      </c>
      <c r="W167" s="78">
        <f t="shared" si="31"/>
        <v>149.84227593928915</v>
      </c>
      <c r="X167" s="78">
        <f t="shared" si="32"/>
        <v>-0.15772406071084788</v>
      </c>
    </row>
    <row r="168" spans="3:24" x14ac:dyDescent="0.35">
      <c r="C168" s="199">
        <f t="shared" si="33"/>
        <v>165</v>
      </c>
      <c r="D168" s="561">
        <f t="shared" si="20"/>
        <v>2.8797932657906435</v>
      </c>
      <c r="E168" s="35">
        <f t="shared" si="21"/>
        <v>0.19751290503489385</v>
      </c>
      <c r="F168" s="35"/>
      <c r="G168" s="35">
        <f t="shared" si="22"/>
        <v>-0.95925160323234582</v>
      </c>
      <c r="H168" s="35"/>
      <c r="J168" s="561">
        <f t="shared" si="23"/>
        <v>0.19751290503489385</v>
      </c>
      <c r="K168" s="561">
        <f t="shared" si="24"/>
        <v>-0.95925160323234582</v>
      </c>
      <c r="M168" s="561">
        <f t="shared" si="25"/>
        <v>0.3284600768108184</v>
      </c>
      <c r="N168" s="561">
        <f t="shared" si="26"/>
        <v>-0.97184751459413454</v>
      </c>
      <c r="P168" s="561">
        <f t="shared" si="27"/>
        <v>-0.13094717177592455</v>
      </c>
      <c r="Q168" s="561">
        <f t="shared" si="27"/>
        <v>1.2595911361788725E-2</v>
      </c>
      <c r="S168" s="78">
        <f t="shared" si="28"/>
        <v>3.1415926535897931</v>
      </c>
      <c r="U168" s="313">
        <f t="shared" si="29"/>
        <v>0.26289305190262552</v>
      </c>
      <c r="V168" s="313">
        <f t="shared" si="30"/>
        <v>-0.9663128481990132</v>
      </c>
      <c r="W168" s="78">
        <f t="shared" si="31"/>
        <v>164.78058401266259</v>
      </c>
      <c r="X168" s="78">
        <f t="shared" si="32"/>
        <v>-0.2194159873374133</v>
      </c>
    </row>
    <row r="169" spans="3:24" x14ac:dyDescent="0.35">
      <c r="C169" s="199">
        <f t="shared" si="33"/>
        <v>180</v>
      </c>
      <c r="D169" s="561">
        <f t="shared" si="20"/>
        <v>3.1415926535897931</v>
      </c>
      <c r="E169" s="35">
        <f t="shared" si="21"/>
        <v>8.050566837894138E-20</v>
      </c>
      <c r="F169" s="35"/>
      <c r="G169" s="35">
        <f t="shared" si="22"/>
        <v>-1</v>
      </c>
      <c r="H169" s="35"/>
      <c r="J169" s="561">
        <f t="shared" si="23"/>
        <v>8.050566837894138E-20</v>
      </c>
      <c r="K169" s="561">
        <f t="shared" si="24"/>
        <v>-1</v>
      </c>
      <c r="M169" s="561">
        <f t="shared" si="25"/>
        <v>7.8230454544321653E-14</v>
      </c>
      <c r="N169" s="561">
        <f t="shared" si="26"/>
        <v>-1</v>
      </c>
      <c r="P169" s="561">
        <f t="shared" si="27"/>
        <v>-7.823037403865327E-14</v>
      </c>
      <c r="Q169" s="561">
        <f t="shared" si="27"/>
        <v>0</v>
      </c>
      <c r="S169" s="78">
        <f t="shared" si="28"/>
        <v>3.1415926535897931</v>
      </c>
      <c r="U169" s="313">
        <f t="shared" si="29"/>
        <v>1.8709019359122324E-16</v>
      </c>
      <c r="V169" s="313">
        <f t="shared" si="30"/>
        <v>-1</v>
      </c>
      <c r="W169" s="78">
        <f t="shared" si="31"/>
        <v>180</v>
      </c>
      <c r="X169" s="78">
        <f t="shared" si="32"/>
        <v>0</v>
      </c>
    </row>
    <row r="170" spans="3:24" x14ac:dyDescent="0.35">
      <c r="C170" s="199">
        <f t="shared" si="33"/>
        <v>195</v>
      </c>
      <c r="D170" s="561">
        <f t="shared" si="20"/>
        <v>3.4033920413889422</v>
      </c>
      <c r="E170" s="35">
        <f t="shared" si="21"/>
        <v>-0.19751290503489322</v>
      </c>
      <c r="F170" s="35"/>
      <c r="G170" s="35">
        <f t="shared" si="22"/>
        <v>-0.95925160323234615</v>
      </c>
      <c r="H170" s="35"/>
      <c r="J170" s="561">
        <f t="shared" si="23"/>
        <v>-0.19751290503489322</v>
      </c>
      <c r="K170" s="561">
        <f t="shared" si="24"/>
        <v>-0.95925160323234615</v>
      </c>
      <c r="M170" s="561">
        <f t="shared" si="25"/>
        <v>-0.32846007681081774</v>
      </c>
      <c r="N170" s="561">
        <f t="shared" si="26"/>
        <v>-0.97184751459413476</v>
      </c>
      <c r="P170" s="561">
        <f t="shared" si="27"/>
        <v>0.13094717177592452</v>
      </c>
      <c r="Q170" s="561">
        <f t="shared" si="27"/>
        <v>1.2595911361788614E-2</v>
      </c>
      <c r="S170" s="78">
        <f t="shared" si="28"/>
        <v>3.1415926535897931</v>
      </c>
      <c r="U170" s="313">
        <f t="shared" si="29"/>
        <v>-0.26289305190262474</v>
      </c>
      <c r="V170" s="313">
        <f t="shared" si="30"/>
        <v>-0.96631284819901353</v>
      </c>
      <c r="W170" s="78">
        <f t="shared" si="31"/>
        <v>195.21941598733738</v>
      </c>
      <c r="X170" s="78">
        <f t="shared" si="32"/>
        <v>0.21941598733738488</v>
      </c>
    </row>
    <row r="171" spans="3:24" x14ac:dyDescent="0.35">
      <c r="C171" s="199">
        <f t="shared" si="33"/>
        <v>210</v>
      </c>
      <c r="D171" s="561">
        <f t="shared" si="20"/>
        <v>3.6651914291880923</v>
      </c>
      <c r="E171" s="35">
        <f t="shared" si="21"/>
        <v>-0.43527528164806223</v>
      </c>
      <c r="F171" s="35"/>
      <c r="G171" s="35">
        <f t="shared" si="22"/>
        <v>-0.84146635908464951</v>
      </c>
      <c r="H171" s="35"/>
      <c r="J171" s="561">
        <f t="shared" si="23"/>
        <v>-0.43527528164806223</v>
      </c>
      <c r="K171" s="561">
        <f t="shared" si="24"/>
        <v>-0.84146635908464951</v>
      </c>
      <c r="M171" s="561">
        <f t="shared" si="25"/>
        <v>-0.56498947715155923</v>
      </c>
      <c r="N171" s="561">
        <f t="shared" si="26"/>
        <v>-0.88826740383999991</v>
      </c>
      <c r="P171" s="561">
        <f t="shared" si="27"/>
        <v>0.129714195503497</v>
      </c>
      <c r="Q171" s="561">
        <f t="shared" si="27"/>
        <v>4.6801044755350407E-2</v>
      </c>
      <c r="S171" s="78">
        <f t="shared" si="28"/>
        <v>3.1415926535897931</v>
      </c>
      <c r="U171" s="313">
        <f t="shared" si="29"/>
        <v>-0.50402076718698507</v>
      </c>
      <c r="V171" s="313">
        <f t="shared" si="30"/>
        <v>-0.86746601732202666</v>
      </c>
      <c r="W171" s="78">
        <f t="shared" si="31"/>
        <v>210.15772406071085</v>
      </c>
      <c r="X171" s="78">
        <f t="shared" si="32"/>
        <v>0.15772406071084788</v>
      </c>
    </row>
    <row r="172" spans="3:24" x14ac:dyDescent="0.35">
      <c r="C172" s="199">
        <f t="shared" si="33"/>
        <v>225</v>
      </c>
      <c r="D172" s="561">
        <f t="shared" si="20"/>
        <v>3.9269908169872414</v>
      </c>
      <c r="E172" s="35">
        <f t="shared" si="21"/>
        <v>-0.6597539553864471</v>
      </c>
      <c r="F172" s="35"/>
      <c r="G172" s="35">
        <f t="shared" si="22"/>
        <v>-0.65975395538644732</v>
      </c>
      <c r="H172" s="35"/>
      <c r="J172" s="561">
        <f t="shared" si="23"/>
        <v>-0.6597539553864471</v>
      </c>
      <c r="K172" s="561">
        <f t="shared" si="24"/>
        <v>-0.65975395538644732</v>
      </c>
      <c r="M172" s="561">
        <f t="shared" si="25"/>
        <v>-0.75165781919139174</v>
      </c>
      <c r="N172" s="561">
        <f t="shared" si="26"/>
        <v>-0.75165781919139196</v>
      </c>
      <c r="P172" s="561">
        <f t="shared" si="27"/>
        <v>9.1903863804944641E-2</v>
      </c>
      <c r="Q172" s="561">
        <f t="shared" si="27"/>
        <v>9.1903863804944641E-2</v>
      </c>
      <c r="S172" s="78">
        <f t="shared" si="28"/>
        <v>3.1415926535897931</v>
      </c>
      <c r="U172" s="313">
        <f t="shared" si="29"/>
        <v>-0.70994420005165537</v>
      </c>
      <c r="V172" s="313">
        <f t="shared" si="30"/>
        <v>-0.70994420005165548</v>
      </c>
      <c r="W172" s="78">
        <f t="shared" si="31"/>
        <v>225</v>
      </c>
      <c r="X172" s="78">
        <f t="shared" si="32"/>
        <v>0</v>
      </c>
    </row>
    <row r="173" spans="3:24" x14ac:dyDescent="0.35">
      <c r="C173" s="199">
        <f t="shared" si="33"/>
        <v>240</v>
      </c>
      <c r="D173" s="561">
        <f t="shared" si="20"/>
        <v>4.1887902047863905</v>
      </c>
      <c r="E173" s="35">
        <f t="shared" si="21"/>
        <v>-0.84146635908464928</v>
      </c>
      <c r="F173" s="35"/>
      <c r="G173" s="35">
        <f t="shared" si="22"/>
        <v>-0.43527528164806256</v>
      </c>
      <c r="H173" s="35"/>
      <c r="J173" s="561">
        <f t="shared" si="23"/>
        <v>-0.84146635908464928</v>
      </c>
      <c r="K173" s="561">
        <f t="shared" si="24"/>
        <v>-0.43527528164806256</v>
      </c>
      <c r="M173" s="561">
        <f t="shared" si="25"/>
        <v>-0.8882674038399998</v>
      </c>
      <c r="N173" s="561">
        <f t="shared" si="26"/>
        <v>-0.56498947715155956</v>
      </c>
      <c r="P173" s="561">
        <f t="shared" si="27"/>
        <v>4.6801044755350518E-2</v>
      </c>
      <c r="Q173" s="561">
        <f t="shared" si="27"/>
        <v>0.129714195503497</v>
      </c>
      <c r="S173" s="78">
        <f t="shared" si="28"/>
        <v>3.1415926535897931</v>
      </c>
      <c r="U173" s="313">
        <f t="shared" si="29"/>
        <v>-0.86746601732202644</v>
      </c>
      <c r="V173" s="313">
        <f t="shared" si="30"/>
        <v>-0.5040207671869853</v>
      </c>
      <c r="W173" s="78">
        <f t="shared" si="31"/>
        <v>239.84227593928915</v>
      </c>
      <c r="X173" s="78">
        <f t="shared" si="32"/>
        <v>-0.15772406071084788</v>
      </c>
    </row>
    <row r="174" spans="3:24" x14ac:dyDescent="0.35">
      <c r="C174" s="199">
        <f t="shared" si="33"/>
        <v>255</v>
      </c>
      <c r="D174" s="561">
        <f t="shared" si="20"/>
        <v>4.4505895925855405</v>
      </c>
      <c r="E174" s="35">
        <f t="shared" si="21"/>
        <v>-0.95925160323234604</v>
      </c>
      <c r="F174" s="35"/>
      <c r="G174" s="35">
        <f t="shared" si="22"/>
        <v>-0.19751290503489347</v>
      </c>
      <c r="H174" s="35"/>
      <c r="J174" s="561">
        <f t="shared" si="23"/>
        <v>-0.95925160323234604</v>
      </c>
      <c r="K174" s="561">
        <f t="shared" si="24"/>
        <v>-0.19751290503489347</v>
      </c>
      <c r="M174" s="561">
        <f t="shared" si="25"/>
        <v>-0.97184751459413465</v>
      </c>
      <c r="N174" s="561">
        <f t="shared" si="26"/>
        <v>-0.32846007681081801</v>
      </c>
      <c r="P174" s="561">
        <f t="shared" si="27"/>
        <v>1.2595911361788614E-2</v>
      </c>
      <c r="Q174" s="561">
        <f t="shared" si="27"/>
        <v>0.13094717177592455</v>
      </c>
      <c r="S174" s="78">
        <f t="shared" si="28"/>
        <v>3.1415926535897931</v>
      </c>
      <c r="U174" s="313">
        <f t="shared" si="29"/>
        <v>-0.96631284819901342</v>
      </c>
      <c r="V174" s="313">
        <f t="shared" si="30"/>
        <v>-0.26289305190262507</v>
      </c>
      <c r="W174" s="78">
        <f t="shared" si="31"/>
        <v>254.78058401266262</v>
      </c>
      <c r="X174" s="78">
        <f t="shared" si="32"/>
        <v>-0.21941598733738488</v>
      </c>
    </row>
    <row r="175" spans="3:24" x14ac:dyDescent="0.35">
      <c r="C175" s="199">
        <f t="shared" si="33"/>
        <v>270</v>
      </c>
      <c r="D175" s="561">
        <f t="shared" si="20"/>
        <v>4.7123889803846897</v>
      </c>
      <c r="E175" s="35">
        <f t="shared" si="21"/>
        <v>-1</v>
      </c>
      <c r="F175" s="35"/>
      <c r="G175" s="35">
        <f t="shared" si="22"/>
        <v>-1.3095918716754812E-19</v>
      </c>
      <c r="H175" s="35"/>
      <c r="J175" s="561">
        <f t="shared" si="23"/>
        <v>-1</v>
      </c>
      <c r="K175" s="561">
        <f t="shared" si="24"/>
        <v>-1.3095918716754812E-19</v>
      </c>
      <c r="M175" s="561">
        <f t="shared" si="25"/>
        <v>-1</v>
      </c>
      <c r="N175" s="561">
        <f t="shared" si="26"/>
        <v>-1.0925037722362623E-13</v>
      </c>
      <c r="P175" s="561">
        <f t="shared" si="27"/>
        <v>0</v>
      </c>
      <c r="Q175" s="561">
        <f t="shared" si="27"/>
        <v>1.0925024626443906E-13</v>
      </c>
      <c r="S175" s="78">
        <f t="shared" si="28"/>
        <v>3.1415926535897931</v>
      </c>
      <c r="U175" s="313">
        <f t="shared" si="29"/>
        <v>-1</v>
      </c>
      <c r="V175" s="313">
        <f t="shared" si="30"/>
        <v>-2.7932353794630134E-16</v>
      </c>
      <c r="W175" s="78">
        <f t="shared" si="31"/>
        <v>270</v>
      </c>
      <c r="X175" s="78">
        <f t="shared" si="32"/>
        <v>0</v>
      </c>
    </row>
    <row r="176" spans="3:24" x14ac:dyDescent="0.35">
      <c r="C176" s="199">
        <f>C175+15</f>
        <v>285</v>
      </c>
      <c r="D176" s="561">
        <f t="shared" si="20"/>
        <v>4.9741883681838397</v>
      </c>
      <c r="E176" s="35">
        <f t="shared" si="21"/>
        <v>-0.95925160323234582</v>
      </c>
      <c r="F176" s="35"/>
      <c r="G176" s="35">
        <f t="shared" si="22"/>
        <v>0.19751290503489391</v>
      </c>
      <c r="H176" s="35"/>
      <c r="J176" s="561">
        <f t="shared" si="23"/>
        <v>-0.95925160323234582</v>
      </c>
      <c r="K176" s="561">
        <f t="shared" si="24"/>
        <v>0.19751290503489391</v>
      </c>
      <c r="M176" s="561">
        <f t="shared" si="25"/>
        <v>-0.97184751459413454</v>
      </c>
      <c r="N176" s="561">
        <f t="shared" si="26"/>
        <v>0.32846007681081846</v>
      </c>
      <c r="P176" s="561">
        <f t="shared" si="27"/>
        <v>1.2595911361788725E-2</v>
      </c>
      <c r="Q176" s="561">
        <f t="shared" si="27"/>
        <v>-0.13094717177592455</v>
      </c>
      <c r="S176" s="78">
        <f t="shared" si="28"/>
        <v>6.2831853071795862</v>
      </c>
      <c r="U176" s="313">
        <f t="shared" si="29"/>
        <v>-0.9663128481990132</v>
      </c>
      <c r="V176" s="313">
        <f t="shared" si="30"/>
        <v>0.26289305190262557</v>
      </c>
      <c r="W176" s="78">
        <f t="shared" si="31"/>
        <v>285.21941598733741</v>
      </c>
      <c r="X176" s="78">
        <f t="shared" si="32"/>
        <v>0.2194159873374133</v>
      </c>
    </row>
    <row r="177" spans="3:24" x14ac:dyDescent="0.35">
      <c r="C177" s="199">
        <f t="shared" si="33"/>
        <v>300</v>
      </c>
      <c r="D177" s="561">
        <f t="shared" si="20"/>
        <v>5.2359877559829888</v>
      </c>
      <c r="E177" s="35">
        <f t="shared" si="21"/>
        <v>-0.84146635908464951</v>
      </c>
      <c r="F177" s="35"/>
      <c r="G177" s="35">
        <f t="shared" si="22"/>
        <v>0.43527528164806223</v>
      </c>
      <c r="H177" s="35"/>
      <c r="J177" s="561">
        <f t="shared" si="23"/>
        <v>-0.84146635908464951</v>
      </c>
      <c r="K177" s="561">
        <f t="shared" si="24"/>
        <v>0.43527528164806223</v>
      </c>
      <c r="M177" s="561">
        <f t="shared" si="25"/>
        <v>-0.88826740383999991</v>
      </c>
      <c r="N177" s="561">
        <f t="shared" si="26"/>
        <v>0.56498947715155923</v>
      </c>
      <c r="P177" s="561">
        <f t="shared" si="27"/>
        <v>4.6801044755350407E-2</v>
      </c>
      <c r="Q177" s="561">
        <f t="shared" si="27"/>
        <v>-0.129714195503497</v>
      </c>
      <c r="S177" s="78">
        <f t="shared" si="28"/>
        <v>6.2831853071795862</v>
      </c>
      <c r="U177" s="313">
        <f t="shared" si="29"/>
        <v>-0.86746601732202666</v>
      </c>
      <c r="V177" s="313">
        <f t="shared" si="30"/>
        <v>0.50402076718698507</v>
      </c>
      <c r="W177" s="78">
        <f t="shared" si="31"/>
        <v>300.15772406071085</v>
      </c>
      <c r="X177" s="78">
        <f t="shared" si="32"/>
        <v>0.15772406071084788</v>
      </c>
    </row>
    <row r="178" spans="3:24" x14ac:dyDescent="0.35">
      <c r="C178" s="199">
        <f t="shared" si="33"/>
        <v>315</v>
      </c>
      <c r="D178" s="561">
        <f t="shared" si="20"/>
        <v>5.497787143782138</v>
      </c>
      <c r="E178" s="35">
        <f t="shared" si="21"/>
        <v>-0.65975395538644732</v>
      </c>
      <c r="F178" s="35"/>
      <c r="G178" s="35">
        <f t="shared" si="22"/>
        <v>0.65975395538644688</v>
      </c>
      <c r="H178" s="35"/>
      <c r="J178" s="561">
        <f t="shared" si="23"/>
        <v>-0.65975395538644732</v>
      </c>
      <c r="K178" s="561">
        <f t="shared" si="24"/>
        <v>0.65975395538644688</v>
      </c>
      <c r="M178" s="561">
        <f t="shared" si="25"/>
        <v>-0.75165781919139196</v>
      </c>
      <c r="N178" s="561">
        <f t="shared" si="26"/>
        <v>0.75165781919139163</v>
      </c>
      <c r="P178" s="561">
        <f t="shared" si="27"/>
        <v>9.1903863804944641E-2</v>
      </c>
      <c r="Q178" s="561">
        <f t="shared" si="27"/>
        <v>-9.1903863804944752E-2</v>
      </c>
      <c r="S178" s="78">
        <f t="shared" si="28"/>
        <v>6.2831853071795862</v>
      </c>
      <c r="U178" s="313">
        <f t="shared" si="29"/>
        <v>-0.70994420005165548</v>
      </c>
      <c r="V178" s="313">
        <f t="shared" si="30"/>
        <v>0.70994420005165515</v>
      </c>
      <c r="W178" s="78">
        <f t="shared" si="31"/>
        <v>315</v>
      </c>
      <c r="X178" s="78">
        <f t="shared" si="32"/>
        <v>0</v>
      </c>
    </row>
    <row r="179" spans="3:24" x14ac:dyDescent="0.35">
      <c r="C179" s="199">
        <f t="shared" si="33"/>
        <v>330</v>
      </c>
      <c r="D179" s="561">
        <f t="shared" si="20"/>
        <v>5.7595865315812871</v>
      </c>
      <c r="E179" s="35">
        <f t="shared" si="21"/>
        <v>-0.43527528164806256</v>
      </c>
      <c r="F179" s="35"/>
      <c r="G179" s="35">
        <f t="shared" si="22"/>
        <v>0.84146635908464928</v>
      </c>
      <c r="H179" s="35"/>
      <c r="J179" s="561">
        <f t="shared" si="23"/>
        <v>-0.43527528164806256</v>
      </c>
      <c r="K179" s="561">
        <f t="shared" si="24"/>
        <v>0.84146635908464928</v>
      </c>
      <c r="M179" s="561">
        <f t="shared" si="25"/>
        <v>-0.56498947715155956</v>
      </c>
      <c r="N179" s="561">
        <f t="shared" si="26"/>
        <v>0.8882674038399998</v>
      </c>
      <c r="P179" s="561">
        <f t="shared" si="27"/>
        <v>0.129714195503497</v>
      </c>
      <c r="Q179" s="561">
        <f t="shared" si="27"/>
        <v>-4.6801044755350518E-2</v>
      </c>
      <c r="S179" s="78">
        <f t="shared" si="28"/>
        <v>6.2831853071795862</v>
      </c>
      <c r="U179" s="313">
        <f t="shared" si="29"/>
        <v>-0.5040207671869853</v>
      </c>
      <c r="V179" s="313">
        <f t="shared" si="30"/>
        <v>0.86746601732202644</v>
      </c>
      <c r="W179" s="78">
        <f t="shared" si="31"/>
        <v>329.84227593928915</v>
      </c>
      <c r="X179" s="78">
        <f t="shared" si="32"/>
        <v>-0.15772406071084788</v>
      </c>
    </row>
    <row r="180" spans="3:24" x14ac:dyDescent="0.35">
      <c r="C180" s="199">
        <f>C179+15</f>
        <v>345</v>
      </c>
      <c r="D180" s="561">
        <f t="shared" si="20"/>
        <v>6.0213859193804371</v>
      </c>
      <c r="E180" s="35">
        <f t="shared" si="21"/>
        <v>-0.19751290503489352</v>
      </c>
      <c r="F180" s="35"/>
      <c r="G180" s="35">
        <f t="shared" si="22"/>
        <v>0.95925160323234604</v>
      </c>
      <c r="H180" s="35"/>
      <c r="J180" s="561">
        <f t="shared" si="23"/>
        <v>-0.19751290503489352</v>
      </c>
      <c r="K180" s="561">
        <f t="shared" si="24"/>
        <v>0.95925160323234604</v>
      </c>
      <c r="M180" s="561">
        <f t="shared" si="25"/>
        <v>-0.32846007681081801</v>
      </c>
      <c r="N180" s="561">
        <f t="shared" si="26"/>
        <v>0.97184751459413465</v>
      </c>
      <c r="P180" s="561">
        <f t="shared" si="27"/>
        <v>0.13094717177592449</v>
      </c>
      <c r="Q180" s="561">
        <f t="shared" si="27"/>
        <v>-1.2595911361788614E-2</v>
      </c>
      <c r="S180" s="78">
        <f t="shared" si="28"/>
        <v>6.2831853071795862</v>
      </c>
      <c r="U180" s="313">
        <f t="shared" si="29"/>
        <v>-0.26289305190262513</v>
      </c>
      <c r="V180" s="313">
        <f t="shared" si="30"/>
        <v>0.96631284819901342</v>
      </c>
      <c r="W180" s="78">
        <f t="shared" si="31"/>
        <v>344.78058401266264</v>
      </c>
      <c r="X180" s="78">
        <f t="shared" si="32"/>
        <v>-0.21941598733735646</v>
      </c>
    </row>
    <row r="181" spans="3:24" x14ac:dyDescent="0.35">
      <c r="C181" s="199">
        <f t="shared" si="33"/>
        <v>360</v>
      </c>
      <c r="D181" s="561">
        <f t="shared" si="20"/>
        <v>6.2831853071795862</v>
      </c>
      <c r="E181" s="35">
        <f t="shared" si="21"/>
        <v>-1.8495345766965423E-19</v>
      </c>
      <c r="F181" s="35"/>
      <c r="G181" s="35">
        <f t="shared" si="22"/>
        <v>1</v>
      </c>
      <c r="H181" s="35"/>
      <c r="J181" s="561">
        <f t="shared" si="23"/>
        <v>-1.8495345766965423E-19</v>
      </c>
      <c r="K181" s="561">
        <f t="shared" si="24"/>
        <v>1</v>
      </c>
      <c r="M181" s="561">
        <f t="shared" si="25"/>
        <v>-1.3846356031041006E-13</v>
      </c>
      <c r="N181" s="561">
        <f t="shared" si="26"/>
        <v>1</v>
      </c>
      <c r="P181" s="561">
        <f t="shared" si="27"/>
        <v>1.3846337535695239E-13</v>
      </c>
      <c r="Q181" s="561">
        <f t="shared" si="27"/>
        <v>0</v>
      </c>
      <c r="S181" s="78">
        <f t="shared" si="28"/>
        <v>6.2831853071795862</v>
      </c>
      <c r="U181" s="313">
        <f t="shared" si="29"/>
        <v>-3.711954065611283E-16</v>
      </c>
      <c r="V181" s="313">
        <f t="shared" si="30"/>
        <v>1</v>
      </c>
      <c r="W181" s="78">
        <f t="shared" si="31"/>
        <v>360</v>
      </c>
      <c r="X181" s="78">
        <f t="shared" si="32"/>
        <v>0</v>
      </c>
    </row>
  </sheetData>
  <sheetProtection algorithmName="SHA-512" hashValue="zVN7vGSfaBUA6j1S+NfkOoz38bQKgBLQzBcl9QrqCftPKs0vOZ+Gpx11qbNgajGmw9BmH0Ibhx4u/DTpFwVeEQ==" saltValue="FH4EBjJfnJCTI26u0tfSSg==" spinCount="100000" sheet="1" objects="1" scenarios="1"/>
  <hyperlinks>
    <hyperlink ref="E2" location="Contents!A1" display="Return to Main page" xr:uid="{00000000-0004-0000-0B00-000000000000}"/>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4" tint="0.59999389629810485"/>
  </sheetPr>
  <dimension ref="B2:X155"/>
  <sheetViews>
    <sheetView showGridLines="0" showRowColHeaders="0" zoomScaleNormal="100" workbookViewId="0"/>
  </sheetViews>
  <sheetFormatPr defaultRowHeight="14.5" x14ac:dyDescent="0.35"/>
  <cols>
    <col min="2" max="2" width="8.7265625" customWidth="1"/>
    <col min="3" max="3" width="42.1796875" bestFit="1" customWidth="1"/>
    <col min="5" max="5" width="18.453125" customWidth="1"/>
    <col min="7" max="14" width="8.81640625" customWidth="1"/>
    <col min="15" max="15" width="25.453125" customWidth="1"/>
    <col min="16" max="16" width="9.54296875" customWidth="1"/>
    <col min="19" max="19" width="10.81640625" bestFit="1" customWidth="1"/>
    <col min="24" max="24" width="10.81640625" bestFit="1" customWidth="1"/>
  </cols>
  <sheetData>
    <row r="2" spans="2:24" ht="18.5" x14ac:dyDescent="0.45">
      <c r="B2" s="3" t="s">
        <v>641</v>
      </c>
      <c r="E2" s="14" t="s">
        <v>198</v>
      </c>
    </row>
    <row r="4" spans="2:24" ht="15.5" x14ac:dyDescent="0.35">
      <c r="B4" s="16" t="s">
        <v>540</v>
      </c>
    </row>
    <row r="5" spans="2:24" x14ac:dyDescent="0.35">
      <c r="U5" s="647"/>
      <c r="V5" s="647"/>
      <c r="W5" s="647"/>
      <c r="X5" s="647"/>
    </row>
    <row r="6" spans="2:24" x14ac:dyDescent="0.35">
      <c r="B6" s="1" t="s">
        <v>642</v>
      </c>
    </row>
    <row r="7" spans="2:24" x14ac:dyDescent="0.35">
      <c r="B7" s="1" t="s">
        <v>1645</v>
      </c>
      <c r="E7" s="286" t="s">
        <v>693</v>
      </c>
      <c r="Q7" s="287"/>
      <c r="V7" s="287"/>
    </row>
    <row r="8" spans="2:24" ht="16.5" x14ac:dyDescent="0.45">
      <c r="B8" s="24" t="s">
        <v>644</v>
      </c>
      <c r="C8" t="s">
        <v>544</v>
      </c>
      <c r="E8" s="288">
        <v>15</v>
      </c>
      <c r="F8" s="10" t="s">
        <v>34</v>
      </c>
      <c r="Q8" s="287"/>
      <c r="V8" s="287"/>
    </row>
    <row r="9" spans="2:24" ht="16.5" x14ac:dyDescent="0.45">
      <c r="B9" s="24" t="s">
        <v>645</v>
      </c>
      <c r="C9" t="s">
        <v>546</v>
      </c>
      <c r="E9" s="289">
        <v>5</v>
      </c>
      <c r="F9" s="650" t="s">
        <v>34</v>
      </c>
      <c r="Q9" s="287"/>
      <c r="V9" s="287"/>
    </row>
    <row r="10" spans="2:24" ht="16.5" x14ac:dyDescent="0.45">
      <c r="B10" s="24" t="s">
        <v>646</v>
      </c>
      <c r="C10" t="s">
        <v>547</v>
      </c>
      <c r="E10" s="289">
        <v>10</v>
      </c>
      <c r="F10" s="651"/>
      <c r="Q10" s="287"/>
      <c r="V10" s="287"/>
    </row>
    <row r="11" spans="2:24" x14ac:dyDescent="0.35">
      <c r="B11" s="24" t="s">
        <v>548</v>
      </c>
      <c r="C11" t="s">
        <v>647</v>
      </c>
      <c r="E11" s="289">
        <v>0.8</v>
      </c>
      <c r="F11" s="10" t="s">
        <v>34</v>
      </c>
      <c r="Q11" s="287"/>
      <c r="V11" s="287"/>
    </row>
    <row r="12" spans="2:24" x14ac:dyDescent="0.35">
      <c r="B12" s="24" t="s">
        <v>549</v>
      </c>
      <c r="C12" t="s">
        <v>550</v>
      </c>
      <c r="E12" s="289" t="s">
        <v>686</v>
      </c>
      <c r="Q12" s="287"/>
      <c r="U12" s="7"/>
      <c r="V12" s="287"/>
    </row>
    <row r="13" spans="2:24" x14ac:dyDescent="0.35">
      <c r="B13" s="24" t="s">
        <v>551</v>
      </c>
      <c r="C13" t="s">
        <v>649</v>
      </c>
      <c r="E13" s="290">
        <f>LOOKUP(E12,C64:C69,D64:D69)</f>
        <v>200</v>
      </c>
      <c r="F13" s="291" t="s">
        <v>650</v>
      </c>
      <c r="Q13" s="287"/>
      <c r="V13" s="287"/>
    </row>
    <row r="14" spans="2:24" x14ac:dyDescent="0.35">
      <c r="B14" s="292" t="s">
        <v>651</v>
      </c>
      <c r="C14" t="s">
        <v>652</v>
      </c>
      <c r="E14" s="290">
        <f ca="1">LOOKUP(E12,C64:C69, E64:E70)</f>
        <v>0.28000000000000003</v>
      </c>
      <c r="F14" s="291" t="s">
        <v>552</v>
      </c>
      <c r="Q14" s="287"/>
      <c r="V14" s="287"/>
    </row>
    <row r="15" spans="2:24" x14ac:dyDescent="0.35">
      <c r="B15" s="292"/>
      <c r="C15" t="s">
        <v>653</v>
      </c>
      <c r="E15" s="289">
        <v>11</v>
      </c>
      <c r="F15" s="293" t="s">
        <v>650</v>
      </c>
      <c r="Q15" s="287"/>
      <c r="V15" s="287"/>
    </row>
    <row r="16" spans="2:24" x14ac:dyDescent="0.35">
      <c r="B16" s="292"/>
      <c r="C16" t="s">
        <v>654</v>
      </c>
      <c r="E16" s="289">
        <v>0.25</v>
      </c>
      <c r="F16" s="293"/>
      <c r="Q16" s="287"/>
      <c r="V16" s="287"/>
    </row>
    <row r="17" spans="2:22" hidden="1" x14ac:dyDescent="0.35">
      <c r="B17" s="292"/>
      <c r="C17" t="s">
        <v>655</v>
      </c>
      <c r="E17" s="294">
        <f>IF(mat="Other",E15,E13)</f>
        <v>200</v>
      </c>
      <c r="F17" s="293"/>
      <c r="Q17" s="287"/>
      <c r="V17" s="287"/>
    </row>
    <row r="18" spans="2:22" hidden="1" x14ac:dyDescent="0.35">
      <c r="B18" s="292"/>
      <c r="C18" t="s">
        <v>656</v>
      </c>
      <c r="E18" s="294">
        <f ca="1">IF(mat="Other",E16,E14)</f>
        <v>0.28000000000000003</v>
      </c>
      <c r="F18" s="293"/>
      <c r="Q18" s="287"/>
      <c r="V18" s="287"/>
    </row>
    <row r="19" spans="2:22" x14ac:dyDescent="0.35">
      <c r="E19" s="7"/>
    </row>
    <row r="20" spans="2:22" x14ac:dyDescent="0.35">
      <c r="B20" s="1" t="s">
        <v>554</v>
      </c>
      <c r="E20" s="7"/>
    </row>
    <row r="21" spans="2:22" x14ac:dyDescent="0.35">
      <c r="B21" s="24" t="s">
        <v>555</v>
      </c>
      <c r="C21" t="s">
        <v>556</v>
      </c>
      <c r="E21" s="295" t="s">
        <v>694</v>
      </c>
      <c r="Q21" s="287"/>
      <c r="U21" s="7"/>
      <c r="V21" s="287"/>
    </row>
    <row r="22" spans="2:22" x14ac:dyDescent="0.35">
      <c r="B22" s="24" t="s">
        <v>83</v>
      </c>
      <c r="C22" t="s">
        <v>557</v>
      </c>
      <c r="E22" s="286">
        <v>1</v>
      </c>
      <c r="F22" s="10" t="s">
        <v>32</v>
      </c>
      <c r="Q22" s="287"/>
      <c r="V22" s="287"/>
    </row>
    <row r="23" spans="2:22" x14ac:dyDescent="0.35">
      <c r="E23" s="7"/>
    </row>
    <row r="24" spans="2:22" x14ac:dyDescent="0.35">
      <c r="B24" s="1" t="s">
        <v>558</v>
      </c>
      <c r="E24" s="7"/>
    </row>
    <row r="25" spans="2:22" ht="16.5" hidden="1" x14ac:dyDescent="0.45">
      <c r="B25" s="24" t="s">
        <v>658</v>
      </c>
      <c r="E25" s="296">
        <f>E8/2*IF(Dc_units="mm", 0.001, 0.0254)</f>
        <v>7.4999999999999997E-3</v>
      </c>
      <c r="F25" t="s">
        <v>113</v>
      </c>
    </row>
    <row r="26" spans="2:22" ht="16.5" hidden="1" x14ac:dyDescent="0.45">
      <c r="B26" s="24" t="s">
        <v>645</v>
      </c>
      <c r="E26" s="296">
        <f>MIN(E9,E10)*IF(abr_units="mm", 0.001, 0.0254)</f>
        <v>5.0000000000000001E-3</v>
      </c>
      <c r="F26" t="s">
        <v>113</v>
      </c>
    </row>
    <row r="27" spans="2:22" ht="16.5" hidden="1" x14ac:dyDescent="0.45">
      <c r="B27" s="24" t="s">
        <v>646</v>
      </c>
      <c r="E27" s="296">
        <f>MAX(E9,E10)*IF(abr_units="mm", 0.001, 0.0254)</f>
        <v>0.01</v>
      </c>
      <c r="F27" t="s">
        <v>113</v>
      </c>
    </row>
    <row r="28" spans="2:22" hidden="1" x14ac:dyDescent="0.35">
      <c r="B28" s="24" t="s">
        <v>562</v>
      </c>
      <c r="E28" s="290">
        <f>br/ar</f>
        <v>2</v>
      </c>
      <c r="F28" s="241" t="s">
        <v>552</v>
      </c>
    </row>
    <row r="29" spans="2:22" hidden="1" x14ac:dyDescent="0.35">
      <c r="B29" s="24" t="s">
        <v>548</v>
      </c>
      <c r="E29" s="290">
        <f>E11*IF(h_units="mm",0.001,0.0254)</f>
        <v>8.0000000000000004E-4</v>
      </c>
      <c r="F29" t="s">
        <v>113</v>
      </c>
    </row>
    <row r="30" spans="2:22" hidden="1" x14ac:dyDescent="0.35">
      <c r="B30" s="24" t="s">
        <v>659</v>
      </c>
      <c r="E30" s="290">
        <f>PI()*ac^2</f>
        <v>1.7671458676442585E-4</v>
      </c>
    </row>
    <row r="31" spans="2:22" hidden="1" x14ac:dyDescent="0.35">
      <c r="B31" s="24" t="s">
        <v>660</v>
      </c>
      <c r="E31" s="290">
        <f>ar*br</f>
        <v>5.0000000000000002E-5</v>
      </c>
    </row>
    <row r="32" spans="2:22" hidden="1" x14ac:dyDescent="0.35">
      <c r="B32" s="24" t="s">
        <v>411</v>
      </c>
      <c r="C32" t="s">
        <v>563</v>
      </c>
      <c r="E32" s="297">
        <f>IF(E7="circular",area_c, area_r)</f>
        <v>1.7671458676442585E-4</v>
      </c>
      <c r="F32" t="s">
        <v>661</v>
      </c>
    </row>
    <row r="33" spans="2:6" hidden="1" x14ac:dyDescent="0.35">
      <c r="B33" s="292" t="s">
        <v>390</v>
      </c>
      <c r="C33" t="s">
        <v>662</v>
      </c>
      <c r="E33" s="290">
        <f ca="1">E*h^3/(12*(1-E18^2))</f>
        <v>9.2592592592592577</v>
      </c>
      <c r="F33" t="s">
        <v>663</v>
      </c>
    </row>
    <row r="34" spans="2:6" ht="16.5" hidden="1" x14ac:dyDescent="0.45">
      <c r="B34" s="292" t="s">
        <v>664</v>
      </c>
      <c r="E34" s="290">
        <f>IF(boa&lt;2.45, (0.4326922 - 0.1810158*(1/boa) - 0.1137154*(1/boa)^2 + 0.6522332*(1/boa)^3)^-1, 2.604)*0.001</f>
        <v>2.5298228162695946E-3</v>
      </c>
      <c r="F34" s="241" t="s">
        <v>552</v>
      </c>
    </row>
    <row r="35" spans="2:6" ht="16.5" hidden="1" x14ac:dyDescent="0.45">
      <c r="B35" s="292" t="s">
        <v>665</v>
      </c>
      <c r="E35" s="290">
        <f>IF(boa&lt;2.45, (125.64683 + 93.593567/boa - 232.6954*(1/boa)^2 + 192.54653*(1/boa)^3)^-1, 0.00724)</f>
        <v>7.228667636612905E-3</v>
      </c>
      <c r="F35" s="241" t="s">
        <v>552</v>
      </c>
    </row>
    <row r="36" spans="2:6" hidden="1" x14ac:dyDescent="0.35">
      <c r="B36" s="292" t="s">
        <v>551</v>
      </c>
      <c r="E36" s="290">
        <f>E17*1000000000</f>
        <v>200000000000</v>
      </c>
      <c r="F36" t="s">
        <v>564</v>
      </c>
    </row>
    <row r="37" spans="2:6" hidden="1" x14ac:dyDescent="0.35">
      <c r="B37" s="292" t="s">
        <v>83</v>
      </c>
      <c r="C37" t="s">
        <v>666</v>
      </c>
      <c r="E37" s="290">
        <f>E22*IF(F22="N",1, 4.448)</f>
        <v>1</v>
      </c>
    </row>
    <row r="38" spans="2:6" hidden="1" x14ac:dyDescent="0.35">
      <c r="B38" s="292" t="s">
        <v>667</v>
      </c>
      <c r="C38" t="s">
        <v>668</v>
      </c>
      <c r="E38" s="290">
        <f>F*IF(F22="N",1, 4.448)/area</f>
        <v>5658.8424210451676</v>
      </c>
      <c r="F38" t="s">
        <v>564</v>
      </c>
    </row>
    <row r="39" spans="2:6" hidden="1" x14ac:dyDescent="0.35">
      <c r="B39" s="24" t="s">
        <v>669</v>
      </c>
      <c r="C39" t="s">
        <v>670</v>
      </c>
      <c r="E39" s="129">
        <f ca="1">q*ac^4/(64*D)*1000000</f>
        <v>3.0214571227602009E-2</v>
      </c>
      <c r="F39" t="s">
        <v>114</v>
      </c>
    </row>
    <row r="40" spans="2:6" hidden="1" x14ac:dyDescent="0.35">
      <c r="B40" s="24" t="s">
        <v>671</v>
      </c>
      <c r="C40" t="s">
        <v>672</v>
      </c>
      <c r="E40" s="129">
        <f ca="1">4*E39</f>
        <v>0.12085828491040804</v>
      </c>
    </row>
    <row r="41" spans="2:6" hidden="1" x14ac:dyDescent="0.35">
      <c r="B41" s="24" t="s">
        <v>673</v>
      </c>
      <c r="C41" t="s">
        <v>674</v>
      </c>
      <c r="E41" s="129">
        <f ca="1">alphau*q*area_r*ar^2/D*1000000</f>
        <v>1.9326422705086364E-3</v>
      </c>
      <c r="F41" t="s">
        <v>114</v>
      </c>
    </row>
    <row r="42" spans="2:6" hidden="1" x14ac:dyDescent="0.35">
      <c r="B42" s="24" t="s">
        <v>675</v>
      </c>
      <c r="C42" t="s">
        <v>676</v>
      </c>
      <c r="E42" s="129">
        <f ca="1">alphap*q*area_r*ar^2/D*1000000</f>
        <v>5.5222952944096928E-3</v>
      </c>
    </row>
    <row r="43" spans="2:6" hidden="1" x14ac:dyDescent="0.35">
      <c r="B43" s="24" t="s">
        <v>677</v>
      </c>
      <c r="E43" s="129">
        <f ca="1">IF(force="Uniform", wpkcu, wpkcp)</f>
        <v>0.12085828491040804</v>
      </c>
      <c r="F43" t="s">
        <v>114</v>
      </c>
    </row>
    <row r="44" spans="2:6" hidden="1" x14ac:dyDescent="0.35">
      <c r="B44" s="24" t="s">
        <v>678</v>
      </c>
      <c r="E44" s="129">
        <f ca="1">IF(E21="Uniform", wpkru, wpkrp)</f>
        <v>5.5222952944096928E-3</v>
      </c>
    </row>
    <row r="45" spans="2:6" x14ac:dyDescent="0.35">
      <c r="B45" s="24" t="s">
        <v>679</v>
      </c>
      <c r="C45" t="s">
        <v>680</v>
      </c>
      <c r="E45" s="298">
        <f ca="1">IF(shape="Circular", E43, E44)</f>
        <v>0.12085828491040804</v>
      </c>
      <c r="F45" t="s">
        <v>114</v>
      </c>
    </row>
    <row r="46" spans="2:6" hidden="1" x14ac:dyDescent="0.35">
      <c r="B46" s="24" t="s">
        <v>565</v>
      </c>
      <c r="C46" t="s">
        <v>681</v>
      </c>
      <c r="E46" s="290">
        <f ca="1">E47*area</f>
        <v>2.1357421875000001E-5</v>
      </c>
      <c r="F46" t="s">
        <v>682</v>
      </c>
    </row>
    <row r="47" spans="2:6" x14ac:dyDescent="0.35">
      <c r="B47" s="24" t="s">
        <v>566</v>
      </c>
      <c r="C47" t="s">
        <v>683</v>
      </c>
      <c r="E47" s="296">
        <f ca="1">E45/F</f>
        <v>0.12085828491040804</v>
      </c>
      <c r="F47" t="s">
        <v>684</v>
      </c>
    </row>
    <row r="63" spans="3:6" hidden="1" x14ac:dyDescent="0.35">
      <c r="C63" s="1" t="s">
        <v>541</v>
      </c>
      <c r="D63" s="1" t="s">
        <v>542</v>
      </c>
      <c r="E63" s="1" t="s">
        <v>543</v>
      </c>
    </row>
    <row r="64" spans="3:6" hidden="1" x14ac:dyDescent="0.35">
      <c r="C64" t="s">
        <v>648</v>
      </c>
      <c r="D64">
        <v>197</v>
      </c>
      <c r="E64">
        <v>0.27</v>
      </c>
      <c r="F64" t="s">
        <v>685</v>
      </c>
    </row>
    <row r="65" spans="3:6" hidden="1" x14ac:dyDescent="0.35">
      <c r="C65" t="s">
        <v>686</v>
      </c>
      <c r="D65">
        <v>200</v>
      </c>
      <c r="E65">
        <v>0.28000000000000003</v>
      </c>
      <c r="F65" t="s">
        <v>687</v>
      </c>
    </row>
    <row r="66" spans="3:6" hidden="1" x14ac:dyDescent="0.35">
      <c r="C66" t="s">
        <v>545</v>
      </c>
      <c r="D66">
        <v>2.2000000000000002</v>
      </c>
      <c r="E66">
        <v>0.35</v>
      </c>
      <c r="F66" t="s">
        <v>688</v>
      </c>
    </row>
    <row r="67" spans="3:6" hidden="1" x14ac:dyDescent="0.35">
      <c r="C67" t="s">
        <v>689</v>
      </c>
      <c r="D67">
        <v>69</v>
      </c>
      <c r="E67">
        <v>0.33</v>
      </c>
      <c r="F67" t="s">
        <v>690</v>
      </c>
    </row>
    <row r="68" spans="3:6" hidden="1" x14ac:dyDescent="0.35">
      <c r="C68" t="s">
        <v>691</v>
      </c>
      <c r="D68">
        <v>2.2000000000000002</v>
      </c>
      <c r="E68">
        <v>0.37</v>
      </c>
      <c r="F68" t="s">
        <v>692</v>
      </c>
    </row>
    <row r="69" spans="3:6" hidden="1" x14ac:dyDescent="0.35">
      <c r="C69" t="s">
        <v>580</v>
      </c>
      <c r="D69">
        <v>1</v>
      </c>
      <c r="E69">
        <v>1</v>
      </c>
    </row>
    <row r="70" spans="3:6" hidden="1" x14ac:dyDescent="0.35"/>
    <row r="71" spans="3:6" hidden="1" x14ac:dyDescent="0.35">
      <c r="C71" s="1" t="s">
        <v>553</v>
      </c>
    </row>
    <row r="72" spans="3:6" hidden="1" x14ac:dyDescent="0.35">
      <c r="C72" t="s">
        <v>693</v>
      </c>
    </row>
    <row r="73" spans="3:6" hidden="1" x14ac:dyDescent="0.35">
      <c r="C73" t="s">
        <v>643</v>
      </c>
    </row>
    <row r="74" spans="3:6" hidden="1" x14ac:dyDescent="0.35"/>
    <row r="75" spans="3:6" hidden="1" x14ac:dyDescent="0.35"/>
    <row r="76" spans="3:6" hidden="1" x14ac:dyDescent="0.35"/>
    <row r="77" spans="3:6" hidden="1" x14ac:dyDescent="0.35">
      <c r="C77" s="1" t="s">
        <v>559</v>
      </c>
    </row>
    <row r="78" spans="3:6" hidden="1" x14ac:dyDescent="0.35">
      <c r="C78" t="s">
        <v>694</v>
      </c>
    </row>
    <row r="79" spans="3:6" hidden="1" x14ac:dyDescent="0.35">
      <c r="C79" t="s">
        <v>657</v>
      </c>
    </row>
    <row r="80" spans="3:6" hidden="1" x14ac:dyDescent="0.35"/>
    <row r="81" spans="2:8" hidden="1" x14ac:dyDescent="0.35">
      <c r="C81" s="1" t="s">
        <v>695</v>
      </c>
    </row>
    <row r="82" spans="2:8" hidden="1" x14ac:dyDescent="0.35">
      <c r="C82" t="s">
        <v>34</v>
      </c>
    </row>
    <row r="83" spans="2:8" hidden="1" x14ac:dyDescent="0.35">
      <c r="C83" t="s">
        <v>696</v>
      </c>
    </row>
    <row r="84" spans="2:8" hidden="1" x14ac:dyDescent="0.35"/>
    <row r="85" spans="2:8" hidden="1" x14ac:dyDescent="0.35">
      <c r="B85" s="1"/>
      <c r="C85" s="1" t="s">
        <v>697</v>
      </c>
    </row>
    <row r="86" spans="2:8" hidden="1" x14ac:dyDescent="0.35">
      <c r="C86">
        <v>1E-3</v>
      </c>
    </row>
    <row r="87" spans="2:8" hidden="1" x14ac:dyDescent="0.35">
      <c r="C87">
        <v>10000</v>
      </c>
    </row>
    <row r="88" spans="2:8" hidden="1" x14ac:dyDescent="0.35"/>
    <row r="89" spans="2:8" hidden="1" x14ac:dyDescent="0.35"/>
    <row r="91" spans="2:8" hidden="1" x14ac:dyDescent="0.35">
      <c r="C91" s="1" t="s">
        <v>698</v>
      </c>
    </row>
    <row r="92" spans="2:8" hidden="1" x14ac:dyDescent="0.35">
      <c r="C92" s="1" t="s">
        <v>699</v>
      </c>
      <c r="D92">
        <v>0.9</v>
      </c>
    </row>
    <row r="93" spans="2:8" hidden="1" x14ac:dyDescent="0.35">
      <c r="C93" s="1" t="s">
        <v>575</v>
      </c>
      <c r="D93" s="1" t="s">
        <v>560</v>
      </c>
      <c r="E93" s="1" t="s">
        <v>561</v>
      </c>
      <c r="F93" s="1" t="s">
        <v>576</v>
      </c>
      <c r="G93" s="1" t="s">
        <v>577</v>
      </c>
      <c r="H93" s="1" t="str">
        <f>E22&amp;F22&amp; " " &amp;force&amp;" Force Deflection"</f>
        <v>1N Concentrated Force Deflection</v>
      </c>
    </row>
    <row r="94" spans="2:8" hidden="1" x14ac:dyDescent="0.35">
      <c r="C94" s="299">
        <v>0.999</v>
      </c>
      <c r="D94" s="299">
        <f>(1-(C94^2)*(1+2*LN(1/C94)))</f>
        <v>1.9993331662471192E-6</v>
      </c>
      <c r="E94" s="299">
        <f>((1-(C94^2))^2)</f>
        <v>3.9960009999998922E-6</v>
      </c>
      <c r="F94">
        <f>IF(E7="Circular",E8/2,MIN(E9:E10)/2)</f>
        <v>7.5</v>
      </c>
      <c r="G94">
        <f t="shared" ref="G94:G124" si="0">-F94*C94</f>
        <v>-7.4924999999999997</v>
      </c>
      <c r="H94">
        <f t="shared" ref="H94:H125" ca="1" si="1">IF(E21="Uniform",-D94*E$45,-E94*E$45)</f>
        <v>-4.8294982736026236E-7</v>
      </c>
    </row>
    <row r="95" spans="2:8" hidden="1" x14ac:dyDescent="0.35">
      <c r="C95" s="299">
        <f>C94*D$92</f>
        <v>0.89910000000000001</v>
      </c>
      <c r="D95" s="299">
        <f t="shared" ref="D95:D124" si="2">(1-(C95^2)*(1+2*LN(1/C95)))</f>
        <v>1.9658781480882181E-2</v>
      </c>
      <c r="E95" s="299">
        <f t="shared" ref="E95:E124" si="3">((1-(C95^2))^2)</f>
        <v>3.6717913976256074E-2</v>
      </c>
      <c r="F95">
        <f>F94</f>
        <v>7.5</v>
      </c>
      <c r="G95">
        <f t="shared" si="0"/>
        <v>-6.7432499999999997</v>
      </c>
      <c r="H95">
        <f t="shared" ca="1" si="1"/>
        <v>-4.4376641086582101E-3</v>
      </c>
    </row>
    <row r="96" spans="2:8" hidden="1" x14ac:dyDescent="0.35">
      <c r="C96" s="299">
        <f t="shared" ref="C96:C124" si="4">C95*D$92</f>
        <v>0.80919000000000008</v>
      </c>
      <c r="D96" s="299">
        <f t="shared" si="2"/>
        <v>6.7945914236538729E-2</v>
      </c>
      <c r="E96" s="299">
        <f t="shared" si="3"/>
        <v>0.11917101004182153</v>
      </c>
      <c r="F96">
        <f t="shared" ref="F96:F155" si="5">F95</f>
        <v>7.5</v>
      </c>
      <c r="G96">
        <f t="shared" si="0"/>
        <v>-6.0689250000000001</v>
      </c>
      <c r="H96">
        <f t="shared" ca="1" si="1"/>
        <v>-1.4402803884695564E-2</v>
      </c>
    </row>
    <row r="97" spans="3:8" hidden="1" x14ac:dyDescent="0.35">
      <c r="C97" s="299">
        <f t="shared" si="4"/>
        <v>0.72827100000000011</v>
      </c>
      <c r="D97" s="299">
        <f t="shared" si="2"/>
        <v>0.13327425453358566</v>
      </c>
      <c r="E97" s="299">
        <f t="shared" si="3"/>
        <v>0.22054421290085896</v>
      </c>
      <c r="F97">
        <f t="shared" si="5"/>
        <v>7.5</v>
      </c>
      <c r="G97">
        <f t="shared" si="0"/>
        <v>-5.4620325000000012</v>
      </c>
      <c r="H97">
        <f t="shared" ca="1" si="1"/>
        <v>-2.6654595318113702E-2</v>
      </c>
    </row>
    <row r="98" spans="3:8" hidden="1" x14ac:dyDescent="0.35">
      <c r="C98" s="299">
        <f t="shared" si="4"/>
        <v>0.65544390000000008</v>
      </c>
      <c r="D98" s="299">
        <f t="shared" si="2"/>
        <v>0.20742497801381599</v>
      </c>
      <c r="E98" s="299">
        <f t="shared" si="3"/>
        <v>0.32534850978631369</v>
      </c>
      <c r="F98">
        <f t="shared" si="5"/>
        <v>7.5</v>
      </c>
      <c r="G98">
        <f t="shared" si="0"/>
        <v>-4.9158292500000007</v>
      </c>
      <c r="H98">
        <f t="shared" ca="1" si="1"/>
        <v>-3.9321062890930979E-2</v>
      </c>
    </row>
    <row r="99" spans="3:8" hidden="1" x14ac:dyDescent="0.35">
      <c r="C99" s="299">
        <f t="shared" si="4"/>
        <v>0.58989951000000007</v>
      </c>
      <c r="D99" s="299">
        <f t="shared" si="2"/>
        <v>0.2846872259828962</v>
      </c>
      <c r="E99" s="299">
        <f t="shared" si="3"/>
        <v>0.42512821314946925</v>
      </c>
      <c r="F99">
        <f t="shared" si="5"/>
        <v>7.5</v>
      </c>
      <c r="G99">
        <f t="shared" si="0"/>
        <v>-4.4242463250000004</v>
      </c>
      <c r="H99">
        <f t="shared" ca="1" si="1"/>
        <v>-5.1380266708271234E-2</v>
      </c>
    </row>
    <row r="100" spans="3:8" hidden="1" x14ac:dyDescent="0.35">
      <c r="C100" s="299">
        <f t="shared" si="4"/>
        <v>0.53090955900000003</v>
      </c>
      <c r="D100" s="299">
        <f t="shared" si="2"/>
        <v>0.36120177801742726</v>
      </c>
      <c r="E100" s="299">
        <f t="shared" si="3"/>
        <v>0.51571793590908843</v>
      </c>
      <c r="F100">
        <f t="shared" si="5"/>
        <v>7.5</v>
      </c>
      <c r="G100">
        <f t="shared" si="0"/>
        <v>-3.9818216925000001</v>
      </c>
      <c r="H100">
        <f t="shared" ca="1" si="1"/>
        <v>-6.2328785231508164E-2</v>
      </c>
    </row>
    <row r="101" spans="3:8" hidden="1" x14ac:dyDescent="0.35">
      <c r="C101" s="299">
        <f t="shared" si="4"/>
        <v>0.47781860310000002</v>
      </c>
      <c r="D101" s="299">
        <f t="shared" si="2"/>
        <v>0.434463591420854</v>
      </c>
      <c r="E101" s="299">
        <f t="shared" si="3"/>
        <v>0.59550450311194758</v>
      </c>
      <c r="F101">
        <f t="shared" si="5"/>
        <v>7.5</v>
      </c>
      <c r="G101">
        <f t="shared" si="0"/>
        <v>-3.58363952325</v>
      </c>
      <c r="H101">
        <f t="shared" ca="1" si="1"/>
        <v>-7.1971652902534725E-2</v>
      </c>
    </row>
    <row r="102" spans="3:8" hidden="1" x14ac:dyDescent="0.35">
      <c r="C102" s="299">
        <f t="shared" si="4"/>
        <v>0.43003674279000004</v>
      </c>
      <c r="D102" s="299">
        <f t="shared" si="2"/>
        <v>0.50294653154454938</v>
      </c>
      <c r="E102" s="299">
        <f t="shared" si="3"/>
        <v>0.66433649643496429</v>
      </c>
      <c r="F102">
        <f t="shared" si="5"/>
        <v>7.5</v>
      </c>
      <c r="G102">
        <f t="shared" si="0"/>
        <v>-3.2252755709250005</v>
      </c>
      <c r="H102">
        <f t="shared" ca="1" si="1"/>
        <v>-8.029056956251919E-2</v>
      </c>
    </row>
    <row r="103" spans="3:8" hidden="1" x14ac:dyDescent="0.35">
      <c r="C103" s="299">
        <f t="shared" si="4"/>
        <v>0.38703306851100006</v>
      </c>
      <c r="D103" s="299">
        <f t="shared" si="2"/>
        <v>0.56582181877094773</v>
      </c>
      <c r="E103" s="299">
        <f t="shared" si="3"/>
        <v>0.72284922878498459</v>
      </c>
      <c r="F103">
        <f t="shared" si="5"/>
        <v>7.5</v>
      </c>
      <c r="G103">
        <f t="shared" si="0"/>
        <v>-2.9027480138325004</v>
      </c>
      <c r="H103">
        <f t="shared" ca="1" si="1"/>
        <v>-8.7362318039764394E-2</v>
      </c>
    </row>
    <row r="104" spans="3:8" hidden="1" x14ac:dyDescent="0.35">
      <c r="C104" s="299">
        <f t="shared" si="4"/>
        <v>0.34832976165990004</v>
      </c>
      <c r="D104" s="299">
        <f t="shared" si="2"/>
        <v>0.62274812706255633</v>
      </c>
      <c r="E104" s="299">
        <f t="shared" si="3"/>
        <v>0.7720546023197723</v>
      </c>
      <c r="F104">
        <f t="shared" si="5"/>
        <v>7.5</v>
      </c>
      <c r="G104">
        <f t="shared" si="0"/>
        <v>-2.6124732124492502</v>
      </c>
      <c r="H104">
        <f t="shared" ca="1" si="1"/>
        <v>-9.3309195093554814E-2</v>
      </c>
    </row>
    <row r="105" spans="3:8" hidden="1" x14ac:dyDescent="0.35">
      <c r="C105" s="299">
        <f t="shared" si="4"/>
        <v>0.31349678549391002</v>
      </c>
      <c r="D105" s="299">
        <f t="shared" si="2"/>
        <v>0.67371627054572258</v>
      </c>
      <c r="E105" s="299">
        <f t="shared" si="3"/>
        <v>0.81309853546629696</v>
      </c>
      <c r="F105">
        <f t="shared" si="5"/>
        <v>7.5</v>
      </c>
      <c r="G105">
        <f t="shared" si="0"/>
        <v>-2.3512258912043253</v>
      </c>
      <c r="H105">
        <f t="shared" ca="1" si="1"/>
        <v>-9.8269694459621235E-2</v>
      </c>
    </row>
    <row r="106" spans="3:8" hidden="1" x14ac:dyDescent="0.35">
      <c r="C106" s="299">
        <f t="shared" si="4"/>
        <v>0.28214710694451905</v>
      </c>
      <c r="D106" s="299">
        <f t="shared" si="2"/>
        <v>0.71893531211832729</v>
      </c>
      <c r="E106" s="299">
        <f t="shared" si="3"/>
        <v>0.84712329293571598</v>
      </c>
      <c r="F106">
        <f t="shared" si="5"/>
        <v>7.5</v>
      </c>
      <c r="G106">
        <f t="shared" si="0"/>
        <v>-2.1161033020838929</v>
      </c>
      <c r="H106">
        <f t="shared" ca="1" si="1"/>
        <v>-0.10238186829186781</v>
      </c>
    </row>
    <row r="107" spans="3:8" hidden="1" x14ac:dyDescent="0.35">
      <c r="C107" s="299">
        <f t="shared" si="4"/>
        <v>0.25393239625006714</v>
      </c>
      <c r="D107" s="299">
        <f t="shared" si="2"/>
        <v>0.75874996052664168</v>
      </c>
      <c r="E107" s="299">
        <f t="shared" si="3"/>
        <v>0.87519456098630877</v>
      </c>
      <c r="F107">
        <f t="shared" si="5"/>
        <v>7.5</v>
      </c>
      <c r="G107">
        <f t="shared" si="0"/>
        <v>-1.9044929718755035</v>
      </c>
      <c r="H107">
        <f t="shared" ca="1" si="1"/>
        <v>-0.10577451360372278</v>
      </c>
    </row>
    <row r="108" spans="3:8" hidden="1" x14ac:dyDescent="0.35">
      <c r="C108" s="299">
        <f t="shared" si="4"/>
        <v>0.22853915662506044</v>
      </c>
      <c r="D108" s="299">
        <f t="shared" si="2"/>
        <v>0.79358147777232491</v>
      </c>
      <c r="E108" s="299">
        <f t="shared" si="3"/>
        <v>0.89826769594097744</v>
      </c>
      <c r="F108">
        <f t="shared" si="5"/>
        <v>7.5</v>
      </c>
      <c r="G108">
        <f t="shared" si="0"/>
        <v>-1.7140436746879533</v>
      </c>
      <c r="H108">
        <f t="shared" ca="1" si="1"/>
        <v>-0.10856309312185043</v>
      </c>
    </row>
    <row r="109" spans="3:8" hidden="1" x14ac:dyDescent="0.35">
      <c r="C109" s="299">
        <f t="shared" si="4"/>
        <v>0.20568524096255439</v>
      </c>
      <c r="D109" s="299">
        <f t="shared" si="2"/>
        <v>0.82388614488963685</v>
      </c>
      <c r="E109" s="299">
        <f t="shared" si="3"/>
        <v>0.91717699633394223</v>
      </c>
      <c r="F109">
        <f t="shared" si="5"/>
        <v>7.5</v>
      </c>
      <c r="G109">
        <f t="shared" si="0"/>
        <v>-1.542639307219158</v>
      </c>
      <c r="H109">
        <f t="shared" ca="1" si="1"/>
        <v>-0.11084843873619986</v>
      </c>
    </row>
    <row r="110" spans="3:8" hidden="1" x14ac:dyDescent="0.35">
      <c r="C110" s="299">
        <f t="shared" si="4"/>
        <v>0.18511671686629896</v>
      </c>
      <c r="D110" s="299">
        <f t="shared" si="2"/>
        <v>0.85012674715478931</v>
      </c>
      <c r="E110" s="299">
        <f t="shared" si="3"/>
        <v>0.93263791172662358</v>
      </c>
      <c r="F110">
        <f t="shared" si="5"/>
        <v>7.5</v>
      </c>
      <c r="G110">
        <f t="shared" si="0"/>
        <v>-1.3883753764972422</v>
      </c>
      <c r="H110">
        <f t="shared" ca="1" si="1"/>
        <v>-0.11271701845370426</v>
      </c>
    </row>
    <row r="111" spans="3:8" hidden="1" x14ac:dyDescent="0.35">
      <c r="C111" s="299">
        <f t="shared" si="4"/>
        <v>0.16660504517966906</v>
      </c>
      <c r="D111" s="299">
        <f t="shared" si="2"/>
        <v>0.87275363072866785</v>
      </c>
      <c r="E111" s="299">
        <f t="shared" si="3"/>
        <v>0.94525598227369634</v>
      </c>
      <c r="F111">
        <f t="shared" si="5"/>
        <v>7.5</v>
      </c>
      <c r="G111">
        <f t="shared" si="0"/>
        <v>-1.249537838847518</v>
      </c>
      <c r="H111">
        <f t="shared" ca="1" si="1"/>
        <v>-0.114242016818902</v>
      </c>
    </row>
    <row r="112" spans="3:8" hidden="1" x14ac:dyDescent="0.35">
      <c r="C112" s="299">
        <f t="shared" si="4"/>
        <v>0.14994454066170215</v>
      </c>
      <c r="D112" s="299">
        <f t="shared" si="2"/>
        <v>0.89219272297218477</v>
      </c>
      <c r="E112" s="299">
        <f t="shared" si="3"/>
        <v>0.95553877116555752</v>
      </c>
      <c r="F112">
        <f t="shared" si="5"/>
        <v>7.5</v>
      </c>
      <c r="G112">
        <f t="shared" si="0"/>
        <v>-1.1245840549627661</v>
      </c>
      <c r="H112">
        <f t="shared" ca="1" si="1"/>
        <v>-0.11548477704846814</v>
      </c>
    </row>
    <row r="113" spans="2:8" hidden="1" x14ac:dyDescent="0.35">
      <c r="C113" s="299">
        <f t="shared" si="4"/>
        <v>0.13495008659553195</v>
      </c>
      <c r="D113" s="299">
        <f t="shared" si="2"/>
        <v>0.90883855409386027</v>
      </c>
      <c r="E113" s="299">
        <f t="shared" si="3"/>
        <v>0.96390860793030853</v>
      </c>
      <c r="F113">
        <f t="shared" si="5"/>
        <v>7.5</v>
      </c>
      <c r="G113">
        <f t="shared" si="0"/>
        <v>-1.0121256494664896</v>
      </c>
      <c r="H113">
        <f t="shared" ca="1" si="1"/>
        <v>-0.11649634116483602</v>
      </c>
    </row>
    <row r="114" spans="2:8" hidden="1" x14ac:dyDescent="0.35">
      <c r="C114" s="299">
        <f t="shared" si="4"/>
        <v>0.12145507793597876</v>
      </c>
      <c r="D114" s="299">
        <f t="shared" si="2"/>
        <v>0.92305081209000328</v>
      </c>
      <c r="E114" s="299">
        <f t="shared" si="3"/>
        <v>0.97071492999963038</v>
      </c>
      <c r="F114">
        <f t="shared" si="5"/>
        <v>7.5</v>
      </c>
      <c r="G114">
        <f t="shared" si="0"/>
        <v>-0.91091308451984077</v>
      </c>
      <c r="H114">
        <f t="shared" ca="1" si="1"/>
        <v>-0.11731894157668213</v>
      </c>
    </row>
    <row r="115" spans="2:8" hidden="1" x14ac:dyDescent="0.35">
      <c r="C115" s="299">
        <f t="shared" si="4"/>
        <v>0.10930957014238089</v>
      </c>
      <c r="D115" s="299">
        <f t="shared" si="2"/>
        <v>0.93515334024482355</v>
      </c>
      <c r="E115" s="299">
        <f t="shared" si="3"/>
        <v>0.97624560436536689</v>
      </c>
      <c r="F115">
        <f t="shared" si="5"/>
        <v>7.5</v>
      </c>
      <c r="G115">
        <f t="shared" si="0"/>
        <v>-0.81982177606785667</v>
      </c>
      <c r="H115">
        <f t="shared" ca="1" si="1"/>
        <v>-0.11798736939492299</v>
      </c>
    </row>
    <row r="116" spans="2:8" hidden="1" x14ac:dyDescent="0.35">
      <c r="C116" s="299">
        <f t="shared" si="4"/>
        <v>9.8378613128142806E-2</v>
      </c>
      <c r="D116" s="299">
        <f t="shared" si="2"/>
        <v>0.94543477338436299</v>
      </c>
      <c r="E116" s="299">
        <f t="shared" si="3"/>
        <v>0.9807369674461307</v>
      </c>
      <c r="F116">
        <f t="shared" si="5"/>
        <v>7.5</v>
      </c>
      <c r="G116">
        <f t="shared" si="0"/>
        <v>-0.73783959846107106</v>
      </c>
      <c r="H116">
        <f t="shared" ca="1" si="1"/>
        <v>-0.11853018783377403</v>
      </c>
    </row>
    <row r="117" spans="2:8" hidden="1" x14ac:dyDescent="0.35">
      <c r="C117" s="299">
        <f t="shared" si="4"/>
        <v>8.8540751815328528E-2</v>
      </c>
      <c r="D117" s="299">
        <f t="shared" si="2"/>
        <v>0.95415022634803925</v>
      </c>
      <c r="E117" s="299">
        <f t="shared" si="3"/>
        <v>0.98438252774323753</v>
      </c>
      <c r="F117">
        <f t="shared" si="5"/>
        <v>7.5</v>
      </c>
      <c r="G117">
        <f t="shared" si="0"/>
        <v>-0.66405563861496397</v>
      </c>
      <c r="H117">
        <f t="shared" ca="1" si="1"/>
        <v>-0.11897078399881984</v>
      </c>
    </row>
    <row r="118" spans="2:8" hidden="1" x14ac:dyDescent="0.35">
      <c r="C118" s="299">
        <f t="shared" si="4"/>
        <v>7.9686676633795681E-2</v>
      </c>
      <c r="D118" s="299">
        <f t="shared" si="2"/>
        <v>0.96152361186634316</v>
      </c>
      <c r="E118" s="299">
        <f t="shared" si="3"/>
        <v>0.98734038920782108</v>
      </c>
      <c r="F118">
        <f t="shared" si="5"/>
        <v>7.5</v>
      </c>
      <c r="G118">
        <f t="shared" si="0"/>
        <v>-0.59765007475346765</v>
      </c>
      <c r="H118">
        <f t="shared" ca="1" si="1"/>
        <v>-0.11932826606243201</v>
      </c>
    </row>
    <row r="119" spans="2:8" hidden="1" x14ac:dyDescent="0.35">
      <c r="C119" s="299">
        <f t="shared" si="4"/>
        <v>7.1718008970416108E-2</v>
      </c>
      <c r="D119" s="299">
        <f t="shared" si="2"/>
        <v>0.96775028771652727</v>
      </c>
      <c r="E119" s="299">
        <f t="shared" si="3"/>
        <v>0.98973950969119273</v>
      </c>
      <c r="F119">
        <f t="shared" si="5"/>
        <v>7.5</v>
      </c>
      <c r="G119">
        <f t="shared" si="0"/>
        <v>-0.5378850672781208</v>
      </c>
      <c r="H119">
        <f t="shared" ca="1" si="1"/>
        <v>-0.11961821964934573</v>
      </c>
    </row>
    <row r="120" spans="2:8" hidden="1" x14ac:dyDescent="0.35">
      <c r="C120" s="299">
        <f t="shared" si="4"/>
        <v>6.4546208073374495E-2</v>
      </c>
      <c r="D120" s="299">
        <f t="shared" si="2"/>
        <v>0.97299982435526644</v>
      </c>
      <c r="E120" s="299">
        <f t="shared" si="3"/>
        <v>0.99168493137726421</v>
      </c>
      <c r="F120">
        <f t="shared" si="5"/>
        <v>7.5</v>
      </c>
      <c r="G120">
        <f t="shared" si="0"/>
        <v>-0.4840965605503087</v>
      </c>
      <c r="H120">
        <f t="shared" ca="1" si="1"/>
        <v>-0.11985333997775184</v>
      </c>
    </row>
    <row r="121" spans="2:8" hidden="1" x14ac:dyDescent="0.35">
      <c r="C121" s="299">
        <f t="shared" si="4"/>
        <v>5.8091587266037047E-2</v>
      </c>
      <c r="D121" s="299">
        <f t="shared" si="2"/>
        <v>0.97741875168471815</v>
      </c>
      <c r="E121" s="299">
        <f t="shared" si="3"/>
        <v>0.99326212312240969</v>
      </c>
      <c r="F121">
        <f t="shared" si="5"/>
        <v>7.5</v>
      </c>
      <c r="G121">
        <f t="shared" si="0"/>
        <v>-0.43568690449527786</v>
      </c>
      <c r="H121">
        <f t="shared" ca="1" si="1"/>
        <v>-0.12004395666704498</v>
      </c>
    </row>
    <row r="122" spans="2:8" hidden="1" x14ac:dyDescent="0.35">
      <c r="C122" s="299">
        <f t="shared" si="4"/>
        <v>5.2282428539433344E-2</v>
      </c>
      <c r="D122" s="299">
        <f t="shared" si="2"/>
        <v>0.98113319296975299</v>
      </c>
      <c r="E122" s="299">
        <f t="shared" si="3"/>
        <v>0.99454056709370031</v>
      </c>
      <c r="F122">
        <f t="shared" si="5"/>
        <v>7.5</v>
      </c>
      <c r="G122">
        <f t="shared" si="0"/>
        <v>-0.39211821404575009</v>
      </c>
      <c r="H122">
        <f t="shared" ca="1" si="1"/>
        <v>-0.12019846721276921</v>
      </c>
    </row>
    <row r="123" spans="2:8" hidden="1" x14ac:dyDescent="0.35">
      <c r="C123" s="299">
        <f t="shared" si="4"/>
        <v>4.705418568549001E-2</v>
      </c>
      <c r="D123" s="299">
        <f t="shared" si="2"/>
        <v>0.98425132963065631</v>
      </c>
      <c r="E123" s="299">
        <f t="shared" si="3"/>
        <v>0.99557670944177734</v>
      </c>
      <c r="F123">
        <f t="shared" si="5"/>
        <v>7.5</v>
      </c>
      <c r="G123">
        <f t="shared" si="0"/>
        <v>-0.35290639264117507</v>
      </c>
      <c r="H123">
        <f t="shared" ca="1" si="1"/>
        <v>-0.12032369359988085</v>
      </c>
    </row>
    <row r="124" spans="2:8" hidden="1" x14ac:dyDescent="0.35">
      <c r="C124" s="299">
        <f t="shared" si="4"/>
        <v>4.2348767116941008E-2</v>
      </c>
      <c r="D124" s="299">
        <f t="shared" si="2"/>
        <v>0.98686566609420834</v>
      </c>
      <c r="E124" s="299">
        <f t="shared" si="3"/>
        <v>0.99641638019574663</v>
      </c>
      <c r="F124">
        <f t="shared" si="5"/>
        <v>7.5</v>
      </c>
      <c r="G124">
        <f t="shared" si="0"/>
        <v>-0.31761575337705755</v>
      </c>
      <c r="H124">
        <f t="shared" ca="1" si="1"/>
        <v>-0.12042517476709501</v>
      </c>
    </row>
    <row r="125" spans="2:8" hidden="1" x14ac:dyDescent="0.35">
      <c r="B125" t="s">
        <v>700</v>
      </c>
      <c r="C125" s="299">
        <f>C124</f>
        <v>4.2348767116941008E-2</v>
      </c>
      <c r="D125" s="299">
        <f>(1-(C125^2)*(1+2*LN(1/C125)))</f>
        <v>0.98686566609420834</v>
      </c>
      <c r="E125" s="299">
        <f>((1-(C125^2))^2)</f>
        <v>0.99641638019574663</v>
      </c>
      <c r="F125">
        <f t="shared" si="5"/>
        <v>7.5</v>
      </c>
      <c r="G125">
        <f>F125*C125</f>
        <v>0.31761575337705755</v>
      </c>
      <c r="H125">
        <f t="shared" ca="1" si="1"/>
        <v>-0.12042517476709501</v>
      </c>
    </row>
    <row r="126" spans="2:8" hidden="1" x14ac:dyDescent="0.35">
      <c r="C126" s="299">
        <f>C125/D$92</f>
        <v>4.705418568549001E-2</v>
      </c>
      <c r="D126" s="299">
        <f t="shared" ref="D126:D155" si="6">(1-(C126^2)*(1+2*LN(1/C126)))</f>
        <v>0.98425132963065631</v>
      </c>
      <c r="E126" s="299">
        <f t="shared" ref="E126:E155" si="7">((1-(C126^2))^2)</f>
        <v>0.99557670944177734</v>
      </c>
      <c r="F126">
        <f t="shared" si="5"/>
        <v>7.5</v>
      </c>
      <c r="G126">
        <f t="shared" ref="G126:G155" si="8">F126*C126</f>
        <v>0.35290639264117507</v>
      </c>
      <c r="H126">
        <f t="shared" ref="H126:H155" ca="1" si="9">IF(E53="Uniform",-D126*E$45,-E126*E$45)</f>
        <v>-0.12032369359988085</v>
      </c>
    </row>
    <row r="127" spans="2:8" hidden="1" x14ac:dyDescent="0.35">
      <c r="C127" s="299">
        <f t="shared" ref="C127:C155" si="10">C126/D$92</f>
        <v>5.2282428539433344E-2</v>
      </c>
      <c r="D127" s="299">
        <f t="shared" si="6"/>
        <v>0.98113319296975299</v>
      </c>
      <c r="E127" s="299">
        <f t="shared" si="7"/>
        <v>0.99454056709370031</v>
      </c>
      <c r="F127">
        <f t="shared" si="5"/>
        <v>7.5</v>
      </c>
      <c r="G127">
        <f t="shared" si="8"/>
        <v>0.39211821404575009</v>
      </c>
      <c r="H127">
        <f t="shared" ca="1" si="9"/>
        <v>-0.12019846721276921</v>
      </c>
    </row>
    <row r="128" spans="2:8" hidden="1" x14ac:dyDescent="0.35">
      <c r="C128" s="299">
        <f t="shared" si="10"/>
        <v>5.8091587266037047E-2</v>
      </c>
      <c r="D128" s="299">
        <f t="shared" si="6"/>
        <v>0.97741875168471815</v>
      </c>
      <c r="E128" s="299">
        <f t="shared" si="7"/>
        <v>0.99326212312240969</v>
      </c>
      <c r="F128">
        <f t="shared" si="5"/>
        <v>7.5</v>
      </c>
      <c r="G128">
        <f t="shared" si="8"/>
        <v>0.43568690449527786</v>
      </c>
      <c r="H128">
        <f t="shared" ca="1" si="9"/>
        <v>-0.12004395666704498</v>
      </c>
    </row>
    <row r="129" spans="3:8" hidden="1" x14ac:dyDescent="0.35">
      <c r="C129" s="299">
        <f t="shared" si="10"/>
        <v>6.4546208073374495E-2</v>
      </c>
      <c r="D129" s="299">
        <f t="shared" si="6"/>
        <v>0.97299982435526644</v>
      </c>
      <c r="E129" s="299">
        <f t="shared" si="7"/>
        <v>0.99168493137726421</v>
      </c>
      <c r="F129">
        <f t="shared" si="5"/>
        <v>7.5</v>
      </c>
      <c r="G129">
        <f t="shared" si="8"/>
        <v>0.4840965605503087</v>
      </c>
      <c r="H129">
        <f t="shared" ca="1" si="9"/>
        <v>-0.11985333997775184</v>
      </c>
    </row>
    <row r="130" spans="3:8" hidden="1" x14ac:dyDescent="0.35">
      <c r="C130" s="299">
        <f t="shared" si="10"/>
        <v>7.1718008970416108E-2</v>
      </c>
      <c r="D130" s="299">
        <f t="shared" si="6"/>
        <v>0.96775028771652727</v>
      </c>
      <c r="E130" s="299">
        <f t="shared" si="7"/>
        <v>0.98973950969119273</v>
      </c>
      <c r="F130">
        <f t="shared" si="5"/>
        <v>7.5</v>
      </c>
      <c r="G130">
        <f t="shared" si="8"/>
        <v>0.5378850672781208</v>
      </c>
      <c r="H130">
        <f t="shared" ca="1" si="9"/>
        <v>-0.11961821964934573</v>
      </c>
    </row>
    <row r="131" spans="3:8" hidden="1" x14ac:dyDescent="0.35">
      <c r="C131" s="299">
        <f t="shared" si="10"/>
        <v>7.9686676633795681E-2</v>
      </c>
      <c r="D131" s="299">
        <f t="shared" si="6"/>
        <v>0.96152361186634316</v>
      </c>
      <c r="E131" s="299">
        <f t="shared" si="7"/>
        <v>0.98734038920782108</v>
      </c>
      <c r="F131">
        <f t="shared" si="5"/>
        <v>7.5</v>
      </c>
      <c r="G131">
        <f t="shared" si="8"/>
        <v>0.59765007475346765</v>
      </c>
      <c r="H131">
        <f t="shared" ca="1" si="9"/>
        <v>-0.11932826606243201</v>
      </c>
    </row>
    <row r="132" spans="3:8" hidden="1" x14ac:dyDescent="0.35">
      <c r="C132" s="299">
        <f t="shared" si="10"/>
        <v>8.8540751815328528E-2</v>
      </c>
      <c r="D132" s="299">
        <f t="shared" si="6"/>
        <v>0.95415022634803925</v>
      </c>
      <c r="E132" s="299">
        <f t="shared" si="7"/>
        <v>0.98438252774323753</v>
      </c>
      <c r="F132">
        <f t="shared" si="5"/>
        <v>7.5</v>
      </c>
      <c r="G132">
        <f t="shared" si="8"/>
        <v>0.66405563861496397</v>
      </c>
      <c r="H132">
        <f t="shared" ca="1" si="9"/>
        <v>-0.11897078399881984</v>
      </c>
    </row>
    <row r="133" spans="3:8" hidden="1" x14ac:dyDescent="0.35">
      <c r="C133" s="299">
        <f t="shared" si="10"/>
        <v>9.8378613128142806E-2</v>
      </c>
      <c r="D133" s="299">
        <f t="shared" si="6"/>
        <v>0.94543477338436299</v>
      </c>
      <c r="E133" s="299">
        <f t="shared" si="7"/>
        <v>0.9807369674461307</v>
      </c>
      <c r="F133">
        <f t="shared" si="5"/>
        <v>7.5</v>
      </c>
      <c r="G133">
        <f t="shared" si="8"/>
        <v>0.73783959846107106</v>
      </c>
      <c r="H133">
        <f t="shared" ca="1" si="9"/>
        <v>-0.11853018783377403</v>
      </c>
    </row>
    <row r="134" spans="3:8" hidden="1" x14ac:dyDescent="0.35">
      <c r="C134" s="299">
        <f t="shared" si="10"/>
        <v>0.10930957014238089</v>
      </c>
      <c r="D134" s="299">
        <f t="shared" si="6"/>
        <v>0.93515334024482355</v>
      </c>
      <c r="E134" s="299">
        <f t="shared" si="7"/>
        <v>0.97624560436536689</v>
      </c>
      <c r="F134">
        <f t="shared" si="5"/>
        <v>7.5</v>
      </c>
      <c r="G134">
        <f t="shared" si="8"/>
        <v>0.81982177606785667</v>
      </c>
      <c r="H134">
        <f t="shared" ca="1" si="9"/>
        <v>-0.11798736939492299</v>
      </c>
    </row>
    <row r="135" spans="3:8" hidden="1" x14ac:dyDescent="0.35">
      <c r="C135" s="299">
        <f t="shared" si="10"/>
        <v>0.12145507793597876</v>
      </c>
      <c r="D135" s="299">
        <f t="shared" si="6"/>
        <v>0.92305081209000328</v>
      </c>
      <c r="E135" s="299">
        <f t="shared" si="7"/>
        <v>0.97071492999963038</v>
      </c>
      <c r="F135">
        <f t="shared" si="5"/>
        <v>7.5</v>
      </c>
      <c r="G135">
        <f t="shared" si="8"/>
        <v>0.91091308451984077</v>
      </c>
      <c r="H135">
        <f t="shared" ca="1" si="9"/>
        <v>-0.11731894157668213</v>
      </c>
    </row>
    <row r="136" spans="3:8" hidden="1" x14ac:dyDescent="0.35">
      <c r="C136" s="299">
        <f t="shared" si="10"/>
        <v>0.13495008659553195</v>
      </c>
      <c r="D136" s="299">
        <f t="shared" si="6"/>
        <v>0.90883855409386027</v>
      </c>
      <c r="E136" s="299">
        <f t="shared" si="7"/>
        <v>0.96390860793030853</v>
      </c>
      <c r="F136">
        <f t="shared" si="5"/>
        <v>7.5</v>
      </c>
      <c r="G136">
        <f t="shared" si="8"/>
        <v>1.0121256494664896</v>
      </c>
      <c r="H136">
        <f t="shared" ca="1" si="9"/>
        <v>-0.11649634116483602</v>
      </c>
    </row>
    <row r="137" spans="3:8" hidden="1" x14ac:dyDescent="0.35">
      <c r="C137" s="299">
        <f t="shared" si="10"/>
        <v>0.14994454066170218</v>
      </c>
      <c r="D137" s="299">
        <f t="shared" si="6"/>
        <v>0.89219272297218477</v>
      </c>
      <c r="E137" s="299">
        <f t="shared" si="7"/>
        <v>0.95553877116555752</v>
      </c>
      <c r="F137">
        <f t="shared" si="5"/>
        <v>7.5</v>
      </c>
      <c r="G137">
        <f t="shared" si="8"/>
        <v>1.1245840549627664</v>
      </c>
      <c r="H137">
        <f t="shared" ca="1" si="9"/>
        <v>-0.11548477704846814</v>
      </c>
    </row>
    <row r="138" spans="3:8" hidden="1" x14ac:dyDescent="0.35">
      <c r="C138" s="299">
        <f t="shared" si="10"/>
        <v>0.16660504517966909</v>
      </c>
      <c r="D138" s="299">
        <f t="shared" si="6"/>
        <v>0.87275363072866785</v>
      </c>
      <c r="E138" s="299">
        <f t="shared" si="7"/>
        <v>0.94525598227369634</v>
      </c>
      <c r="F138">
        <f t="shared" si="5"/>
        <v>7.5</v>
      </c>
      <c r="G138">
        <f t="shared" si="8"/>
        <v>1.2495378388475182</v>
      </c>
      <c r="H138">
        <f t="shared" ca="1" si="9"/>
        <v>-0.114242016818902</v>
      </c>
    </row>
    <row r="139" spans="3:8" hidden="1" x14ac:dyDescent="0.35">
      <c r="C139" s="299">
        <f t="shared" si="10"/>
        <v>0.18511671686629899</v>
      </c>
      <c r="D139" s="299">
        <f t="shared" si="6"/>
        <v>0.85012674715478931</v>
      </c>
      <c r="E139" s="299">
        <f t="shared" si="7"/>
        <v>0.93263791172662358</v>
      </c>
      <c r="F139">
        <f t="shared" si="5"/>
        <v>7.5</v>
      </c>
      <c r="G139">
        <f t="shared" si="8"/>
        <v>1.3883753764972424</v>
      </c>
      <c r="H139">
        <f t="shared" ca="1" si="9"/>
        <v>-0.11271701845370426</v>
      </c>
    </row>
    <row r="140" spans="3:8" hidden="1" x14ac:dyDescent="0.35">
      <c r="C140" s="299">
        <f t="shared" si="10"/>
        <v>0.20568524096255442</v>
      </c>
      <c r="D140" s="299">
        <f t="shared" si="6"/>
        <v>0.82388614488963685</v>
      </c>
      <c r="E140" s="299">
        <f t="shared" si="7"/>
        <v>0.91717699633394223</v>
      </c>
      <c r="F140">
        <f t="shared" si="5"/>
        <v>7.5</v>
      </c>
      <c r="G140">
        <f t="shared" si="8"/>
        <v>1.5426393072191582</v>
      </c>
      <c r="H140">
        <f t="shared" ca="1" si="9"/>
        <v>-0.11084843873619986</v>
      </c>
    </row>
    <row r="141" spans="3:8" hidden="1" x14ac:dyDescent="0.35">
      <c r="C141" s="299">
        <f t="shared" si="10"/>
        <v>0.22853915662506047</v>
      </c>
      <c r="D141" s="299">
        <f t="shared" si="6"/>
        <v>0.79358147777232491</v>
      </c>
      <c r="E141" s="299">
        <f t="shared" si="7"/>
        <v>0.89826769594097744</v>
      </c>
      <c r="F141">
        <f t="shared" si="5"/>
        <v>7.5</v>
      </c>
      <c r="G141">
        <f t="shared" si="8"/>
        <v>1.7140436746879535</v>
      </c>
      <c r="H141">
        <f t="shared" ca="1" si="9"/>
        <v>-0.10856309312185043</v>
      </c>
    </row>
    <row r="142" spans="3:8" hidden="1" x14ac:dyDescent="0.35">
      <c r="C142" s="299">
        <f t="shared" si="10"/>
        <v>0.25393239625006719</v>
      </c>
      <c r="D142" s="299">
        <f t="shared" si="6"/>
        <v>0.75874996052664168</v>
      </c>
      <c r="E142" s="299">
        <f t="shared" si="7"/>
        <v>0.87519456098630877</v>
      </c>
      <c r="F142">
        <f t="shared" si="5"/>
        <v>7.5</v>
      </c>
      <c r="G142">
        <f t="shared" si="8"/>
        <v>1.9044929718755039</v>
      </c>
      <c r="H142">
        <f t="shared" ca="1" si="9"/>
        <v>-0.10577451360372278</v>
      </c>
    </row>
    <row r="143" spans="3:8" hidden="1" x14ac:dyDescent="0.35">
      <c r="C143" s="299">
        <f t="shared" si="10"/>
        <v>0.28214710694451911</v>
      </c>
      <c r="D143" s="299">
        <f t="shared" si="6"/>
        <v>0.71893531211832729</v>
      </c>
      <c r="E143" s="299">
        <f t="shared" si="7"/>
        <v>0.84712329293571598</v>
      </c>
      <c r="F143">
        <f t="shared" si="5"/>
        <v>7.5</v>
      </c>
      <c r="G143">
        <f t="shared" si="8"/>
        <v>2.1161033020838933</v>
      </c>
      <c r="H143">
        <f t="shared" ca="1" si="9"/>
        <v>-0.10238186829186781</v>
      </c>
    </row>
    <row r="144" spans="3:8" hidden="1" x14ac:dyDescent="0.35">
      <c r="C144" s="299">
        <f t="shared" si="10"/>
        <v>0.31349678549391014</v>
      </c>
      <c r="D144" s="299">
        <f t="shared" si="6"/>
        <v>0.67371627054572247</v>
      </c>
      <c r="E144" s="299">
        <f t="shared" si="7"/>
        <v>0.81309853546629696</v>
      </c>
      <c r="F144">
        <f t="shared" si="5"/>
        <v>7.5</v>
      </c>
      <c r="G144">
        <f t="shared" si="8"/>
        <v>2.3512258912043258</v>
      </c>
      <c r="H144">
        <f t="shared" ca="1" si="9"/>
        <v>-9.8269694459621235E-2</v>
      </c>
    </row>
    <row r="145" spans="3:8" hidden="1" x14ac:dyDescent="0.35">
      <c r="C145" s="299">
        <f t="shared" si="10"/>
        <v>0.34832976165990015</v>
      </c>
      <c r="D145" s="299">
        <f t="shared" si="6"/>
        <v>0.62274812706255622</v>
      </c>
      <c r="E145" s="299">
        <f t="shared" si="7"/>
        <v>0.77205460231977208</v>
      </c>
      <c r="F145">
        <f t="shared" si="5"/>
        <v>7.5</v>
      </c>
      <c r="G145">
        <f t="shared" si="8"/>
        <v>2.6124732124492511</v>
      </c>
      <c r="H145">
        <f t="shared" ca="1" si="9"/>
        <v>-9.3309195093554786E-2</v>
      </c>
    </row>
    <row r="146" spans="3:8" hidden="1" x14ac:dyDescent="0.35">
      <c r="C146" s="299">
        <f t="shared" si="10"/>
        <v>0.38703306851100017</v>
      </c>
      <c r="D146" s="299">
        <f t="shared" si="6"/>
        <v>0.56582181877094739</v>
      </c>
      <c r="E146" s="299">
        <f t="shared" si="7"/>
        <v>0.72284922878498459</v>
      </c>
      <c r="F146">
        <f t="shared" si="5"/>
        <v>7.5</v>
      </c>
      <c r="G146">
        <f t="shared" si="8"/>
        <v>2.9027480138325013</v>
      </c>
      <c r="H146">
        <f t="shared" ca="1" si="9"/>
        <v>-8.7362318039764394E-2</v>
      </c>
    </row>
    <row r="147" spans="3:8" hidden="1" x14ac:dyDescent="0.35">
      <c r="C147" s="299">
        <f t="shared" si="10"/>
        <v>0.43003674279000015</v>
      </c>
      <c r="D147" s="299">
        <f t="shared" si="6"/>
        <v>0.50294653154454916</v>
      </c>
      <c r="E147" s="299">
        <f t="shared" si="7"/>
        <v>0.66433649643496417</v>
      </c>
      <c r="F147">
        <f t="shared" si="5"/>
        <v>7.5</v>
      </c>
      <c r="G147">
        <f t="shared" si="8"/>
        <v>3.2252755709250009</v>
      </c>
      <c r="H147">
        <f t="shared" ca="1" si="9"/>
        <v>-8.0290569562519176E-2</v>
      </c>
    </row>
    <row r="148" spans="3:8" hidden="1" x14ac:dyDescent="0.35">
      <c r="C148" s="299">
        <f t="shared" si="10"/>
        <v>0.47781860310000013</v>
      </c>
      <c r="D148" s="299">
        <f t="shared" si="6"/>
        <v>0.43446359142085378</v>
      </c>
      <c r="E148" s="299">
        <f t="shared" si="7"/>
        <v>0.59550450311194725</v>
      </c>
      <c r="F148">
        <f t="shared" si="5"/>
        <v>7.5</v>
      </c>
      <c r="G148">
        <f t="shared" si="8"/>
        <v>3.5836395232500009</v>
      </c>
      <c r="H148">
        <f t="shared" ca="1" si="9"/>
        <v>-7.1971652902534697E-2</v>
      </c>
    </row>
    <row r="149" spans="3:8" hidden="1" x14ac:dyDescent="0.35">
      <c r="C149" s="299">
        <f t="shared" si="10"/>
        <v>0.53090955900000014</v>
      </c>
      <c r="D149" s="299">
        <f t="shared" si="6"/>
        <v>0.36120177801742703</v>
      </c>
      <c r="E149" s="299">
        <f t="shared" si="7"/>
        <v>0.51571793590908832</v>
      </c>
      <c r="F149">
        <f t="shared" si="5"/>
        <v>7.5</v>
      </c>
      <c r="G149">
        <f t="shared" si="8"/>
        <v>3.981821692500001</v>
      </c>
      <c r="H149">
        <f t="shared" ca="1" si="9"/>
        <v>-6.2328785231508151E-2</v>
      </c>
    </row>
    <row r="150" spans="3:8" hidden="1" x14ac:dyDescent="0.35">
      <c r="C150" s="299">
        <f t="shared" si="10"/>
        <v>0.58989951000000018</v>
      </c>
      <c r="D150" s="299">
        <f t="shared" si="6"/>
        <v>0.2846872259828962</v>
      </c>
      <c r="E150" s="299">
        <f t="shared" si="7"/>
        <v>0.42512821314946897</v>
      </c>
      <c r="F150">
        <f t="shared" si="5"/>
        <v>7.5</v>
      </c>
      <c r="G150">
        <f t="shared" si="8"/>
        <v>4.4242463250000013</v>
      </c>
      <c r="H150">
        <f t="shared" ca="1" si="9"/>
        <v>-5.1380266708271199E-2</v>
      </c>
    </row>
    <row r="151" spans="3:8" hidden="1" x14ac:dyDescent="0.35">
      <c r="C151" s="299">
        <f t="shared" si="10"/>
        <v>0.65544390000000019</v>
      </c>
      <c r="D151" s="299">
        <f t="shared" si="6"/>
        <v>0.20742497801381587</v>
      </c>
      <c r="E151" s="299">
        <f t="shared" si="7"/>
        <v>0.32534850978631369</v>
      </c>
      <c r="F151">
        <f t="shared" si="5"/>
        <v>7.5</v>
      </c>
      <c r="G151">
        <f t="shared" si="8"/>
        <v>4.9158292500000016</v>
      </c>
      <c r="H151">
        <f t="shared" ca="1" si="9"/>
        <v>-3.9321062890930979E-2</v>
      </c>
    </row>
    <row r="152" spans="3:8" hidden="1" x14ac:dyDescent="0.35">
      <c r="C152" s="299">
        <f t="shared" si="10"/>
        <v>0.72827100000000022</v>
      </c>
      <c r="D152" s="299">
        <f t="shared" si="6"/>
        <v>0.13327425453358566</v>
      </c>
      <c r="E152" s="299">
        <f t="shared" si="7"/>
        <v>0.22054421290085885</v>
      </c>
      <c r="F152">
        <f t="shared" si="5"/>
        <v>7.5</v>
      </c>
      <c r="G152">
        <f t="shared" si="8"/>
        <v>5.4620325000000021</v>
      </c>
      <c r="H152">
        <f t="shared" ca="1" si="9"/>
        <v>-2.6654595318113688E-2</v>
      </c>
    </row>
    <row r="153" spans="3:8" hidden="1" x14ac:dyDescent="0.35">
      <c r="C153" s="299">
        <f t="shared" si="10"/>
        <v>0.80919000000000019</v>
      </c>
      <c r="D153" s="299">
        <f t="shared" si="6"/>
        <v>6.7945914236538618E-2</v>
      </c>
      <c r="E153" s="299">
        <f t="shared" si="7"/>
        <v>0.11917101004182146</v>
      </c>
      <c r="F153">
        <f t="shared" si="5"/>
        <v>7.5</v>
      </c>
      <c r="G153">
        <f t="shared" si="8"/>
        <v>6.068925000000001</v>
      </c>
      <c r="H153">
        <f t="shared" ca="1" si="9"/>
        <v>-1.4402803884695555E-2</v>
      </c>
    </row>
    <row r="154" spans="3:8" hidden="1" x14ac:dyDescent="0.35">
      <c r="C154" s="299">
        <f t="shared" si="10"/>
        <v>0.89910000000000023</v>
      </c>
      <c r="D154" s="299">
        <f t="shared" si="6"/>
        <v>1.9658781480882292E-2</v>
      </c>
      <c r="E154" s="299">
        <f t="shared" si="7"/>
        <v>3.6717913976255949E-2</v>
      </c>
      <c r="F154">
        <f t="shared" si="5"/>
        <v>7.5</v>
      </c>
      <c r="G154">
        <f t="shared" si="8"/>
        <v>6.7432500000000015</v>
      </c>
      <c r="H154">
        <f t="shared" ca="1" si="9"/>
        <v>-4.4376641086581944E-3</v>
      </c>
    </row>
    <row r="155" spans="3:8" hidden="1" x14ac:dyDescent="0.35">
      <c r="C155" s="299">
        <f t="shared" si="10"/>
        <v>0.99900000000000022</v>
      </c>
      <c r="D155" s="299">
        <f t="shared" si="6"/>
        <v>1.9993331662471192E-6</v>
      </c>
      <c r="E155" s="299">
        <f t="shared" si="7"/>
        <v>3.9960009999981168E-6</v>
      </c>
      <c r="F155">
        <f t="shared" si="5"/>
        <v>7.5</v>
      </c>
      <c r="G155">
        <f t="shared" si="8"/>
        <v>7.4925000000000015</v>
      </c>
      <c r="H155">
        <f t="shared" ca="1" si="9"/>
        <v>-4.8294982736004785E-7</v>
      </c>
    </row>
  </sheetData>
  <sheetProtection algorithmName="SHA-512" hashValue="HwvdGmLZkqt8xhWoX6GgDV4LeXqNclP2YpxtwErr7b24NC2MIOpFzwy4pDUkumFmwx1HGoWlE6Il2GHZiXnFGg==" saltValue="7tm8L/riGF6/UCWyDD0J5w==" spinCount="100000" sheet="1" objects="1" scenarios="1"/>
  <mergeCells count="2">
    <mergeCell ref="U5:X5"/>
    <mergeCell ref="F9:F10"/>
  </mergeCells>
  <conditionalFormatting sqref="E15:E16">
    <cfRule type="expression" dxfId="2" priority="1">
      <formula>$E$12&lt;&gt;"Other"</formula>
    </cfRule>
  </conditionalFormatting>
  <conditionalFormatting sqref="E8:F8">
    <cfRule type="expression" dxfId="1" priority="3">
      <formula>$E$7&lt;&gt;"circular"</formula>
    </cfRule>
  </conditionalFormatting>
  <conditionalFormatting sqref="E9:F9 E10">
    <cfRule type="expression" dxfId="0" priority="2">
      <formula>$E$7&lt;&gt;"rectangular"</formula>
    </cfRule>
  </conditionalFormatting>
  <dataValidations count="11">
    <dataValidation type="decimal" allowBlank="1" showInputMessage="1" showErrorMessage="1" sqref="E10" xr:uid="{00000000-0002-0000-0C00-000000000000}">
      <formula1>C86</formula1>
      <formula2>C87</formula2>
    </dataValidation>
    <dataValidation type="list" allowBlank="1" showInputMessage="1" showErrorMessage="1" sqref="F8:F11" xr:uid="{00000000-0002-0000-0C00-000001000000}">
      <formula1>$C$82:$C$83</formula1>
    </dataValidation>
    <dataValidation type="decimal" errorStyle="warning" allowBlank="1" showInputMessage="1" showErrorMessage="1" error="This is an Extreme value. Please check." sqref="E16:E18" xr:uid="{00000000-0002-0000-0C00-000002000000}">
      <formula1>C86</formula1>
      <formula2>C87</formula2>
    </dataValidation>
    <dataValidation type="decimal" errorStyle="warning" allowBlank="1" showInputMessage="1" showErrorMessage="1" error="This is an Extreme value. Please check." sqref="E15" xr:uid="{00000000-0002-0000-0C00-000003000000}">
      <formula1>C86</formula1>
      <formula2>C87</formula2>
    </dataValidation>
    <dataValidation type="decimal" allowBlank="1" showInputMessage="1" showErrorMessage="1" sqref="E8:E9 E11" xr:uid="{00000000-0002-0000-0C00-000004000000}">
      <formula1>C83</formula1>
      <formula2>C84</formula2>
    </dataValidation>
    <dataValidation type="list" allowBlank="1" showInputMessage="1" showErrorMessage="1" sqref="E21" xr:uid="{00000000-0002-0000-0C00-000005000000}">
      <formula1>$C$78:$C$79</formula1>
    </dataValidation>
    <dataValidation type="list" allowBlank="1" showInputMessage="1" showErrorMessage="1" sqref="E12" xr:uid="{00000000-0002-0000-0C00-000006000000}">
      <formula1>$C$64:$C$69</formula1>
    </dataValidation>
    <dataValidation type="list" allowBlank="1" showInputMessage="1" showErrorMessage="1" sqref="C7" xr:uid="{00000000-0002-0000-0C00-000007000000}">
      <formula1>button_shapes</formula1>
    </dataValidation>
    <dataValidation type="list" allowBlank="1" showInputMessage="1" showErrorMessage="1" sqref="E7" xr:uid="{00000000-0002-0000-0C00-000008000000}">
      <formula1>$C$72:$C$73</formula1>
    </dataValidation>
    <dataValidation type="decimal" errorStyle="warning" allowBlank="1" showInputMessage="1" showErrorMessage="1" error="This entry is outside of normal expected ranges." sqref="E22" xr:uid="{00000000-0002-0000-0C00-000009000000}">
      <formula1>C86</formula1>
      <formula2>C87</formula2>
    </dataValidation>
    <dataValidation type="list" allowBlank="1" showInputMessage="1" showErrorMessage="1" sqref="F22" xr:uid="{00000000-0002-0000-0C00-00000A000000}">
      <formula1>"N,lbf"</formula1>
    </dataValidation>
  </dataValidations>
  <hyperlinks>
    <hyperlink ref="E2" location="Contents!A1" display="Return to Main Page" xr:uid="{00000000-0004-0000-0C00-000000000000}"/>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theme="4" tint="0.59999389629810485"/>
  </sheetPr>
  <dimension ref="B2:L53"/>
  <sheetViews>
    <sheetView showGridLines="0" showRowColHeaders="0" zoomScaleNormal="100" workbookViewId="0">
      <selection activeCell="Q46" sqref="Q46"/>
    </sheetView>
  </sheetViews>
  <sheetFormatPr defaultRowHeight="14.5" x14ac:dyDescent="0.35"/>
  <cols>
    <col min="2" max="2" width="5.54296875" customWidth="1"/>
    <col min="3" max="3" width="23.26953125" customWidth="1"/>
    <col min="4" max="4" width="17.453125" customWidth="1"/>
    <col min="5" max="5" width="7.453125" customWidth="1"/>
    <col min="7" max="7" width="20.7265625" bestFit="1" customWidth="1"/>
    <col min="8" max="8" width="10" bestFit="1" customWidth="1"/>
    <col min="10" max="10" width="38.54296875" customWidth="1"/>
  </cols>
  <sheetData>
    <row r="2" spans="2:12" ht="18.5" x14ac:dyDescent="0.45">
      <c r="B2" s="3" t="s">
        <v>328</v>
      </c>
      <c r="E2" s="14" t="s">
        <v>199</v>
      </c>
      <c r="K2" s="1"/>
      <c r="L2" s="1"/>
    </row>
    <row r="3" spans="2:12" x14ac:dyDescent="0.35">
      <c r="B3" s="22"/>
      <c r="C3" s="23" t="s">
        <v>170</v>
      </c>
      <c r="D3" s="22"/>
      <c r="E3" s="22"/>
      <c r="G3" s="22"/>
      <c r="H3" s="22"/>
      <c r="I3" s="22"/>
      <c r="J3" s="22"/>
      <c r="K3" s="1"/>
      <c r="L3" s="1"/>
    </row>
    <row r="4" spans="2:12" x14ac:dyDescent="0.35">
      <c r="B4" s="22"/>
      <c r="C4" s="23" t="s">
        <v>173</v>
      </c>
      <c r="D4" s="22"/>
      <c r="E4" s="22"/>
      <c r="G4" s="22"/>
      <c r="H4" s="22"/>
      <c r="I4" s="22"/>
      <c r="J4" s="22"/>
      <c r="K4" s="1"/>
      <c r="L4" s="1"/>
    </row>
    <row r="5" spans="2:12" x14ac:dyDescent="0.35">
      <c r="B5" s="22"/>
      <c r="C5" s="23" t="s">
        <v>174</v>
      </c>
      <c r="D5" s="22"/>
      <c r="E5" s="22"/>
      <c r="G5" s="22"/>
      <c r="H5" s="22"/>
      <c r="I5" s="22"/>
      <c r="J5" s="22"/>
      <c r="K5" s="1"/>
      <c r="L5" s="1"/>
    </row>
    <row r="6" spans="2:12" x14ac:dyDescent="0.35">
      <c r="B6" s="22"/>
      <c r="C6" s="23" t="s">
        <v>175</v>
      </c>
      <c r="D6" s="22"/>
      <c r="E6" s="22"/>
      <c r="G6" s="22"/>
      <c r="H6" s="22"/>
      <c r="I6" s="22"/>
      <c r="J6" s="22"/>
      <c r="K6" s="1"/>
      <c r="L6" s="1"/>
    </row>
    <row r="7" spans="2:12" x14ac:dyDescent="0.35">
      <c r="B7" s="22"/>
      <c r="C7" s="23" t="s">
        <v>176</v>
      </c>
      <c r="D7" s="22"/>
      <c r="E7" s="22"/>
      <c r="G7" s="22"/>
      <c r="H7" s="22"/>
      <c r="I7" s="22"/>
      <c r="J7" s="22"/>
      <c r="K7" s="1"/>
      <c r="L7" s="1"/>
    </row>
    <row r="8" spans="2:12" x14ac:dyDescent="0.35">
      <c r="B8" s="22"/>
      <c r="C8" s="306" t="s">
        <v>375</v>
      </c>
      <c r="D8" s="22"/>
      <c r="E8" s="22"/>
      <c r="G8" s="22"/>
      <c r="H8" s="22"/>
      <c r="I8" s="22"/>
      <c r="J8" s="22"/>
      <c r="K8" s="1"/>
      <c r="L8" s="1"/>
    </row>
    <row r="9" spans="2:12" x14ac:dyDescent="0.35">
      <c r="B9" s="22"/>
      <c r="C9" s="28" t="s">
        <v>181</v>
      </c>
      <c r="D9" s="22"/>
      <c r="E9" s="22"/>
      <c r="G9" s="22"/>
      <c r="H9" s="22"/>
      <c r="I9" s="22"/>
      <c r="J9" s="22"/>
      <c r="K9" s="1"/>
      <c r="L9" s="1"/>
    </row>
    <row r="10" spans="2:12" x14ac:dyDescent="0.35">
      <c r="B10" s="22"/>
      <c r="C10" s="28"/>
      <c r="D10" s="22"/>
      <c r="E10" s="22"/>
      <c r="G10" s="22"/>
      <c r="H10" s="22"/>
      <c r="I10" s="22"/>
      <c r="J10" s="22"/>
      <c r="K10" s="1"/>
      <c r="L10" s="1"/>
    </row>
    <row r="11" spans="2:12" ht="15.75" customHeight="1" x14ac:dyDescent="0.35">
      <c r="B11" s="22"/>
      <c r="C11" s="22" t="s">
        <v>224</v>
      </c>
      <c r="D11" s="307" t="s">
        <v>225</v>
      </c>
      <c r="E11" s="22"/>
      <c r="G11" s="22"/>
      <c r="H11" s="22"/>
      <c r="I11" s="22"/>
      <c r="J11" s="22"/>
      <c r="K11" s="1"/>
      <c r="L11" s="1"/>
    </row>
    <row r="12" spans="2:12" ht="15.75" customHeight="1" x14ac:dyDescent="0.35">
      <c r="B12" s="22"/>
      <c r="C12" s="22"/>
      <c r="D12" s="22"/>
      <c r="E12" s="22"/>
      <c r="G12" s="22"/>
      <c r="H12" s="22"/>
      <c r="I12" s="22"/>
      <c r="J12" s="22"/>
      <c r="K12" s="1"/>
      <c r="L12" s="1"/>
    </row>
    <row r="13" spans="2:12" ht="18" customHeight="1" x14ac:dyDescent="0.35">
      <c r="B13" s="16" t="s">
        <v>85</v>
      </c>
      <c r="C13" s="16"/>
      <c r="D13" s="16"/>
      <c r="E13" s="16"/>
      <c r="G13" s="22"/>
      <c r="H13" s="22"/>
      <c r="I13" s="22"/>
      <c r="J13" s="22"/>
      <c r="K13" s="1"/>
      <c r="L13" s="1"/>
    </row>
    <row r="15" spans="2:12" x14ac:dyDescent="0.35">
      <c r="B15" s="1" t="s">
        <v>171</v>
      </c>
    </row>
    <row r="16" spans="2:12" x14ac:dyDescent="0.35">
      <c r="B16" s="24" t="s">
        <v>89</v>
      </c>
      <c r="C16" t="s">
        <v>90</v>
      </c>
      <c r="D16" s="213">
        <v>6</v>
      </c>
      <c r="E16" s="35" t="s">
        <v>34</v>
      </c>
    </row>
    <row r="17" spans="2:5" ht="15" hidden="1" customHeight="1" x14ac:dyDescent="0.35">
      <c r="B17" s="24"/>
      <c r="D17" s="214">
        <f>IF(E16="mm",D16,IF(E16="inch",D16*25.4))</f>
        <v>6</v>
      </c>
      <c r="E17" s="215" t="s">
        <v>34</v>
      </c>
    </row>
    <row r="18" spans="2:5" x14ac:dyDescent="0.35">
      <c r="B18" s="24" t="s">
        <v>32</v>
      </c>
      <c r="C18" t="s">
        <v>91</v>
      </c>
      <c r="D18" s="213">
        <v>35</v>
      </c>
      <c r="E18" s="140"/>
    </row>
    <row r="19" spans="2:5" x14ac:dyDescent="0.35">
      <c r="B19" s="24" t="s">
        <v>74</v>
      </c>
      <c r="C19" t="s">
        <v>92</v>
      </c>
      <c r="D19" s="213">
        <v>8</v>
      </c>
      <c r="E19" s="35" t="s">
        <v>34</v>
      </c>
    </row>
    <row r="20" spans="2:5" ht="18.75" hidden="1" customHeight="1" x14ac:dyDescent="0.35">
      <c r="B20" s="24"/>
      <c r="D20" s="65">
        <f>IF(E19="mm",D19,IF(E16="inch",D19*25.4))</f>
        <v>8</v>
      </c>
      <c r="E20" s="45" t="s">
        <v>34</v>
      </c>
    </row>
    <row r="21" spans="2:5" x14ac:dyDescent="0.35">
      <c r="B21" s="24" t="s">
        <v>69</v>
      </c>
      <c r="C21" t="s">
        <v>172</v>
      </c>
      <c r="D21" s="31">
        <f>((D16/1000)^2*D18^2)/((D19/1000)+0.45*(D16/1000))</f>
        <v>4.121495327102803</v>
      </c>
      <c r="E21" t="s">
        <v>160</v>
      </c>
    </row>
    <row r="23" spans="2:5" x14ac:dyDescent="0.35">
      <c r="B23" s="1" t="s">
        <v>177</v>
      </c>
    </row>
    <row r="24" spans="2:5" x14ac:dyDescent="0.35">
      <c r="B24" s="24" t="s">
        <v>89</v>
      </c>
      <c r="C24" t="s">
        <v>90</v>
      </c>
      <c r="D24" s="213">
        <v>6</v>
      </c>
      <c r="E24" s="35" t="s">
        <v>34</v>
      </c>
    </row>
    <row r="25" spans="2:5" ht="13.5" hidden="1" customHeight="1" x14ac:dyDescent="0.35">
      <c r="B25" s="24"/>
      <c r="D25" s="216">
        <f>IF(E24="mm",D24,IF(E24="inch",D24*25.4))</f>
        <v>6</v>
      </c>
      <c r="E25" s="217" t="s">
        <v>34</v>
      </c>
    </row>
    <row r="26" spans="2:5" x14ac:dyDescent="0.35">
      <c r="B26" s="24" t="s">
        <v>32</v>
      </c>
      <c r="C26" t="s">
        <v>91</v>
      </c>
      <c r="D26" s="213">
        <v>35</v>
      </c>
      <c r="E26" s="140"/>
    </row>
    <row r="27" spans="2:5" x14ac:dyDescent="0.35">
      <c r="B27" s="24" t="s">
        <v>74</v>
      </c>
      <c r="C27" t="s">
        <v>92</v>
      </c>
      <c r="D27" s="213">
        <v>11</v>
      </c>
      <c r="E27" s="35" t="s">
        <v>34</v>
      </c>
    </row>
    <row r="28" spans="2:5" ht="15.75" hidden="1" customHeight="1" x14ac:dyDescent="0.35">
      <c r="B28" s="24"/>
      <c r="D28" s="66">
        <f>IF(E27="mm",D27,IF(E24="inch",D27*25.4))</f>
        <v>11</v>
      </c>
      <c r="E28" s="25" t="s">
        <v>34</v>
      </c>
    </row>
    <row r="29" spans="2:5" x14ac:dyDescent="0.35">
      <c r="B29" s="24" t="s">
        <v>69</v>
      </c>
      <c r="C29" t="s">
        <v>172</v>
      </c>
      <c r="D29" s="31">
        <f>((D24/1000)^2*D26^2)/((D27/1000)+0.45*(D24/1000))</f>
        <v>3.218978102189781</v>
      </c>
      <c r="E29" t="s">
        <v>160</v>
      </c>
    </row>
    <row r="30" spans="2:5" x14ac:dyDescent="0.35">
      <c r="B30" s="24"/>
      <c r="D30" s="26"/>
    </row>
    <row r="32" spans="2:5" x14ac:dyDescent="0.35">
      <c r="C32" t="s">
        <v>159</v>
      </c>
      <c r="D32" s="213">
        <v>900</v>
      </c>
      <c r="E32" t="s">
        <v>27</v>
      </c>
    </row>
    <row r="33" spans="3:9" x14ac:dyDescent="0.35">
      <c r="C33" t="s">
        <v>178</v>
      </c>
      <c r="D33" s="39">
        <f>MIN(D21,D29)+D35</f>
        <v>3.218978102189781</v>
      </c>
      <c r="E33" t="s">
        <v>160</v>
      </c>
      <c r="F33" t="s">
        <v>180</v>
      </c>
    </row>
    <row r="34" spans="3:9" x14ac:dyDescent="0.35">
      <c r="C34" t="s">
        <v>179</v>
      </c>
      <c r="D34" s="39">
        <f>MAX(D21,D29)+D35</f>
        <v>4.121495327102803</v>
      </c>
      <c r="E34" t="s">
        <v>160</v>
      </c>
      <c r="F34" t="s">
        <v>180</v>
      </c>
    </row>
    <row r="35" spans="3:9" x14ac:dyDescent="0.35">
      <c r="C35" t="s">
        <v>86</v>
      </c>
      <c r="D35" s="218">
        <v>0</v>
      </c>
      <c r="E35" t="s">
        <v>160</v>
      </c>
      <c r="F35" s="1" t="s">
        <v>162</v>
      </c>
    </row>
    <row r="36" spans="3:9" x14ac:dyDescent="0.35">
      <c r="C36" t="s">
        <v>87</v>
      </c>
      <c r="D36" s="31">
        <f>1/(2*PI()*SQRT((D33+D35)*0.000001*(D32+D35)*0.000000000001))/1000000</f>
        <v>2.9569219812671341</v>
      </c>
      <c r="E36" t="s">
        <v>0</v>
      </c>
      <c r="F36" t="str">
        <f>TEXT(H36*1000,0)&amp;"kHz &lt;= fSENSOR &lt;="&amp;TEXT(I36,0)&amp;"MHz"</f>
        <v>10kHz &lt;= fSENSOR &lt;=10MHz</v>
      </c>
      <c r="H36" s="34">
        <f>IF(D11="LDC1000/LDC1041",0.005,0.01)</f>
        <v>0.01</v>
      </c>
      <c r="I36" s="34">
        <f>IF(D11="LDC1000/LDC1041",5,10)</f>
        <v>10</v>
      </c>
    </row>
    <row r="37" spans="3:9" x14ac:dyDescent="0.35">
      <c r="C37" t="s">
        <v>88</v>
      </c>
      <c r="D37" s="31">
        <f>1/(2*PI()*SQRT((D34+D35)*0.000001*(D32+D35)*0.000000000001))/1000000</f>
        <v>2.6131929089181876</v>
      </c>
      <c r="E37" t="s">
        <v>0</v>
      </c>
      <c r="F37" t="str">
        <f>TEXT(H36*1000,0)&amp;"kHz &lt;= fSENSOR &lt;="&amp;TEXT(I36,0)&amp;"MHz"</f>
        <v>10kHz &lt;= fSENSOR &lt;=10MHz</v>
      </c>
    </row>
    <row r="38" spans="3:9" x14ac:dyDescent="0.35">
      <c r="C38" t="s">
        <v>161</v>
      </c>
      <c r="D38" s="32">
        <f>(D37-D36)*1000</f>
        <v>-343.72907234894654</v>
      </c>
      <c r="E38" t="s">
        <v>72</v>
      </c>
    </row>
    <row r="41" spans="3:9" x14ac:dyDescent="0.35">
      <c r="C41" s="1" t="s">
        <v>182</v>
      </c>
    </row>
    <row r="42" spans="3:9" x14ac:dyDescent="0.35">
      <c r="C42" t="s">
        <v>219</v>
      </c>
      <c r="D42" s="213">
        <v>6144</v>
      </c>
      <c r="F42" t="s">
        <v>166</v>
      </c>
    </row>
    <row r="43" spans="3:9" x14ac:dyDescent="0.35">
      <c r="C43" t="s">
        <v>19</v>
      </c>
      <c r="D43" s="218">
        <v>8</v>
      </c>
      <c r="E43" t="s">
        <v>0</v>
      </c>
    </row>
    <row r="44" spans="3:9" ht="15.5" x14ac:dyDescent="0.35">
      <c r="C44" t="s">
        <v>93</v>
      </c>
      <c r="D44" s="33">
        <f>ABS(FLOOR(0.333333*(D42*((D43/D36)-(D43/D37))),1))</f>
        <v>729</v>
      </c>
    </row>
    <row r="45" spans="3:9" x14ac:dyDescent="0.35">
      <c r="C45" t="s">
        <v>223</v>
      </c>
      <c r="D45" s="20">
        <f>1000*MIN(D36,D37)*3/D42</f>
        <v>1.2759731000577088</v>
      </c>
      <c r="E45" t="s">
        <v>202</v>
      </c>
    </row>
    <row r="47" spans="3:9" x14ac:dyDescent="0.35">
      <c r="C47" s="1" t="s">
        <v>254</v>
      </c>
    </row>
    <row r="48" spans="3:9" x14ac:dyDescent="0.35">
      <c r="C48" t="s">
        <v>19</v>
      </c>
      <c r="D48" s="124">
        <v>40</v>
      </c>
      <c r="E48" t="s">
        <v>0</v>
      </c>
    </row>
    <row r="49" spans="3:5" x14ac:dyDescent="0.35">
      <c r="C49" t="s">
        <v>609</v>
      </c>
      <c r="D49" s="35">
        <v>65535</v>
      </c>
      <c r="E49" t="s">
        <v>226</v>
      </c>
    </row>
    <row r="50" spans="3:5" x14ac:dyDescent="0.35">
      <c r="C50" t="s">
        <v>608</v>
      </c>
      <c r="D50" s="100" t="str">
        <f>"0x"&amp;DEC2HEX(CEILING(D49,1),4)</f>
        <v>0xFFFF</v>
      </c>
      <c r="E50" t="s">
        <v>346</v>
      </c>
    </row>
    <row r="51" spans="3:5" x14ac:dyDescent="0.35">
      <c r="C51" t="s">
        <v>227</v>
      </c>
      <c r="D51" s="275">
        <f>ROUND(4*D49*16*ABS(D38*1000)/D48/1000000,0)</f>
        <v>36042</v>
      </c>
    </row>
    <row r="52" spans="3:5" x14ac:dyDescent="0.35">
      <c r="C52" t="s">
        <v>221</v>
      </c>
      <c r="D52" s="27">
        <f>D49*16/D48</f>
        <v>26214</v>
      </c>
      <c r="E52" s="13" t="s">
        <v>222</v>
      </c>
    </row>
    <row r="53" spans="3:5" x14ac:dyDescent="0.35">
      <c r="C53" t="s">
        <v>201</v>
      </c>
      <c r="D53" s="20">
        <f>D48*1000/D49/16</f>
        <v>3.8147554741741058E-2</v>
      </c>
      <c r="E53" t="s">
        <v>202</v>
      </c>
    </row>
  </sheetData>
  <sheetProtection algorithmName="SHA-512" hashValue="4zbbJ1pM0SFPzunu9zhAo7qX2t1IL3iQn9mO+muX+r6jtgtbnGbCRfa8HYrcXX6bG1JoieAQ67pu4JKrS2wEbQ==" saltValue="3rco1a4FEhwGohVhNsxESg==" spinCount="100000" sheet="1" objects="1" scenarios="1"/>
  <dataValidations count="11">
    <dataValidation type="list" allowBlank="1" showInputMessage="1" showErrorMessage="1" sqref="E16 E19 E24 E27" xr:uid="{00000000-0002-0000-0D00-000000000000}">
      <formula1>"mm,inch"</formula1>
    </dataValidation>
    <dataValidation type="decimal" operator="greaterThan" allowBlank="1" showInputMessage="1" showErrorMessage="1" sqref="D16 D24" xr:uid="{00000000-0002-0000-0D00-000001000000}">
      <formula1>0</formula1>
    </dataValidation>
    <dataValidation type="decimal" operator="greaterThan" allowBlank="1" showInputMessage="1" showErrorMessage="1" sqref="D18 D26" xr:uid="{00000000-0002-0000-0D00-000002000000}">
      <formula1>0.1</formula1>
    </dataValidation>
    <dataValidation type="decimal" operator="greaterThan" allowBlank="1" showInputMessage="1" showErrorMessage="1" sqref="D19 D27" xr:uid="{00000000-0002-0000-0D00-000003000000}">
      <formula1>0.001</formula1>
    </dataValidation>
    <dataValidation type="decimal" operator="greaterThanOrEqual" allowBlank="1" showInputMessage="1" showErrorMessage="1" sqref="D35" xr:uid="{00000000-0002-0000-0D00-000004000000}">
      <formula1>0</formula1>
    </dataValidation>
    <dataValidation type="list" allowBlank="1" showInputMessage="1" showErrorMessage="1" sqref="D42" xr:uid="{00000000-0002-0000-0D00-000005000000}">
      <formula1>"192,384,768,1536,3072,6144"</formula1>
    </dataValidation>
    <dataValidation type="whole" errorStyle="warning" operator="lessThanOrEqual" allowBlank="1" showInputMessage="1" showErrorMessage="1" errorTitle="Reference frequency too High" error="The LDC1000/LDC1041 has a maximum TBCLK (Fref) frequency of 8MHz." sqref="D43" xr:uid="{00000000-0002-0000-0D00-000006000000}">
      <formula1>8</formula1>
    </dataValidation>
    <dataValidation type="list" allowBlank="1" showInputMessage="1" showErrorMessage="1" sqref="D11" xr:uid="{00000000-0002-0000-0D00-000007000000}">
      <formula1>"LDC1000/LDC1041,LDC131x/LDC161x"</formula1>
    </dataValidation>
    <dataValidation type="decimal" errorStyle="warning" allowBlank="1" showInputMessage="1" showErrorMessage="1" errorTitle="Possible Invalid Reference Freq" error="The Reference Frequency must be greater than the Sensor frequency and also must not exceed the 40MHz maximum." sqref="D48" xr:uid="{00000000-0002-0000-0D00-000008000000}">
      <formula1>MAX(D36:D37)</formula1>
      <formula2>40</formula2>
    </dataValidation>
    <dataValidation type="decimal" errorStyle="warning" allowBlank="1" showInputMessage="1" showErrorMessage="1" errorTitle="Invalid Reference Count" error="The LDC131x/161x minimum reference count is 48 and the maximum reference count is 1048560." sqref="D49" xr:uid="{00000000-0002-0000-0D00-000009000000}">
      <formula1>3</formula1>
      <formula2>65535</formula2>
    </dataValidation>
    <dataValidation errorStyle="warning" allowBlank="1" showInputMessage="1" showErrorMessage="1" errorTitle="Invalid Reference Count" error="The LDC131x/161x minimum reference count is 48 and the maximum reference count is 1048560." sqref="D51 D50" xr:uid="{00000000-0002-0000-0D00-00000A000000}"/>
  </dataValidations>
  <hyperlinks>
    <hyperlink ref="E2" location="Contents!A1" display="Return to Main page" xr:uid="{00000000-0004-0000-0D00-000000000000}"/>
    <hyperlink ref="C8" r:id="rId1" xr:uid="{00000000-0004-0000-0D00-000001000000}"/>
  </hyperlink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iconSet" priority="2" id="{09A5B8E8-8070-4521-9B4D-72CF95A7886F}">
            <x14:iconSet custom="1">
              <x14:cfvo type="percent">
                <xm:f>0</xm:f>
              </x14:cfvo>
              <x14:cfvo type="num">
                <xm:f>0</xm:f>
              </x14:cfvo>
              <x14:cfvo type="num">
                <xm:f>$H$36</xm:f>
              </x14:cfvo>
              <x14:cfIcon iconSet="3TrafficLights1" iconId="0"/>
              <x14:cfIcon iconSet="3TrafficLights1" iconId="2"/>
              <x14:cfIcon iconSet="3TrafficLights1" iconId="0"/>
            </x14:iconSet>
          </x14:cfRule>
          <xm:sqref>D36</xm:sqref>
        </x14:conditionalFormatting>
        <x14:conditionalFormatting xmlns:xm="http://schemas.microsoft.com/office/excel/2006/main">
          <x14:cfRule type="iconSet" priority="1" id="{6DA65A5A-2F21-47FE-819C-A6BF9D3283AA}">
            <x14:iconSet custom="1">
              <x14:cfvo type="percent">
                <xm:f>0</xm:f>
              </x14:cfvo>
              <x14:cfvo type="num">
                <xm:f>$H$36</xm:f>
              </x14:cfvo>
              <x14:cfvo type="num">
                <xm:f>$I$36</xm:f>
              </x14:cfvo>
              <x14:cfIcon iconSet="3TrafficLights1" iconId="0"/>
              <x14:cfIcon iconSet="3TrafficLights1" iconId="2"/>
              <x14:cfIcon iconSet="3TrafficLights1" iconId="0"/>
            </x14:iconSet>
          </x14:cfRule>
          <xm:sqref>D36:D37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00B050"/>
  </sheetPr>
  <dimension ref="A4:W249"/>
  <sheetViews>
    <sheetView showGridLines="0" showRowColHeaders="0" zoomScaleNormal="100" workbookViewId="0">
      <selection activeCell="H24" sqref="H24"/>
    </sheetView>
  </sheetViews>
  <sheetFormatPr defaultColWidth="9.1796875" defaultRowHeight="14.5" x14ac:dyDescent="0.35"/>
  <cols>
    <col min="2" max="2" width="5.1796875" customWidth="1"/>
    <col min="3" max="3" width="23" customWidth="1"/>
    <col min="4" max="4" width="9.54296875" bestFit="1" customWidth="1"/>
    <col min="8" max="8" width="27.1796875" customWidth="1"/>
  </cols>
  <sheetData>
    <row r="4" spans="2:23" ht="18.5" x14ac:dyDescent="0.45">
      <c r="B4" s="3" t="s">
        <v>94</v>
      </c>
      <c r="E4" t="s">
        <v>1663</v>
      </c>
    </row>
    <row r="5" spans="2:23" ht="37.5" customHeight="1" x14ac:dyDescent="0.35">
      <c r="B5" s="636" t="s">
        <v>603</v>
      </c>
      <c r="C5" s="637"/>
      <c r="D5" s="637"/>
      <c r="E5" s="637"/>
      <c r="F5" s="637"/>
      <c r="G5" s="637"/>
    </row>
    <row r="6" spans="2:23" ht="17.149999999999999" customHeight="1" x14ac:dyDescent="0.35">
      <c r="B6" s="302"/>
      <c r="C6" s="305" t="s">
        <v>708</v>
      </c>
      <c r="D6" s="304" t="s">
        <v>707</v>
      </c>
      <c r="E6" s="303"/>
      <c r="F6" s="622"/>
      <c r="G6" s="622"/>
      <c r="H6" s="140"/>
      <c r="I6" s="140"/>
      <c r="J6" s="140"/>
      <c r="K6" s="140"/>
      <c r="L6" s="140"/>
      <c r="M6" s="140"/>
      <c r="N6" s="140"/>
      <c r="O6" s="140"/>
      <c r="P6" s="140"/>
      <c r="Q6" s="140"/>
      <c r="R6" s="140"/>
      <c r="S6" s="140"/>
      <c r="T6" s="140"/>
      <c r="U6" s="140"/>
      <c r="V6" s="140"/>
      <c r="W6" s="140"/>
    </row>
    <row r="7" spans="2:23" ht="32.15" customHeight="1" x14ac:dyDescent="0.35">
      <c r="B7" s="302"/>
      <c r="C7" s="309"/>
      <c r="D7" s="304"/>
      <c r="E7" s="303"/>
      <c r="F7" s="622"/>
      <c r="G7" s="622"/>
      <c r="H7" s="140"/>
      <c r="I7" s="140"/>
      <c r="J7" s="140"/>
      <c r="K7" s="140"/>
      <c r="L7" s="140"/>
      <c r="M7" s="140"/>
      <c r="N7" s="140"/>
      <c r="O7" s="140"/>
      <c r="P7" s="140"/>
      <c r="Q7" s="140"/>
      <c r="R7" s="140"/>
      <c r="S7" s="140"/>
      <c r="T7" s="140"/>
      <c r="U7" s="140"/>
      <c r="V7" s="140"/>
      <c r="W7" s="140"/>
    </row>
    <row r="8" spans="2:23" ht="13" customHeight="1" x14ac:dyDescent="0.35">
      <c r="B8" s="302"/>
      <c r="C8" s="303"/>
      <c r="D8" s="303"/>
      <c r="E8" s="303"/>
      <c r="F8" s="622"/>
      <c r="G8" s="622"/>
      <c r="H8" s="140"/>
      <c r="I8" s="140"/>
      <c r="J8" s="140"/>
      <c r="K8" s="140"/>
      <c r="L8" s="140"/>
      <c r="M8" s="140"/>
      <c r="N8" s="140"/>
      <c r="O8" s="140"/>
      <c r="P8" s="140"/>
      <c r="Q8" s="140"/>
      <c r="R8" s="140"/>
      <c r="S8" s="140"/>
      <c r="T8" s="140"/>
      <c r="U8" s="140"/>
      <c r="V8" s="140"/>
      <c r="W8" s="140"/>
    </row>
    <row r="9" spans="2:23" ht="13" customHeight="1" x14ac:dyDescent="0.35">
      <c r="B9" s="302"/>
      <c r="C9" s="303"/>
      <c r="D9" s="303"/>
      <c r="E9" s="303"/>
      <c r="F9" s="622"/>
      <c r="G9" s="622"/>
      <c r="H9" s="140"/>
      <c r="I9" s="140"/>
      <c r="J9" s="140"/>
      <c r="K9" s="140"/>
      <c r="L9" s="140"/>
      <c r="M9" s="140"/>
      <c r="N9" s="140"/>
      <c r="O9" s="140"/>
      <c r="P9" s="140"/>
      <c r="Q9" s="140"/>
      <c r="R9" s="140"/>
      <c r="S9" s="140"/>
      <c r="T9" s="140"/>
      <c r="U9" s="140"/>
      <c r="V9" s="140"/>
      <c r="W9" s="140"/>
    </row>
    <row r="10" spans="2:23" x14ac:dyDescent="0.35">
      <c r="B10" t="s">
        <v>272</v>
      </c>
      <c r="F10" s="140"/>
      <c r="G10" s="140"/>
      <c r="H10" s="140"/>
      <c r="I10" s="140"/>
      <c r="J10" s="140"/>
      <c r="K10" s="140"/>
      <c r="L10" s="140"/>
      <c r="M10" s="140"/>
      <c r="N10" s="140"/>
      <c r="O10" s="140"/>
      <c r="P10" s="140"/>
      <c r="Q10" s="140"/>
      <c r="R10" s="140"/>
      <c r="S10" s="140"/>
      <c r="T10" s="140"/>
      <c r="U10" s="140"/>
      <c r="V10" s="140"/>
      <c r="W10" s="140"/>
    </row>
    <row r="11" spans="2:23" ht="8.25" customHeight="1" x14ac:dyDescent="0.35">
      <c r="F11" s="140"/>
      <c r="G11" s="140"/>
      <c r="H11" s="140"/>
      <c r="I11" s="140"/>
      <c r="J11" s="140"/>
      <c r="K11" s="140"/>
      <c r="L11" s="140"/>
      <c r="M11" s="140"/>
      <c r="N11" s="140"/>
      <c r="O11" s="140"/>
      <c r="P11" s="140"/>
      <c r="Q11" s="140"/>
      <c r="R11" s="140"/>
      <c r="S11" s="140"/>
      <c r="T11" s="140"/>
      <c r="U11" s="140"/>
      <c r="V11" s="140"/>
      <c r="W11" s="140"/>
    </row>
    <row r="12" spans="2:23" x14ac:dyDescent="0.35">
      <c r="C12" s="126" t="s">
        <v>704</v>
      </c>
      <c r="E12" s="456" t="s">
        <v>1642</v>
      </c>
      <c r="F12" s="140"/>
      <c r="G12" s="140"/>
      <c r="H12" s="140"/>
      <c r="I12" s="140"/>
      <c r="J12" s="140"/>
      <c r="K12" s="140"/>
      <c r="L12" s="140"/>
      <c r="M12" s="140"/>
      <c r="N12" s="140"/>
      <c r="O12" s="140"/>
      <c r="P12" s="140"/>
      <c r="Q12" s="140"/>
      <c r="R12" s="140"/>
      <c r="S12" s="140"/>
      <c r="T12" s="140"/>
      <c r="U12" s="140"/>
      <c r="V12" s="140"/>
      <c r="W12" s="140"/>
    </row>
    <row r="13" spans="2:23" x14ac:dyDescent="0.35">
      <c r="C13" s="126" t="s">
        <v>157</v>
      </c>
      <c r="F13" s="140"/>
      <c r="G13" s="140"/>
      <c r="H13" s="140"/>
      <c r="I13" s="140"/>
      <c r="J13" s="140"/>
      <c r="K13" s="140"/>
      <c r="L13" s="140"/>
      <c r="M13" s="140"/>
      <c r="N13" s="140"/>
      <c r="O13" s="140"/>
      <c r="P13" s="140"/>
      <c r="Q13" s="140"/>
      <c r="R13" s="140"/>
      <c r="S13" s="140"/>
      <c r="T13" s="140"/>
      <c r="U13" s="140"/>
      <c r="V13" s="140"/>
      <c r="W13" s="140"/>
    </row>
    <row r="14" spans="2:23" x14ac:dyDescent="0.35">
      <c r="C14" s="126" t="s">
        <v>964</v>
      </c>
      <c r="E14" s="456" t="s">
        <v>1585</v>
      </c>
      <c r="F14" s="140"/>
      <c r="G14" s="140"/>
      <c r="H14" s="140"/>
      <c r="I14" s="140"/>
      <c r="J14" s="140"/>
      <c r="K14" s="140"/>
      <c r="L14" s="140"/>
      <c r="M14" s="140"/>
      <c r="N14" s="140"/>
      <c r="O14" s="140"/>
      <c r="P14" s="140"/>
      <c r="Q14" s="140"/>
      <c r="R14" s="140"/>
      <c r="S14" s="140"/>
      <c r="T14" s="140"/>
      <c r="U14" s="140"/>
      <c r="V14" s="140"/>
      <c r="W14" s="140"/>
    </row>
    <row r="15" spans="2:23" x14ac:dyDescent="0.35">
      <c r="C15" s="126" t="s">
        <v>381</v>
      </c>
      <c r="E15" s="456" t="s">
        <v>1585</v>
      </c>
      <c r="F15" s="140"/>
      <c r="G15" s="140"/>
      <c r="H15" s="140"/>
      <c r="I15" s="140"/>
      <c r="J15" s="140"/>
      <c r="K15" s="140"/>
      <c r="L15" s="140"/>
      <c r="M15" s="140"/>
      <c r="N15" s="140"/>
      <c r="O15" s="140"/>
      <c r="P15" s="140"/>
      <c r="Q15" s="140"/>
      <c r="R15" s="140"/>
      <c r="S15" s="140"/>
      <c r="T15" s="140"/>
      <c r="U15" s="140"/>
      <c r="V15" s="140"/>
      <c r="W15" s="140"/>
    </row>
    <row r="16" spans="2:23" x14ac:dyDescent="0.35">
      <c r="C16" s="126" t="s">
        <v>427</v>
      </c>
      <c r="D16" s="68"/>
      <c r="F16" s="140"/>
      <c r="G16" s="140"/>
      <c r="H16" s="140"/>
      <c r="I16" s="140"/>
      <c r="J16" s="140"/>
      <c r="K16" s="140"/>
      <c r="L16" s="140"/>
      <c r="M16" s="140"/>
      <c r="N16" s="140"/>
      <c r="O16" s="140"/>
      <c r="P16" s="140"/>
      <c r="Q16" s="140"/>
      <c r="R16" s="140"/>
      <c r="S16" s="140"/>
      <c r="T16" s="140"/>
      <c r="U16" s="140"/>
      <c r="V16" s="140"/>
      <c r="W16" s="140"/>
    </row>
    <row r="17" spans="3:23" ht="15.5" x14ac:dyDescent="0.35">
      <c r="C17" s="126" t="s">
        <v>808</v>
      </c>
      <c r="E17" s="283" t="str">
        <f ca="1">IF(TODAY()&lt;DATEVALUE("4/30/2017"),"Updated!","")</f>
        <v/>
      </c>
      <c r="F17" s="140"/>
      <c r="G17" s="140"/>
      <c r="H17" s="140"/>
      <c r="I17" s="140"/>
      <c r="J17" s="140"/>
      <c r="K17" s="140"/>
      <c r="L17" s="140"/>
      <c r="M17" s="140"/>
      <c r="N17" s="140"/>
      <c r="O17" s="140"/>
      <c r="P17" s="140"/>
      <c r="Q17" s="140"/>
      <c r="R17" s="140"/>
      <c r="S17" s="140"/>
      <c r="T17" s="140"/>
      <c r="U17" s="140"/>
      <c r="V17" s="140"/>
      <c r="W17" s="140"/>
    </row>
    <row r="18" spans="3:23" ht="15.5" x14ac:dyDescent="0.35">
      <c r="C18" s="126" t="s">
        <v>1068</v>
      </c>
      <c r="E18" s="283"/>
      <c r="F18" s="140"/>
      <c r="G18" s="140"/>
      <c r="H18" s="140"/>
      <c r="I18" s="140"/>
      <c r="J18" s="140"/>
      <c r="K18" s="140"/>
      <c r="L18" s="140"/>
      <c r="M18" s="140"/>
      <c r="N18" s="140"/>
      <c r="O18" s="140"/>
      <c r="P18" s="140"/>
      <c r="Q18" s="140"/>
      <c r="R18" s="140"/>
      <c r="S18" s="140"/>
      <c r="T18" s="140"/>
      <c r="U18" s="140"/>
      <c r="V18" s="140"/>
      <c r="W18" s="140"/>
    </row>
    <row r="19" spans="3:23" x14ac:dyDescent="0.35">
      <c r="C19" s="126" t="s">
        <v>1398</v>
      </c>
      <c r="E19" s="456" t="s">
        <v>1400</v>
      </c>
      <c r="F19" s="140"/>
      <c r="G19" s="140"/>
      <c r="H19" s="140"/>
      <c r="I19" s="140"/>
      <c r="J19" s="140"/>
      <c r="K19" s="140"/>
      <c r="L19" s="140"/>
      <c r="M19" s="140"/>
      <c r="N19" s="140"/>
      <c r="O19" s="140"/>
      <c r="P19" s="140"/>
      <c r="Q19" s="140"/>
      <c r="R19" s="140"/>
      <c r="S19" s="140"/>
      <c r="T19" s="140"/>
      <c r="U19" s="140"/>
      <c r="V19" s="140"/>
      <c r="W19" s="140"/>
    </row>
    <row r="20" spans="3:23" x14ac:dyDescent="0.35">
      <c r="C20" s="126" t="s">
        <v>329</v>
      </c>
      <c r="F20" s="140"/>
      <c r="G20" s="140"/>
      <c r="H20" s="140"/>
      <c r="I20" s="140"/>
      <c r="J20" s="140"/>
      <c r="K20" s="140"/>
      <c r="L20" s="140"/>
      <c r="M20" s="140"/>
      <c r="N20" s="140"/>
      <c r="O20" s="140"/>
      <c r="P20" s="140"/>
      <c r="Q20" s="140"/>
      <c r="R20" s="140"/>
      <c r="S20" s="140"/>
      <c r="T20" s="140"/>
      <c r="U20" s="140"/>
      <c r="V20" s="140"/>
      <c r="W20" s="140"/>
    </row>
    <row r="21" spans="3:23" x14ac:dyDescent="0.35">
      <c r="C21" s="126" t="s">
        <v>623</v>
      </c>
      <c r="E21" s="456" t="s">
        <v>1642</v>
      </c>
      <c r="F21" s="140"/>
      <c r="G21" s="140"/>
      <c r="H21" s="623"/>
      <c r="I21" s="140"/>
      <c r="J21" s="140"/>
      <c r="K21" s="140"/>
      <c r="L21" s="140"/>
      <c r="M21" s="140"/>
      <c r="N21" s="140"/>
      <c r="O21" s="140"/>
      <c r="P21" s="140"/>
      <c r="Q21" s="140"/>
      <c r="R21" s="140"/>
      <c r="S21" s="140"/>
      <c r="T21" s="140"/>
      <c r="U21" s="140"/>
      <c r="V21" s="140"/>
      <c r="W21" s="140"/>
    </row>
    <row r="22" spans="3:23" ht="15.5" x14ac:dyDescent="0.35">
      <c r="C22" s="126" t="s">
        <v>701</v>
      </c>
      <c r="D22" s="68"/>
      <c r="E22" s="283" t="str">
        <f ca="1">IF(TODAY()&lt;DATEVALUE("4/30/2017"),"NEW!","")</f>
        <v/>
      </c>
      <c r="F22" s="140"/>
      <c r="G22" s="140"/>
      <c r="H22" s="140"/>
      <c r="I22" s="140"/>
      <c r="J22" s="140"/>
      <c r="K22" s="140"/>
      <c r="L22" s="140"/>
      <c r="M22" s="140"/>
      <c r="N22" s="140"/>
      <c r="O22" s="140"/>
      <c r="P22" s="140"/>
      <c r="Q22" s="140"/>
      <c r="R22" s="140"/>
      <c r="S22" s="140"/>
      <c r="T22" s="140"/>
      <c r="U22" s="140"/>
      <c r="V22" s="140"/>
      <c r="W22" s="140"/>
    </row>
    <row r="23" spans="3:23" x14ac:dyDescent="0.35">
      <c r="C23" s="126" t="s">
        <v>1661</v>
      </c>
      <c r="D23" s="68"/>
      <c r="E23" s="456" t="s">
        <v>1662</v>
      </c>
      <c r="F23" s="140"/>
      <c r="G23" s="140"/>
      <c r="H23" s="140"/>
      <c r="I23" s="140"/>
      <c r="J23" s="140"/>
      <c r="K23" s="140"/>
      <c r="L23" s="140"/>
      <c r="M23" s="140"/>
      <c r="N23" s="140"/>
      <c r="O23" s="140"/>
      <c r="P23" s="140"/>
      <c r="Q23" s="140"/>
      <c r="R23" s="140"/>
      <c r="S23" s="140"/>
      <c r="T23" s="140"/>
      <c r="U23" s="140"/>
      <c r="V23" s="140"/>
      <c r="W23" s="140"/>
    </row>
    <row r="24" spans="3:23" x14ac:dyDescent="0.35">
      <c r="F24" s="140"/>
      <c r="G24" s="140"/>
      <c r="H24" s="140"/>
      <c r="I24" s="140"/>
      <c r="J24" s="140"/>
      <c r="K24" s="140"/>
      <c r="L24" s="140"/>
      <c r="M24" s="140"/>
      <c r="N24" s="140"/>
      <c r="O24" s="140"/>
      <c r="P24" s="140"/>
      <c r="Q24" s="140"/>
      <c r="R24" s="140"/>
      <c r="S24" s="140"/>
      <c r="T24" s="140"/>
      <c r="U24" s="140"/>
      <c r="V24" s="140"/>
      <c r="W24" s="140"/>
    </row>
    <row r="25" spans="3:23" ht="15.5" x14ac:dyDescent="0.35">
      <c r="C25" s="16" t="s">
        <v>273</v>
      </c>
      <c r="F25" s="140"/>
      <c r="G25" s="140"/>
      <c r="H25" s="140"/>
      <c r="I25" s="140"/>
      <c r="J25" s="140"/>
      <c r="K25" s="140"/>
      <c r="L25" s="140"/>
      <c r="M25" s="140"/>
      <c r="N25" s="140"/>
      <c r="O25" s="140"/>
      <c r="P25" s="140"/>
      <c r="Q25" s="140"/>
      <c r="R25" s="140"/>
      <c r="S25" s="140"/>
      <c r="T25" s="140"/>
      <c r="U25" s="140"/>
      <c r="V25" s="140"/>
      <c r="W25" s="140"/>
    </row>
    <row r="26" spans="3:23" x14ac:dyDescent="0.35">
      <c r="C26" s="21" t="str">
        <f>IF(C28="L","fsensor","L")</f>
        <v>L</v>
      </c>
      <c r="D26" s="36">
        <v>55</v>
      </c>
      <c r="E26" s="48" t="str">
        <f>IF(C26="fsensor","MHz","µH")</f>
        <v>µH</v>
      </c>
      <c r="F26" s="140"/>
      <c r="G26" s="140"/>
      <c r="H26" s="140"/>
      <c r="I26" s="140"/>
      <c r="J26" s="140"/>
      <c r="K26" s="140"/>
      <c r="L26" s="140"/>
      <c r="M26" s="140"/>
      <c r="N26" s="140"/>
      <c r="O26" s="140"/>
      <c r="P26" s="140"/>
      <c r="Q26" s="140"/>
      <c r="R26" s="140"/>
      <c r="S26" s="140"/>
      <c r="T26" s="140"/>
      <c r="U26" s="140"/>
      <c r="V26" s="140"/>
      <c r="W26" s="140"/>
    </row>
    <row r="27" spans="3:23" x14ac:dyDescent="0.35">
      <c r="C27" s="21" t="str">
        <f>IF(C28="C","fsensor","C")</f>
        <v>C</v>
      </c>
      <c r="D27" s="36">
        <v>100</v>
      </c>
      <c r="E27" s="49" t="str">
        <f>IF(C27="fsensor","MHz","pF")</f>
        <v>pF</v>
      </c>
      <c r="F27" s="140"/>
      <c r="G27" s="140"/>
      <c r="H27" s="140"/>
      <c r="I27" s="140"/>
      <c r="J27" s="140"/>
      <c r="K27" s="140"/>
      <c r="L27" s="140"/>
      <c r="M27" s="140"/>
      <c r="N27" s="140"/>
      <c r="O27" s="140"/>
      <c r="P27" s="140"/>
      <c r="Q27" s="140"/>
      <c r="R27" s="140"/>
      <c r="S27" s="140"/>
      <c r="T27" s="140"/>
      <c r="U27" s="140"/>
      <c r="V27" s="140"/>
      <c r="W27" s="140"/>
    </row>
    <row r="28" spans="3:23" x14ac:dyDescent="0.35">
      <c r="C28" s="35" t="s">
        <v>228</v>
      </c>
      <c r="D28" s="20">
        <f>IF(C28="fsensor",0.000001/(2*PI()*SQRT(D26*0.000001*D27*0.000000000001)),IF(C28="C",1000000000000/((D26*0.000001)*(2*PI()*D27*1000000)^2),1000000/((D27*0.000000000001)*(2*PI()*D26*1000000)^2)))</f>
        <v>2.1460448148580196</v>
      </c>
      <c r="E28" s="21" t="str">
        <f>IF(C28="fsensor","MHz",IF(C28="L","µH","pF"))</f>
        <v>MHz</v>
      </c>
      <c r="F28" s="140"/>
      <c r="G28" s="140"/>
      <c r="H28" s="140"/>
      <c r="I28" s="140"/>
      <c r="J28" s="140"/>
      <c r="K28" s="140"/>
      <c r="L28" s="140"/>
      <c r="M28" s="140"/>
      <c r="N28" s="140"/>
      <c r="O28" s="140"/>
      <c r="P28" s="140"/>
      <c r="Q28" s="140"/>
      <c r="R28" s="140"/>
      <c r="S28" s="140"/>
      <c r="T28" s="140"/>
      <c r="U28" s="140"/>
      <c r="V28" s="140"/>
      <c r="W28" s="140"/>
    </row>
    <row r="29" spans="3:23" x14ac:dyDescent="0.35">
      <c r="C29" s="193"/>
      <c r="F29" s="140"/>
      <c r="G29" s="140"/>
      <c r="H29" s="140"/>
      <c r="I29" s="140"/>
      <c r="J29" s="140"/>
      <c r="K29" s="140"/>
      <c r="L29" s="140"/>
      <c r="M29" s="140"/>
      <c r="N29" s="140"/>
      <c r="O29" s="140"/>
      <c r="P29" s="140"/>
      <c r="Q29" s="140"/>
      <c r="R29" s="140"/>
      <c r="S29" s="140"/>
      <c r="T29" s="140"/>
      <c r="U29" s="140"/>
      <c r="V29" s="140"/>
      <c r="W29" s="140"/>
    </row>
    <row r="30" spans="3:23" ht="15.5" x14ac:dyDescent="0.35">
      <c r="C30" s="16" t="s">
        <v>277</v>
      </c>
      <c r="F30" s="140"/>
      <c r="G30" s="140"/>
      <c r="H30" s="140"/>
      <c r="I30" s="140"/>
      <c r="J30" s="140"/>
      <c r="K30" s="140"/>
      <c r="L30" s="140"/>
      <c r="M30" s="140"/>
      <c r="N30" s="140"/>
      <c r="O30" s="140"/>
      <c r="P30" s="140"/>
      <c r="Q30" s="140"/>
      <c r="R30" s="140"/>
      <c r="S30" s="140"/>
      <c r="T30" s="140"/>
      <c r="U30" s="140"/>
      <c r="V30" s="140"/>
      <c r="W30" s="140"/>
    </row>
    <row r="31" spans="3:23" x14ac:dyDescent="0.35">
      <c r="C31" s="21" t="s">
        <v>69</v>
      </c>
      <c r="D31" s="124">
        <v>55</v>
      </c>
      <c r="E31" s="194" t="s">
        <v>96</v>
      </c>
      <c r="F31" s="140"/>
      <c r="G31" s="140"/>
      <c r="H31" s="140"/>
      <c r="I31" s="140"/>
      <c r="J31" s="140"/>
      <c r="K31" s="140"/>
      <c r="L31" s="140"/>
      <c r="M31" s="140"/>
      <c r="N31" s="140"/>
      <c r="O31" s="140"/>
      <c r="P31" s="140"/>
      <c r="Q31" s="140"/>
      <c r="R31" s="140"/>
      <c r="S31" s="140"/>
      <c r="T31" s="140"/>
      <c r="U31" s="140"/>
      <c r="V31" s="140"/>
      <c r="W31" s="140"/>
    </row>
    <row r="32" spans="3:23" x14ac:dyDescent="0.35">
      <c r="C32" s="21" t="s">
        <v>26</v>
      </c>
      <c r="D32" s="124">
        <v>100</v>
      </c>
      <c r="E32" s="21" t="s">
        <v>27</v>
      </c>
      <c r="F32" s="140"/>
      <c r="G32" s="140"/>
      <c r="H32" s="140"/>
      <c r="I32" s="140"/>
      <c r="J32" s="140"/>
      <c r="K32" s="140"/>
      <c r="L32" s="140"/>
      <c r="M32" s="140"/>
      <c r="N32" s="140"/>
      <c r="O32" s="140"/>
      <c r="P32" s="140"/>
      <c r="Q32" s="140"/>
      <c r="R32" s="140"/>
      <c r="S32" s="140"/>
      <c r="T32" s="140"/>
      <c r="U32" s="140"/>
      <c r="V32" s="140"/>
      <c r="W32" s="140"/>
    </row>
    <row r="33" spans="1:23" x14ac:dyDescent="0.35">
      <c r="C33" s="21" t="str">
        <f>IF(C34="Rp","Rs","Rp")</f>
        <v>Rs</v>
      </c>
      <c r="D33" s="124">
        <v>18</v>
      </c>
      <c r="E33" s="194" t="str">
        <f>IF(C34="Rp","Ω","kΩ")</f>
        <v>Ω</v>
      </c>
      <c r="F33" s="140"/>
      <c r="G33" s="140"/>
      <c r="H33" s="140"/>
      <c r="I33" s="140"/>
      <c r="J33" s="140"/>
      <c r="K33" s="140"/>
      <c r="L33" s="140"/>
      <c r="M33" s="140"/>
      <c r="N33" s="140"/>
      <c r="O33" s="140"/>
      <c r="P33" s="140"/>
      <c r="Q33" s="140"/>
      <c r="R33" s="140"/>
      <c r="S33" s="140"/>
      <c r="T33" s="140"/>
      <c r="U33" s="140"/>
      <c r="V33" s="140"/>
      <c r="W33" s="140"/>
    </row>
    <row r="34" spans="1:23" x14ac:dyDescent="0.35">
      <c r="C34" s="35" t="s">
        <v>81</v>
      </c>
      <c r="D34" s="27">
        <f>1000/D33*D31/D32</f>
        <v>30.555555555555557</v>
      </c>
      <c r="E34" s="21" t="str">
        <f>IF(C34="Rp","kΩ","Ω")</f>
        <v>kΩ</v>
      </c>
      <c r="F34" s="140"/>
      <c r="G34" s="140"/>
      <c r="H34" s="140"/>
      <c r="I34" s="140"/>
      <c r="J34" s="140"/>
      <c r="K34" s="140"/>
      <c r="L34" s="140"/>
      <c r="M34" s="140"/>
      <c r="N34" s="140"/>
      <c r="O34" s="140"/>
      <c r="P34" s="140"/>
      <c r="Q34" s="140"/>
      <c r="R34" s="140"/>
      <c r="S34" s="140"/>
      <c r="T34" s="140"/>
      <c r="U34" s="140"/>
      <c r="V34" s="140"/>
      <c r="W34" s="140"/>
    </row>
    <row r="35" spans="1:23" x14ac:dyDescent="0.35">
      <c r="C35" s="21" t="s">
        <v>228</v>
      </c>
      <c r="D35" s="131">
        <f>(0.000001/(2*PI()*SQRT(D31*0.000001*D32*0.000000000001)))</f>
        <v>2.1460448148580196</v>
      </c>
      <c r="E35" s="21" t="s">
        <v>0</v>
      </c>
      <c r="F35" s="140"/>
      <c r="G35" s="140"/>
      <c r="H35" s="140"/>
      <c r="I35" s="140"/>
      <c r="J35" s="140"/>
      <c r="K35" s="140"/>
      <c r="L35" s="140"/>
      <c r="M35" s="140"/>
      <c r="N35" s="140"/>
      <c r="O35" s="140"/>
      <c r="P35" s="140"/>
      <c r="Q35" s="140"/>
      <c r="R35" s="140"/>
      <c r="S35" s="140"/>
      <c r="T35" s="140"/>
      <c r="U35" s="140"/>
      <c r="V35" s="140"/>
      <c r="W35" s="140"/>
    </row>
    <row r="36" spans="1:23" x14ac:dyDescent="0.35">
      <c r="C36" s="21" t="s">
        <v>83</v>
      </c>
      <c r="D36" s="32">
        <f>IF(C34="Rs",(1000/D34)*SQRT(D31/D32),(1000/D33)*SQRT(D31/D32))</f>
        <v>41.201102706087021</v>
      </c>
      <c r="E36" s="195"/>
      <c r="F36" s="140"/>
      <c r="G36" s="140"/>
      <c r="H36" s="140"/>
      <c r="I36" s="140"/>
      <c r="J36" s="140"/>
      <c r="K36" s="140"/>
      <c r="L36" s="140"/>
      <c r="M36" s="140"/>
      <c r="N36" s="140"/>
      <c r="O36" s="140"/>
      <c r="P36" s="140"/>
      <c r="Q36" s="140"/>
      <c r="R36" s="140"/>
      <c r="S36" s="140"/>
      <c r="T36" s="140"/>
      <c r="U36" s="140"/>
      <c r="V36" s="140"/>
      <c r="W36" s="140"/>
    </row>
    <row r="37" spans="1:23" x14ac:dyDescent="0.35">
      <c r="D37" s="140"/>
      <c r="E37" s="140"/>
      <c r="F37" s="140"/>
      <c r="G37" s="140"/>
      <c r="H37" s="140"/>
      <c r="I37" s="140"/>
      <c r="J37" s="140"/>
      <c r="K37" s="140"/>
      <c r="L37" s="140"/>
      <c r="M37" s="140"/>
      <c r="N37" s="140"/>
      <c r="O37" s="140"/>
      <c r="P37" s="140"/>
      <c r="Q37" s="140"/>
      <c r="R37" s="140"/>
      <c r="S37" s="140"/>
      <c r="T37" s="140"/>
      <c r="U37" s="140"/>
      <c r="V37" s="140"/>
      <c r="W37" s="140"/>
    </row>
    <row r="38" spans="1:23" ht="15.5" x14ac:dyDescent="0.35">
      <c r="B38" s="1"/>
      <c r="C38" s="16" t="s">
        <v>271</v>
      </c>
      <c r="D38" s="140"/>
      <c r="E38" s="140"/>
      <c r="F38" s="140"/>
      <c r="G38" s="140"/>
      <c r="H38" s="140"/>
      <c r="I38" s="140"/>
      <c r="J38" s="140"/>
      <c r="K38" s="140"/>
      <c r="L38" s="140"/>
      <c r="M38" s="140"/>
      <c r="N38" s="140"/>
      <c r="O38" s="140"/>
      <c r="P38" s="140"/>
      <c r="Q38" s="140"/>
      <c r="R38" s="140"/>
      <c r="S38" s="140"/>
      <c r="T38" s="140"/>
      <c r="U38" s="140"/>
      <c r="V38" s="140"/>
      <c r="W38" s="140"/>
    </row>
    <row r="39" spans="1:23" ht="43.5" x14ac:dyDescent="0.35">
      <c r="C39" s="196" t="s">
        <v>290</v>
      </c>
      <c r="D39" s="140"/>
      <c r="E39" s="140"/>
      <c r="F39" s="140"/>
      <c r="G39" s="140"/>
      <c r="H39" s="140"/>
      <c r="I39" s="140"/>
      <c r="J39" s="140"/>
      <c r="K39" s="140"/>
      <c r="L39" s="140"/>
      <c r="M39" s="140"/>
      <c r="N39" s="140"/>
      <c r="O39" s="140"/>
      <c r="P39" s="140"/>
      <c r="Q39" s="140"/>
      <c r="R39" s="140"/>
      <c r="S39" s="140"/>
      <c r="T39" s="140"/>
      <c r="U39" s="140"/>
      <c r="V39" s="140"/>
      <c r="W39" s="140"/>
    </row>
    <row r="40" spans="1:23" ht="43.5" x14ac:dyDescent="0.35">
      <c r="C40" s="197" t="s">
        <v>291</v>
      </c>
      <c r="D40" s="140"/>
      <c r="E40" s="140"/>
      <c r="F40" s="140"/>
      <c r="G40" s="140"/>
      <c r="H40" s="140"/>
      <c r="I40" s="140"/>
      <c r="J40" s="140"/>
      <c r="K40" s="140"/>
      <c r="L40" s="140"/>
      <c r="M40" s="140"/>
      <c r="N40" s="140"/>
      <c r="O40" s="140"/>
      <c r="P40" s="140"/>
      <c r="Q40" s="140"/>
      <c r="R40" s="140"/>
      <c r="S40" s="140"/>
      <c r="T40" s="140"/>
      <c r="U40" s="140"/>
      <c r="V40" s="140"/>
      <c r="W40" s="140"/>
    </row>
    <row r="41" spans="1:23" ht="29" x14ac:dyDescent="0.35">
      <c r="C41" s="198" t="s">
        <v>292</v>
      </c>
      <c r="D41" s="140"/>
      <c r="E41" s="140"/>
      <c r="F41" s="140"/>
      <c r="G41" s="140"/>
      <c r="H41" s="140"/>
      <c r="I41" s="140"/>
      <c r="J41" s="140"/>
      <c r="K41" s="140"/>
      <c r="L41" s="140"/>
      <c r="M41" s="140"/>
      <c r="N41" s="140"/>
      <c r="O41" s="140"/>
      <c r="P41" s="140"/>
      <c r="Q41" s="140"/>
      <c r="R41" s="140"/>
      <c r="S41" s="140"/>
      <c r="T41" s="140"/>
      <c r="U41" s="140"/>
      <c r="V41" s="140"/>
      <c r="W41" s="140"/>
    </row>
    <row r="42" spans="1:23" x14ac:dyDescent="0.35">
      <c r="A42" s="140"/>
      <c r="B42" s="140"/>
      <c r="C42" s="140"/>
      <c r="D42" s="140"/>
      <c r="E42" s="140"/>
      <c r="F42" s="140"/>
      <c r="G42" s="140"/>
      <c r="H42" s="140"/>
      <c r="I42" s="140"/>
      <c r="J42" s="140"/>
      <c r="K42" s="140"/>
      <c r="L42" s="140"/>
      <c r="M42" s="140"/>
      <c r="N42" s="140"/>
      <c r="O42" s="140"/>
      <c r="P42" s="140"/>
      <c r="Q42" s="140"/>
      <c r="R42" s="140"/>
      <c r="S42" s="140"/>
      <c r="T42" s="140"/>
      <c r="U42" s="140"/>
      <c r="V42" s="140"/>
      <c r="W42" s="140"/>
    </row>
    <row r="43" spans="1:23" x14ac:dyDescent="0.35">
      <c r="A43" s="140"/>
      <c r="B43" s="140"/>
      <c r="C43" s="140"/>
      <c r="D43" s="140"/>
      <c r="E43" s="140"/>
      <c r="F43" s="140"/>
      <c r="G43" s="140"/>
      <c r="H43" s="140"/>
      <c r="I43" s="140"/>
      <c r="J43" s="140"/>
      <c r="K43" s="140"/>
      <c r="L43" s="140"/>
      <c r="M43" s="140"/>
      <c r="N43" s="140"/>
      <c r="O43" s="140"/>
      <c r="P43" s="140"/>
      <c r="Q43" s="140"/>
      <c r="R43" s="140"/>
      <c r="S43" s="140"/>
      <c r="T43" s="140"/>
      <c r="U43" s="140"/>
      <c r="V43" s="140"/>
      <c r="W43" s="140"/>
    </row>
    <row r="44" spans="1:23" x14ac:dyDescent="0.35">
      <c r="A44" s="140"/>
      <c r="B44" s="140"/>
      <c r="C44" s="140"/>
      <c r="D44" s="140"/>
      <c r="E44" s="140"/>
      <c r="F44" s="140"/>
      <c r="G44" s="140"/>
      <c r="H44" s="624"/>
      <c r="I44" s="140"/>
      <c r="J44" s="140"/>
      <c r="K44" s="140"/>
      <c r="L44" s="140"/>
      <c r="M44" s="140"/>
      <c r="N44" s="140"/>
      <c r="O44" s="140"/>
      <c r="P44" s="140"/>
      <c r="Q44" s="140"/>
      <c r="R44" s="140"/>
      <c r="S44" s="140"/>
      <c r="T44" s="140"/>
      <c r="U44" s="140"/>
      <c r="V44" s="140"/>
      <c r="W44" s="140"/>
    </row>
    <row r="45" spans="1:23" x14ac:dyDescent="0.35">
      <c r="A45" s="140"/>
      <c r="B45" s="140"/>
      <c r="C45" s="140"/>
      <c r="D45" s="140"/>
      <c r="E45" s="140"/>
      <c r="F45" s="140"/>
      <c r="G45" s="140"/>
      <c r="H45" s="624"/>
      <c r="I45" s="140"/>
      <c r="J45" s="140"/>
      <c r="K45" s="140"/>
      <c r="L45" s="140"/>
      <c r="M45" s="140"/>
      <c r="N45" s="140"/>
      <c r="O45" s="140"/>
      <c r="P45" s="140"/>
      <c r="Q45" s="140"/>
      <c r="R45" s="140"/>
      <c r="S45" s="140"/>
      <c r="T45" s="140"/>
      <c r="U45" s="140"/>
      <c r="V45" s="140"/>
      <c r="W45" s="140"/>
    </row>
    <row r="46" spans="1:23" x14ac:dyDescent="0.35">
      <c r="A46" s="140"/>
      <c r="B46" s="140"/>
      <c r="C46" s="140"/>
      <c r="D46" s="140"/>
      <c r="E46" s="140"/>
      <c r="F46" s="140"/>
      <c r="G46" s="140"/>
      <c r="H46" s="624"/>
      <c r="I46" s="140"/>
      <c r="J46" s="140"/>
      <c r="K46" s="140"/>
      <c r="L46" s="140"/>
      <c r="M46" s="140"/>
      <c r="N46" s="140"/>
      <c r="O46" s="140"/>
      <c r="P46" s="140"/>
      <c r="Q46" s="140"/>
      <c r="R46" s="140"/>
      <c r="S46" s="140"/>
      <c r="T46" s="140"/>
      <c r="U46" s="140"/>
      <c r="V46" s="140"/>
      <c r="W46" s="140"/>
    </row>
    <row r="47" spans="1:23" x14ac:dyDescent="0.35">
      <c r="A47" s="140"/>
      <c r="B47" s="140"/>
      <c r="C47" s="140"/>
      <c r="D47" s="140"/>
      <c r="E47" s="140"/>
      <c r="F47" s="140"/>
      <c r="G47" s="140"/>
      <c r="H47" s="604"/>
      <c r="I47" s="140"/>
      <c r="J47" s="140"/>
      <c r="K47" s="140"/>
      <c r="L47" s="140"/>
      <c r="M47" s="140"/>
      <c r="N47" s="140"/>
      <c r="O47" s="140"/>
      <c r="P47" s="140"/>
      <c r="Q47" s="140"/>
      <c r="R47" s="140"/>
      <c r="S47" s="140"/>
      <c r="T47" s="140"/>
      <c r="U47" s="140"/>
      <c r="V47" s="140"/>
      <c r="W47" s="140"/>
    </row>
    <row r="48" spans="1:23" x14ac:dyDescent="0.35">
      <c r="A48" s="140"/>
      <c r="B48" s="140"/>
      <c r="C48" s="140"/>
      <c r="D48" s="140"/>
      <c r="E48" s="140"/>
      <c r="F48" s="140"/>
      <c r="G48" s="140"/>
      <c r="H48" s="140"/>
      <c r="I48" s="140"/>
      <c r="J48" s="140"/>
      <c r="K48" s="140"/>
      <c r="L48" s="140"/>
      <c r="M48" s="140"/>
      <c r="N48" s="140"/>
      <c r="O48" s="140"/>
      <c r="P48" s="140"/>
      <c r="Q48" s="140"/>
      <c r="R48" s="140"/>
      <c r="S48" s="140"/>
      <c r="T48" s="140"/>
      <c r="U48" s="140"/>
      <c r="V48" s="140"/>
      <c r="W48" s="140"/>
    </row>
    <row r="49" spans="1:23" x14ac:dyDescent="0.35">
      <c r="A49" s="140"/>
      <c r="B49" s="140"/>
      <c r="C49" s="140"/>
      <c r="D49" s="140"/>
      <c r="E49" s="140"/>
      <c r="F49" s="140"/>
      <c r="G49" s="140"/>
      <c r="H49" s="140"/>
      <c r="I49" s="140"/>
      <c r="J49" s="140"/>
      <c r="K49" s="140"/>
      <c r="L49" s="140"/>
      <c r="M49" s="140"/>
      <c r="N49" s="140"/>
      <c r="O49" s="140"/>
      <c r="P49" s="140"/>
      <c r="Q49" s="140"/>
      <c r="R49" s="140"/>
      <c r="S49" s="140"/>
      <c r="T49" s="140"/>
      <c r="U49" s="140"/>
      <c r="V49" s="140"/>
      <c r="W49" s="140"/>
    </row>
    <row r="50" spans="1:23" x14ac:dyDescent="0.35">
      <c r="A50" s="140"/>
      <c r="B50" s="140"/>
      <c r="C50" s="140"/>
      <c r="D50" s="140"/>
      <c r="E50" s="140"/>
      <c r="F50" s="140"/>
      <c r="G50" s="140"/>
      <c r="H50" s="140"/>
      <c r="I50" s="140"/>
      <c r="J50" s="140"/>
      <c r="K50" s="140"/>
      <c r="L50" s="140"/>
      <c r="M50" s="140"/>
      <c r="N50" s="140"/>
      <c r="O50" s="140"/>
      <c r="P50" s="140"/>
      <c r="Q50" s="140"/>
      <c r="R50" s="140"/>
      <c r="S50" s="140"/>
      <c r="T50" s="140"/>
      <c r="U50" s="140"/>
      <c r="V50" s="140"/>
      <c r="W50" s="140"/>
    </row>
    <row r="51" spans="1:23" x14ac:dyDescent="0.35">
      <c r="A51" s="140"/>
      <c r="B51" s="140"/>
      <c r="C51" s="140"/>
      <c r="D51" s="140"/>
      <c r="E51" s="140"/>
      <c r="F51" s="140"/>
      <c r="G51" s="140"/>
      <c r="H51" s="140"/>
      <c r="I51" s="140"/>
      <c r="J51" s="140"/>
      <c r="K51" s="140"/>
      <c r="L51" s="140"/>
      <c r="M51" s="140"/>
      <c r="N51" s="140"/>
      <c r="O51" s="140"/>
      <c r="P51" s="140"/>
      <c r="Q51" s="140"/>
      <c r="R51" s="140"/>
      <c r="S51" s="140"/>
      <c r="T51" s="140"/>
      <c r="U51" s="140"/>
      <c r="V51" s="140"/>
      <c r="W51" s="140"/>
    </row>
    <row r="52" spans="1:23" x14ac:dyDescent="0.35">
      <c r="A52" s="140"/>
      <c r="B52" s="140"/>
      <c r="C52" s="140"/>
      <c r="D52" s="140"/>
      <c r="E52" s="140"/>
      <c r="F52" s="140"/>
      <c r="G52" s="140"/>
      <c r="H52" s="140"/>
      <c r="I52" s="140"/>
      <c r="J52" s="140"/>
      <c r="K52" s="140"/>
      <c r="L52" s="140"/>
      <c r="M52" s="140"/>
      <c r="N52" s="140"/>
      <c r="O52" s="140"/>
      <c r="P52" s="140"/>
      <c r="Q52" s="140"/>
      <c r="R52" s="140"/>
      <c r="S52" s="140"/>
      <c r="T52" s="140"/>
      <c r="U52" s="140"/>
      <c r="V52" s="140"/>
      <c r="W52" s="140"/>
    </row>
    <row r="53" spans="1:23" x14ac:dyDescent="0.35">
      <c r="A53" s="140"/>
      <c r="B53" s="140"/>
      <c r="C53" s="140"/>
      <c r="D53" s="140"/>
      <c r="E53" s="140"/>
      <c r="F53" s="140"/>
      <c r="G53" s="140"/>
      <c r="H53" s="140"/>
      <c r="I53" s="140"/>
      <c r="J53" s="140"/>
      <c r="K53" s="140"/>
      <c r="L53" s="140"/>
      <c r="M53" s="140"/>
      <c r="N53" s="140"/>
      <c r="O53" s="140"/>
      <c r="P53" s="140"/>
      <c r="Q53" s="140"/>
      <c r="R53" s="140"/>
      <c r="S53" s="140"/>
      <c r="T53" s="140"/>
      <c r="U53" s="140"/>
      <c r="V53" s="140"/>
      <c r="W53" s="140"/>
    </row>
    <row r="54" spans="1:23" x14ac:dyDescent="0.35">
      <c r="A54" s="140"/>
      <c r="B54" s="140"/>
      <c r="C54" s="140"/>
      <c r="D54" s="140"/>
      <c r="E54" s="140"/>
      <c r="F54" s="140"/>
      <c r="G54" s="140"/>
      <c r="H54" s="140"/>
      <c r="I54" s="140"/>
      <c r="J54" s="140"/>
      <c r="K54" s="140"/>
      <c r="L54" s="140"/>
      <c r="M54" s="140"/>
      <c r="N54" s="140"/>
      <c r="O54" s="140"/>
      <c r="P54" s="140"/>
      <c r="Q54" s="140"/>
      <c r="R54" s="140"/>
      <c r="S54" s="140"/>
      <c r="T54" s="140"/>
      <c r="U54" s="140"/>
      <c r="V54" s="140"/>
      <c r="W54" s="140"/>
    </row>
    <row r="55" spans="1:23" x14ac:dyDescent="0.35">
      <c r="A55" s="140"/>
      <c r="B55" s="140"/>
      <c r="C55" s="140"/>
      <c r="D55" s="140"/>
      <c r="E55" s="140"/>
      <c r="F55" s="140"/>
      <c r="G55" s="140"/>
      <c r="H55" s="140"/>
      <c r="I55" s="140"/>
      <c r="J55" s="140"/>
      <c r="K55" s="140"/>
      <c r="L55" s="140"/>
      <c r="M55" s="140"/>
      <c r="N55" s="140"/>
      <c r="O55" s="140"/>
      <c r="P55" s="140"/>
      <c r="Q55" s="140"/>
      <c r="R55" s="140"/>
      <c r="S55" s="140"/>
      <c r="T55" s="140"/>
      <c r="U55" s="140"/>
      <c r="V55" s="140"/>
      <c r="W55" s="140"/>
    </row>
    <row r="56" spans="1:23" x14ac:dyDescent="0.35">
      <c r="A56" s="140"/>
      <c r="B56" s="140"/>
      <c r="C56" s="140"/>
      <c r="D56" s="140"/>
      <c r="E56" s="140"/>
      <c r="F56" s="140"/>
      <c r="G56" s="140"/>
      <c r="H56" s="140"/>
      <c r="I56" s="140"/>
      <c r="J56" s="140"/>
      <c r="K56" s="140"/>
      <c r="L56" s="140"/>
      <c r="M56" s="140"/>
      <c r="N56" s="140"/>
      <c r="O56" s="140"/>
      <c r="P56" s="140"/>
      <c r="Q56" s="140"/>
      <c r="R56" s="140"/>
      <c r="S56" s="140"/>
      <c r="T56" s="140"/>
      <c r="U56" s="140"/>
      <c r="V56" s="140"/>
      <c r="W56" s="140"/>
    </row>
    <row r="57" spans="1:23" x14ac:dyDescent="0.35">
      <c r="A57" s="140"/>
      <c r="B57" s="140"/>
      <c r="C57" s="140"/>
      <c r="D57" s="140"/>
      <c r="E57" s="140"/>
      <c r="F57" s="140"/>
      <c r="G57" s="140"/>
      <c r="H57" s="140"/>
      <c r="I57" s="140"/>
      <c r="J57" s="140"/>
      <c r="K57" s="140"/>
      <c r="L57" s="140"/>
      <c r="M57" s="140"/>
      <c r="N57" s="140"/>
      <c r="O57" s="140"/>
      <c r="P57" s="140"/>
      <c r="Q57" s="140"/>
      <c r="R57" s="140"/>
      <c r="S57" s="140"/>
      <c r="T57" s="140"/>
      <c r="U57" s="140"/>
      <c r="V57" s="140"/>
      <c r="W57" s="140"/>
    </row>
    <row r="58" spans="1:23" x14ac:dyDescent="0.35">
      <c r="A58" s="140"/>
      <c r="B58" s="140"/>
      <c r="C58" s="140"/>
      <c r="D58" s="140"/>
      <c r="E58" s="140"/>
      <c r="F58" s="140"/>
      <c r="G58" s="140"/>
      <c r="H58" s="140"/>
      <c r="I58" s="140"/>
      <c r="J58" s="140"/>
      <c r="K58" s="140"/>
      <c r="L58" s="140"/>
      <c r="M58" s="140"/>
      <c r="N58" s="140"/>
      <c r="O58" s="140"/>
      <c r="P58" s="140"/>
      <c r="Q58" s="140"/>
      <c r="R58" s="140"/>
      <c r="S58" s="140"/>
      <c r="T58" s="140"/>
      <c r="U58" s="140"/>
      <c r="V58" s="140"/>
      <c r="W58" s="140"/>
    </row>
    <row r="59" spans="1:23" x14ac:dyDescent="0.35">
      <c r="A59" s="140"/>
      <c r="B59" s="140"/>
      <c r="C59" s="140"/>
      <c r="D59" s="140"/>
      <c r="E59" s="140"/>
      <c r="F59" s="140"/>
      <c r="G59" s="140"/>
      <c r="H59" s="140"/>
      <c r="I59" s="140"/>
      <c r="J59" s="140"/>
      <c r="K59" s="140"/>
      <c r="L59" s="140"/>
      <c r="M59" s="140"/>
      <c r="N59" s="140"/>
      <c r="O59" s="140"/>
      <c r="P59" s="140"/>
      <c r="Q59" s="140"/>
      <c r="R59" s="140"/>
      <c r="S59" s="140"/>
      <c r="T59" s="140"/>
      <c r="U59" s="140"/>
      <c r="V59" s="140"/>
      <c r="W59" s="140"/>
    </row>
    <row r="60" spans="1:23" x14ac:dyDescent="0.35">
      <c r="A60" s="140"/>
      <c r="B60" s="140"/>
      <c r="C60" s="140"/>
      <c r="D60" s="140"/>
      <c r="E60" s="140"/>
      <c r="F60" s="140"/>
      <c r="G60" s="140"/>
      <c r="H60" s="140"/>
      <c r="I60" s="140"/>
      <c r="J60" s="140"/>
      <c r="K60" s="140"/>
      <c r="L60" s="140"/>
      <c r="M60" s="140"/>
      <c r="N60" s="140"/>
      <c r="O60" s="140"/>
      <c r="P60" s="140"/>
      <c r="Q60" s="140"/>
      <c r="R60" s="140"/>
      <c r="S60" s="140"/>
      <c r="T60" s="140"/>
      <c r="U60" s="140"/>
      <c r="V60" s="140"/>
      <c r="W60" s="140"/>
    </row>
    <row r="61" spans="1:23" x14ac:dyDescent="0.35">
      <c r="A61" s="140"/>
      <c r="B61" s="140"/>
      <c r="C61" s="140"/>
      <c r="D61" s="140"/>
      <c r="E61" s="140"/>
      <c r="F61" s="140"/>
      <c r="G61" s="140"/>
      <c r="H61" s="140"/>
      <c r="I61" s="140"/>
      <c r="J61" s="140"/>
      <c r="K61" s="140"/>
      <c r="L61" s="140"/>
      <c r="M61" s="140"/>
      <c r="N61" s="140"/>
      <c r="O61" s="140"/>
      <c r="P61" s="140"/>
      <c r="Q61" s="140"/>
      <c r="R61" s="140"/>
      <c r="S61" s="140"/>
      <c r="T61" s="140"/>
      <c r="U61" s="140"/>
      <c r="V61" s="140"/>
      <c r="W61" s="140"/>
    </row>
    <row r="62" spans="1:23" x14ac:dyDescent="0.35">
      <c r="A62" s="140"/>
      <c r="B62" s="140"/>
      <c r="C62" s="140"/>
      <c r="D62" s="140"/>
      <c r="E62" s="140"/>
      <c r="F62" s="140"/>
      <c r="G62" s="140"/>
      <c r="H62" s="140"/>
      <c r="I62" s="140"/>
      <c r="J62" s="140"/>
      <c r="K62" s="140"/>
      <c r="L62" s="140"/>
      <c r="M62" s="140"/>
      <c r="N62" s="140"/>
      <c r="O62" s="140"/>
      <c r="P62" s="140"/>
      <c r="Q62" s="140"/>
      <c r="R62" s="140"/>
      <c r="S62" s="140"/>
      <c r="T62" s="140"/>
      <c r="U62" s="140"/>
      <c r="V62" s="140"/>
      <c r="W62" s="140"/>
    </row>
    <row r="63" spans="1:23" x14ac:dyDescent="0.35">
      <c r="A63" s="140"/>
      <c r="B63" s="140"/>
      <c r="C63" s="140"/>
      <c r="D63" s="140"/>
      <c r="E63" s="140"/>
      <c r="F63" s="140"/>
      <c r="G63" s="140"/>
      <c r="H63" s="140"/>
      <c r="I63" s="140"/>
      <c r="J63" s="140"/>
      <c r="K63" s="140"/>
      <c r="L63" s="140"/>
      <c r="M63" s="140"/>
      <c r="N63" s="140"/>
      <c r="O63" s="140"/>
      <c r="P63" s="140"/>
      <c r="Q63" s="140"/>
      <c r="R63" s="140"/>
      <c r="S63" s="140"/>
      <c r="T63" s="140"/>
      <c r="U63" s="140"/>
      <c r="V63" s="140"/>
      <c r="W63" s="140"/>
    </row>
    <row r="64" spans="1:23" x14ac:dyDescent="0.35">
      <c r="A64" s="140"/>
      <c r="B64" s="140"/>
      <c r="C64" s="140"/>
      <c r="D64" s="140"/>
      <c r="E64" s="140"/>
      <c r="F64" s="140"/>
      <c r="G64" s="140"/>
      <c r="H64" s="140"/>
      <c r="I64" s="140"/>
      <c r="J64" s="140"/>
      <c r="K64" s="140"/>
      <c r="L64" s="140"/>
      <c r="M64" s="140"/>
      <c r="N64" s="140"/>
      <c r="O64" s="140"/>
      <c r="P64" s="140"/>
      <c r="Q64" s="140"/>
      <c r="R64" s="140"/>
      <c r="S64" s="140"/>
      <c r="T64" s="140"/>
      <c r="U64" s="140"/>
      <c r="V64" s="140"/>
      <c r="W64" s="140"/>
    </row>
    <row r="65" spans="1:23" x14ac:dyDescent="0.35">
      <c r="A65" s="140"/>
      <c r="B65" s="140"/>
      <c r="C65" s="140"/>
      <c r="D65" s="140"/>
      <c r="E65" s="140"/>
      <c r="F65" s="140"/>
      <c r="G65" s="140"/>
      <c r="H65" s="140"/>
      <c r="I65" s="140"/>
      <c r="J65" s="140"/>
      <c r="K65" s="140"/>
      <c r="L65" s="140"/>
      <c r="M65" s="140"/>
      <c r="N65" s="140"/>
      <c r="O65" s="140"/>
      <c r="P65" s="140"/>
      <c r="Q65" s="140"/>
      <c r="R65" s="140"/>
      <c r="S65" s="140"/>
      <c r="T65" s="140"/>
      <c r="U65" s="140"/>
      <c r="V65" s="140"/>
      <c r="W65" s="140"/>
    </row>
    <row r="66" spans="1:23" x14ac:dyDescent="0.35">
      <c r="A66" s="140"/>
      <c r="B66" s="140"/>
      <c r="C66" s="140"/>
      <c r="D66" s="140"/>
      <c r="E66" s="140"/>
      <c r="F66" s="140"/>
      <c r="G66" s="140"/>
      <c r="H66" s="140"/>
      <c r="I66" s="140"/>
      <c r="J66" s="140"/>
      <c r="K66" s="140"/>
      <c r="L66" s="140"/>
      <c r="M66" s="140"/>
      <c r="N66" s="140"/>
      <c r="O66" s="140"/>
      <c r="P66" s="140"/>
      <c r="Q66" s="140"/>
      <c r="R66" s="140"/>
      <c r="S66" s="140"/>
      <c r="T66" s="140"/>
      <c r="U66" s="140"/>
      <c r="V66" s="140"/>
      <c r="W66" s="140"/>
    </row>
    <row r="67" spans="1:23" x14ac:dyDescent="0.35">
      <c r="A67" s="140"/>
      <c r="B67" s="140"/>
      <c r="C67" s="140"/>
      <c r="D67" s="140"/>
      <c r="E67" s="140"/>
      <c r="F67" s="140"/>
      <c r="G67" s="140"/>
      <c r="H67" s="140"/>
      <c r="I67" s="140"/>
      <c r="J67" s="140"/>
      <c r="K67" s="140"/>
      <c r="L67" s="140"/>
      <c r="M67" s="140"/>
      <c r="N67" s="140"/>
      <c r="O67" s="140"/>
      <c r="P67" s="140"/>
      <c r="Q67" s="140"/>
      <c r="R67" s="140"/>
      <c r="S67" s="140"/>
      <c r="T67" s="140"/>
      <c r="U67" s="140"/>
      <c r="V67" s="140"/>
      <c r="W67" s="140"/>
    </row>
    <row r="68" spans="1:23" x14ac:dyDescent="0.35">
      <c r="A68" s="140"/>
      <c r="B68" s="140"/>
      <c r="C68" s="140"/>
      <c r="D68" s="140"/>
      <c r="E68" s="140"/>
      <c r="F68" s="140"/>
      <c r="G68" s="140"/>
      <c r="H68" s="140"/>
      <c r="I68" s="140"/>
      <c r="J68" s="140"/>
      <c r="K68" s="140"/>
      <c r="L68" s="140"/>
      <c r="M68" s="140"/>
      <c r="N68" s="140"/>
      <c r="O68" s="140"/>
      <c r="P68" s="140"/>
      <c r="Q68" s="140"/>
      <c r="R68" s="140"/>
      <c r="S68" s="140"/>
      <c r="T68" s="140"/>
      <c r="U68" s="140"/>
      <c r="V68" s="140"/>
      <c r="W68" s="140"/>
    </row>
    <row r="69" spans="1:23" x14ac:dyDescent="0.35">
      <c r="A69" s="140"/>
      <c r="B69" s="140"/>
      <c r="C69" s="140"/>
      <c r="D69" s="140"/>
      <c r="E69" s="140"/>
      <c r="F69" s="140"/>
      <c r="G69" s="140"/>
      <c r="H69" s="140"/>
      <c r="I69" s="140"/>
      <c r="J69" s="140"/>
      <c r="K69" s="140"/>
      <c r="L69" s="140"/>
      <c r="M69" s="140"/>
      <c r="N69" s="140"/>
      <c r="O69" s="140"/>
      <c r="P69" s="140"/>
      <c r="Q69" s="140"/>
      <c r="R69" s="140"/>
      <c r="S69" s="140"/>
      <c r="T69" s="140"/>
      <c r="U69" s="140"/>
      <c r="V69" s="140"/>
      <c r="W69" s="140"/>
    </row>
    <row r="70" spans="1:23" x14ac:dyDescent="0.35">
      <c r="A70" s="140"/>
      <c r="B70" s="140"/>
      <c r="C70" s="140"/>
      <c r="D70" s="140"/>
      <c r="E70" s="140"/>
      <c r="F70" s="140"/>
      <c r="G70" s="140"/>
      <c r="H70" s="140"/>
      <c r="I70" s="140"/>
      <c r="J70" s="140"/>
      <c r="K70" s="140"/>
      <c r="L70" s="140"/>
      <c r="M70" s="140"/>
      <c r="N70" s="140"/>
      <c r="O70" s="140"/>
      <c r="P70" s="140"/>
      <c r="Q70" s="140"/>
      <c r="R70" s="140"/>
      <c r="S70" s="140"/>
      <c r="T70" s="140"/>
      <c r="U70" s="140"/>
      <c r="V70" s="140"/>
      <c r="W70" s="140"/>
    </row>
    <row r="71" spans="1:23" x14ac:dyDescent="0.35">
      <c r="A71" s="140"/>
      <c r="B71" s="140"/>
      <c r="C71" s="140"/>
      <c r="D71" s="140"/>
      <c r="E71" s="140"/>
      <c r="F71" s="140"/>
      <c r="G71" s="140"/>
      <c r="H71" s="140"/>
      <c r="I71" s="140"/>
      <c r="J71" s="140"/>
      <c r="K71" s="140"/>
      <c r="L71" s="140"/>
      <c r="M71" s="140"/>
      <c r="N71" s="140"/>
      <c r="O71" s="140"/>
      <c r="P71" s="140"/>
      <c r="Q71" s="140"/>
      <c r="R71" s="140"/>
      <c r="S71" s="140"/>
      <c r="T71" s="140"/>
      <c r="U71" s="140"/>
      <c r="V71" s="140"/>
      <c r="W71" s="140"/>
    </row>
    <row r="72" spans="1:23" x14ac:dyDescent="0.35">
      <c r="A72" s="140"/>
      <c r="B72" s="140"/>
      <c r="C72" s="140"/>
      <c r="D72" s="140"/>
      <c r="E72" s="140"/>
      <c r="F72" s="140"/>
      <c r="G72" s="140"/>
      <c r="H72" s="140"/>
      <c r="I72" s="140"/>
      <c r="J72" s="140"/>
      <c r="K72" s="140"/>
      <c r="L72" s="140"/>
      <c r="M72" s="140"/>
      <c r="N72" s="140"/>
      <c r="O72" s="140"/>
      <c r="P72" s="140"/>
      <c r="Q72" s="140"/>
      <c r="R72" s="140"/>
      <c r="S72" s="140"/>
      <c r="T72" s="140"/>
      <c r="U72" s="140"/>
      <c r="V72" s="140"/>
      <c r="W72" s="140"/>
    </row>
    <row r="73" spans="1:23" x14ac:dyDescent="0.35">
      <c r="A73" s="140"/>
      <c r="B73" s="140"/>
      <c r="C73" s="140"/>
      <c r="D73" s="140"/>
      <c r="E73" s="140"/>
      <c r="F73" s="140"/>
      <c r="G73" s="140"/>
      <c r="H73" s="140"/>
      <c r="I73" s="140"/>
      <c r="J73" s="140"/>
      <c r="K73" s="140"/>
      <c r="L73" s="140"/>
      <c r="M73" s="140"/>
      <c r="N73" s="140"/>
      <c r="O73" s="140"/>
      <c r="P73" s="140"/>
      <c r="Q73" s="140"/>
      <c r="R73" s="140"/>
      <c r="S73" s="140"/>
      <c r="T73" s="140"/>
      <c r="U73" s="140"/>
      <c r="V73" s="140"/>
      <c r="W73" s="140"/>
    </row>
    <row r="74" spans="1:23" x14ac:dyDescent="0.35">
      <c r="A74" s="140"/>
      <c r="B74" s="140"/>
      <c r="C74" s="140"/>
      <c r="D74" s="140"/>
      <c r="E74" s="140"/>
      <c r="F74" s="140"/>
      <c r="G74" s="140"/>
      <c r="H74" s="140"/>
      <c r="I74" s="140"/>
      <c r="J74" s="140"/>
      <c r="K74" s="140"/>
      <c r="L74" s="140"/>
      <c r="M74" s="140"/>
      <c r="N74" s="140"/>
      <c r="O74" s="140"/>
      <c r="P74" s="140"/>
      <c r="Q74" s="140"/>
      <c r="R74" s="140"/>
      <c r="S74" s="140"/>
      <c r="T74" s="140"/>
      <c r="U74" s="140"/>
      <c r="V74" s="140"/>
      <c r="W74" s="140"/>
    </row>
    <row r="75" spans="1:23" x14ac:dyDescent="0.35">
      <c r="A75" s="140"/>
      <c r="B75" s="140"/>
      <c r="C75" s="140"/>
      <c r="D75" s="140"/>
      <c r="E75" s="140"/>
      <c r="F75" s="140"/>
      <c r="G75" s="140"/>
      <c r="H75" s="140"/>
      <c r="I75" s="140"/>
      <c r="J75" s="140"/>
      <c r="K75" s="140"/>
      <c r="L75" s="140"/>
      <c r="M75" s="140"/>
      <c r="N75" s="140"/>
      <c r="O75" s="140"/>
      <c r="P75" s="140"/>
      <c r="Q75" s="140"/>
      <c r="R75" s="140"/>
      <c r="S75" s="140"/>
      <c r="T75" s="140"/>
      <c r="U75" s="140"/>
      <c r="V75" s="140"/>
      <c r="W75" s="140"/>
    </row>
    <row r="76" spans="1:23" x14ac:dyDescent="0.35">
      <c r="A76" s="140"/>
      <c r="B76" s="140"/>
      <c r="C76" s="140"/>
      <c r="D76" s="140"/>
      <c r="E76" s="140"/>
      <c r="F76" s="140"/>
      <c r="G76" s="140"/>
      <c r="H76" s="140"/>
      <c r="I76" s="140"/>
      <c r="J76" s="140"/>
      <c r="K76" s="140"/>
      <c r="L76" s="140"/>
      <c r="M76" s="140"/>
      <c r="N76" s="140"/>
      <c r="O76" s="140"/>
      <c r="P76" s="140"/>
      <c r="Q76" s="140"/>
      <c r="R76" s="140"/>
      <c r="S76" s="140"/>
      <c r="T76" s="140"/>
      <c r="U76" s="140"/>
      <c r="V76" s="140"/>
      <c r="W76" s="140"/>
    </row>
    <row r="77" spans="1:23" x14ac:dyDescent="0.35">
      <c r="A77" s="140"/>
      <c r="B77" s="140"/>
      <c r="C77" s="140"/>
      <c r="D77" s="140"/>
      <c r="E77" s="140"/>
      <c r="F77" s="140"/>
      <c r="G77" s="140"/>
      <c r="H77" s="140"/>
      <c r="I77" s="140"/>
      <c r="J77" s="140"/>
      <c r="K77" s="140"/>
      <c r="L77" s="140"/>
      <c r="M77" s="140"/>
      <c r="N77" s="140"/>
      <c r="O77" s="140"/>
      <c r="P77" s="140"/>
      <c r="Q77" s="140"/>
      <c r="R77" s="140"/>
      <c r="S77" s="140"/>
      <c r="T77" s="140"/>
      <c r="U77" s="140"/>
      <c r="V77" s="140"/>
      <c r="W77" s="140"/>
    </row>
    <row r="78" spans="1:23" x14ac:dyDescent="0.35">
      <c r="A78" s="140"/>
      <c r="B78" s="140"/>
      <c r="C78" s="140"/>
      <c r="D78" s="140"/>
      <c r="E78" s="140"/>
      <c r="F78" s="140"/>
      <c r="G78" s="140"/>
      <c r="H78" s="140"/>
      <c r="I78" s="140"/>
      <c r="J78" s="140"/>
      <c r="K78" s="140"/>
      <c r="L78" s="140"/>
      <c r="M78" s="140"/>
      <c r="N78" s="140"/>
      <c r="O78" s="140"/>
      <c r="P78" s="140"/>
      <c r="Q78" s="140"/>
      <c r="R78" s="140"/>
      <c r="S78" s="140"/>
      <c r="T78" s="140"/>
      <c r="U78" s="140"/>
      <c r="V78" s="140"/>
      <c r="W78" s="140"/>
    </row>
    <row r="79" spans="1:23" x14ac:dyDescent="0.35">
      <c r="A79" s="140"/>
      <c r="B79" s="140"/>
      <c r="C79" s="140"/>
      <c r="D79" s="140"/>
      <c r="E79" s="140"/>
      <c r="F79" s="140"/>
      <c r="G79" s="140"/>
      <c r="H79" s="140"/>
      <c r="I79" s="140"/>
      <c r="J79" s="140"/>
      <c r="K79" s="140"/>
      <c r="L79" s="140"/>
      <c r="M79" s="140"/>
      <c r="N79" s="140"/>
      <c r="O79" s="140"/>
      <c r="P79" s="140"/>
      <c r="Q79" s="140"/>
      <c r="R79" s="140"/>
      <c r="S79" s="140"/>
      <c r="T79" s="140"/>
      <c r="U79" s="140"/>
      <c r="V79" s="140"/>
      <c r="W79" s="140"/>
    </row>
    <row r="80" spans="1:23" x14ac:dyDescent="0.35">
      <c r="A80" s="140"/>
      <c r="B80" s="140"/>
      <c r="C80" s="140"/>
      <c r="D80" s="140"/>
      <c r="E80" s="140"/>
      <c r="F80" s="140"/>
      <c r="G80" s="140"/>
      <c r="H80" s="140"/>
      <c r="I80" s="140"/>
      <c r="J80" s="140"/>
      <c r="K80" s="140"/>
      <c r="L80" s="140"/>
      <c r="M80" s="140"/>
      <c r="N80" s="140"/>
      <c r="O80" s="140"/>
      <c r="P80" s="140"/>
      <c r="Q80" s="140"/>
      <c r="R80" s="140"/>
      <c r="S80" s="140"/>
      <c r="T80" s="140"/>
      <c r="U80" s="140"/>
      <c r="V80" s="140"/>
      <c r="W80" s="140"/>
    </row>
    <row r="81" spans="1:23" x14ac:dyDescent="0.35">
      <c r="A81" s="140"/>
      <c r="B81" s="140"/>
      <c r="C81" s="140"/>
      <c r="D81" s="140"/>
      <c r="E81" s="140"/>
      <c r="F81" s="140"/>
      <c r="G81" s="140"/>
      <c r="H81" s="140"/>
      <c r="I81" s="140"/>
      <c r="J81" s="140"/>
      <c r="K81" s="140"/>
      <c r="L81" s="140"/>
      <c r="M81" s="140"/>
      <c r="N81" s="140"/>
      <c r="O81" s="140"/>
      <c r="P81" s="140"/>
      <c r="Q81" s="140"/>
      <c r="R81" s="140"/>
      <c r="S81" s="140"/>
      <c r="T81" s="140"/>
      <c r="U81" s="140"/>
      <c r="V81" s="140"/>
      <c r="W81" s="140"/>
    </row>
    <row r="82" spans="1:23" x14ac:dyDescent="0.35">
      <c r="A82" s="140"/>
      <c r="B82" s="140"/>
      <c r="C82" s="140"/>
      <c r="D82" s="140"/>
      <c r="E82" s="140"/>
      <c r="F82" s="140"/>
      <c r="G82" s="140"/>
      <c r="H82" s="140"/>
      <c r="I82" s="140"/>
      <c r="J82" s="140"/>
      <c r="K82" s="140"/>
      <c r="L82" s="140"/>
      <c r="M82" s="140"/>
      <c r="N82" s="140"/>
      <c r="O82" s="140"/>
      <c r="P82" s="140"/>
      <c r="Q82" s="140"/>
      <c r="R82" s="140"/>
      <c r="S82" s="140"/>
      <c r="T82" s="140"/>
      <c r="U82" s="140"/>
      <c r="V82" s="140"/>
      <c r="W82" s="140"/>
    </row>
    <row r="83" spans="1:23" x14ac:dyDescent="0.35">
      <c r="A83" s="140"/>
      <c r="B83" s="140"/>
      <c r="C83" s="140"/>
      <c r="D83" s="140"/>
      <c r="E83" s="140"/>
      <c r="F83" s="140"/>
      <c r="G83" s="140"/>
      <c r="H83" s="140"/>
      <c r="I83" s="140"/>
      <c r="J83" s="140"/>
      <c r="K83" s="140"/>
      <c r="L83" s="140"/>
      <c r="M83" s="140"/>
      <c r="N83" s="140"/>
      <c r="O83" s="140"/>
      <c r="P83" s="140"/>
      <c r="Q83" s="140"/>
      <c r="R83" s="140"/>
      <c r="S83" s="140"/>
      <c r="T83" s="140"/>
      <c r="U83" s="140"/>
      <c r="V83" s="140"/>
      <c r="W83" s="140"/>
    </row>
    <row r="84" spans="1:23" x14ac:dyDescent="0.35">
      <c r="A84" s="140"/>
      <c r="B84" s="140"/>
      <c r="C84" s="140"/>
      <c r="D84" s="140"/>
      <c r="E84" s="140"/>
      <c r="F84" s="140"/>
      <c r="G84" s="140"/>
      <c r="H84" s="140"/>
      <c r="I84" s="140"/>
      <c r="J84" s="140"/>
      <c r="K84" s="140"/>
      <c r="L84" s="140"/>
      <c r="M84" s="140"/>
      <c r="N84" s="140"/>
      <c r="O84" s="140"/>
      <c r="P84" s="140"/>
      <c r="Q84" s="140"/>
      <c r="R84" s="140"/>
      <c r="S84" s="140"/>
      <c r="T84" s="140"/>
      <c r="U84" s="140"/>
      <c r="V84" s="140"/>
      <c r="W84" s="140"/>
    </row>
    <row r="85" spans="1:23" x14ac:dyDescent="0.35">
      <c r="A85" s="140"/>
      <c r="B85" s="140"/>
      <c r="C85" s="140"/>
      <c r="D85" s="140"/>
      <c r="E85" s="140"/>
      <c r="F85" s="140"/>
      <c r="G85" s="140"/>
      <c r="H85" s="140"/>
      <c r="I85" s="140"/>
      <c r="J85" s="140"/>
      <c r="K85" s="140"/>
      <c r="L85" s="140"/>
      <c r="M85" s="140"/>
      <c r="N85" s="140"/>
      <c r="O85" s="140"/>
      <c r="P85" s="140"/>
      <c r="Q85" s="140"/>
      <c r="R85" s="140"/>
      <c r="S85" s="140"/>
      <c r="T85" s="140"/>
      <c r="U85" s="140"/>
      <c r="V85" s="140"/>
      <c r="W85" s="140"/>
    </row>
    <row r="86" spans="1:23" x14ac:dyDescent="0.35">
      <c r="A86" s="140"/>
      <c r="B86" s="140"/>
      <c r="C86" s="140"/>
      <c r="D86" s="140"/>
      <c r="E86" s="140"/>
      <c r="F86" s="140"/>
      <c r="G86" s="140"/>
      <c r="H86" s="140"/>
      <c r="I86" s="140"/>
      <c r="J86" s="140"/>
      <c r="K86" s="140"/>
      <c r="L86" s="140"/>
      <c r="M86" s="140"/>
      <c r="N86" s="140"/>
      <c r="O86" s="140"/>
      <c r="P86" s="140"/>
      <c r="Q86" s="140"/>
      <c r="R86" s="140"/>
      <c r="S86" s="140"/>
      <c r="T86" s="140"/>
      <c r="U86" s="140"/>
      <c r="V86" s="140"/>
      <c r="W86" s="140"/>
    </row>
    <row r="87" spans="1:23" x14ac:dyDescent="0.35">
      <c r="A87" s="140"/>
      <c r="B87" s="140"/>
      <c r="C87" s="140"/>
      <c r="D87" s="140"/>
      <c r="E87" s="140"/>
      <c r="F87" s="140"/>
      <c r="G87" s="140"/>
      <c r="H87" s="140"/>
      <c r="I87" s="140"/>
      <c r="J87" s="140"/>
      <c r="K87" s="140"/>
      <c r="L87" s="140"/>
      <c r="M87" s="140"/>
      <c r="N87" s="140"/>
      <c r="O87" s="140"/>
      <c r="P87" s="140"/>
      <c r="Q87" s="140"/>
      <c r="R87" s="140"/>
      <c r="S87" s="140"/>
      <c r="T87" s="140"/>
      <c r="U87" s="140"/>
      <c r="V87" s="140"/>
      <c r="W87" s="140"/>
    </row>
    <row r="88" spans="1:23" x14ac:dyDescent="0.35">
      <c r="A88" s="140"/>
      <c r="B88" s="140"/>
      <c r="C88" s="140"/>
      <c r="D88" s="140"/>
      <c r="E88" s="140"/>
      <c r="F88" s="140"/>
      <c r="G88" s="140"/>
      <c r="H88" s="140"/>
      <c r="I88" s="140"/>
      <c r="J88" s="140"/>
      <c r="K88" s="140"/>
      <c r="L88" s="140"/>
      <c r="M88" s="140"/>
      <c r="N88" s="140"/>
      <c r="O88" s="140"/>
      <c r="P88" s="140"/>
      <c r="Q88" s="140"/>
      <c r="R88" s="140"/>
      <c r="S88" s="140"/>
      <c r="T88" s="140"/>
      <c r="U88" s="140"/>
      <c r="V88" s="140"/>
      <c r="W88" s="140"/>
    </row>
    <row r="89" spans="1:23" x14ac:dyDescent="0.35">
      <c r="A89" s="140"/>
      <c r="B89" s="140"/>
      <c r="C89" s="140"/>
      <c r="D89" s="140"/>
      <c r="E89" s="140"/>
      <c r="F89" s="140"/>
      <c r="G89" s="140"/>
      <c r="H89" s="140"/>
      <c r="I89" s="140"/>
      <c r="J89" s="140"/>
      <c r="K89" s="140"/>
      <c r="L89" s="140"/>
      <c r="M89" s="140"/>
      <c r="N89" s="140"/>
      <c r="O89" s="140"/>
      <c r="P89" s="140"/>
      <c r="Q89" s="140"/>
      <c r="R89" s="140"/>
      <c r="S89" s="140"/>
      <c r="T89" s="140"/>
      <c r="U89" s="140"/>
      <c r="V89" s="140"/>
      <c r="W89" s="140"/>
    </row>
    <row r="90" spans="1:23" x14ac:dyDescent="0.35">
      <c r="A90" s="140"/>
      <c r="B90" s="140"/>
      <c r="C90" s="140"/>
      <c r="D90" s="140"/>
      <c r="E90" s="140"/>
      <c r="F90" s="140"/>
      <c r="G90" s="140"/>
      <c r="H90" s="140"/>
      <c r="I90" s="140"/>
      <c r="J90" s="140"/>
      <c r="K90" s="140"/>
      <c r="L90" s="140"/>
      <c r="M90" s="140"/>
      <c r="N90" s="140"/>
      <c r="O90" s="140"/>
      <c r="P90" s="140"/>
      <c r="Q90" s="140"/>
      <c r="R90" s="140"/>
      <c r="S90" s="140"/>
      <c r="T90" s="140"/>
      <c r="U90" s="140"/>
      <c r="V90" s="140"/>
      <c r="W90" s="140"/>
    </row>
    <row r="91" spans="1:23" x14ac:dyDescent="0.35">
      <c r="A91" s="140"/>
      <c r="B91" s="140"/>
      <c r="C91" s="140"/>
      <c r="D91" s="140"/>
      <c r="E91" s="140"/>
      <c r="F91" s="140"/>
      <c r="G91" s="140"/>
      <c r="H91" s="140"/>
      <c r="I91" s="140"/>
      <c r="J91" s="140"/>
      <c r="K91" s="140"/>
      <c r="L91" s="140"/>
      <c r="M91" s="140"/>
      <c r="N91" s="140"/>
      <c r="O91" s="140"/>
      <c r="P91" s="140"/>
      <c r="Q91" s="140"/>
      <c r="R91" s="140"/>
      <c r="S91" s="140"/>
      <c r="T91" s="140"/>
      <c r="U91" s="140"/>
      <c r="V91" s="140"/>
      <c r="W91" s="140"/>
    </row>
    <row r="92" spans="1:23" x14ac:dyDescent="0.35">
      <c r="A92" s="140"/>
      <c r="B92" s="140"/>
      <c r="C92" s="140"/>
      <c r="D92" s="140"/>
      <c r="E92" s="140"/>
      <c r="F92" s="140"/>
      <c r="G92" s="140"/>
      <c r="H92" s="140"/>
      <c r="I92" s="140"/>
      <c r="J92" s="140"/>
      <c r="K92" s="140"/>
      <c r="L92" s="140"/>
      <c r="M92" s="140"/>
      <c r="N92" s="140"/>
      <c r="O92" s="140"/>
      <c r="P92" s="140"/>
      <c r="Q92" s="140"/>
      <c r="R92" s="140"/>
      <c r="S92" s="140"/>
      <c r="T92" s="140"/>
      <c r="U92" s="140"/>
      <c r="V92" s="140"/>
      <c r="W92" s="140"/>
    </row>
    <row r="93" spans="1:23" x14ac:dyDescent="0.35">
      <c r="A93" s="140"/>
      <c r="B93" s="140"/>
      <c r="C93" s="140"/>
      <c r="D93" s="140"/>
      <c r="E93" s="140"/>
      <c r="F93" s="140"/>
      <c r="G93" s="140"/>
      <c r="H93" s="140"/>
      <c r="I93" s="140"/>
      <c r="J93" s="140"/>
      <c r="K93" s="140"/>
      <c r="L93" s="140"/>
      <c r="M93" s="140"/>
      <c r="N93" s="140"/>
      <c r="O93" s="140"/>
      <c r="P93" s="140"/>
      <c r="Q93" s="140"/>
      <c r="R93" s="140"/>
      <c r="S93" s="140"/>
      <c r="T93" s="140"/>
      <c r="U93" s="140"/>
      <c r="V93" s="140"/>
      <c r="W93" s="140"/>
    </row>
    <row r="94" spans="1:23" x14ac:dyDescent="0.35">
      <c r="A94" s="140"/>
      <c r="B94" s="140"/>
      <c r="C94" s="140"/>
      <c r="D94" s="140"/>
      <c r="E94" s="140"/>
      <c r="F94" s="140"/>
      <c r="G94" s="140"/>
      <c r="H94" s="140"/>
      <c r="I94" s="140"/>
      <c r="J94" s="140"/>
      <c r="K94" s="140"/>
      <c r="L94" s="140"/>
      <c r="M94" s="140"/>
      <c r="N94" s="140"/>
      <c r="O94" s="140"/>
      <c r="P94" s="140"/>
      <c r="Q94" s="140"/>
      <c r="R94" s="140"/>
      <c r="S94" s="140"/>
      <c r="T94" s="140"/>
      <c r="U94" s="140"/>
      <c r="V94" s="140"/>
      <c r="W94" s="140"/>
    </row>
    <row r="95" spans="1:23" x14ac:dyDescent="0.35">
      <c r="A95" s="140"/>
      <c r="B95" s="140"/>
      <c r="C95" s="140"/>
      <c r="D95" s="140"/>
      <c r="E95" s="140"/>
      <c r="F95" s="140"/>
      <c r="G95" s="140"/>
      <c r="H95" s="140"/>
      <c r="I95" s="140"/>
      <c r="J95" s="140"/>
      <c r="K95" s="140"/>
      <c r="L95" s="140"/>
      <c r="M95" s="140"/>
      <c r="N95" s="140"/>
      <c r="O95" s="140"/>
      <c r="P95" s="140"/>
      <c r="Q95" s="140"/>
      <c r="R95" s="140"/>
      <c r="S95" s="140"/>
      <c r="T95" s="140"/>
      <c r="U95" s="140"/>
      <c r="V95" s="140"/>
      <c r="W95" s="140"/>
    </row>
    <row r="96" spans="1:23" x14ac:dyDescent="0.35">
      <c r="A96" s="140"/>
      <c r="B96" s="140"/>
      <c r="C96" s="140"/>
      <c r="D96" s="140"/>
      <c r="E96" s="140"/>
      <c r="F96" s="140"/>
      <c r="G96" s="140"/>
      <c r="H96" s="140"/>
      <c r="I96" s="140"/>
      <c r="J96" s="140"/>
      <c r="K96" s="140"/>
      <c r="L96" s="140"/>
      <c r="M96" s="140"/>
      <c r="N96" s="140"/>
      <c r="O96" s="140"/>
      <c r="P96" s="140"/>
      <c r="Q96" s="140"/>
      <c r="R96" s="140"/>
      <c r="S96" s="140"/>
      <c r="T96" s="140"/>
      <c r="U96" s="140"/>
      <c r="V96" s="140"/>
      <c r="W96" s="140"/>
    </row>
    <row r="97" spans="1:23" x14ac:dyDescent="0.35">
      <c r="A97" s="140"/>
      <c r="B97" s="140"/>
      <c r="C97" s="140"/>
      <c r="D97" s="140"/>
      <c r="E97" s="140"/>
      <c r="F97" s="140"/>
      <c r="G97" s="140"/>
      <c r="H97" s="140"/>
      <c r="I97" s="140"/>
      <c r="J97" s="140"/>
      <c r="K97" s="140"/>
      <c r="L97" s="140"/>
      <c r="M97" s="140"/>
      <c r="N97" s="140"/>
      <c r="O97" s="140"/>
      <c r="P97" s="140"/>
      <c r="Q97" s="140"/>
      <c r="R97" s="140"/>
      <c r="S97" s="140"/>
      <c r="T97" s="140"/>
      <c r="U97" s="140"/>
      <c r="V97" s="140"/>
      <c r="W97" s="140"/>
    </row>
    <row r="98" spans="1:23" x14ac:dyDescent="0.35">
      <c r="A98" s="140"/>
      <c r="B98" s="140"/>
      <c r="C98" s="140"/>
      <c r="D98" s="140"/>
      <c r="E98" s="140"/>
      <c r="F98" s="140"/>
      <c r="G98" s="140"/>
      <c r="H98" s="140"/>
      <c r="I98" s="140"/>
      <c r="J98" s="140"/>
      <c r="K98" s="140"/>
      <c r="L98" s="140"/>
      <c r="M98" s="140"/>
      <c r="N98" s="140"/>
      <c r="O98" s="140"/>
      <c r="P98" s="140"/>
      <c r="Q98" s="140"/>
      <c r="R98" s="140"/>
      <c r="S98" s="140"/>
      <c r="T98" s="140"/>
      <c r="U98" s="140"/>
      <c r="V98" s="140"/>
      <c r="W98" s="140"/>
    </row>
    <row r="99" spans="1:23" x14ac:dyDescent="0.35">
      <c r="A99" s="140"/>
      <c r="B99" s="140"/>
      <c r="C99" s="140"/>
      <c r="D99" s="140"/>
      <c r="E99" s="140"/>
      <c r="F99" s="140"/>
      <c r="G99" s="140"/>
      <c r="H99" s="140"/>
      <c r="I99" s="140"/>
      <c r="J99" s="140"/>
      <c r="K99" s="140"/>
      <c r="L99" s="140"/>
      <c r="M99" s="140"/>
      <c r="N99" s="140"/>
      <c r="O99" s="140"/>
      <c r="P99" s="140"/>
      <c r="Q99" s="140"/>
      <c r="R99" s="140"/>
      <c r="S99" s="140"/>
      <c r="T99" s="140"/>
      <c r="U99" s="140"/>
      <c r="V99" s="140"/>
      <c r="W99" s="140"/>
    </row>
    <row r="100" spans="1:23" x14ac:dyDescent="0.35">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row>
    <row r="101" spans="1:23" x14ac:dyDescent="0.35">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row>
    <row r="102" spans="1:23" x14ac:dyDescent="0.35">
      <c r="A102" t="s">
        <v>1407</v>
      </c>
      <c r="F102" s="140"/>
      <c r="G102" s="140"/>
      <c r="H102" s="140"/>
      <c r="I102" s="140"/>
      <c r="J102" s="140"/>
      <c r="K102" s="140"/>
      <c r="L102" s="140"/>
      <c r="M102" s="140"/>
      <c r="N102" s="140"/>
      <c r="O102" s="140"/>
      <c r="P102" s="140"/>
      <c r="Q102" s="140"/>
      <c r="R102" s="140"/>
      <c r="S102" s="140"/>
      <c r="T102" s="140"/>
      <c r="U102" s="140"/>
      <c r="V102" s="140"/>
      <c r="W102" s="140"/>
    </row>
    <row r="103" spans="1:23" x14ac:dyDescent="0.35">
      <c r="F103" s="140"/>
      <c r="G103" s="140"/>
      <c r="H103" s="140"/>
      <c r="I103" s="140"/>
      <c r="J103" s="140"/>
      <c r="K103" s="140"/>
      <c r="L103" s="140"/>
      <c r="M103" s="140"/>
      <c r="N103" s="140"/>
      <c r="O103" s="140"/>
      <c r="P103" s="140"/>
      <c r="Q103" s="140"/>
      <c r="R103" s="140"/>
      <c r="S103" s="140"/>
      <c r="T103" s="140"/>
      <c r="U103" s="140"/>
      <c r="V103" s="140"/>
      <c r="W103" s="140"/>
    </row>
    <row r="104" spans="1:23" x14ac:dyDescent="0.35">
      <c r="F104" s="140"/>
      <c r="G104" s="140"/>
      <c r="H104" s="140"/>
      <c r="I104" s="140"/>
      <c r="J104" s="140"/>
      <c r="K104" s="140"/>
      <c r="L104" s="140"/>
      <c r="M104" s="140"/>
      <c r="N104" s="140"/>
      <c r="O104" s="140"/>
      <c r="P104" s="140"/>
      <c r="Q104" s="140"/>
      <c r="R104" s="140"/>
      <c r="S104" s="140"/>
      <c r="T104" s="140"/>
      <c r="U104" s="140"/>
      <c r="V104" s="140"/>
      <c r="W104" s="140"/>
    </row>
    <row r="105" spans="1:23" x14ac:dyDescent="0.35">
      <c r="F105" s="140"/>
      <c r="G105" s="140"/>
      <c r="H105" s="140"/>
      <c r="I105" s="140"/>
      <c r="J105" s="140"/>
      <c r="K105" s="140"/>
      <c r="L105" s="140"/>
      <c r="M105" s="140"/>
      <c r="N105" s="140"/>
      <c r="O105" s="140"/>
      <c r="P105" s="140"/>
      <c r="Q105" s="140"/>
      <c r="R105" s="140"/>
      <c r="S105" s="140"/>
      <c r="T105" s="140"/>
      <c r="U105" s="140"/>
      <c r="V105" s="140"/>
      <c r="W105" s="140"/>
    </row>
    <row r="106" spans="1:23" x14ac:dyDescent="0.35">
      <c r="F106" s="140"/>
      <c r="G106" s="140"/>
      <c r="H106" s="140"/>
      <c r="I106" s="140"/>
      <c r="J106" s="140"/>
      <c r="K106" s="140"/>
      <c r="L106" s="140"/>
      <c r="M106" s="140"/>
      <c r="N106" s="140"/>
      <c r="O106" s="140"/>
      <c r="P106" s="140"/>
      <c r="Q106" s="140"/>
      <c r="R106" s="140"/>
      <c r="S106" s="140"/>
      <c r="T106" s="140"/>
      <c r="U106" s="140"/>
      <c r="V106" s="140"/>
      <c r="W106" s="140"/>
    </row>
    <row r="107" spans="1:23" x14ac:dyDescent="0.35">
      <c r="F107" s="140"/>
      <c r="G107" s="140"/>
      <c r="H107" s="140"/>
      <c r="I107" s="140"/>
      <c r="J107" s="140"/>
      <c r="K107" s="140"/>
      <c r="L107" s="140"/>
      <c r="M107" s="140"/>
      <c r="N107" s="140"/>
      <c r="O107" s="140"/>
      <c r="P107" s="140"/>
      <c r="Q107" s="140"/>
      <c r="R107" s="140"/>
      <c r="S107" s="140"/>
      <c r="T107" s="140"/>
      <c r="U107" s="140"/>
      <c r="V107" s="140"/>
      <c r="W107" s="140"/>
    </row>
    <row r="108" spans="1:23" x14ac:dyDescent="0.35">
      <c r="F108" s="140"/>
      <c r="G108" s="140"/>
      <c r="H108" s="140"/>
      <c r="I108" s="140"/>
      <c r="J108" s="140"/>
      <c r="K108" s="140"/>
      <c r="L108" s="140"/>
      <c r="M108" s="140"/>
      <c r="N108" s="140"/>
      <c r="O108" s="140"/>
      <c r="P108" s="140"/>
      <c r="Q108" s="140"/>
      <c r="R108" s="140"/>
      <c r="S108" s="140"/>
      <c r="T108" s="140"/>
      <c r="U108" s="140"/>
      <c r="V108" s="140"/>
      <c r="W108" s="140"/>
    </row>
    <row r="109" spans="1:23" x14ac:dyDescent="0.35">
      <c r="F109" s="140"/>
      <c r="G109" s="140"/>
      <c r="H109" s="140"/>
      <c r="I109" s="140"/>
      <c r="J109" s="140"/>
      <c r="K109" s="140"/>
      <c r="L109" s="140"/>
      <c r="M109" s="140"/>
      <c r="N109" s="140"/>
      <c r="O109" s="140"/>
      <c r="P109" s="140"/>
      <c r="Q109" s="140"/>
      <c r="R109" s="140"/>
      <c r="S109" s="140"/>
      <c r="T109" s="140"/>
      <c r="U109" s="140"/>
      <c r="V109" s="140"/>
      <c r="W109" s="140"/>
    </row>
    <row r="110" spans="1:23" x14ac:dyDescent="0.35">
      <c r="F110" s="140"/>
      <c r="G110" s="140"/>
      <c r="H110" s="140"/>
      <c r="I110" s="140"/>
      <c r="J110" s="140"/>
      <c r="K110" s="140"/>
      <c r="L110" s="140"/>
      <c r="M110" s="140"/>
      <c r="N110" s="140"/>
      <c r="O110" s="140"/>
      <c r="P110" s="140"/>
      <c r="Q110" s="140"/>
      <c r="R110" s="140"/>
      <c r="S110" s="140"/>
      <c r="T110" s="140"/>
      <c r="U110" s="140"/>
      <c r="V110" s="140"/>
      <c r="W110" s="140"/>
    </row>
    <row r="111" spans="1:23" x14ac:dyDescent="0.35">
      <c r="F111" s="140"/>
      <c r="G111" s="140"/>
      <c r="H111" s="140"/>
      <c r="I111" s="140"/>
      <c r="J111" s="140"/>
      <c r="K111" s="140"/>
      <c r="L111" s="140"/>
      <c r="M111" s="140"/>
      <c r="N111" s="140"/>
      <c r="O111" s="140"/>
      <c r="P111" s="140"/>
      <c r="Q111" s="140"/>
      <c r="R111" s="140"/>
      <c r="S111" s="140"/>
      <c r="T111" s="140"/>
      <c r="U111" s="140"/>
      <c r="V111" s="140"/>
      <c r="W111" s="140"/>
    </row>
    <row r="112" spans="1:23" x14ac:dyDescent="0.35">
      <c r="F112" s="140"/>
      <c r="G112" s="140"/>
      <c r="H112" s="140"/>
      <c r="I112" s="140"/>
      <c r="J112" s="140"/>
      <c r="K112" s="140"/>
      <c r="L112" s="140"/>
      <c r="M112" s="140"/>
      <c r="N112" s="140"/>
      <c r="O112" s="140"/>
      <c r="P112" s="140"/>
      <c r="Q112" s="140"/>
      <c r="R112" s="140"/>
      <c r="S112" s="140"/>
      <c r="T112" s="140"/>
      <c r="U112" s="140"/>
      <c r="V112" s="140"/>
      <c r="W112" s="140"/>
    </row>
    <row r="113" spans="6:23" x14ac:dyDescent="0.35">
      <c r="F113" s="140"/>
      <c r="G113" s="140"/>
      <c r="H113" s="140"/>
      <c r="I113" s="140"/>
      <c r="J113" s="140"/>
      <c r="K113" s="140"/>
      <c r="L113" s="140"/>
      <c r="M113" s="140"/>
      <c r="N113" s="140"/>
      <c r="O113" s="140"/>
      <c r="P113" s="140"/>
      <c r="Q113" s="140"/>
      <c r="R113" s="140"/>
      <c r="S113" s="140"/>
      <c r="T113" s="140"/>
      <c r="U113" s="140"/>
      <c r="V113" s="140"/>
      <c r="W113" s="140"/>
    </row>
    <row r="114" spans="6:23" x14ac:dyDescent="0.35">
      <c r="F114" s="140"/>
      <c r="G114" s="140"/>
      <c r="H114" s="140"/>
      <c r="I114" s="140"/>
      <c r="J114" s="140"/>
      <c r="K114" s="140"/>
      <c r="L114" s="140"/>
      <c r="M114" s="140"/>
      <c r="N114" s="140"/>
      <c r="O114" s="140"/>
      <c r="P114" s="140"/>
      <c r="Q114" s="140"/>
      <c r="R114" s="140"/>
      <c r="S114" s="140"/>
      <c r="T114" s="140"/>
      <c r="U114" s="140"/>
      <c r="V114" s="140"/>
      <c r="W114" s="140"/>
    </row>
    <row r="115" spans="6:23" x14ac:dyDescent="0.35">
      <c r="F115" s="140"/>
      <c r="G115" s="140"/>
      <c r="H115" s="140"/>
      <c r="I115" s="140"/>
      <c r="J115" s="140"/>
      <c r="K115" s="140"/>
      <c r="L115" s="140"/>
      <c r="M115" s="140"/>
      <c r="N115" s="140"/>
      <c r="O115" s="140"/>
      <c r="P115" s="140"/>
      <c r="Q115" s="140"/>
      <c r="R115" s="140"/>
      <c r="S115" s="140"/>
      <c r="T115" s="140"/>
      <c r="U115" s="140"/>
      <c r="V115" s="140"/>
      <c r="W115" s="140"/>
    </row>
    <row r="116" spans="6:23" x14ac:dyDescent="0.35">
      <c r="F116" s="140"/>
      <c r="G116" s="140"/>
      <c r="H116" s="140"/>
      <c r="I116" s="140"/>
      <c r="J116" s="140"/>
      <c r="K116" s="140"/>
      <c r="L116" s="140"/>
      <c r="M116" s="140"/>
      <c r="N116" s="140"/>
      <c r="O116" s="140"/>
      <c r="P116" s="140"/>
      <c r="Q116" s="140"/>
      <c r="R116" s="140"/>
      <c r="S116" s="140"/>
      <c r="T116" s="140"/>
      <c r="U116" s="140"/>
      <c r="V116" s="140"/>
      <c r="W116" s="140"/>
    </row>
    <row r="117" spans="6:23" x14ac:dyDescent="0.35">
      <c r="F117" s="140"/>
      <c r="G117" s="140"/>
      <c r="H117" s="140"/>
      <c r="I117" s="140"/>
      <c r="J117" s="140"/>
      <c r="K117" s="140"/>
      <c r="L117" s="140"/>
      <c r="M117" s="140"/>
      <c r="N117" s="140"/>
      <c r="O117" s="140"/>
      <c r="P117" s="140"/>
      <c r="Q117" s="140"/>
      <c r="R117" s="140"/>
      <c r="S117" s="140"/>
      <c r="T117" s="140"/>
      <c r="U117" s="140"/>
      <c r="V117" s="140"/>
      <c r="W117" s="140"/>
    </row>
    <row r="118" spans="6:23" x14ac:dyDescent="0.35">
      <c r="F118" s="140"/>
      <c r="G118" s="140"/>
      <c r="H118" s="140"/>
      <c r="I118" s="140"/>
      <c r="J118" s="140"/>
      <c r="K118" s="140"/>
      <c r="L118" s="140"/>
      <c r="M118" s="140"/>
      <c r="N118" s="140"/>
      <c r="O118" s="140"/>
      <c r="P118" s="140"/>
      <c r="Q118" s="140"/>
      <c r="R118" s="140"/>
      <c r="S118" s="140"/>
      <c r="T118" s="140"/>
      <c r="U118" s="140"/>
      <c r="V118" s="140"/>
      <c r="W118" s="140"/>
    </row>
    <row r="119" spans="6:23" x14ac:dyDescent="0.35">
      <c r="F119" s="140"/>
      <c r="G119" s="140"/>
      <c r="H119" s="140"/>
      <c r="I119" s="140"/>
      <c r="J119" s="140"/>
      <c r="K119" s="140"/>
      <c r="L119" s="140"/>
      <c r="M119" s="140"/>
      <c r="N119" s="140"/>
      <c r="O119" s="140"/>
      <c r="P119" s="140"/>
      <c r="Q119" s="140"/>
      <c r="R119" s="140"/>
      <c r="S119" s="140"/>
      <c r="T119" s="140"/>
      <c r="U119" s="140"/>
      <c r="V119" s="140"/>
      <c r="W119" s="140"/>
    </row>
    <row r="120" spans="6:23" x14ac:dyDescent="0.35">
      <c r="F120" s="140"/>
      <c r="G120" s="140"/>
      <c r="H120" s="140"/>
      <c r="I120" s="140"/>
      <c r="J120" s="140"/>
      <c r="K120" s="140"/>
      <c r="L120" s="140"/>
      <c r="M120" s="140"/>
      <c r="N120" s="140"/>
      <c r="O120" s="140"/>
      <c r="P120" s="140"/>
      <c r="Q120" s="140"/>
      <c r="R120" s="140"/>
      <c r="S120" s="140"/>
      <c r="T120" s="140"/>
      <c r="U120" s="140"/>
      <c r="V120" s="140"/>
      <c r="W120" s="140"/>
    </row>
    <row r="121" spans="6:23" x14ac:dyDescent="0.35">
      <c r="F121" s="140"/>
      <c r="G121" s="140"/>
      <c r="H121" s="140"/>
      <c r="I121" s="140"/>
      <c r="J121" s="140"/>
      <c r="K121" s="140"/>
      <c r="L121" s="140"/>
      <c r="M121" s="140"/>
      <c r="N121" s="140"/>
      <c r="O121" s="140"/>
      <c r="P121" s="140"/>
      <c r="Q121" s="140"/>
      <c r="R121" s="140"/>
      <c r="S121" s="140"/>
      <c r="T121" s="140"/>
      <c r="U121" s="140"/>
      <c r="V121" s="140"/>
      <c r="W121" s="140"/>
    </row>
    <row r="122" spans="6:23" x14ac:dyDescent="0.35">
      <c r="F122" s="140"/>
      <c r="G122" s="140"/>
      <c r="H122" s="140"/>
      <c r="I122" s="140"/>
      <c r="J122" s="140"/>
      <c r="K122" s="140"/>
      <c r="L122" s="140"/>
      <c r="M122" s="140"/>
      <c r="N122" s="140"/>
      <c r="O122" s="140"/>
      <c r="P122" s="140"/>
      <c r="Q122" s="140"/>
      <c r="R122" s="140"/>
      <c r="S122" s="140"/>
      <c r="T122" s="140"/>
      <c r="U122" s="140"/>
      <c r="V122" s="140"/>
      <c r="W122" s="140"/>
    </row>
    <row r="123" spans="6:23" x14ac:dyDescent="0.35">
      <c r="F123" s="140"/>
      <c r="G123" s="140"/>
      <c r="H123" s="140"/>
      <c r="I123" s="140"/>
      <c r="J123" s="140"/>
      <c r="K123" s="140"/>
      <c r="L123" s="140"/>
      <c r="M123" s="140"/>
      <c r="N123" s="140"/>
      <c r="O123" s="140"/>
      <c r="P123" s="140"/>
      <c r="Q123" s="140"/>
      <c r="R123" s="140"/>
      <c r="S123" s="140"/>
      <c r="T123" s="140"/>
      <c r="U123" s="140"/>
      <c r="V123" s="140"/>
      <c r="W123" s="140"/>
    </row>
    <row r="124" spans="6:23" x14ac:dyDescent="0.35">
      <c r="F124" s="140"/>
      <c r="G124" s="140"/>
      <c r="H124" s="140"/>
      <c r="I124" s="140"/>
      <c r="J124" s="140"/>
      <c r="K124" s="140"/>
      <c r="L124" s="140"/>
      <c r="M124" s="140"/>
      <c r="N124" s="140"/>
      <c r="O124" s="140"/>
      <c r="P124" s="140"/>
      <c r="Q124" s="140"/>
      <c r="R124" s="140"/>
      <c r="S124" s="140"/>
      <c r="T124" s="140"/>
      <c r="U124" s="140"/>
      <c r="V124" s="140"/>
      <c r="W124" s="140"/>
    </row>
    <row r="125" spans="6:23" x14ac:dyDescent="0.35">
      <c r="F125" s="140"/>
      <c r="G125" s="140"/>
      <c r="H125" s="140"/>
      <c r="I125" s="140"/>
      <c r="J125" s="140"/>
      <c r="K125" s="140"/>
      <c r="L125" s="140"/>
      <c r="M125" s="140"/>
      <c r="N125" s="140"/>
      <c r="O125" s="140"/>
      <c r="P125" s="140"/>
      <c r="Q125" s="140"/>
      <c r="R125" s="140"/>
      <c r="S125" s="140"/>
      <c r="T125" s="140"/>
      <c r="U125" s="140"/>
      <c r="V125" s="140"/>
      <c r="W125" s="140"/>
    </row>
    <row r="126" spans="6:23" x14ac:dyDescent="0.35">
      <c r="F126" s="140"/>
      <c r="G126" s="140"/>
      <c r="H126" s="140"/>
      <c r="I126" s="140"/>
      <c r="J126" s="140"/>
      <c r="K126" s="140"/>
      <c r="L126" s="140"/>
      <c r="M126" s="140"/>
      <c r="N126" s="140"/>
      <c r="O126" s="140"/>
      <c r="P126" s="140"/>
      <c r="Q126" s="140"/>
      <c r="R126" s="140"/>
      <c r="S126" s="140"/>
      <c r="T126" s="140"/>
      <c r="U126" s="140"/>
      <c r="V126" s="140"/>
      <c r="W126" s="140"/>
    </row>
    <row r="127" spans="6:23" x14ac:dyDescent="0.35">
      <c r="F127" s="140"/>
      <c r="G127" s="140"/>
      <c r="H127" s="140"/>
      <c r="I127" s="140"/>
      <c r="J127" s="140"/>
      <c r="K127" s="140"/>
      <c r="L127" s="140"/>
      <c r="M127" s="140"/>
      <c r="N127" s="140"/>
      <c r="O127" s="140"/>
      <c r="P127" s="140"/>
      <c r="Q127" s="140"/>
      <c r="R127" s="140"/>
      <c r="S127" s="140"/>
      <c r="T127" s="140"/>
      <c r="U127" s="140"/>
      <c r="V127" s="140"/>
      <c r="W127" s="140"/>
    </row>
    <row r="128" spans="6:23" x14ac:dyDescent="0.35">
      <c r="F128" s="140"/>
      <c r="G128" s="140"/>
      <c r="H128" s="140"/>
      <c r="I128" s="140"/>
      <c r="J128" s="140"/>
      <c r="K128" s="140"/>
      <c r="L128" s="140"/>
      <c r="M128" s="140"/>
      <c r="N128" s="140"/>
      <c r="O128" s="140"/>
      <c r="P128" s="140"/>
      <c r="Q128" s="140"/>
      <c r="R128" s="140"/>
      <c r="S128" s="140"/>
      <c r="T128" s="140"/>
      <c r="U128" s="140"/>
      <c r="V128" s="140"/>
      <c r="W128" s="140"/>
    </row>
    <row r="129" spans="6:23" x14ac:dyDescent="0.35">
      <c r="F129" s="140"/>
      <c r="G129" s="140"/>
      <c r="H129" s="140"/>
      <c r="I129" s="140"/>
      <c r="J129" s="140"/>
      <c r="K129" s="140"/>
      <c r="L129" s="140"/>
      <c r="M129" s="140"/>
      <c r="N129" s="140"/>
      <c r="O129" s="140"/>
      <c r="P129" s="140"/>
      <c r="Q129" s="140"/>
      <c r="R129" s="140"/>
      <c r="S129" s="140"/>
      <c r="T129" s="140"/>
      <c r="U129" s="140"/>
      <c r="V129" s="140"/>
      <c r="W129" s="140"/>
    </row>
    <row r="130" spans="6:23" x14ac:dyDescent="0.35">
      <c r="F130" s="140"/>
      <c r="G130" s="140"/>
      <c r="H130" s="140"/>
      <c r="I130" s="140"/>
      <c r="J130" s="140"/>
      <c r="K130" s="140"/>
      <c r="L130" s="140"/>
      <c r="M130" s="140"/>
      <c r="N130" s="140"/>
      <c r="O130" s="140"/>
      <c r="P130" s="140"/>
      <c r="Q130" s="140"/>
      <c r="R130" s="140"/>
      <c r="S130" s="140"/>
      <c r="T130" s="140"/>
      <c r="U130" s="140"/>
      <c r="V130" s="140"/>
      <c r="W130" s="140"/>
    </row>
    <row r="131" spans="6:23" x14ac:dyDescent="0.35">
      <c r="F131" s="140"/>
      <c r="G131" s="140"/>
      <c r="H131" s="140"/>
      <c r="I131" s="140"/>
      <c r="J131" s="140"/>
      <c r="K131" s="140"/>
      <c r="L131" s="140"/>
      <c r="M131" s="140"/>
      <c r="N131" s="140"/>
      <c r="O131" s="140"/>
      <c r="P131" s="140"/>
      <c r="Q131" s="140"/>
      <c r="R131" s="140"/>
      <c r="S131" s="140"/>
      <c r="T131" s="140"/>
      <c r="U131" s="140"/>
      <c r="V131" s="140"/>
      <c r="W131" s="140"/>
    </row>
    <row r="132" spans="6:23" x14ac:dyDescent="0.35">
      <c r="F132" s="140"/>
      <c r="G132" s="140"/>
      <c r="H132" s="140"/>
      <c r="I132" s="140"/>
      <c r="J132" s="140"/>
      <c r="K132" s="140"/>
      <c r="L132" s="140"/>
      <c r="M132" s="140"/>
      <c r="N132" s="140"/>
      <c r="O132" s="140"/>
      <c r="P132" s="140"/>
      <c r="Q132" s="140"/>
      <c r="R132" s="140"/>
      <c r="S132" s="140"/>
      <c r="T132" s="140"/>
      <c r="U132" s="140"/>
      <c r="V132" s="140"/>
      <c r="W132" s="140"/>
    </row>
    <row r="133" spans="6:23" x14ac:dyDescent="0.35">
      <c r="F133" s="140"/>
      <c r="G133" s="140"/>
      <c r="H133" s="140"/>
      <c r="I133" s="140"/>
      <c r="J133" s="140"/>
      <c r="K133" s="140"/>
      <c r="L133" s="140"/>
      <c r="M133" s="140"/>
      <c r="N133" s="140"/>
      <c r="O133" s="140"/>
      <c r="P133" s="140"/>
      <c r="Q133" s="140"/>
      <c r="R133" s="140"/>
      <c r="S133" s="140"/>
      <c r="T133" s="140"/>
      <c r="U133" s="140"/>
      <c r="V133" s="140"/>
      <c r="W133" s="140"/>
    </row>
    <row r="134" spans="6:23" x14ac:dyDescent="0.35">
      <c r="F134" s="140"/>
      <c r="G134" s="140"/>
      <c r="H134" s="140"/>
      <c r="I134" s="140"/>
      <c r="J134" s="140"/>
      <c r="K134" s="140"/>
      <c r="L134" s="140"/>
      <c r="M134" s="140"/>
      <c r="N134" s="140"/>
      <c r="O134" s="140"/>
      <c r="P134" s="140"/>
      <c r="Q134" s="140"/>
      <c r="R134" s="140"/>
      <c r="S134" s="140"/>
      <c r="T134" s="140"/>
      <c r="U134" s="140"/>
      <c r="V134" s="140"/>
      <c r="W134" s="140"/>
    </row>
    <row r="135" spans="6:23" x14ac:dyDescent="0.35">
      <c r="F135" s="140"/>
      <c r="G135" s="140"/>
      <c r="H135" s="140"/>
      <c r="I135" s="140"/>
      <c r="J135" s="140"/>
      <c r="K135" s="140"/>
      <c r="L135" s="140"/>
      <c r="M135" s="140"/>
      <c r="N135" s="140"/>
      <c r="O135" s="140"/>
      <c r="P135" s="140"/>
      <c r="Q135" s="140"/>
      <c r="R135" s="140"/>
      <c r="S135" s="140"/>
      <c r="T135" s="140"/>
      <c r="U135" s="140"/>
      <c r="V135" s="140"/>
      <c r="W135" s="140"/>
    </row>
    <row r="136" spans="6:23" x14ac:dyDescent="0.35">
      <c r="F136" s="140"/>
      <c r="G136" s="140"/>
      <c r="H136" s="140"/>
      <c r="I136" s="140"/>
      <c r="J136" s="140"/>
      <c r="K136" s="140"/>
      <c r="L136" s="140"/>
      <c r="M136" s="140"/>
      <c r="N136" s="140"/>
      <c r="O136" s="140"/>
      <c r="P136" s="140"/>
      <c r="Q136" s="140"/>
      <c r="R136" s="140"/>
      <c r="S136" s="140"/>
      <c r="T136" s="140"/>
      <c r="U136" s="140"/>
      <c r="V136" s="140"/>
      <c r="W136" s="140"/>
    </row>
    <row r="137" spans="6:23" x14ac:dyDescent="0.35">
      <c r="F137" s="140"/>
      <c r="G137" s="140"/>
      <c r="H137" s="140"/>
      <c r="I137" s="140"/>
      <c r="J137" s="140"/>
      <c r="K137" s="140"/>
      <c r="L137" s="140"/>
      <c r="M137" s="140"/>
      <c r="N137" s="140"/>
      <c r="O137" s="140"/>
      <c r="P137" s="140"/>
      <c r="Q137" s="140"/>
      <c r="R137" s="140"/>
      <c r="S137" s="140"/>
      <c r="T137" s="140"/>
      <c r="U137" s="140"/>
      <c r="V137" s="140"/>
      <c r="W137" s="140"/>
    </row>
    <row r="138" spans="6:23" x14ac:dyDescent="0.35">
      <c r="F138" s="140"/>
      <c r="G138" s="140"/>
      <c r="H138" s="140"/>
      <c r="I138" s="140"/>
      <c r="J138" s="140"/>
      <c r="K138" s="140"/>
      <c r="L138" s="140"/>
      <c r="M138" s="140"/>
      <c r="N138" s="140"/>
      <c r="O138" s="140"/>
      <c r="P138" s="140"/>
      <c r="Q138" s="140"/>
      <c r="R138" s="140"/>
      <c r="S138" s="140"/>
      <c r="T138" s="140"/>
      <c r="U138" s="140"/>
      <c r="V138" s="140"/>
      <c r="W138" s="140"/>
    </row>
    <row r="139" spans="6:23" x14ac:dyDescent="0.35">
      <c r="F139" s="140"/>
      <c r="G139" s="140"/>
      <c r="H139" s="140"/>
      <c r="I139" s="140"/>
      <c r="J139" s="140"/>
      <c r="K139" s="140"/>
      <c r="L139" s="140"/>
      <c r="M139" s="140"/>
      <c r="N139" s="140"/>
      <c r="O139" s="140"/>
      <c r="P139" s="140"/>
      <c r="Q139" s="140"/>
      <c r="R139" s="140"/>
      <c r="S139" s="140"/>
      <c r="T139" s="140"/>
      <c r="U139" s="140"/>
      <c r="V139" s="140"/>
      <c r="W139" s="140"/>
    </row>
    <row r="140" spans="6:23" x14ac:dyDescent="0.35">
      <c r="F140" s="140"/>
      <c r="G140" s="140"/>
      <c r="H140" s="140"/>
      <c r="I140" s="140"/>
      <c r="J140" s="140"/>
      <c r="K140" s="140"/>
      <c r="L140" s="140"/>
      <c r="M140" s="140"/>
      <c r="N140" s="140"/>
      <c r="O140" s="140"/>
      <c r="P140" s="140"/>
      <c r="Q140" s="140"/>
      <c r="R140" s="140"/>
      <c r="S140" s="140"/>
      <c r="T140" s="140"/>
      <c r="U140" s="140"/>
      <c r="V140" s="140"/>
      <c r="W140" s="140"/>
    </row>
    <row r="141" spans="6:23" x14ac:dyDescent="0.35">
      <c r="F141" s="140"/>
      <c r="G141" s="140"/>
      <c r="H141" s="140"/>
      <c r="I141" s="140"/>
      <c r="J141" s="140"/>
      <c r="K141" s="140"/>
      <c r="L141" s="140"/>
      <c r="M141" s="140"/>
      <c r="N141" s="140"/>
      <c r="O141" s="140"/>
      <c r="P141" s="140"/>
      <c r="Q141" s="140"/>
      <c r="R141" s="140"/>
      <c r="S141" s="140"/>
      <c r="T141" s="140"/>
      <c r="U141" s="140"/>
      <c r="V141" s="140"/>
      <c r="W141" s="140"/>
    </row>
    <row r="142" spans="6:23" x14ac:dyDescent="0.35">
      <c r="F142" s="140"/>
      <c r="G142" s="140"/>
      <c r="H142" s="140"/>
      <c r="I142" s="140"/>
      <c r="J142" s="140"/>
      <c r="K142" s="140"/>
      <c r="L142" s="140"/>
      <c r="M142" s="140"/>
      <c r="N142" s="140"/>
      <c r="O142" s="140"/>
      <c r="P142" s="140"/>
      <c r="Q142" s="140"/>
      <c r="R142" s="140"/>
      <c r="S142" s="140"/>
      <c r="T142" s="140"/>
      <c r="U142" s="140"/>
      <c r="V142" s="140"/>
      <c r="W142" s="140"/>
    </row>
    <row r="143" spans="6:23" x14ac:dyDescent="0.35">
      <c r="F143" s="140"/>
      <c r="G143" s="140"/>
      <c r="H143" s="140"/>
      <c r="I143" s="140"/>
      <c r="J143" s="140"/>
      <c r="K143" s="140"/>
      <c r="L143" s="140"/>
      <c r="M143" s="140"/>
      <c r="N143" s="140"/>
      <c r="O143" s="140"/>
      <c r="P143" s="140"/>
      <c r="Q143" s="140"/>
      <c r="R143" s="140"/>
      <c r="S143" s="140"/>
      <c r="T143" s="140"/>
      <c r="U143" s="140"/>
      <c r="V143" s="140"/>
      <c r="W143" s="140"/>
    </row>
    <row r="144" spans="6:23" x14ac:dyDescent="0.35">
      <c r="F144" s="140"/>
      <c r="G144" s="140"/>
      <c r="H144" s="140"/>
      <c r="I144" s="140"/>
      <c r="J144" s="140"/>
      <c r="K144" s="140"/>
      <c r="L144" s="140"/>
      <c r="M144" s="140"/>
      <c r="N144" s="140"/>
      <c r="O144" s="140"/>
      <c r="P144" s="140"/>
      <c r="Q144" s="140"/>
      <c r="R144" s="140"/>
      <c r="S144" s="140"/>
      <c r="T144" s="140"/>
      <c r="U144" s="140"/>
      <c r="V144" s="140"/>
      <c r="W144" s="140"/>
    </row>
    <row r="145" spans="6:23" x14ac:dyDescent="0.35">
      <c r="F145" s="140"/>
      <c r="G145" s="140"/>
      <c r="H145" s="140"/>
      <c r="I145" s="140"/>
      <c r="J145" s="140"/>
      <c r="K145" s="140"/>
      <c r="L145" s="140"/>
      <c r="M145" s="140"/>
      <c r="N145" s="140"/>
      <c r="O145" s="140"/>
      <c r="P145" s="140"/>
      <c r="Q145" s="140"/>
      <c r="R145" s="140"/>
      <c r="S145" s="140"/>
      <c r="T145" s="140"/>
      <c r="U145" s="140"/>
      <c r="V145" s="140"/>
      <c r="W145" s="140"/>
    </row>
    <row r="146" spans="6:23" x14ac:dyDescent="0.35">
      <c r="F146" s="140"/>
      <c r="G146" s="140"/>
      <c r="H146" s="140"/>
      <c r="I146" s="140"/>
      <c r="J146" s="140"/>
      <c r="K146" s="140"/>
      <c r="L146" s="140"/>
      <c r="M146" s="140"/>
      <c r="N146" s="140"/>
      <c r="O146" s="140"/>
      <c r="P146" s="140"/>
      <c r="Q146" s="140"/>
      <c r="R146" s="140"/>
      <c r="S146" s="140"/>
      <c r="T146" s="140"/>
      <c r="U146" s="140"/>
      <c r="V146" s="140"/>
      <c r="W146" s="140"/>
    </row>
    <row r="147" spans="6:23" x14ac:dyDescent="0.35">
      <c r="F147" s="140"/>
      <c r="G147" s="140"/>
      <c r="H147" s="140"/>
      <c r="I147" s="140"/>
      <c r="J147" s="140"/>
      <c r="K147" s="140"/>
      <c r="L147" s="140"/>
      <c r="M147" s="140"/>
      <c r="N147" s="140"/>
      <c r="O147" s="140"/>
      <c r="P147" s="140"/>
      <c r="Q147" s="140"/>
      <c r="R147" s="140"/>
      <c r="S147" s="140"/>
      <c r="T147" s="140"/>
      <c r="U147" s="140"/>
      <c r="V147" s="140"/>
      <c r="W147" s="140"/>
    </row>
    <row r="148" spans="6:23" x14ac:dyDescent="0.35">
      <c r="F148" s="140"/>
      <c r="G148" s="140"/>
      <c r="H148" s="140"/>
      <c r="I148" s="140"/>
      <c r="J148" s="140"/>
      <c r="K148" s="140"/>
      <c r="L148" s="140"/>
      <c r="M148" s="140"/>
      <c r="N148" s="140"/>
      <c r="O148" s="140"/>
      <c r="P148" s="140"/>
      <c r="Q148" s="140"/>
      <c r="R148" s="140"/>
      <c r="S148" s="140"/>
      <c r="T148" s="140"/>
      <c r="U148" s="140"/>
      <c r="V148" s="140"/>
      <c r="W148" s="140"/>
    </row>
    <row r="149" spans="6:23" x14ac:dyDescent="0.35">
      <c r="F149" s="140"/>
      <c r="G149" s="140"/>
      <c r="H149" s="140"/>
      <c r="I149" s="140"/>
      <c r="J149" s="140"/>
      <c r="K149" s="140"/>
      <c r="L149" s="140"/>
      <c r="M149" s="140"/>
      <c r="N149" s="140"/>
      <c r="O149" s="140"/>
      <c r="P149" s="140"/>
      <c r="Q149" s="140"/>
      <c r="R149" s="140"/>
      <c r="S149" s="140"/>
      <c r="T149" s="140"/>
      <c r="U149" s="140"/>
      <c r="V149" s="140"/>
      <c r="W149" s="140"/>
    </row>
    <row r="150" spans="6:23" x14ac:dyDescent="0.35">
      <c r="F150" s="140"/>
      <c r="G150" s="140"/>
      <c r="H150" s="140"/>
      <c r="I150" s="140"/>
      <c r="J150" s="140"/>
      <c r="K150" s="140"/>
      <c r="L150" s="140"/>
      <c r="M150" s="140"/>
      <c r="N150" s="140"/>
      <c r="O150" s="140"/>
      <c r="P150" s="140"/>
      <c r="Q150" s="140"/>
      <c r="R150" s="140"/>
      <c r="S150" s="140"/>
      <c r="T150" s="140"/>
      <c r="U150" s="140"/>
      <c r="V150" s="140"/>
      <c r="W150" s="140"/>
    </row>
    <row r="151" spans="6:23" x14ac:dyDescent="0.35">
      <c r="F151" s="140"/>
      <c r="G151" s="140"/>
      <c r="H151" s="140"/>
      <c r="I151" s="140"/>
      <c r="J151" s="140"/>
      <c r="K151" s="140"/>
      <c r="L151" s="140"/>
      <c r="M151" s="140"/>
      <c r="N151" s="140"/>
      <c r="O151" s="140"/>
      <c r="P151" s="140"/>
      <c r="Q151" s="140"/>
      <c r="R151" s="140"/>
      <c r="S151" s="140"/>
      <c r="T151" s="140"/>
      <c r="U151" s="140"/>
      <c r="V151" s="140"/>
      <c r="W151" s="140"/>
    </row>
    <row r="152" spans="6:23" x14ac:dyDescent="0.35">
      <c r="F152" s="140"/>
      <c r="G152" s="140"/>
      <c r="H152" s="140"/>
      <c r="I152" s="140"/>
      <c r="J152" s="140"/>
      <c r="K152" s="140"/>
      <c r="L152" s="140"/>
      <c r="M152" s="140"/>
      <c r="N152" s="140"/>
      <c r="O152" s="140"/>
      <c r="P152" s="140"/>
      <c r="Q152" s="140"/>
      <c r="R152" s="140"/>
      <c r="S152" s="140"/>
      <c r="T152" s="140"/>
      <c r="U152" s="140"/>
      <c r="V152" s="140"/>
      <c r="W152" s="140"/>
    </row>
    <row r="153" spans="6:23" x14ac:dyDescent="0.35">
      <c r="F153" s="140"/>
      <c r="G153" s="140"/>
      <c r="H153" s="140"/>
      <c r="I153" s="140"/>
      <c r="J153" s="140"/>
      <c r="K153" s="140"/>
      <c r="L153" s="140"/>
      <c r="M153" s="140"/>
      <c r="N153" s="140"/>
      <c r="O153" s="140"/>
      <c r="P153" s="140"/>
      <c r="Q153" s="140"/>
      <c r="R153" s="140"/>
      <c r="S153" s="140"/>
      <c r="T153" s="140"/>
      <c r="U153" s="140"/>
      <c r="V153" s="140"/>
      <c r="W153" s="140"/>
    </row>
    <row r="154" spans="6:23" x14ac:dyDescent="0.35">
      <c r="F154" s="140"/>
      <c r="G154" s="140"/>
      <c r="H154" s="140"/>
      <c r="I154" s="140"/>
      <c r="J154" s="140"/>
      <c r="K154" s="140"/>
      <c r="L154" s="140"/>
      <c r="M154" s="140"/>
      <c r="N154" s="140"/>
      <c r="O154" s="140"/>
      <c r="P154" s="140"/>
      <c r="Q154" s="140"/>
      <c r="R154" s="140"/>
      <c r="S154" s="140"/>
      <c r="T154" s="140"/>
      <c r="U154" s="140"/>
      <c r="V154" s="140"/>
      <c r="W154" s="140"/>
    </row>
    <row r="155" spans="6:23" x14ac:dyDescent="0.35">
      <c r="F155" s="140"/>
      <c r="G155" s="140"/>
      <c r="H155" s="140"/>
      <c r="I155" s="140"/>
      <c r="J155" s="140"/>
      <c r="K155" s="140"/>
      <c r="L155" s="140"/>
      <c r="M155" s="140"/>
      <c r="N155" s="140"/>
      <c r="O155" s="140"/>
      <c r="P155" s="140"/>
      <c r="Q155" s="140"/>
      <c r="R155" s="140"/>
      <c r="S155" s="140"/>
      <c r="T155" s="140"/>
      <c r="U155" s="140"/>
      <c r="V155" s="140"/>
      <c r="W155" s="140"/>
    </row>
    <row r="156" spans="6:23" x14ac:dyDescent="0.35">
      <c r="F156" s="140"/>
      <c r="G156" s="140"/>
      <c r="H156" s="140"/>
      <c r="I156" s="140"/>
      <c r="J156" s="140"/>
      <c r="K156" s="140"/>
      <c r="L156" s="140"/>
      <c r="M156" s="140"/>
      <c r="N156" s="140"/>
      <c r="O156" s="140"/>
      <c r="P156" s="140"/>
      <c r="Q156" s="140"/>
      <c r="R156" s="140"/>
      <c r="S156" s="140"/>
      <c r="T156" s="140"/>
      <c r="U156" s="140"/>
      <c r="V156" s="140"/>
      <c r="W156" s="140"/>
    </row>
    <row r="157" spans="6:23" x14ac:dyDescent="0.35">
      <c r="F157" s="140"/>
      <c r="G157" s="140"/>
      <c r="H157" s="140"/>
      <c r="I157" s="140"/>
      <c r="J157" s="140"/>
      <c r="K157" s="140"/>
      <c r="L157" s="140"/>
      <c r="M157" s="140"/>
      <c r="N157" s="140"/>
      <c r="O157" s="140"/>
      <c r="P157" s="140"/>
      <c r="Q157" s="140"/>
      <c r="R157" s="140"/>
      <c r="S157" s="140"/>
      <c r="T157" s="140"/>
      <c r="U157" s="140"/>
      <c r="V157" s="140"/>
      <c r="W157" s="140"/>
    </row>
    <row r="158" spans="6:23" x14ac:dyDescent="0.35">
      <c r="F158" s="140"/>
      <c r="G158" s="140"/>
      <c r="H158" s="140"/>
      <c r="I158" s="140"/>
      <c r="J158" s="140"/>
      <c r="K158" s="140"/>
      <c r="L158" s="140"/>
      <c r="M158" s="140"/>
      <c r="N158" s="140"/>
      <c r="O158" s="140"/>
      <c r="P158" s="140"/>
      <c r="Q158" s="140"/>
      <c r="R158" s="140"/>
      <c r="S158" s="140"/>
      <c r="T158" s="140"/>
      <c r="U158" s="140"/>
      <c r="V158" s="140"/>
      <c r="W158" s="140"/>
    </row>
    <row r="159" spans="6:23" x14ac:dyDescent="0.35">
      <c r="F159" s="140"/>
      <c r="G159" s="140"/>
      <c r="H159" s="140"/>
      <c r="I159" s="140"/>
      <c r="J159" s="140"/>
      <c r="K159" s="140"/>
      <c r="L159" s="140"/>
      <c r="M159" s="140"/>
      <c r="N159" s="140"/>
      <c r="O159" s="140"/>
      <c r="P159" s="140"/>
      <c r="Q159" s="140"/>
      <c r="R159" s="140"/>
      <c r="S159" s="140"/>
      <c r="T159" s="140"/>
      <c r="U159" s="140"/>
      <c r="V159" s="140"/>
      <c r="W159" s="140"/>
    </row>
    <row r="160" spans="6:23" x14ac:dyDescent="0.35">
      <c r="F160" s="140"/>
      <c r="G160" s="140"/>
      <c r="H160" s="140"/>
      <c r="I160" s="140"/>
      <c r="J160" s="140"/>
      <c r="K160" s="140"/>
      <c r="L160" s="140"/>
      <c r="M160" s="140"/>
      <c r="N160" s="140"/>
      <c r="O160" s="140"/>
      <c r="P160" s="140"/>
      <c r="Q160" s="140"/>
      <c r="R160" s="140"/>
      <c r="S160" s="140"/>
      <c r="T160" s="140"/>
      <c r="U160" s="140"/>
      <c r="V160" s="140"/>
      <c r="W160" s="140"/>
    </row>
    <row r="161" spans="6:23" x14ac:dyDescent="0.35">
      <c r="F161" s="140"/>
      <c r="G161" s="140"/>
      <c r="H161" s="140"/>
      <c r="I161" s="140"/>
      <c r="J161" s="140"/>
      <c r="K161" s="140"/>
      <c r="L161" s="140"/>
      <c r="M161" s="140"/>
      <c r="N161" s="140"/>
      <c r="O161" s="140"/>
      <c r="P161" s="140"/>
      <c r="Q161" s="140"/>
      <c r="R161" s="140"/>
      <c r="S161" s="140"/>
      <c r="T161" s="140"/>
      <c r="U161" s="140"/>
      <c r="V161" s="140"/>
      <c r="W161" s="140"/>
    </row>
    <row r="162" spans="6:23" x14ac:dyDescent="0.35">
      <c r="F162" s="140"/>
      <c r="G162" s="140"/>
      <c r="H162" s="140"/>
      <c r="I162" s="140"/>
      <c r="J162" s="140"/>
      <c r="K162" s="140"/>
      <c r="L162" s="140"/>
      <c r="M162" s="140"/>
      <c r="N162" s="140"/>
      <c r="O162" s="140"/>
      <c r="P162" s="140"/>
      <c r="Q162" s="140"/>
      <c r="R162" s="140"/>
      <c r="S162" s="140"/>
      <c r="T162" s="140"/>
      <c r="U162" s="140"/>
      <c r="V162" s="140"/>
      <c r="W162" s="140"/>
    </row>
    <row r="163" spans="6:23" x14ac:dyDescent="0.35">
      <c r="F163" s="140"/>
      <c r="G163" s="140"/>
      <c r="H163" s="140"/>
      <c r="I163" s="140"/>
      <c r="J163" s="140"/>
      <c r="K163" s="140"/>
      <c r="L163" s="140"/>
      <c r="M163" s="140"/>
      <c r="N163" s="140"/>
      <c r="O163" s="140"/>
      <c r="P163" s="140"/>
      <c r="Q163" s="140"/>
      <c r="R163" s="140"/>
      <c r="S163" s="140"/>
      <c r="T163" s="140"/>
      <c r="U163" s="140"/>
      <c r="V163" s="140"/>
      <c r="W163" s="140"/>
    </row>
    <row r="164" spans="6:23" x14ac:dyDescent="0.35">
      <c r="F164" s="140"/>
      <c r="G164" s="140"/>
      <c r="H164" s="140"/>
      <c r="I164" s="140"/>
      <c r="J164" s="140"/>
      <c r="K164" s="140"/>
      <c r="L164" s="140"/>
      <c r="M164" s="140"/>
      <c r="N164" s="140"/>
      <c r="O164" s="140"/>
      <c r="P164" s="140"/>
      <c r="Q164" s="140"/>
      <c r="R164" s="140"/>
      <c r="S164" s="140"/>
      <c r="T164" s="140"/>
      <c r="U164" s="140"/>
      <c r="V164" s="140"/>
      <c r="W164" s="140"/>
    </row>
    <row r="165" spans="6:23" x14ac:dyDescent="0.35">
      <c r="F165" s="140"/>
      <c r="G165" s="140"/>
      <c r="H165" s="140"/>
      <c r="I165" s="140"/>
      <c r="J165" s="140"/>
      <c r="K165" s="140"/>
      <c r="L165" s="140"/>
      <c r="M165" s="140"/>
      <c r="N165" s="140"/>
      <c r="O165" s="140"/>
      <c r="P165" s="140"/>
      <c r="Q165" s="140"/>
      <c r="R165" s="140"/>
      <c r="S165" s="140"/>
      <c r="T165" s="140"/>
      <c r="U165" s="140"/>
      <c r="V165" s="140"/>
      <c r="W165" s="140"/>
    </row>
    <row r="166" spans="6:23" x14ac:dyDescent="0.35">
      <c r="F166" s="140"/>
      <c r="G166" s="140"/>
      <c r="H166" s="140"/>
      <c r="I166" s="140"/>
      <c r="J166" s="140"/>
      <c r="K166" s="140"/>
      <c r="L166" s="140"/>
      <c r="M166" s="140"/>
      <c r="N166" s="140"/>
      <c r="O166" s="140"/>
      <c r="P166" s="140"/>
      <c r="Q166" s="140"/>
      <c r="R166" s="140"/>
      <c r="S166" s="140"/>
      <c r="T166" s="140"/>
      <c r="U166" s="140"/>
      <c r="V166" s="140"/>
      <c r="W166" s="140"/>
    </row>
    <row r="167" spans="6:23" x14ac:dyDescent="0.35">
      <c r="F167" s="140"/>
      <c r="G167" s="140"/>
      <c r="H167" s="140"/>
      <c r="I167" s="140"/>
      <c r="J167" s="140"/>
      <c r="K167" s="140"/>
      <c r="L167" s="140"/>
      <c r="M167" s="140"/>
      <c r="N167" s="140"/>
      <c r="O167" s="140"/>
      <c r="P167" s="140"/>
      <c r="Q167" s="140"/>
      <c r="R167" s="140"/>
      <c r="S167" s="140"/>
      <c r="T167" s="140"/>
      <c r="U167" s="140"/>
      <c r="V167" s="140"/>
      <c r="W167" s="140"/>
    </row>
    <row r="168" spans="6:23" x14ac:dyDescent="0.35">
      <c r="F168" s="140"/>
      <c r="G168" s="140"/>
      <c r="H168" s="140"/>
      <c r="I168" s="140"/>
      <c r="J168" s="140"/>
      <c r="K168" s="140"/>
      <c r="L168" s="140"/>
      <c r="M168" s="140"/>
      <c r="N168" s="140"/>
      <c r="O168" s="140"/>
      <c r="P168" s="140"/>
      <c r="Q168" s="140"/>
      <c r="R168" s="140"/>
      <c r="S168" s="140"/>
      <c r="T168" s="140"/>
      <c r="U168" s="140"/>
      <c r="V168" s="140"/>
      <c r="W168" s="140"/>
    </row>
    <row r="169" spans="6:23" x14ac:dyDescent="0.35">
      <c r="F169" s="140"/>
      <c r="G169" s="140"/>
      <c r="H169" s="140"/>
      <c r="I169" s="140"/>
      <c r="J169" s="140"/>
      <c r="K169" s="140"/>
      <c r="L169" s="140"/>
      <c r="M169" s="140"/>
      <c r="N169" s="140"/>
      <c r="O169" s="140"/>
      <c r="P169" s="140"/>
      <c r="Q169" s="140"/>
      <c r="R169" s="140"/>
      <c r="S169" s="140"/>
      <c r="T169" s="140"/>
      <c r="U169" s="140"/>
      <c r="V169" s="140"/>
      <c r="W169" s="140"/>
    </row>
    <row r="170" spans="6:23" x14ac:dyDescent="0.35">
      <c r="F170" s="140"/>
      <c r="G170" s="140"/>
      <c r="H170" s="140"/>
      <c r="I170" s="140"/>
      <c r="J170" s="140"/>
      <c r="K170" s="140"/>
      <c r="L170" s="140"/>
      <c r="M170" s="140"/>
      <c r="N170" s="140"/>
      <c r="O170" s="140"/>
      <c r="P170" s="140"/>
      <c r="Q170" s="140"/>
      <c r="R170" s="140"/>
      <c r="S170" s="140"/>
      <c r="T170" s="140"/>
      <c r="U170" s="140"/>
      <c r="V170" s="140"/>
      <c r="W170" s="140"/>
    </row>
    <row r="171" spans="6:23" x14ac:dyDescent="0.35">
      <c r="F171" s="140"/>
      <c r="G171" s="140"/>
      <c r="H171" s="140"/>
      <c r="I171" s="140"/>
      <c r="J171" s="140"/>
      <c r="K171" s="140"/>
      <c r="L171" s="140"/>
      <c r="M171" s="140"/>
      <c r="N171" s="140"/>
      <c r="O171" s="140"/>
      <c r="P171" s="140"/>
      <c r="Q171" s="140"/>
      <c r="R171" s="140"/>
      <c r="S171" s="140"/>
      <c r="T171" s="140"/>
      <c r="U171" s="140"/>
      <c r="V171" s="140"/>
      <c r="W171" s="140"/>
    </row>
    <row r="172" spans="6:23" x14ac:dyDescent="0.35">
      <c r="F172" s="140"/>
      <c r="G172" s="140"/>
      <c r="H172" s="140"/>
      <c r="I172" s="140"/>
      <c r="J172" s="140"/>
      <c r="K172" s="140"/>
      <c r="L172" s="140"/>
      <c r="M172" s="140"/>
      <c r="N172" s="140"/>
      <c r="O172" s="140"/>
      <c r="P172" s="140"/>
      <c r="Q172" s="140"/>
      <c r="R172" s="140"/>
      <c r="S172" s="140"/>
      <c r="T172" s="140"/>
      <c r="U172" s="140"/>
      <c r="V172" s="140"/>
      <c r="W172" s="140"/>
    </row>
    <row r="173" spans="6:23" x14ac:dyDescent="0.35">
      <c r="F173" s="140"/>
      <c r="G173" s="140"/>
      <c r="H173" s="140"/>
      <c r="I173" s="140"/>
      <c r="J173" s="140"/>
      <c r="K173" s="140"/>
      <c r="L173" s="140"/>
      <c r="M173" s="140"/>
      <c r="N173" s="140"/>
      <c r="O173" s="140"/>
      <c r="P173" s="140"/>
      <c r="Q173" s="140"/>
      <c r="R173" s="140"/>
      <c r="S173" s="140"/>
      <c r="T173" s="140"/>
      <c r="U173" s="140"/>
      <c r="V173" s="140"/>
      <c r="W173" s="140"/>
    </row>
    <row r="174" spans="6:23" x14ac:dyDescent="0.35">
      <c r="F174" s="140"/>
      <c r="G174" s="140"/>
      <c r="H174" s="140"/>
      <c r="I174" s="140"/>
      <c r="J174" s="140"/>
      <c r="K174" s="140"/>
      <c r="L174" s="140"/>
      <c r="M174" s="140"/>
      <c r="N174" s="140"/>
      <c r="O174" s="140"/>
      <c r="P174" s="140"/>
      <c r="Q174" s="140"/>
      <c r="R174" s="140"/>
      <c r="S174" s="140"/>
      <c r="T174" s="140"/>
      <c r="U174" s="140"/>
      <c r="V174" s="140"/>
      <c r="W174" s="140"/>
    </row>
    <row r="175" spans="6:23" x14ac:dyDescent="0.35">
      <c r="F175" s="140"/>
      <c r="G175" s="140"/>
      <c r="H175" s="140"/>
      <c r="I175" s="140"/>
      <c r="J175" s="140"/>
      <c r="K175" s="140"/>
      <c r="L175" s="140"/>
      <c r="M175" s="140"/>
      <c r="N175" s="140"/>
      <c r="O175" s="140"/>
      <c r="P175" s="140"/>
      <c r="Q175" s="140"/>
      <c r="R175" s="140"/>
      <c r="S175" s="140"/>
      <c r="T175" s="140"/>
      <c r="U175" s="140"/>
      <c r="V175" s="140"/>
      <c r="W175" s="140"/>
    </row>
    <row r="176" spans="6:23" x14ac:dyDescent="0.35">
      <c r="F176" s="140"/>
      <c r="G176" s="140"/>
      <c r="H176" s="140"/>
      <c r="I176" s="140"/>
      <c r="J176" s="140"/>
      <c r="K176" s="140"/>
      <c r="L176" s="140"/>
      <c r="M176" s="140"/>
      <c r="N176" s="140"/>
      <c r="O176" s="140"/>
      <c r="P176" s="140"/>
      <c r="Q176" s="140"/>
      <c r="R176" s="140"/>
      <c r="S176" s="140"/>
      <c r="T176" s="140"/>
      <c r="U176" s="140"/>
      <c r="V176" s="140"/>
      <c r="W176" s="140"/>
    </row>
    <row r="177" spans="6:23" x14ac:dyDescent="0.35">
      <c r="F177" s="140"/>
      <c r="G177" s="140"/>
      <c r="H177" s="140"/>
      <c r="I177" s="140"/>
      <c r="J177" s="140"/>
      <c r="K177" s="140"/>
      <c r="L177" s="140"/>
      <c r="M177" s="140"/>
      <c r="N177" s="140"/>
      <c r="O177" s="140"/>
      <c r="P177" s="140"/>
      <c r="Q177" s="140"/>
      <c r="R177" s="140"/>
      <c r="S177" s="140"/>
      <c r="T177" s="140"/>
      <c r="U177" s="140"/>
      <c r="V177" s="140"/>
      <c r="W177" s="140"/>
    </row>
    <row r="178" spans="6:23" x14ac:dyDescent="0.35">
      <c r="F178" s="140"/>
      <c r="G178" s="140"/>
      <c r="H178" s="140"/>
      <c r="I178" s="140"/>
      <c r="J178" s="140"/>
      <c r="K178" s="140"/>
      <c r="L178" s="140"/>
      <c r="M178" s="140"/>
      <c r="N178" s="140"/>
      <c r="O178" s="140"/>
      <c r="P178" s="140"/>
      <c r="Q178" s="140"/>
      <c r="R178" s="140"/>
      <c r="S178" s="140"/>
      <c r="T178" s="140"/>
      <c r="U178" s="140"/>
      <c r="V178" s="140"/>
      <c r="W178" s="140"/>
    </row>
    <row r="179" spans="6:23" x14ac:dyDescent="0.35">
      <c r="F179" s="140"/>
      <c r="G179" s="140"/>
      <c r="H179" s="140"/>
      <c r="I179" s="140"/>
      <c r="J179" s="140"/>
      <c r="K179" s="140"/>
      <c r="L179" s="140"/>
      <c r="M179" s="140"/>
      <c r="N179" s="140"/>
      <c r="O179" s="140"/>
      <c r="P179" s="140"/>
      <c r="Q179" s="140"/>
      <c r="R179" s="140"/>
      <c r="S179" s="140"/>
      <c r="T179" s="140"/>
      <c r="U179" s="140"/>
      <c r="V179" s="140"/>
      <c r="W179" s="140"/>
    </row>
    <row r="180" spans="6:23" x14ac:dyDescent="0.35">
      <c r="F180" s="140"/>
      <c r="G180" s="140"/>
      <c r="H180" s="140"/>
      <c r="I180" s="140"/>
      <c r="J180" s="140"/>
      <c r="K180" s="140"/>
      <c r="L180" s="140"/>
      <c r="M180" s="140"/>
      <c r="N180" s="140"/>
      <c r="O180" s="140"/>
      <c r="P180" s="140"/>
      <c r="Q180" s="140"/>
      <c r="R180" s="140"/>
      <c r="S180" s="140"/>
      <c r="T180" s="140"/>
      <c r="U180" s="140"/>
      <c r="V180" s="140"/>
      <c r="W180" s="140"/>
    </row>
    <row r="181" spans="6:23" x14ac:dyDescent="0.35">
      <c r="F181" s="140"/>
      <c r="G181" s="140"/>
      <c r="H181" s="140"/>
      <c r="I181" s="140"/>
      <c r="J181" s="140"/>
      <c r="K181" s="140"/>
      <c r="L181" s="140"/>
      <c r="M181" s="140"/>
      <c r="N181" s="140"/>
      <c r="O181" s="140"/>
      <c r="P181" s="140"/>
      <c r="Q181" s="140"/>
      <c r="R181" s="140"/>
      <c r="S181" s="140"/>
      <c r="T181" s="140"/>
      <c r="U181" s="140"/>
      <c r="V181" s="140"/>
      <c r="W181" s="140"/>
    </row>
    <row r="182" spans="6:23" x14ac:dyDescent="0.35">
      <c r="F182" s="140"/>
      <c r="G182" s="140"/>
      <c r="H182" s="140"/>
      <c r="I182" s="140"/>
      <c r="J182" s="140"/>
      <c r="K182" s="140"/>
      <c r="L182" s="140"/>
      <c r="M182" s="140"/>
      <c r="N182" s="140"/>
      <c r="O182" s="140"/>
      <c r="P182" s="140"/>
      <c r="Q182" s="140"/>
      <c r="R182" s="140"/>
      <c r="S182" s="140"/>
      <c r="T182" s="140"/>
      <c r="U182" s="140"/>
      <c r="V182" s="140"/>
      <c r="W182" s="140"/>
    </row>
    <row r="183" spans="6:23" x14ac:dyDescent="0.35">
      <c r="F183" s="140"/>
      <c r="G183" s="140"/>
      <c r="H183" s="140"/>
      <c r="I183" s="140"/>
      <c r="J183" s="140"/>
      <c r="K183" s="140"/>
      <c r="L183" s="140"/>
      <c r="M183" s="140"/>
      <c r="N183" s="140"/>
      <c r="O183" s="140"/>
      <c r="P183" s="140"/>
      <c r="Q183" s="140"/>
      <c r="R183" s="140"/>
      <c r="S183" s="140"/>
      <c r="T183" s="140"/>
      <c r="U183" s="140"/>
      <c r="V183" s="140"/>
      <c r="W183" s="140"/>
    </row>
    <row r="184" spans="6:23" x14ac:dyDescent="0.35">
      <c r="F184" s="140"/>
      <c r="G184" s="140"/>
      <c r="H184" s="140"/>
      <c r="I184" s="140"/>
      <c r="J184" s="140"/>
      <c r="K184" s="140"/>
      <c r="L184" s="140"/>
      <c r="M184" s="140"/>
      <c r="N184" s="140"/>
      <c r="O184" s="140"/>
      <c r="P184" s="140"/>
      <c r="Q184" s="140"/>
      <c r="R184" s="140"/>
      <c r="S184" s="140"/>
      <c r="T184" s="140"/>
      <c r="U184" s="140"/>
      <c r="V184" s="140"/>
      <c r="W184" s="140"/>
    </row>
    <row r="185" spans="6:23" x14ac:dyDescent="0.35">
      <c r="F185" s="140"/>
      <c r="G185" s="140"/>
      <c r="H185" s="140"/>
      <c r="I185" s="140"/>
      <c r="J185" s="140"/>
      <c r="K185" s="140"/>
      <c r="L185" s="140"/>
      <c r="M185" s="140"/>
      <c r="N185" s="140"/>
      <c r="O185" s="140"/>
      <c r="P185" s="140"/>
      <c r="Q185" s="140"/>
      <c r="R185" s="140"/>
      <c r="S185" s="140"/>
      <c r="T185" s="140"/>
      <c r="U185" s="140"/>
      <c r="V185" s="140"/>
      <c r="W185" s="140"/>
    </row>
    <row r="186" spans="6:23" x14ac:dyDescent="0.35">
      <c r="F186" s="140"/>
      <c r="G186" s="140"/>
      <c r="H186" s="140"/>
      <c r="I186" s="140"/>
      <c r="J186" s="140"/>
      <c r="K186" s="140"/>
      <c r="L186" s="140"/>
      <c r="M186" s="140"/>
      <c r="N186" s="140"/>
      <c r="O186" s="140"/>
      <c r="P186" s="140"/>
      <c r="Q186" s="140"/>
      <c r="R186" s="140"/>
      <c r="S186" s="140"/>
      <c r="T186" s="140"/>
      <c r="U186" s="140"/>
      <c r="V186" s="140"/>
      <c r="W186" s="140"/>
    </row>
    <row r="187" spans="6:23" x14ac:dyDescent="0.35">
      <c r="F187" s="140"/>
      <c r="G187" s="140"/>
      <c r="H187" s="140"/>
      <c r="I187" s="140"/>
      <c r="J187" s="140"/>
      <c r="K187" s="140"/>
      <c r="L187" s="140"/>
      <c r="M187" s="140"/>
      <c r="N187" s="140"/>
      <c r="O187" s="140"/>
      <c r="P187" s="140"/>
      <c r="Q187" s="140"/>
      <c r="R187" s="140"/>
      <c r="S187" s="140"/>
      <c r="T187" s="140"/>
      <c r="U187" s="140"/>
      <c r="V187" s="140"/>
      <c r="W187" s="140"/>
    </row>
    <row r="188" spans="6:23" x14ac:dyDescent="0.35">
      <c r="F188" s="140"/>
      <c r="G188" s="140"/>
      <c r="H188" s="140"/>
      <c r="I188" s="140"/>
      <c r="J188" s="140"/>
      <c r="K188" s="140"/>
      <c r="L188" s="140"/>
      <c r="M188" s="140"/>
      <c r="N188" s="140"/>
      <c r="O188" s="140"/>
      <c r="P188" s="140"/>
      <c r="Q188" s="140"/>
      <c r="R188" s="140"/>
      <c r="S188" s="140"/>
      <c r="T188" s="140"/>
      <c r="U188" s="140"/>
      <c r="V188" s="140"/>
      <c r="W188" s="140"/>
    </row>
    <row r="189" spans="6:23" x14ac:dyDescent="0.35">
      <c r="F189" s="140"/>
      <c r="G189" s="140"/>
      <c r="H189" s="140"/>
      <c r="I189" s="140"/>
      <c r="J189" s="140"/>
      <c r="K189" s="140"/>
      <c r="L189" s="140"/>
      <c r="M189" s="140"/>
      <c r="N189" s="140"/>
      <c r="O189" s="140"/>
      <c r="P189" s="140"/>
      <c r="Q189" s="140"/>
      <c r="R189" s="140"/>
      <c r="S189" s="140"/>
      <c r="T189" s="140"/>
      <c r="U189" s="140"/>
      <c r="V189" s="140"/>
      <c r="W189" s="140"/>
    </row>
    <row r="190" spans="6:23" x14ac:dyDescent="0.35">
      <c r="F190" s="140"/>
      <c r="G190" s="140"/>
      <c r="H190" s="140"/>
      <c r="I190" s="140"/>
      <c r="J190" s="140"/>
      <c r="K190" s="140"/>
      <c r="L190" s="140"/>
      <c r="M190" s="140"/>
      <c r="N190" s="140"/>
      <c r="O190" s="140"/>
      <c r="P190" s="140"/>
      <c r="Q190" s="140"/>
      <c r="R190" s="140"/>
      <c r="S190" s="140"/>
      <c r="T190" s="140"/>
      <c r="U190" s="140"/>
      <c r="V190" s="140"/>
      <c r="W190" s="140"/>
    </row>
    <row r="191" spans="6:23" x14ac:dyDescent="0.35">
      <c r="F191" s="140"/>
      <c r="G191" s="140"/>
      <c r="H191" s="140"/>
      <c r="I191" s="140"/>
      <c r="J191" s="140"/>
      <c r="K191" s="140"/>
      <c r="L191" s="140"/>
      <c r="M191" s="140"/>
      <c r="N191" s="140"/>
      <c r="O191" s="140"/>
      <c r="P191" s="140"/>
      <c r="Q191" s="140"/>
      <c r="R191" s="140"/>
      <c r="S191" s="140"/>
      <c r="T191" s="140"/>
      <c r="U191" s="140"/>
      <c r="V191" s="140"/>
      <c r="W191" s="140"/>
    </row>
    <row r="192" spans="6:23" x14ac:dyDescent="0.35">
      <c r="F192" s="140"/>
      <c r="G192" s="140"/>
      <c r="H192" s="140"/>
      <c r="I192" s="140"/>
      <c r="J192" s="140"/>
      <c r="K192" s="140"/>
      <c r="L192" s="140"/>
      <c r="M192" s="140"/>
      <c r="N192" s="140"/>
      <c r="O192" s="140"/>
      <c r="P192" s="140"/>
      <c r="Q192" s="140"/>
      <c r="R192" s="140"/>
      <c r="S192" s="140"/>
      <c r="T192" s="140"/>
      <c r="U192" s="140"/>
      <c r="V192" s="140"/>
      <c r="W192" s="140"/>
    </row>
    <row r="193" spans="6:23" x14ac:dyDescent="0.35">
      <c r="F193" s="140"/>
      <c r="G193" s="140"/>
      <c r="H193" s="140"/>
      <c r="I193" s="140"/>
      <c r="J193" s="140"/>
      <c r="K193" s="140"/>
      <c r="L193" s="140"/>
      <c r="M193" s="140"/>
      <c r="N193" s="140"/>
      <c r="O193" s="140"/>
      <c r="P193" s="140"/>
      <c r="Q193" s="140"/>
      <c r="R193" s="140"/>
      <c r="S193" s="140"/>
      <c r="T193" s="140"/>
      <c r="U193" s="140"/>
      <c r="V193" s="140"/>
      <c r="W193" s="140"/>
    </row>
    <row r="194" spans="6:23" x14ac:dyDescent="0.35">
      <c r="F194" s="140"/>
      <c r="G194" s="140"/>
      <c r="H194" s="140"/>
      <c r="I194" s="140"/>
      <c r="J194" s="140"/>
      <c r="K194" s="140"/>
      <c r="L194" s="140"/>
      <c r="M194" s="140"/>
      <c r="N194" s="140"/>
      <c r="O194" s="140"/>
      <c r="P194" s="140"/>
      <c r="Q194" s="140"/>
      <c r="R194" s="140"/>
      <c r="S194" s="140"/>
      <c r="T194" s="140"/>
      <c r="U194" s="140"/>
      <c r="V194" s="140"/>
      <c r="W194" s="140"/>
    </row>
    <row r="195" spans="6:23" x14ac:dyDescent="0.35">
      <c r="F195" s="140"/>
      <c r="G195" s="140"/>
      <c r="H195" s="140"/>
      <c r="I195" s="140"/>
      <c r="J195" s="140"/>
      <c r="K195" s="140"/>
      <c r="L195" s="140"/>
      <c r="M195" s="140"/>
      <c r="N195" s="140"/>
      <c r="O195" s="140"/>
      <c r="P195" s="140"/>
      <c r="Q195" s="140"/>
      <c r="R195" s="140"/>
      <c r="S195" s="140"/>
      <c r="T195" s="140"/>
      <c r="U195" s="140"/>
      <c r="V195" s="140"/>
      <c r="W195" s="140"/>
    </row>
    <row r="196" spans="6:23" x14ac:dyDescent="0.35">
      <c r="F196" s="140"/>
      <c r="G196" s="140"/>
      <c r="H196" s="140"/>
      <c r="I196" s="140"/>
      <c r="J196" s="140"/>
      <c r="K196" s="140"/>
      <c r="L196" s="140"/>
      <c r="M196" s="140"/>
      <c r="N196" s="140"/>
      <c r="O196" s="140"/>
      <c r="P196" s="140"/>
      <c r="Q196" s="140"/>
      <c r="R196" s="140"/>
      <c r="S196" s="140"/>
      <c r="T196" s="140"/>
      <c r="U196" s="140"/>
      <c r="V196" s="140"/>
      <c r="W196" s="140"/>
    </row>
    <row r="197" spans="6:23" x14ac:dyDescent="0.35">
      <c r="F197" s="140"/>
      <c r="G197" s="140"/>
      <c r="H197" s="140"/>
      <c r="I197" s="140"/>
      <c r="J197" s="140"/>
      <c r="K197" s="140"/>
      <c r="L197" s="140"/>
      <c r="M197" s="140"/>
      <c r="N197" s="140"/>
      <c r="O197" s="140"/>
      <c r="P197" s="140"/>
      <c r="Q197" s="140"/>
      <c r="R197" s="140"/>
      <c r="S197" s="140"/>
      <c r="T197" s="140"/>
      <c r="U197" s="140"/>
      <c r="V197" s="140"/>
      <c r="W197" s="140"/>
    </row>
    <row r="198" spans="6:23" x14ac:dyDescent="0.35">
      <c r="F198" s="140"/>
      <c r="G198" s="140"/>
      <c r="H198" s="140"/>
      <c r="I198" s="140"/>
      <c r="J198" s="140"/>
      <c r="K198" s="140"/>
      <c r="L198" s="140"/>
      <c r="M198" s="140"/>
      <c r="N198" s="140"/>
      <c r="O198" s="140"/>
      <c r="P198" s="140"/>
      <c r="Q198" s="140"/>
      <c r="R198" s="140"/>
      <c r="S198" s="140"/>
      <c r="T198" s="140"/>
      <c r="U198" s="140"/>
      <c r="V198" s="140"/>
      <c r="W198" s="140"/>
    </row>
    <row r="199" spans="6:23" x14ac:dyDescent="0.35">
      <c r="F199" s="140"/>
      <c r="G199" s="140"/>
      <c r="H199" s="140"/>
      <c r="I199" s="140"/>
      <c r="J199" s="140"/>
      <c r="K199" s="140"/>
      <c r="L199" s="140"/>
      <c r="M199" s="140"/>
      <c r="N199" s="140"/>
      <c r="O199" s="140"/>
      <c r="P199" s="140"/>
      <c r="Q199" s="140"/>
      <c r="R199" s="140"/>
      <c r="S199" s="140"/>
      <c r="T199" s="140"/>
      <c r="U199" s="140"/>
      <c r="V199" s="140"/>
      <c r="W199" s="140"/>
    </row>
    <row r="200" spans="6:23" x14ac:dyDescent="0.35">
      <c r="F200" s="140"/>
      <c r="G200" s="140"/>
      <c r="H200" s="140"/>
      <c r="I200" s="140"/>
      <c r="J200" s="140"/>
      <c r="K200" s="140"/>
      <c r="L200" s="140"/>
      <c r="M200" s="140"/>
      <c r="N200" s="140"/>
      <c r="O200" s="140"/>
      <c r="P200" s="140"/>
      <c r="Q200" s="140"/>
      <c r="R200" s="140"/>
      <c r="S200" s="140"/>
      <c r="T200" s="140"/>
      <c r="U200" s="140"/>
      <c r="V200" s="140"/>
      <c r="W200" s="140"/>
    </row>
    <row r="201" spans="6:23" x14ac:dyDescent="0.35">
      <c r="F201" s="140"/>
      <c r="G201" s="140"/>
      <c r="H201" s="140"/>
      <c r="I201" s="140"/>
      <c r="J201" s="140"/>
      <c r="K201" s="140"/>
      <c r="L201" s="140"/>
      <c r="M201" s="140"/>
      <c r="N201" s="140"/>
      <c r="O201" s="140"/>
      <c r="P201" s="140"/>
      <c r="Q201" s="140"/>
      <c r="R201" s="140"/>
      <c r="S201" s="140"/>
      <c r="T201" s="140"/>
      <c r="U201" s="140"/>
      <c r="V201" s="140"/>
      <c r="W201" s="140"/>
    </row>
    <row r="202" spans="6:23" x14ac:dyDescent="0.35">
      <c r="F202" s="140"/>
      <c r="G202" s="140"/>
      <c r="H202" s="140"/>
      <c r="I202" s="140"/>
      <c r="J202" s="140"/>
      <c r="K202" s="140"/>
      <c r="L202" s="140"/>
      <c r="M202" s="140"/>
      <c r="N202" s="140"/>
      <c r="O202" s="140"/>
      <c r="P202" s="140"/>
      <c r="Q202" s="140"/>
      <c r="R202" s="140"/>
      <c r="S202" s="140"/>
      <c r="T202" s="140"/>
      <c r="U202" s="140"/>
      <c r="V202" s="140"/>
      <c r="W202" s="140"/>
    </row>
    <row r="203" spans="6:23" x14ac:dyDescent="0.35">
      <c r="F203" s="140"/>
      <c r="G203" s="140"/>
      <c r="H203" s="140"/>
      <c r="I203" s="140"/>
      <c r="J203" s="140"/>
      <c r="K203" s="140"/>
      <c r="L203" s="140"/>
      <c r="M203" s="140"/>
      <c r="N203" s="140"/>
      <c r="O203" s="140"/>
      <c r="P203" s="140"/>
      <c r="Q203" s="140"/>
      <c r="R203" s="140"/>
      <c r="S203" s="140"/>
      <c r="T203" s="140"/>
      <c r="U203" s="140"/>
      <c r="V203" s="140"/>
      <c r="W203" s="140"/>
    </row>
    <row r="204" spans="6:23" x14ac:dyDescent="0.35">
      <c r="F204" s="140"/>
      <c r="G204" s="140"/>
      <c r="H204" s="140"/>
      <c r="I204" s="140"/>
      <c r="J204" s="140"/>
      <c r="K204" s="140"/>
      <c r="L204" s="140"/>
      <c r="M204" s="140"/>
      <c r="N204" s="140"/>
      <c r="O204" s="140"/>
      <c r="P204" s="140"/>
      <c r="Q204" s="140"/>
      <c r="R204" s="140"/>
      <c r="S204" s="140"/>
      <c r="T204" s="140"/>
      <c r="U204" s="140"/>
      <c r="V204" s="140"/>
      <c r="W204" s="140"/>
    </row>
    <row r="205" spans="6:23" x14ac:dyDescent="0.35">
      <c r="F205" s="140"/>
      <c r="G205" s="140"/>
      <c r="H205" s="140"/>
      <c r="I205" s="140"/>
      <c r="J205" s="140"/>
      <c r="K205" s="140"/>
      <c r="L205" s="140"/>
      <c r="M205" s="140"/>
      <c r="N205" s="140"/>
      <c r="O205" s="140"/>
      <c r="P205" s="140"/>
      <c r="Q205" s="140"/>
      <c r="R205" s="140"/>
      <c r="S205" s="140"/>
      <c r="T205" s="140"/>
      <c r="U205" s="140"/>
      <c r="V205" s="140"/>
      <c r="W205" s="140"/>
    </row>
    <row r="206" spans="6:23" x14ac:dyDescent="0.35">
      <c r="F206" s="140"/>
      <c r="G206" s="140"/>
      <c r="H206" s="140"/>
      <c r="I206" s="140"/>
      <c r="J206" s="140"/>
      <c r="K206" s="140"/>
      <c r="L206" s="140"/>
      <c r="M206" s="140"/>
      <c r="N206" s="140"/>
      <c r="O206" s="140"/>
      <c r="P206" s="140"/>
      <c r="Q206" s="140"/>
      <c r="R206" s="140"/>
      <c r="S206" s="140"/>
      <c r="T206" s="140"/>
      <c r="U206" s="140"/>
      <c r="V206" s="140"/>
      <c r="W206" s="140"/>
    </row>
    <row r="207" spans="6:23" x14ac:dyDescent="0.35">
      <c r="F207" s="140"/>
      <c r="G207" s="140"/>
      <c r="H207" s="140"/>
      <c r="I207" s="140"/>
      <c r="J207" s="140"/>
      <c r="K207" s="140"/>
      <c r="L207" s="140"/>
      <c r="M207" s="140"/>
      <c r="N207" s="140"/>
      <c r="O207" s="140"/>
      <c r="P207" s="140"/>
      <c r="Q207" s="140"/>
      <c r="R207" s="140"/>
      <c r="S207" s="140"/>
      <c r="T207" s="140"/>
      <c r="U207" s="140"/>
      <c r="V207" s="140"/>
      <c r="W207" s="140"/>
    </row>
    <row r="208" spans="6:23" x14ac:dyDescent="0.35">
      <c r="F208" s="140"/>
      <c r="G208" s="140"/>
      <c r="H208" s="140"/>
      <c r="I208" s="140"/>
      <c r="J208" s="140"/>
      <c r="K208" s="140"/>
      <c r="L208" s="140"/>
      <c r="M208" s="140"/>
      <c r="N208" s="140"/>
      <c r="O208" s="140"/>
      <c r="P208" s="140"/>
      <c r="Q208" s="140"/>
      <c r="R208" s="140"/>
      <c r="S208" s="140"/>
      <c r="T208" s="140"/>
      <c r="U208" s="140"/>
      <c r="V208" s="140"/>
      <c r="W208" s="140"/>
    </row>
    <row r="209" spans="6:23" x14ac:dyDescent="0.35">
      <c r="F209" s="140"/>
      <c r="G209" s="140"/>
      <c r="H209" s="140"/>
      <c r="I209" s="140"/>
      <c r="J209" s="140"/>
      <c r="K209" s="140"/>
      <c r="L209" s="140"/>
      <c r="M209" s="140"/>
      <c r="N209" s="140"/>
      <c r="O209" s="140"/>
      <c r="P209" s="140"/>
      <c r="Q209" s="140"/>
      <c r="R209" s="140"/>
      <c r="S209" s="140"/>
      <c r="T209" s="140"/>
      <c r="U209" s="140"/>
      <c r="V209" s="140"/>
      <c r="W209" s="140"/>
    </row>
    <row r="210" spans="6:23" x14ac:dyDescent="0.35">
      <c r="F210" s="140"/>
      <c r="G210" s="140"/>
      <c r="H210" s="140"/>
      <c r="I210" s="140"/>
      <c r="J210" s="140"/>
      <c r="K210" s="140"/>
      <c r="L210" s="140"/>
      <c r="M210" s="140"/>
      <c r="N210" s="140"/>
      <c r="O210" s="140"/>
      <c r="P210" s="140"/>
      <c r="Q210" s="140"/>
      <c r="R210" s="140"/>
      <c r="S210" s="140"/>
      <c r="T210" s="140"/>
      <c r="U210" s="140"/>
      <c r="V210" s="140"/>
      <c r="W210" s="140"/>
    </row>
    <row r="211" spans="6:23" x14ac:dyDescent="0.35">
      <c r="F211" s="140"/>
      <c r="G211" s="140"/>
      <c r="H211" s="140"/>
      <c r="I211" s="140"/>
      <c r="J211" s="140"/>
      <c r="K211" s="140"/>
      <c r="L211" s="140"/>
      <c r="M211" s="140"/>
      <c r="N211" s="140"/>
      <c r="O211" s="140"/>
      <c r="P211" s="140"/>
      <c r="Q211" s="140"/>
      <c r="R211" s="140"/>
      <c r="S211" s="140"/>
      <c r="T211" s="140"/>
      <c r="U211" s="140"/>
      <c r="V211" s="140"/>
      <c r="W211" s="140"/>
    </row>
    <row r="212" spans="6:23" x14ac:dyDescent="0.35">
      <c r="F212" s="140"/>
      <c r="G212" s="140"/>
      <c r="H212" s="140"/>
      <c r="I212" s="140"/>
      <c r="J212" s="140"/>
      <c r="K212" s="140"/>
      <c r="L212" s="140"/>
      <c r="M212" s="140"/>
      <c r="N212" s="140"/>
      <c r="O212" s="140"/>
      <c r="P212" s="140"/>
      <c r="Q212" s="140"/>
      <c r="R212" s="140"/>
      <c r="S212" s="140"/>
      <c r="T212" s="140"/>
      <c r="U212" s="140"/>
      <c r="V212" s="140"/>
      <c r="W212" s="140"/>
    </row>
    <row r="213" spans="6:23" x14ac:dyDescent="0.35">
      <c r="F213" s="140"/>
      <c r="G213" s="140"/>
      <c r="H213" s="140"/>
      <c r="I213" s="140"/>
      <c r="J213" s="140"/>
      <c r="K213" s="140"/>
      <c r="L213" s="140"/>
      <c r="M213" s="140"/>
      <c r="N213" s="140"/>
      <c r="O213" s="140"/>
      <c r="P213" s="140"/>
      <c r="Q213" s="140"/>
      <c r="R213" s="140"/>
      <c r="S213" s="140"/>
      <c r="T213" s="140"/>
      <c r="U213" s="140"/>
      <c r="V213" s="140"/>
      <c r="W213" s="140"/>
    </row>
    <row r="214" spans="6:23" x14ac:dyDescent="0.35">
      <c r="F214" s="140"/>
      <c r="G214" s="140"/>
      <c r="H214" s="140"/>
      <c r="I214" s="140"/>
      <c r="J214" s="140"/>
      <c r="K214" s="140"/>
      <c r="L214" s="140"/>
      <c r="M214" s="140"/>
      <c r="N214" s="140"/>
      <c r="O214" s="140"/>
      <c r="P214" s="140"/>
      <c r="Q214" s="140"/>
      <c r="R214" s="140"/>
      <c r="S214" s="140"/>
      <c r="T214" s="140"/>
      <c r="U214" s="140"/>
      <c r="V214" s="140"/>
      <c r="W214" s="140"/>
    </row>
    <row r="215" spans="6:23" x14ac:dyDescent="0.35">
      <c r="F215" s="140"/>
      <c r="G215" s="140"/>
      <c r="H215" s="140"/>
      <c r="I215" s="140"/>
      <c r="J215" s="140"/>
      <c r="K215" s="140"/>
      <c r="L215" s="140"/>
      <c r="M215" s="140"/>
      <c r="N215" s="140"/>
      <c r="O215" s="140"/>
      <c r="P215" s="140"/>
      <c r="Q215" s="140"/>
      <c r="R215" s="140"/>
      <c r="S215" s="140"/>
      <c r="T215" s="140"/>
      <c r="U215" s="140"/>
      <c r="V215" s="140"/>
      <c r="W215" s="140"/>
    </row>
    <row r="216" spans="6:23" x14ac:dyDescent="0.35">
      <c r="F216" s="140"/>
      <c r="G216" s="140"/>
      <c r="H216" s="140"/>
      <c r="I216" s="140"/>
      <c r="J216" s="140"/>
      <c r="K216" s="140"/>
      <c r="L216" s="140"/>
      <c r="M216" s="140"/>
      <c r="N216" s="140"/>
      <c r="O216" s="140"/>
      <c r="P216" s="140"/>
      <c r="Q216" s="140"/>
      <c r="R216" s="140"/>
      <c r="S216" s="140"/>
      <c r="T216" s="140"/>
      <c r="U216" s="140"/>
      <c r="V216" s="140"/>
      <c r="W216" s="140"/>
    </row>
    <row r="217" spans="6:23" x14ac:dyDescent="0.35">
      <c r="F217" s="140"/>
      <c r="G217" s="140"/>
      <c r="H217" s="140"/>
      <c r="I217" s="140"/>
      <c r="J217" s="140"/>
      <c r="K217" s="140"/>
      <c r="L217" s="140"/>
      <c r="M217" s="140"/>
      <c r="N217" s="140"/>
      <c r="O217" s="140"/>
      <c r="P217" s="140"/>
      <c r="Q217" s="140"/>
      <c r="R217" s="140"/>
      <c r="S217" s="140"/>
      <c r="T217" s="140"/>
      <c r="U217" s="140"/>
      <c r="V217" s="140"/>
      <c r="W217" s="140"/>
    </row>
    <row r="218" spans="6:23" x14ac:dyDescent="0.35">
      <c r="F218" s="140"/>
      <c r="G218" s="140"/>
      <c r="H218" s="140"/>
      <c r="I218" s="140"/>
      <c r="J218" s="140"/>
      <c r="K218" s="140"/>
      <c r="L218" s="140"/>
      <c r="M218" s="140"/>
      <c r="N218" s="140"/>
      <c r="O218" s="140"/>
      <c r="P218" s="140"/>
      <c r="Q218" s="140"/>
      <c r="R218" s="140"/>
      <c r="S218" s="140"/>
      <c r="T218" s="140"/>
      <c r="U218" s="140"/>
      <c r="V218" s="140"/>
      <c r="W218" s="140"/>
    </row>
    <row r="219" spans="6:23" x14ac:dyDescent="0.35">
      <c r="F219" s="140"/>
      <c r="G219" s="140"/>
      <c r="H219" s="140"/>
      <c r="I219" s="140"/>
      <c r="J219" s="140"/>
      <c r="K219" s="140"/>
      <c r="L219" s="140"/>
      <c r="M219" s="140"/>
      <c r="N219" s="140"/>
      <c r="O219" s="140"/>
      <c r="P219" s="140"/>
      <c r="Q219" s="140"/>
      <c r="R219" s="140"/>
      <c r="S219" s="140"/>
      <c r="T219" s="140"/>
      <c r="U219" s="140"/>
      <c r="V219" s="140"/>
      <c r="W219" s="140"/>
    </row>
    <row r="220" spans="6:23" x14ac:dyDescent="0.35">
      <c r="F220" s="140"/>
      <c r="G220" s="140"/>
      <c r="H220" s="140"/>
      <c r="I220" s="140"/>
      <c r="J220" s="140"/>
      <c r="K220" s="140"/>
      <c r="L220" s="140"/>
      <c r="M220" s="140"/>
      <c r="N220" s="140"/>
      <c r="O220" s="140"/>
      <c r="P220" s="140"/>
      <c r="Q220" s="140"/>
      <c r="R220" s="140"/>
      <c r="S220" s="140"/>
      <c r="T220" s="140"/>
      <c r="U220" s="140"/>
      <c r="V220" s="140"/>
      <c r="W220" s="140"/>
    </row>
    <row r="221" spans="6:23" x14ac:dyDescent="0.35">
      <c r="F221" s="140"/>
      <c r="G221" s="140"/>
      <c r="H221" s="140"/>
      <c r="I221" s="140"/>
      <c r="J221" s="140"/>
      <c r="K221" s="140"/>
      <c r="L221" s="140"/>
      <c r="M221" s="140"/>
      <c r="N221" s="140"/>
      <c r="O221" s="140"/>
      <c r="P221" s="140"/>
      <c r="Q221" s="140"/>
      <c r="R221" s="140"/>
      <c r="S221" s="140"/>
      <c r="T221" s="140"/>
      <c r="U221" s="140"/>
      <c r="V221" s="140"/>
      <c r="W221" s="140"/>
    </row>
    <row r="222" spans="6:23" x14ac:dyDescent="0.35">
      <c r="F222" s="140"/>
      <c r="G222" s="140"/>
      <c r="H222" s="140"/>
      <c r="I222" s="140"/>
      <c r="J222" s="140"/>
      <c r="K222" s="140"/>
      <c r="L222" s="140"/>
      <c r="M222" s="140"/>
      <c r="N222" s="140"/>
      <c r="O222" s="140"/>
      <c r="P222" s="140"/>
      <c r="Q222" s="140"/>
      <c r="R222" s="140"/>
      <c r="S222" s="140"/>
      <c r="T222" s="140"/>
      <c r="U222" s="140"/>
      <c r="V222" s="140"/>
      <c r="W222" s="140"/>
    </row>
    <row r="223" spans="6:23" x14ac:dyDescent="0.35">
      <c r="F223" s="140"/>
      <c r="G223" s="140"/>
      <c r="H223" s="140"/>
      <c r="I223" s="140"/>
      <c r="J223" s="140"/>
      <c r="K223" s="140"/>
      <c r="L223" s="140"/>
      <c r="M223" s="140"/>
      <c r="N223" s="140"/>
      <c r="O223" s="140"/>
      <c r="P223" s="140"/>
      <c r="Q223" s="140"/>
      <c r="R223" s="140"/>
      <c r="S223" s="140"/>
      <c r="T223" s="140"/>
      <c r="U223" s="140"/>
      <c r="V223" s="140"/>
      <c r="W223" s="140"/>
    </row>
    <row r="224" spans="6:23" x14ac:dyDescent="0.35">
      <c r="F224" s="140"/>
      <c r="G224" s="140"/>
      <c r="H224" s="140"/>
      <c r="I224" s="140"/>
      <c r="J224" s="140"/>
      <c r="K224" s="140"/>
      <c r="L224" s="140"/>
      <c r="M224" s="140"/>
      <c r="N224" s="140"/>
      <c r="O224" s="140"/>
      <c r="P224" s="140"/>
      <c r="Q224" s="140"/>
      <c r="R224" s="140"/>
      <c r="S224" s="140"/>
      <c r="T224" s="140"/>
      <c r="U224" s="140"/>
      <c r="V224" s="140"/>
      <c r="W224" s="140"/>
    </row>
    <row r="225" spans="6:23" x14ac:dyDescent="0.35">
      <c r="F225" s="140"/>
      <c r="G225" s="140"/>
      <c r="H225" s="140"/>
      <c r="I225" s="140"/>
      <c r="J225" s="140"/>
      <c r="K225" s="140"/>
      <c r="L225" s="140"/>
      <c r="M225" s="140"/>
      <c r="N225" s="140"/>
      <c r="O225" s="140"/>
      <c r="P225" s="140"/>
      <c r="Q225" s="140"/>
      <c r="R225" s="140"/>
      <c r="S225" s="140"/>
      <c r="T225" s="140"/>
      <c r="U225" s="140"/>
      <c r="V225" s="140"/>
      <c r="W225" s="140"/>
    </row>
    <row r="226" spans="6:23" x14ac:dyDescent="0.35">
      <c r="F226" s="140"/>
      <c r="G226" s="140"/>
      <c r="H226" s="140"/>
      <c r="I226" s="140"/>
      <c r="J226" s="140"/>
      <c r="K226" s="140"/>
      <c r="L226" s="140"/>
      <c r="M226" s="140"/>
      <c r="N226" s="140"/>
      <c r="O226" s="140"/>
      <c r="P226" s="140"/>
      <c r="Q226" s="140"/>
      <c r="R226" s="140"/>
      <c r="S226" s="140"/>
      <c r="T226" s="140"/>
      <c r="U226" s="140"/>
      <c r="V226" s="140"/>
      <c r="W226" s="140"/>
    </row>
    <row r="227" spans="6:23" x14ac:dyDescent="0.35">
      <c r="F227" s="140"/>
      <c r="G227" s="140"/>
      <c r="H227" s="140"/>
      <c r="I227" s="140"/>
      <c r="J227" s="140"/>
      <c r="K227" s="140"/>
      <c r="L227" s="140"/>
      <c r="M227" s="140"/>
      <c r="N227" s="140"/>
      <c r="O227" s="140"/>
      <c r="P227" s="140"/>
      <c r="Q227" s="140"/>
      <c r="R227" s="140"/>
      <c r="S227" s="140"/>
      <c r="T227" s="140"/>
      <c r="U227" s="140"/>
      <c r="V227" s="140"/>
      <c r="W227" s="140"/>
    </row>
    <row r="228" spans="6:23" x14ac:dyDescent="0.35">
      <c r="F228" s="140"/>
      <c r="G228" s="140"/>
      <c r="H228" s="140"/>
      <c r="I228" s="140"/>
      <c r="J228" s="140"/>
      <c r="K228" s="140"/>
      <c r="L228" s="140"/>
      <c r="M228" s="140"/>
      <c r="N228" s="140"/>
      <c r="O228" s="140"/>
      <c r="P228" s="140"/>
      <c r="Q228" s="140"/>
      <c r="R228" s="140"/>
      <c r="S228" s="140"/>
      <c r="T228" s="140"/>
      <c r="U228" s="140"/>
      <c r="V228" s="140"/>
      <c r="W228" s="140"/>
    </row>
    <row r="229" spans="6:23" x14ac:dyDescent="0.35">
      <c r="F229" s="140"/>
      <c r="G229" s="140"/>
      <c r="H229" s="140"/>
      <c r="I229" s="140"/>
      <c r="J229" s="140"/>
      <c r="K229" s="140"/>
      <c r="L229" s="140"/>
      <c r="M229" s="140"/>
      <c r="N229" s="140"/>
      <c r="O229" s="140"/>
      <c r="P229" s="140"/>
      <c r="Q229" s="140"/>
      <c r="R229" s="140"/>
      <c r="S229" s="140"/>
      <c r="T229" s="140"/>
      <c r="U229" s="140"/>
      <c r="V229" s="140"/>
      <c r="W229" s="140"/>
    </row>
    <row r="230" spans="6:23" x14ac:dyDescent="0.35">
      <c r="F230" s="140"/>
      <c r="G230" s="140"/>
      <c r="H230" s="140"/>
      <c r="I230" s="140"/>
      <c r="J230" s="140"/>
      <c r="K230" s="140"/>
      <c r="L230" s="140"/>
      <c r="M230" s="140"/>
      <c r="N230" s="140"/>
      <c r="O230" s="140"/>
      <c r="P230" s="140"/>
      <c r="Q230" s="140"/>
      <c r="R230" s="140"/>
      <c r="S230" s="140"/>
      <c r="T230" s="140"/>
      <c r="U230" s="140"/>
      <c r="V230" s="140"/>
      <c r="W230" s="140"/>
    </row>
    <row r="231" spans="6:23" x14ac:dyDescent="0.35">
      <c r="F231" s="140"/>
      <c r="G231" s="140"/>
      <c r="H231" s="140"/>
      <c r="I231" s="140"/>
      <c r="J231" s="140"/>
      <c r="K231" s="140"/>
      <c r="L231" s="140"/>
      <c r="M231" s="140"/>
      <c r="N231" s="140"/>
      <c r="O231" s="140"/>
      <c r="P231" s="140"/>
      <c r="Q231" s="140"/>
      <c r="R231" s="140"/>
      <c r="S231" s="140"/>
      <c r="T231" s="140"/>
      <c r="U231" s="140"/>
      <c r="V231" s="140"/>
      <c r="W231" s="140"/>
    </row>
    <row r="232" spans="6:23" x14ac:dyDescent="0.35">
      <c r="F232" s="140"/>
      <c r="G232" s="140"/>
      <c r="H232" s="140"/>
      <c r="I232" s="140"/>
      <c r="J232" s="140"/>
      <c r="K232" s="140"/>
      <c r="L232" s="140"/>
      <c r="M232" s="140"/>
      <c r="N232" s="140"/>
      <c r="O232" s="140"/>
      <c r="P232" s="140"/>
      <c r="Q232" s="140"/>
      <c r="R232" s="140"/>
      <c r="S232" s="140"/>
      <c r="T232" s="140"/>
      <c r="U232" s="140"/>
      <c r="V232" s="140"/>
      <c r="W232" s="140"/>
    </row>
    <row r="233" spans="6:23" x14ac:dyDescent="0.35">
      <c r="F233" s="140"/>
      <c r="G233" s="140"/>
      <c r="H233" s="140"/>
      <c r="I233" s="140"/>
      <c r="J233" s="140"/>
      <c r="K233" s="140"/>
      <c r="L233" s="140"/>
      <c r="M233" s="140"/>
      <c r="N233" s="140"/>
      <c r="O233" s="140"/>
      <c r="P233" s="140"/>
      <c r="Q233" s="140"/>
      <c r="R233" s="140"/>
      <c r="S233" s="140"/>
      <c r="T233" s="140"/>
      <c r="U233" s="140"/>
      <c r="V233" s="140"/>
      <c r="W233" s="140"/>
    </row>
    <row r="234" spans="6:23" x14ac:dyDescent="0.35">
      <c r="F234" s="140"/>
      <c r="G234" s="140"/>
      <c r="H234" s="140"/>
      <c r="I234" s="140"/>
      <c r="J234" s="140"/>
      <c r="K234" s="140"/>
      <c r="L234" s="140"/>
      <c r="M234" s="140"/>
      <c r="N234" s="140"/>
      <c r="O234" s="140"/>
      <c r="P234" s="140"/>
      <c r="Q234" s="140"/>
      <c r="R234" s="140"/>
      <c r="S234" s="140"/>
      <c r="T234" s="140"/>
      <c r="U234" s="140"/>
      <c r="V234" s="140"/>
      <c r="W234" s="140"/>
    </row>
    <row r="235" spans="6:23" x14ac:dyDescent="0.35">
      <c r="F235" s="140"/>
      <c r="G235" s="140"/>
      <c r="H235" s="140"/>
      <c r="I235" s="140"/>
      <c r="J235" s="140"/>
      <c r="K235" s="140"/>
      <c r="L235" s="140"/>
      <c r="M235" s="140"/>
      <c r="N235" s="140"/>
      <c r="O235" s="140"/>
      <c r="P235" s="140"/>
      <c r="Q235" s="140"/>
      <c r="R235" s="140"/>
      <c r="S235" s="140"/>
      <c r="T235" s="140"/>
      <c r="U235" s="140"/>
      <c r="V235" s="140"/>
      <c r="W235" s="140"/>
    </row>
    <row r="236" spans="6:23" x14ac:dyDescent="0.35">
      <c r="F236" s="140"/>
      <c r="G236" s="140"/>
      <c r="H236" s="140"/>
      <c r="I236" s="140"/>
      <c r="J236" s="140"/>
      <c r="K236" s="140"/>
      <c r="L236" s="140"/>
      <c r="M236" s="140"/>
      <c r="N236" s="140"/>
      <c r="O236" s="140"/>
      <c r="P236" s="140"/>
      <c r="Q236" s="140"/>
      <c r="R236" s="140"/>
      <c r="S236" s="140"/>
      <c r="T236" s="140"/>
      <c r="U236" s="140"/>
      <c r="V236" s="140"/>
      <c r="W236" s="140"/>
    </row>
    <row r="237" spans="6:23" x14ac:dyDescent="0.35">
      <c r="F237" s="140"/>
      <c r="G237" s="140"/>
      <c r="H237" s="140"/>
      <c r="I237" s="140"/>
      <c r="J237" s="140"/>
      <c r="K237" s="140"/>
      <c r="L237" s="140"/>
      <c r="M237" s="140"/>
      <c r="N237" s="140"/>
      <c r="O237" s="140"/>
      <c r="P237" s="140"/>
      <c r="Q237" s="140"/>
      <c r="R237" s="140"/>
      <c r="S237" s="140"/>
      <c r="T237" s="140"/>
      <c r="U237" s="140"/>
      <c r="V237" s="140"/>
      <c r="W237" s="140"/>
    </row>
    <row r="238" spans="6:23" x14ac:dyDescent="0.35">
      <c r="F238" s="140"/>
      <c r="G238" s="140"/>
      <c r="H238" s="140"/>
      <c r="I238" s="140"/>
      <c r="J238" s="140"/>
      <c r="K238" s="140"/>
      <c r="L238" s="140"/>
      <c r="M238" s="140"/>
      <c r="N238" s="140"/>
      <c r="O238" s="140"/>
      <c r="P238" s="140"/>
      <c r="Q238" s="140"/>
      <c r="R238" s="140"/>
      <c r="S238" s="140"/>
      <c r="T238" s="140"/>
      <c r="U238" s="140"/>
      <c r="V238" s="140"/>
      <c r="W238" s="140"/>
    </row>
    <row r="239" spans="6:23" x14ac:dyDescent="0.35">
      <c r="F239" s="140"/>
      <c r="G239" s="140"/>
      <c r="H239" s="140"/>
      <c r="I239" s="140"/>
      <c r="J239" s="140"/>
      <c r="K239" s="140"/>
      <c r="L239" s="140"/>
      <c r="M239" s="140"/>
      <c r="N239" s="140"/>
      <c r="O239" s="140"/>
      <c r="P239" s="140"/>
      <c r="Q239" s="140"/>
      <c r="R239" s="140"/>
      <c r="S239" s="140"/>
      <c r="T239" s="140"/>
      <c r="U239" s="140"/>
      <c r="V239" s="140"/>
      <c r="W239" s="140"/>
    </row>
    <row r="240" spans="6:23" x14ac:dyDescent="0.35">
      <c r="F240" s="140"/>
      <c r="G240" s="140"/>
      <c r="H240" s="140"/>
      <c r="I240" s="140"/>
      <c r="J240" s="140"/>
      <c r="K240" s="140"/>
      <c r="L240" s="140"/>
      <c r="M240" s="140"/>
      <c r="N240" s="140"/>
      <c r="O240" s="140"/>
      <c r="P240" s="140"/>
      <c r="Q240" s="140"/>
      <c r="R240" s="140"/>
      <c r="S240" s="140"/>
      <c r="T240" s="140"/>
      <c r="U240" s="140"/>
      <c r="V240" s="140"/>
      <c r="W240" s="140"/>
    </row>
    <row r="241" spans="6:23" x14ac:dyDescent="0.35">
      <c r="F241" s="140"/>
      <c r="G241" s="140"/>
      <c r="H241" s="140"/>
      <c r="I241" s="140"/>
      <c r="J241" s="140"/>
      <c r="K241" s="140"/>
      <c r="L241" s="140"/>
      <c r="M241" s="140"/>
      <c r="N241" s="140"/>
      <c r="O241" s="140"/>
      <c r="P241" s="140"/>
      <c r="Q241" s="140"/>
      <c r="R241" s="140"/>
      <c r="S241" s="140"/>
      <c r="T241" s="140"/>
      <c r="U241" s="140"/>
      <c r="V241" s="140"/>
      <c r="W241" s="140"/>
    </row>
    <row r="242" spans="6:23" x14ac:dyDescent="0.35">
      <c r="F242" s="140"/>
      <c r="G242" s="140"/>
      <c r="H242" s="140"/>
      <c r="I242" s="140"/>
      <c r="J242" s="140"/>
      <c r="K242" s="140"/>
      <c r="L242" s="140"/>
      <c r="M242" s="140"/>
      <c r="N242" s="140"/>
      <c r="O242" s="140"/>
      <c r="P242" s="140"/>
      <c r="Q242" s="140"/>
      <c r="R242" s="140"/>
      <c r="S242" s="140"/>
      <c r="T242" s="140"/>
      <c r="U242" s="140"/>
      <c r="V242" s="140"/>
      <c r="W242" s="140"/>
    </row>
    <row r="243" spans="6:23" x14ac:dyDescent="0.35">
      <c r="F243" s="140"/>
      <c r="G243" s="140"/>
      <c r="H243" s="140"/>
      <c r="I243" s="140"/>
      <c r="J243" s="140"/>
      <c r="K243" s="140"/>
      <c r="L243" s="140"/>
      <c r="M243" s="140"/>
      <c r="N243" s="140"/>
      <c r="O243" s="140"/>
      <c r="P243" s="140"/>
      <c r="Q243" s="140"/>
      <c r="R243" s="140"/>
      <c r="S243" s="140"/>
      <c r="T243" s="140"/>
      <c r="U243" s="140"/>
      <c r="V243" s="140"/>
      <c r="W243" s="140"/>
    </row>
    <row r="244" spans="6:23" x14ac:dyDescent="0.35">
      <c r="F244" s="140"/>
      <c r="G244" s="140"/>
      <c r="H244" s="140"/>
      <c r="I244" s="140"/>
      <c r="J244" s="140"/>
      <c r="K244" s="140"/>
      <c r="L244" s="140"/>
      <c r="M244" s="140"/>
      <c r="N244" s="140"/>
      <c r="O244" s="140"/>
      <c r="P244" s="140"/>
      <c r="Q244" s="140"/>
      <c r="R244" s="140"/>
      <c r="S244" s="140"/>
      <c r="T244" s="140"/>
      <c r="U244" s="140"/>
      <c r="V244" s="140"/>
      <c r="W244" s="140"/>
    </row>
    <row r="245" spans="6:23" x14ac:dyDescent="0.35">
      <c r="F245" s="140"/>
      <c r="G245" s="140"/>
      <c r="H245" s="140"/>
      <c r="I245" s="140"/>
      <c r="J245" s="140"/>
      <c r="K245" s="140"/>
      <c r="L245" s="140"/>
      <c r="M245" s="140"/>
      <c r="N245" s="140"/>
      <c r="O245" s="140"/>
      <c r="P245" s="140"/>
      <c r="Q245" s="140"/>
      <c r="R245" s="140"/>
      <c r="S245" s="140"/>
      <c r="T245" s="140"/>
      <c r="U245" s="140"/>
      <c r="V245" s="140"/>
      <c r="W245" s="140"/>
    </row>
    <row r="246" spans="6:23" x14ac:dyDescent="0.35">
      <c r="F246" s="140"/>
      <c r="G246" s="140"/>
      <c r="H246" s="140"/>
      <c r="I246" s="140"/>
      <c r="J246" s="140"/>
      <c r="K246" s="140"/>
      <c r="L246" s="140"/>
      <c r="M246" s="140"/>
      <c r="N246" s="140"/>
      <c r="O246" s="140"/>
      <c r="P246" s="140"/>
      <c r="Q246" s="140"/>
      <c r="R246" s="140"/>
      <c r="S246" s="140"/>
      <c r="T246" s="140"/>
      <c r="U246" s="140"/>
      <c r="V246" s="140"/>
      <c r="W246" s="140"/>
    </row>
    <row r="247" spans="6:23" x14ac:dyDescent="0.35">
      <c r="F247" s="140"/>
      <c r="G247" s="140"/>
      <c r="H247" s="140"/>
      <c r="I247" s="140"/>
      <c r="J247" s="140"/>
      <c r="K247" s="140"/>
      <c r="L247" s="140"/>
      <c r="M247" s="140"/>
      <c r="N247" s="140"/>
      <c r="O247" s="140"/>
      <c r="P247" s="140"/>
      <c r="Q247" s="140"/>
      <c r="R247" s="140"/>
      <c r="S247" s="140"/>
      <c r="T247" s="140"/>
      <c r="U247" s="140"/>
      <c r="V247" s="140"/>
      <c r="W247" s="140"/>
    </row>
    <row r="248" spans="6:23" x14ac:dyDescent="0.35">
      <c r="F248" s="140"/>
      <c r="G248" s="140"/>
      <c r="H248" s="140"/>
      <c r="I248" s="140"/>
      <c r="J248" s="140"/>
      <c r="K248" s="140"/>
      <c r="L248" s="140"/>
      <c r="M248" s="140"/>
      <c r="N248" s="140"/>
      <c r="O248" s="140"/>
      <c r="P248" s="140"/>
      <c r="Q248" s="140"/>
      <c r="R248" s="140"/>
      <c r="S248" s="140"/>
      <c r="T248" s="140"/>
      <c r="U248" s="140"/>
      <c r="V248" s="140"/>
      <c r="W248" s="140"/>
    </row>
    <row r="249" spans="6:23" x14ac:dyDescent="0.35">
      <c r="F249" s="140"/>
      <c r="G249" s="140"/>
      <c r="H249" s="140"/>
      <c r="I249" s="140"/>
      <c r="J249" s="140"/>
      <c r="K249" s="140"/>
      <c r="L249" s="140"/>
      <c r="M249" s="140"/>
      <c r="N249" s="140"/>
      <c r="O249" s="140"/>
      <c r="P249" s="140"/>
      <c r="Q249" s="140"/>
      <c r="R249" s="140"/>
      <c r="S249" s="140"/>
      <c r="T249" s="140"/>
      <c r="U249" s="140"/>
      <c r="V249" s="140"/>
      <c r="W249" s="140"/>
    </row>
  </sheetData>
  <sheetProtection algorithmName="SHA-512" hashValue="2axG43IxWtHBB87QcsHxcR9iJ0hYCk4LK8GBJjBdFRwC5SD4vm1w6WHd0AdDS40TMA6te6UKBIebZFtRTAHx9A==" saltValue="U5OFJEocoe5HbR4PxbM8gQ==" spinCount="100000" sheet="1" objects="1" scenarios="1"/>
  <mergeCells count="1">
    <mergeCell ref="B5:G5"/>
  </mergeCells>
  <dataValidations count="5">
    <dataValidation type="list" allowBlank="1" showInputMessage="1" showErrorMessage="1" sqref="C28" xr:uid="{00000000-0002-0000-0100-000000000000}">
      <formula1>"fsensor,L,C"</formula1>
    </dataValidation>
    <dataValidation type="list" allowBlank="1" showInputMessage="1" showErrorMessage="1" sqref="C34" xr:uid="{00000000-0002-0000-0100-000001000000}">
      <formula1>"Rs,Rp"</formula1>
    </dataValidation>
    <dataValidation type="decimal" operator="greaterThan" allowBlank="1" showInputMessage="1" showErrorMessage="1" sqref="D31:D33" xr:uid="{00000000-0002-0000-0100-000002000000}">
      <formula1>0</formula1>
    </dataValidation>
    <dataValidation type="decimal" errorStyle="warning" allowBlank="1" showInputMessage="1" showErrorMessage="1" errorTitle="Extreme Value" error="Please verify the value is correct, note the units are μH, pF, and MHz." sqref="D26:D27" xr:uid="{00000000-0002-0000-0100-000003000000}">
      <formula1>0.001</formula1>
      <formula2>1000000</formula2>
    </dataValidation>
    <dataValidation allowBlank="1" showDropDown="1" showInputMessage="1" showErrorMessage="1" sqref="C35" xr:uid="{00000000-0002-0000-0100-000004000000}"/>
  </dataValidations>
  <hyperlinks>
    <hyperlink ref="C12" location="Spiral_Inductor_Designer!A1" display="Spiral Inductor Designer" xr:uid="{00000000-0004-0000-0100-000000000000}"/>
    <hyperlink ref="C20" location="'Spring Sensor'!A1" display="Spring Sensor Calculator Tool" xr:uid="{00000000-0004-0000-0100-000001000000}"/>
    <hyperlink ref="C13" location="SkinDepth!A1" display="Skin Depth Calculation" xr:uid="{00000000-0004-0000-0100-000002000000}"/>
    <hyperlink ref="C14" location="'LDC131x-LDC161x_Config'!A1" display="LDC161x/LDC131xConfig Tool" xr:uid="{00000000-0004-0000-0100-000003000000}"/>
    <hyperlink ref="C17" location="LDC1101_Calc!A1" display="LDC1101 Calc" xr:uid="{00000000-0004-0000-0100-000004000000}"/>
    <hyperlink ref="C15" location="'LDC13-16_SensorSetup'!A1" display="LDC131x/LDC161x Sensor Configuration" xr:uid="{00000000-0004-0000-0100-000005000000}"/>
    <hyperlink ref="C16" location="LDC0851_calc!A1" display="LDC0851 Calculator Tool" xr:uid="{00000000-0004-0000-0100-000006000000}"/>
    <hyperlink ref="C21" location="LDC2114_Config_tool!A1" display="LDC2114 Config Tool" xr:uid="{00000000-0004-0000-0100-000007000000}"/>
    <hyperlink ref="C22" location="Metal_Deflection!A1" display="Metal Deflection Calculator" xr:uid="{00000000-0004-0000-0100-000008000000}"/>
    <hyperlink ref="D6" r:id="rId1" xr:uid="{00000000-0004-0000-0100-000009000000}"/>
    <hyperlink ref="C18" location="LDC1000_Tools!A1" display="LDC1000_Tools" xr:uid="{00000000-0004-0000-0100-00000A000000}"/>
    <hyperlink ref="C19" location="Encoder_Calc_Tool!A1" display="Encoder Knob Design Tool" xr:uid="{00000000-0004-0000-0100-00000B000000}"/>
    <hyperlink ref="C23" location="LDC3114_Config_tool!A1" display="LDC3114_Config_Tool" xr:uid="{46C7D331-4E79-4A18-B77C-8CB98971270C}"/>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1025" r:id="rId5">
          <objectPr locked="0" defaultSize="0" autoPict="0" r:id="rId6">
            <anchor moveWithCells="1">
              <from>
                <xdr:col>2</xdr:col>
                <xdr:colOff>152400</xdr:colOff>
                <xdr:row>6</xdr:row>
                <xdr:rowOff>38100</xdr:rowOff>
              </from>
              <to>
                <xdr:col>2</xdr:col>
                <xdr:colOff>889000</xdr:colOff>
                <xdr:row>8</xdr:row>
                <xdr:rowOff>133350</xdr:rowOff>
              </to>
            </anchor>
          </objectPr>
        </oleObject>
      </mc:Choice>
      <mc:Fallback>
        <oleObject progId="Acrobat Document" dvAspect="DVASPECT_ICON" shapeId="102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2:AB329"/>
  <sheetViews>
    <sheetView showGridLines="0" showRowColHeaders="0" topLeftCell="A49" zoomScale="115" zoomScaleNormal="115" workbookViewId="0">
      <selection activeCell="D224" sqref="D224"/>
    </sheetView>
  </sheetViews>
  <sheetFormatPr defaultRowHeight="14.5" x14ac:dyDescent="0.35"/>
  <cols>
    <col min="1" max="1" width="6.7265625" customWidth="1"/>
    <col min="2" max="2" width="42.1796875" customWidth="1"/>
    <col min="3" max="3" width="9.1796875"/>
    <col min="4" max="4" width="18.453125" style="7" customWidth="1"/>
    <col min="5" max="5" width="8.54296875" style="7" customWidth="1"/>
    <col min="6" max="6" width="52" customWidth="1"/>
    <col min="7" max="7" width="9.453125" customWidth="1"/>
    <col min="8" max="9" width="8.7265625" customWidth="1"/>
    <col min="10" max="243" width="9.1796875"/>
    <col min="244" max="244" width="6.7265625" customWidth="1"/>
    <col min="245" max="245" width="42.1796875" customWidth="1"/>
    <col min="246" max="246" width="9.1796875"/>
    <col min="247" max="247" width="17.453125" customWidth="1"/>
    <col min="248" max="248" width="8.54296875" customWidth="1"/>
    <col min="249" max="249" width="0" hidden="1" customWidth="1"/>
    <col min="250" max="250" width="44.81640625" customWidth="1"/>
    <col min="251" max="252" width="9.1796875"/>
    <col min="253" max="253" width="3.1796875" customWidth="1"/>
    <col min="254" max="254" width="3.81640625" customWidth="1"/>
    <col min="255" max="255" width="8.54296875" customWidth="1"/>
    <col min="256" max="256" width="8.81640625" customWidth="1"/>
    <col min="257" max="257" width="7.453125" customWidth="1"/>
    <col min="258" max="258" width="8.26953125" customWidth="1"/>
    <col min="259" max="259" width="8" customWidth="1"/>
    <col min="260" max="260" width="8.1796875" customWidth="1"/>
    <col min="261" max="261" width="9" customWidth="1"/>
    <col min="262" max="262" width="9.1796875" customWidth="1"/>
    <col min="263" max="263" width="8.54296875" customWidth="1"/>
    <col min="264" max="264" width="11.453125" customWidth="1"/>
    <col min="265" max="499" width="9.1796875"/>
    <col min="500" max="500" width="6.7265625" customWidth="1"/>
    <col min="501" max="501" width="42.1796875" customWidth="1"/>
    <col min="502" max="502" width="9.1796875"/>
    <col min="503" max="503" width="17.453125" customWidth="1"/>
    <col min="504" max="504" width="8.54296875" customWidth="1"/>
    <col min="505" max="505" width="0" hidden="1" customWidth="1"/>
    <col min="506" max="506" width="44.81640625" customWidth="1"/>
    <col min="507" max="508" width="9.1796875"/>
    <col min="509" max="509" width="3.1796875" customWidth="1"/>
    <col min="510" max="510" width="3.81640625" customWidth="1"/>
    <col min="511" max="511" width="8.54296875" customWidth="1"/>
    <col min="512" max="512" width="8.81640625" customWidth="1"/>
    <col min="513" max="513" width="7.453125" customWidth="1"/>
    <col min="514" max="514" width="8.26953125" customWidth="1"/>
    <col min="515" max="515" width="8" customWidth="1"/>
    <col min="516" max="516" width="8.1796875" customWidth="1"/>
    <col min="517" max="517" width="9" customWidth="1"/>
    <col min="518" max="518" width="9.1796875" customWidth="1"/>
    <col min="519" max="519" width="8.54296875" customWidth="1"/>
    <col min="520" max="520" width="11.453125" customWidth="1"/>
    <col min="521" max="755" width="9.1796875"/>
    <col min="756" max="756" width="6.7265625" customWidth="1"/>
    <col min="757" max="757" width="42.1796875" customWidth="1"/>
    <col min="758" max="758" width="9.1796875"/>
    <col min="759" max="759" width="17.453125" customWidth="1"/>
    <col min="760" max="760" width="8.54296875" customWidth="1"/>
    <col min="761" max="761" width="0" hidden="1" customWidth="1"/>
    <col min="762" max="762" width="44.81640625" customWidth="1"/>
    <col min="763" max="764" width="9.1796875"/>
    <col min="765" max="765" width="3.1796875" customWidth="1"/>
    <col min="766" max="766" width="3.81640625" customWidth="1"/>
    <col min="767" max="767" width="8.54296875" customWidth="1"/>
    <col min="768" max="768" width="8.81640625" customWidth="1"/>
    <col min="769" max="769" width="7.453125" customWidth="1"/>
    <col min="770" max="770" width="8.26953125" customWidth="1"/>
    <col min="771" max="771" width="8" customWidth="1"/>
    <col min="772" max="772" width="8.1796875" customWidth="1"/>
    <col min="773" max="773" width="9" customWidth="1"/>
    <col min="774" max="774" width="9.1796875" customWidth="1"/>
    <col min="775" max="775" width="8.54296875" customWidth="1"/>
    <col min="776" max="776" width="11.453125" customWidth="1"/>
    <col min="777" max="1011" width="9.1796875"/>
    <col min="1012" max="1012" width="6.7265625" customWidth="1"/>
    <col min="1013" max="1013" width="42.1796875" customWidth="1"/>
    <col min="1014" max="1014" width="9.1796875"/>
    <col min="1015" max="1015" width="17.453125" customWidth="1"/>
    <col min="1016" max="1016" width="8.54296875" customWidth="1"/>
    <col min="1017" max="1017" width="0" hidden="1" customWidth="1"/>
    <col min="1018" max="1018" width="44.81640625" customWidth="1"/>
    <col min="1019" max="1020" width="9.1796875"/>
    <col min="1021" max="1021" width="3.1796875" customWidth="1"/>
    <col min="1022" max="1022" width="3.81640625" customWidth="1"/>
    <col min="1023" max="1023" width="8.54296875" customWidth="1"/>
    <col min="1024" max="1024" width="8.81640625" customWidth="1"/>
    <col min="1025" max="1025" width="7.453125" customWidth="1"/>
    <col min="1026" max="1026" width="8.26953125" customWidth="1"/>
    <col min="1027" max="1027" width="8" customWidth="1"/>
    <col min="1028" max="1028" width="8.1796875" customWidth="1"/>
    <col min="1029" max="1029" width="9" customWidth="1"/>
    <col min="1030" max="1030" width="9.1796875" customWidth="1"/>
    <col min="1031" max="1031" width="8.54296875" customWidth="1"/>
    <col min="1032" max="1032" width="11.453125" customWidth="1"/>
    <col min="1033" max="1267" width="9.1796875"/>
    <col min="1268" max="1268" width="6.7265625" customWidth="1"/>
    <col min="1269" max="1269" width="42.1796875" customWidth="1"/>
    <col min="1270" max="1270" width="9.1796875"/>
    <col min="1271" max="1271" width="17.453125" customWidth="1"/>
    <col min="1272" max="1272" width="8.54296875" customWidth="1"/>
    <col min="1273" max="1273" width="0" hidden="1" customWidth="1"/>
    <col min="1274" max="1274" width="44.81640625" customWidth="1"/>
    <col min="1275" max="1276" width="9.1796875"/>
    <col min="1277" max="1277" width="3.1796875" customWidth="1"/>
    <col min="1278" max="1278" width="3.81640625" customWidth="1"/>
    <col min="1279" max="1279" width="8.54296875" customWidth="1"/>
    <col min="1280" max="1280" width="8.81640625" customWidth="1"/>
    <col min="1281" max="1281" width="7.453125" customWidth="1"/>
    <col min="1282" max="1282" width="8.26953125" customWidth="1"/>
    <col min="1283" max="1283" width="8" customWidth="1"/>
    <col min="1284" max="1284" width="8.1796875" customWidth="1"/>
    <col min="1285" max="1285" width="9" customWidth="1"/>
    <col min="1286" max="1286" width="9.1796875" customWidth="1"/>
    <col min="1287" max="1287" width="8.54296875" customWidth="1"/>
    <col min="1288" max="1288" width="11.453125" customWidth="1"/>
    <col min="1289" max="1523" width="9.1796875"/>
    <col min="1524" max="1524" width="6.7265625" customWidth="1"/>
    <col min="1525" max="1525" width="42.1796875" customWidth="1"/>
    <col min="1526" max="1526" width="9.1796875"/>
    <col min="1527" max="1527" width="17.453125" customWidth="1"/>
    <col min="1528" max="1528" width="8.54296875" customWidth="1"/>
    <col min="1529" max="1529" width="0" hidden="1" customWidth="1"/>
    <col min="1530" max="1530" width="44.81640625" customWidth="1"/>
    <col min="1531" max="1532" width="9.1796875"/>
    <col min="1533" max="1533" width="3.1796875" customWidth="1"/>
    <col min="1534" max="1534" width="3.81640625" customWidth="1"/>
    <col min="1535" max="1535" width="8.54296875" customWidth="1"/>
    <col min="1536" max="1536" width="8.81640625" customWidth="1"/>
    <col min="1537" max="1537" width="7.453125" customWidth="1"/>
    <col min="1538" max="1538" width="8.26953125" customWidth="1"/>
    <col min="1539" max="1539" width="8" customWidth="1"/>
    <col min="1540" max="1540" width="8.1796875" customWidth="1"/>
    <col min="1541" max="1541" width="9" customWidth="1"/>
    <col min="1542" max="1542" width="9.1796875" customWidth="1"/>
    <col min="1543" max="1543" width="8.54296875" customWidth="1"/>
    <col min="1544" max="1544" width="11.453125" customWidth="1"/>
    <col min="1545" max="1779" width="9.1796875"/>
    <col min="1780" max="1780" width="6.7265625" customWidth="1"/>
    <col min="1781" max="1781" width="42.1796875" customWidth="1"/>
    <col min="1782" max="1782" width="9.1796875"/>
    <col min="1783" max="1783" width="17.453125" customWidth="1"/>
    <col min="1784" max="1784" width="8.54296875" customWidth="1"/>
    <col min="1785" max="1785" width="0" hidden="1" customWidth="1"/>
    <col min="1786" max="1786" width="44.81640625" customWidth="1"/>
    <col min="1787" max="1788" width="9.1796875"/>
    <col min="1789" max="1789" width="3.1796875" customWidth="1"/>
    <col min="1790" max="1790" width="3.81640625" customWidth="1"/>
    <col min="1791" max="1791" width="8.54296875" customWidth="1"/>
    <col min="1792" max="1792" width="8.81640625" customWidth="1"/>
    <col min="1793" max="1793" width="7.453125" customWidth="1"/>
    <col min="1794" max="1794" width="8.26953125" customWidth="1"/>
    <col min="1795" max="1795" width="8" customWidth="1"/>
    <col min="1796" max="1796" width="8.1796875" customWidth="1"/>
    <col min="1797" max="1797" width="9" customWidth="1"/>
    <col min="1798" max="1798" width="9.1796875" customWidth="1"/>
    <col min="1799" max="1799" width="8.54296875" customWidth="1"/>
    <col min="1800" max="1800" width="11.453125" customWidth="1"/>
    <col min="1801" max="2035" width="9.1796875"/>
    <col min="2036" max="2036" width="6.7265625" customWidth="1"/>
    <col min="2037" max="2037" width="42.1796875" customWidth="1"/>
    <col min="2038" max="2038" width="9.1796875"/>
    <col min="2039" max="2039" width="17.453125" customWidth="1"/>
    <col min="2040" max="2040" width="8.54296875" customWidth="1"/>
    <col min="2041" max="2041" width="0" hidden="1" customWidth="1"/>
    <col min="2042" max="2042" width="44.81640625" customWidth="1"/>
    <col min="2043" max="2044" width="9.1796875"/>
    <col min="2045" max="2045" width="3.1796875" customWidth="1"/>
    <col min="2046" max="2046" width="3.81640625" customWidth="1"/>
    <col min="2047" max="2047" width="8.54296875" customWidth="1"/>
    <col min="2048" max="2048" width="8.81640625" customWidth="1"/>
    <col min="2049" max="2049" width="7.453125" customWidth="1"/>
    <col min="2050" max="2050" width="8.26953125" customWidth="1"/>
    <col min="2051" max="2051" width="8" customWidth="1"/>
    <col min="2052" max="2052" width="8.1796875" customWidth="1"/>
    <col min="2053" max="2053" width="9" customWidth="1"/>
    <col min="2054" max="2054" width="9.1796875" customWidth="1"/>
    <col min="2055" max="2055" width="8.54296875" customWidth="1"/>
    <col min="2056" max="2056" width="11.453125" customWidth="1"/>
    <col min="2057" max="2291" width="9.1796875"/>
    <col min="2292" max="2292" width="6.7265625" customWidth="1"/>
    <col min="2293" max="2293" width="42.1796875" customWidth="1"/>
    <col min="2294" max="2294" width="9.1796875"/>
    <col min="2295" max="2295" width="17.453125" customWidth="1"/>
    <col min="2296" max="2296" width="8.54296875" customWidth="1"/>
    <col min="2297" max="2297" width="0" hidden="1" customWidth="1"/>
    <col min="2298" max="2298" width="44.81640625" customWidth="1"/>
    <col min="2299" max="2300" width="9.1796875"/>
    <col min="2301" max="2301" width="3.1796875" customWidth="1"/>
    <col min="2302" max="2302" width="3.81640625" customWidth="1"/>
    <col min="2303" max="2303" width="8.54296875" customWidth="1"/>
    <col min="2304" max="2304" width="8.81640625" customWidth="1"/>
    <col min="2305" max="2305" width="7.453125" customWidth="1"/>
    <col min="2306" max="2306" width="8.26953125" customWidth="1"/>
    <col min="2307" max="2307" width="8" customWidth="1"/>
    <col min="2308" max="2308" width="8.1796875" customWidth="1"/>
    <col min="2309" max="2309" width="9" customWidth="1"/>
    <col min="2310" max="2310" width="9.1796875" customWidth="1"/>
    <col min="2311" max="2311" width="8.54296875" customWidth="1"/>
    <col min="2312" max="2312" width="11.453125" customWidth="1"/>
    <col min="2313" max="2547" width="9.1796875"/>
    <col min="2548" max="2548" width="6.7265625" customWidth="1"/>
    <col min="2549" max="2549" width="42.1796875" customWidth="1"/>
    <col min="2550" max="2550" width="9.1796875"/>
    <col min="2551" max="2551" width="17.453125" customWidth="1"/>
    <col min="2552" max="2552" width="8.54296875" customWidth="1"/>
    <col min="2553" max="2553" width="0" hidden="1" customWidth="1"/>
    <col min="2554" max="2554" width="44.81640625" customWidth="1"/>
    <col min="2555" max="2556" width="9.1796875"/>
    <col min="2557" max="2557" width="3.1796875" customWidth="1"/>
    <col min="2558" max="2558" width="3.81640625" customWidth="1"/>
    <col min="2559" max="2559" width="8.54296875" customWidth="1"/>
    <col min="2560" max="2560" width="8.81640625" customWidth="1"/>
    <col min="2561" max="2561" width="7.453125" customWidth="1"/>
    <col min="2562" max="2562" width="8.26953125" customWidth="1"/>
    <col min="2563" max="2563" width="8" customWidth="1"/>
    <col min="2564" max="2564" width="8.1796875" customWidth="1"/>
    <col min="2565" max="2565" width="9" customWidth="1"/>
    <col min="2566" max="2566" width="9.1796875" customWidth="1"/>
    <col min="2567" max="2567" width="8.54296875" customWidth="1"/>
    <col min="2568" max="2568" width="11.453125" customWidth="1"/>
    <col min="2569" max="2803" width="9.1796875"/>
    <col min="2804" max="2804" width="6.7265625" customWidth="1"/>
    <col min="2805" max="2805" width="42.1796875" customWidth="1"/>
    <col min="2806" max="2806" width="9.1796875"/>
    <col min="2807" max="2807" width="17.453125" customWidth="1"/>
    <col min="2808" max="2808" width="8.54296875" customWidth="1"/>
    <col min="2809" max="2809" width="0" hidden="1" customWidth="1"/>
    <col min="2810" max="2810" width="44.81640625" customWidth="1"/>
    <col min="2811" max="2812" width="9.1796875"/>
    <col min="2813" max="2813" width="3.1796875" customWidth="1"/>
    <col min="2814" max="2814" width="3.81640625" customWidth="1"/>
    <col min="2815" max="2815" width="8.54296875" customWidth="1"/>
    <col min="2816" max="2816" width="8.81640625" customWidth="1"/>
    <col min="2817" max="2817" width="7.453125" customWidth="1"/>
    <col min="2818" max="2818" width="8.26953125" customWidth="1"/>
    <col min="2819" max="2819" width="8" customWidth="1"/>
    <col min="2820" max="2820" width="8.1796875" customWidth="1"/>
    <col min="2821" max="2821" width="9" customWidth="1"/>
    <col min="2822" max="2822" width="9.1796875" customWidth="1"/>
    <col min="2823" max="2823" width="8.54296875" customWidth="1"/>
    <col min="2824" max="2824" width="11.453125" customWidth="1"/>
    <col min="2825" max="3059" width="9.1796875"/>
    <col min="3060" max="3060" width="6.7265625" customWidth="1"/>
    <col min="3061" max="3061" width="42.1796875" customWidth="1"/>
    <col min="3062" max="3062" width="9.1796875"/>
    <col min="3063" max="3063" width="17.453125" customWidth="1"/>
    <col min="3064" max="3064" width="8.54296875" customWidth="1"/>
    <col min="3065" max="3065" width="0" hidden="1" customWidth="1"/>
    <col min="3066" max="3066" width="44.81640625" customWidth="1"/>
    <col min="3067" max="3068" width="9.1796875"/>
    <col min="3069" max="3069" width="3.1796875" customWidth="1"/>
    <col min="3070" max="3070" width="3.81640625" customWidth="1"/>
    <col min="3071" max="3071" width="8.54296875" customWidth="1"/>
    <col min="3072" max="3072" width="8.81640625" customWidth="1"/>
    <col min="3073" max="3073" width="7.453125" customWidth="1"/>
    <col min="3074" max="3074" width="8.26953125" customWidth="1"/>
    <col min="3075" max="3075" width="8" customWidth="1"/>
    <col min="3076" max="3076" width="8.1796875" customWidth="1"/>
    <col min="3077" max="3077" width="9" customWidth="1"/>
    <col min="3078" max="3078" width="9.1796875" customWidth="1"/>
    <col min="3079" max="3079" width="8.54296875" customWidth="1"/>
    <col min="3080" max="3080" width="11.453125" customWidth="1"/>
    <col min="3081" max="3315" width="9.1796875"/>
    <col min="3316" max="3316" width="6.7265625" customWidth="1"/>
    <col min="3317" max="3317" width="42.1796875" customWidth="1"/>
    <col min="3318" max="3318" width="9.1796875"/>
    <col min="3319" max="3319" width="17.453125" customWidth="1"/>
    <col min="3320" max="3320" width="8.54296875" customWidth="1"/>
    <col min="3321" max="3321" width="0" hidden="1" customWidth="1"/>
    <col min="3322" max="3322" width="44.81640625" customWidth="1"/>
    <col min="3323" max="3324" width="9.1796875"/>
    <col min="3325" max="3325" width="3.1796875" customWidth="1"/>
    <col min="3326" max="3326" width="3.81640625" customWidth="1"/>
    <col min="3327" max="3327" width="8.54296875" customWidth="1"/>
    <col min="3328" max="3328" width="8.81640625" customWidth="1"/>
    <col min="3329" max="3329" width="7.453125" customWidth="1"/>
    <col min="3330" max="3330" width="8.26953125" customWidth="1"/>
    <col min="3331" max="3331" width="8" customWidth="1"/>
    <col min="3332" max="3332" width="8.1796875" customWidth="1"/>
    <col min="3333" max="3333" width="9" customWidth="1"/>
    <col min="3334" max="3334" width="9.1796875" customWidth="1"/>
    <col min="3335" max="3335" width="8.54296875" customWidth="1"/>
    <col min="3336" max="3336" width="11.453125" customWidth="1"/>
    <col min="3337" max="3571" width="9.1796875"/>
    <col min="3572" max="3572" width="6.7265625" customWidth="1"/>
    <col min="3573" max="3573" width="42.1796875" customWidth="1"/>
    <col min="3574" max="3574" width="9.1796875"/>
    <col min="3575" max="3575" width="17.453125" customWidth="1"/>
    <col min="3576" max="3576" width="8.54296875" customWidth="1"/>
    <col min="3577" max="3577" width="0" hidden="1" customWidth="1"/>
    <col min="3578" max="3578" width="44.81640625" customWidth="1"/>
    <col min="3579" max="3580" width="9.1796875"/>
    <col min="3581" max="3581" width="3.1796875" customWidth="1"/>
    <col min="3582" max="3582" width="3.81640625" customWidth="1"/>
    <col min="3583" max="3583" width="8.54296875" customWidth="1"/>
    <col min="3584" max="3584" width="8.81640625" customWidth="1"/>
    <col min="3585" max="3585" width="7.453125" customWidth="1"/>
    <col min="3586" max="3586" width="8.26953125" customWidth="1"/>
    <col min="3587" max="3587" width="8" customWidth="1"/>
    <col min="3588" max="3588" width="8.1796875" customWidth="1"/>
    <col min="3589" max="3589" width="9" customWidth="1"/>
    <col min="3590" max="3590" width="9.1796875" customWidth="1"/>
    <col min="3591" max="3591" width="8.54296875" customWidth="1"/>
    <col min="3592" max="3592" width="11.453125" customWidth="1"/>
    <col min="3593" max="3827" width="9.1796875"/>
    <col min="3828" max="3828" width="6.7265625" customWidth="1"/>
    <col min="3829" max="3829" width="42.1796875" customWidth="1"/>
    <col min="3830" max="3830" width="9.1796875"/>
    <col min="3831" max="3831" width="17.453125" customWidth="1"/>
    <col min="3832" max="3832" width="8.54296875" customWidth="1"/>
    <col min="3833" max="3833" width="0" hidden="1" customWidth="1"/>
    <col min="3834" max="3834" width="44.81640625" customWidth="1"/>
    <col min="3835" max="3836" width="9.1796875"/>
    <col min="3837" max="3837" width="3.1796875" customWidth="1"/>
    <col min="3838" max="3838" width="3.81640625" customWidth="1"/>
    <col min="3839" max="3839" width="8.54296875" customWidth="1"/>
    <col min="3840" max="3840" width="8.81640625" customWidth="1"/>
    <col min="3841" max="3841" width="7.453125" customWidth="1"/>
    <col min="3842" max="3842" width="8.26953125" customWidth="1"/>
    <col min="3843" max="3843" width="8" customWidth="1"/>
    <col min="3844" max="3844" width="8.1796875" customWidth="1"/>
    <col min="3845" max="3845" width="9" customWidth="1"/>
    <col min="3846" max="3846" width="9.1796875" customWidth="1"/>
    <col min="3847" max="3847" width="8.54296875" customWidth="1"/>
    <col min="3848" max="3848" width="11.453125" customWidth="1"/>
    <col min="3849" max="4083" width="9.1796875"/>
    <col min="4084" max="4084" width="6.7265625" customWidth="1"/>
    <col min="4085" max="4085" width="42.1796875" customWidth="1"/>
    <col min="4086" max="4086" width="9.1796875"/>
    <col min="4087" max="4087" width="17.453125" customWidth="1"/>
    <col min="4088" max="4088" width="8.54296875" customWidth="1"/>
    <col min="4089" max="4089" width="0" hidden="1" customWidth="1"/>
    <col min="4090" max="4090" width="44.81640625" customWidth="1"/>
    <col min="4091" max="4092" width="9.1796875"/>
    <col min="4093" max="4093" width="3.1796875" customWidth="1"/>
    <col min="4094" max="4094" width="3.81640625" customWidth="1"/>
    <col min="4095" max="4095" width="8.54296875" customWidth="1"/>
    <col min="4096" max="4096" width="8.81640625" customWidth="1"/>
    <col min="4097" max="4097" width="7.453125" customWidth="1"/>
    <col min="4098" max="4098" width="8.26953125" customWidth="1"/>
    <col min="4099" max="4099" width="8" customWidth="1"/>
    <col min="4100" max="4100" width="8.1796875" customWidth="1"/>
    <col min="4101" max="4101" width="9" customWidth="1"/>
    <col min="4102" max="4102" width="9.1796875" customWidth="1"/>
    <col min="4103" max="4103" width="8.54296875" customWidth="1"/>
    <col min="4104" max="4104" width="11.453125" customWidth="1"/>
    <col min="4105" max="4339" width="9.1796875"/>
    <col min="4340" max="4340" width="6.7265625" customWidth="1"/>
    <col min="4341" max="4341" width="42.1796875" customWidth="1"/>
    <col min="4342" max="4342" width="9.1796875"/>
    <col min="4343" max="4343" width="17.453125" customWidth="1"/>
    <col min="4344" max="4344" width="8.54296875" customWidth="1"/>
    <col min="4345" max="4345" width="0" hidden="1" customWidth="1"/>
    <col min="4346" max="4346" width="44.81640625" customWidth="1"/>
    <col min="4347" max="4348" width="9.1796875"/>
    <col min="4349" max="4349" width="3.1796875" customWidth="1"/>
    <col min="4350" max="4350" width="3.81640625" customWidth="1"/>
    <col min="4351" max="4351" width="8.54296875" customWidth="1"/>
    <col min="4352" max="4352" width="8.81640625" customWidth="1"/>
    <col min="4353" max="4353" width="7.453125" customWidth="1"/>
    <col min="4354" max="4354" width="8.26953125" customWidth="1"/>
    <col min="4355" max="4355" width="8" customWidth="1"/>
    <col min="4356" max="4356" width="8.1796875" customWidth="1"/>
    <col min="4357" max="4357" width="9" customWidth="1"/>
    <col min="4358" max="4358" width="9.1796875" customWidth="1"/>
    <col min="4359" max="4359" width="8.54296875" customWidth="1"/>
    <col min="4360" max="4360" width="11.453125" customWidth="1"/>
    <col min="4361" max="4595" width="9.1796875"/>
    <col min="4596" max="4596" width="6.7265625" customWidth="1"/>
    <col min="4597" max="4597" width="42.1796875" customWidth="1"/>
    <col min="4598" max="4598" width="9.1796875"/>
    <col min="4599" max="4599" width="17.453125" customWidth="1"/>
    <col min="4600" max="4600" width="8.54296875" customWidth="1"/>
    <col min="4601" max="4601" width="0" hidden="1" customWidth="1"/>
    <col min="4602" max="4602" width="44.81640625" customWidth="1"/>
    <col min="4603" max="4604" width="9.1796875"/>
    <col min="4605" max="4605" width="3.1796875" customWidth="1"/>
    <col min="4606" max="4606" width="3.81640625" customWidth="1"/>
    <col min="4607" max="4607" width="8.54296875" customWidth="1"/>
    <col min="4608" max="4608" width="8.81640625" customWidth="1"/>
    <col min="4609" max="4609" width="7.453125" customWidth="1"/>
    <col min="4610" max="4610" width="8.26953125" customWidth="1"/>
    <col min="4611" max="4611" width="8" customWidth="1"/>
    <col min="4612" max="4612" width="8.1796875" customWidth="1"/>
    <col min="4613" max="4613" width="9" customWidth="1"/>
    <col min="4614" max="4614" width="9.1796875" customWidth="1"/>
    <col min="4615" max="4615" width="8.54296875" customWidth="1"/>
    <col min="4616" max="4616" width="11.453125" customWidth="1"/>
    <col min="4617" max="4851" width="9.1796875"/>
    <col min="4852" max="4852" width="6.7265625" customWidth="1"/>
    <col min="4853" max="4853" width="42.1796875" customWidth="1"/>
    <col min="4854" max="4854" width="9.1796875"/>
    <col min="4855" max="4855" width="17.453125" customWidth="1"/>
    <col min="4856" max="4856" width="8.54296875" customWidth="1"/>
    <col min="4857" max="4857" width="0" hidden="1" customWidth="1"/>
    <col min="4858" max="4858" width="44.81640625" customWidth="1"/>
    <col min="4859" max="4860" width="9.1796875"/>
    <col min="4861" max="4861" width="3.1796875" customWidth="1"/>
    <col min="4862" max="4862" width="3.81640625" customWidth="1"/>
    <col min="4863" max="4863" width="8.54296875" customWidth="1"/>
    <col min="4864" max="4864" width="8.81640625" customWidth="1"/>
    <col min="4865" max="4865" width="7.453125" customWidth="1"/>
    <col min="4866" max="4866" width="8.26953125" customWidth="1"/>
    <col min="4867" max="4867" width="8" customWidth="1"/>
    <col min="4868" max="4868" width="8.1796875" customWidth="1"/>
    <col min="4869" max="4869" width="9" customWidth="1"/>
    <col min="4870" max="4870" width="9.1796875" customWidth="1"/>
    <col min="4871" max="4871" width="8.54296875" customWidth="1"/>
    <col min="4872" max="4872" width="11.453125" customWidth="1"/>
    <col min="4873" max="5107" width="9.1796875"/>
    <col min="5108" max="5108" width="6.7265625" customWidth="1"/>
    <col min="5109" max="5109" width="42.1796875" customWidth="1"/>
    <col min="5110" max="5110" width="9.1796875"/>
    <col min="5111" max="5111" width="17.453125" customWidth="1"/>
    <col min="5112" max="5112" width="8.54296875" customWidth="1"/>
    <col min="5113" max="5113" width="0" hidden="1" customWidth="1"/>
    <col min="5114" max="5114" width="44.81640625" customWidth="1"/>
    <col min="5115" max="5116" width="9.1796875"/>
    <col min="5117" max="5117" width="3.1796875" customWidth="1"/>
    <col min="5118" max="5118" width="3.81640625" customWidth="1"/>
    <col min="5119" max="5119" width="8.54296875" customWidth="1"/>
    <col min="5120" max="5120" width="8.81640625" customWidth="1"/>
    <col min="5121" max="5121" width="7.453125" customWidth="1"/>
    <col min="5122" max="5122" width="8.26953125" customWidth="1"/>
    <col min="5123" max="5123" width="8" customWidth="1"/>
    <col min="5124" max="5124" width="8.1796875" customWidth="1"/>
    <col min="5125" max="5125" width="9" customWidth="1"/>
    <col min="5126" max="5126" width="9.1796875" customWidth="1"/>
    <col min="5127" max="5127" width="8.54296875" customWidth="1"/>
    <col min="5128" max="5128" width="11.453125" customWidth="1"/>
    <col min="5129" max="5363" width="9.1796875"/>
    <col min="5364" max="5364" width="6.7265625" customWidth="1"/>
    <col min="5365" max="5365" width="42.1796875" customWidth="1"/>
    <col min="5366" max="5366" width="9.1796875"/>
    <col min="5367" max="5367" width="17.453125" customWidth="1"/>
    <col min="5368" max="5368" width="8.54296875" customWidth="1"/>
    <col min="5369" max="5369" width="0" hidden="1" customWidth="1"/>
    <col min="5370" max="5370" width="44.81640625" customWidth="1"/>
    <col min="5371" max="5372" width="9.1796875"/>
    <col min="5373" max="5373" width="3.1796875" customWidth="1"/>
    <col min="5374" max="5374" width="3.81640625" customWidth="1"/>
    <col min="5375" max="5375" width="8.54296875" customWidth="1"/>
    <col min="5376" max="5376" width="8.81640625" customWidth="1"/>
    <col min="5377" max="5377" width="7.453125" customWidth="1"/>
    <col min="5378" max="5378" width="8.26953125" customWidth="1"/>
    <col min="5379" max="5379" width="8" customWidth="1"/>
    <col min="5380" max="5380" width="8.1796875" customWidth="1"/>
    <col min="5381" max="5381" width="9" customWidth="1"/>
    <col min="5382" max="5382" width="9.1796875" customWidth="1"/>
    <col min="5383" max="5383" width="8.54296875" customWidth="1"/>
    <col min="5384" max="5384" width="11.453125" customWidth="1"/>
    <col min="5385" max="5619" width="9.1796875"/>
    <col min="5620" max="5620" width="6.7265625" customWidth="1"/>
    <col min="5621" max="5621" width="42.1796875" customWidth="1"/>
    <col min="5622" max="5622" width="9.1796875"/>
    <col min="5623" max="5623" width="17.453125" customWidth="1"/>
    <col min="5624" max="5624" width="8.54296875" customWidth="1"/>
    <col min="5625" max="5625" width="0" hidden="1" customWidth="1"/>
    <col min="5626" max="5626" width="44.81640625" customWidth="1"/>
    <col min="5627" max="5628" width="9.1796875"/>
    <col min="5629" max="5629" width="3.1796875" customWidth="1"/>
    <col min="5630" max="5630" width="3.81640625" customWidth="1"/>
    <col min="5631" max="5631" width="8.54296875" customWidth="1"/>
    <col min="5632" max="5632" width="8.81640625" customWidth="1"/>
    <col min="5633" max="5633" width="7.453125" customWidth="1"/>
    <col min="5634" max="5634" width="8.26953125" customWidth="1"/>
    <col min="5635" max="5635" width="8" customWidth="1"/>
    <col min="5636" max="5636" width="8.1796875" customWidth="1"/>
    <col min="5637" max="5637" width="9" customWidth="1"/>
    <col min="5638" max="5638" width="9.1796875" customWidth="1"/>
    <col min="5639" max="5639" width="8.54296875" customWidth="1"/>
    <col min="5640" max="5640" width="11.453125" customWidth="1"/>
    <col min="5641" max="5875" width="9.1796875"/>
    <col min="5876" max="5876" width="6.7265625" customWidth="1"/>
    <col min="5877" max="5877" width="42.1796875" customWidth="1"/>
    <col min="5878" max="5878" width="9.1796875"/>
    <col min="5879" max="5879" width="17.453125" customWidth="1"/>
    <col min="5880" max="5880" width="8.54296875" customWidth="1"/>
    <col min="5881" max="5881" width="0" hidden="1" customWidth="1"/>
    <col min="5882" max="5882" width="44.81640625" customWidth="1"/>
    <col min="5883" max="5884" width="9.1796875"/>
    <col min="5885" max="5885" width="3.1796875" customWidth="1"/>
    <col min="5886" max="5886" width="3.81640625" customWidth="1"/>
    <col min="5887" max="5887" width="8.54296875" customWidth="1"/>
    <col min="5888" max="5888" width="8.81640625" customWidth="1"/>
    <col min="5889" max="5889" width="7.453125" customWidth="1"/>
    <col min="5890" max="5890" width="8.26953125" customWidth="1"/>
    <col min="5891" max="5891" width="8" customWidth="1"/>
    <col min="5892" max="5892" width="8.1796875" customWidth="1"/>
    <col min="5893" max="5893" width="9" customWidth="1"/>
    <col min="5894" max="5894" width="9.1796875" customWidth="1"/>
    <col min="5895" max="5895" width="8.54296875" customWidth="1"/>
    <col min="5896" max="5896" width="11.453125" customWidth="1"/>
    <col min="5897" max="6131" width="9.1796875"/>
    <col min="6132" max="6132" width="6.7265625" customWidth="1"/>
    <col min="6133" max="6133" width="42.1796875" customWidth="1"/>
    <col min="6134" max="6134" width="9.1796875"/>
    <col min="6135" max="6135" width="17.453125" customWidth="1"/>
    <col min="6136" max="6136" width="8.54296875" customWidth="1"/>
    <col min="6137" max="6137" width="0" hidden="1" customWidth="1"/>
    <col min="6138" max="6138" width="44.81640625" customWidth="1"/>
    <col min="6139" max="6140" width="9.1796875"/>
    <col min="6141" max="6141" width="3.1796875" customWidth="1"/>
    <col min="6142" max="6142" width="3.81640625" customWidth="1"/>
    <col min="6143" max="6143" width="8.54296875" customWidth="1"/>
    <col min="6144" max="6144" width="8.81640625" customWidth="1"/>
    <col min="6145" max="6145" width="7.453125" customWidth="1"/>
    <col min="6146" max="6146" width="8.26953125" customWidth="1"/>
    <col min="6147" max="6147" width="8" customWidth="1"/>
    <col min="6148" max="6148" width="8.1796875" customWidth="1"/>
    <col min="6149" max="6149" width="9" customWidth="1"/>
    <col min="6150" max="6150" width="9.1796875" customWidth="1"/>
    <col min="6151" max="6151" width="8.54296875" customWidth="1"/>
    <col min="6152" max="6152" width="11.453125" customWidth="1"/>
    <col min="6153" max="6387" width="9.1796875"/>
    <col min="6388" max="6388" width="6.7265625" customWidth="1"/>
    <col min="6389" max="6389" width="42.1796875" customWidth="1"/>
    <col min="6390" max="6390" width="9.1796875"/>
    <col min="6391" max="6391" width="17.453125" customWidth="1"/>
    <col min="6392" max="6392" width="8.54296875" customWidth="1"/>
    <col min="6393" max="6393" width="0" hidden="1" customWidth="1"/>
    <col min="6394" max="6394" width="44.81640625" customWidth="1"/>
    <col min="6395" max="6396" width="9.1796875"/>
    <col min="6397" max="6397" width="3.1796875" customWidth="1"/>
    <col min="6398" max="6398" width="3.81640625" customWidth="1"/>
    <col min="6399" max="6399" width="8.54296875" customWidth="1"/>
    <col min="6400" max="6400" width="8.81640625" customWidth="1"/>
    <col min="6401" max="6401" width="7.453125" customWidth="1"/>
    <col min="6402" max="6402" width="8.26953125" customWidth="1"/>
    <col min="6403" max="6403" width="8" customWidth="1"/>
    <col min="6404" max="6404" width="8.1796875" customWidth="1"/>
    <col min="6405" max="6405" width="9" customWidth="1"/>
    <col min="6406" max="6406" width="9.1796875" customWidth="1"/>
    <col min="6407" max="6407" width="8.54296875" customWidth="1"/>
    <col min="6408" max="6408" width="11.453125" customWidth="1"/>
    <col min="6409" max="6643" width="9.1796875"/>
    <col min="6644" max="6644" width="6.7265625" customWidth="1"/>
    <col min="6645" max="6645" width="42.1796875" customWidth="1"/>
    <col min="6646" max="6646" width="9.1796875"/>
    <col min="6647" max="6647" width="17.453125" customWidth="1"/>
    <col min="6648" max="6648" width="8.54296875" customWidth="1"/>
    <col min="6649" max="6649" width="0" hidden="1" customWidth="1"/>
    <col min="6650" max="6650" width="44.81640625" customWidth="1"/>
    <col min="6651" max="6652" width="9.1796875"/>
    <col min="6653" max="6653" width="3.1796875" customWidth="1"/>
    <col min="6654" max="6654" width="3.81640625" customWidth="1"/>
    <col min="6655" max="6655" width="8.54296875" customWidth="1"/>
    <col min="6656" max="6656" width="8.81640625" customWidth="1"/>
    <col min="6657" max="6657" width="7.453125" customWidth="1"/>
    <col min="6658" max="6658" width="8.26953125" customWidth="1"/>
    <col min="6659" max="6659" width="8" customWidth="1"/>
    <col min="6660" max="6660" width="8.1796875" customWidth="1"/>
    <col min="6661" max="6661" width="9" customWidth="1"/>
    <col min="6662" max="6662" width="9.1796875" customWidth="1"/>
    <col min="6663" max="6663" width="8.54296875" customWidth="1"/>
    <col min="6664" max="6664" width="11.453125" customWidth="1"/>
    <col min="6665" max="6899" width="9.1796875"/>
    <col min="6900" max="6900" width="6.7265625" customWidth="1"/>
    <col min="6901" max="6901" width="42.1796875" customWidth="1"/>
    <col min="6902" max="6902" width="9.1796875"/>
    <col min="6903" max="6903" width="17.453125" customWidth="1"/>
    <col min="6904" max="6904" width="8.54296875" customWidth="1"/>
    <col min="6905" max="6905" width="0" hidden="1" customWidth="1"/>
    <col min="6906" max="6906" width="44.81640625" customWidth="1"/>
    <col min="6907" max="6908" width="9.1796875"/>
    <col min="6909" max="6909" width="3.1796875" customWidth="1"/>
    <col min="6910" max="6910" width="3.81640625" customWidth="1"/>
    <col min="6911" max="6911" width="8.54296875" customWidth="1"/>
    <col min="6912" max="6912" width="8.81640625" customWidth="1"/>
    <col min="6913" max="6913" width="7.453125" customWidth="1"/>
    <col min="6914" max="6914" width="8.26953125" customWidth="1"/>
    <col min="6915" max="6915" width="8" customWidth="1"/>
    <col min="6916" max="6916" width="8.1796875" customWidth="1"/>
    <col min="6917" max="6917" width="9" customWidth="1"/>
    <col min="6918" max="6918" width="9.1796875" customWidth="1"/>
    <col min="6919" max="6919" width="8.54296875" customWidth="1"/>
    <col min="6920" max="6920" width="11.453125" customWidth="1"/>
    <col min="6921" max="7155" width="9.1796875"/>
    <col min="7156" max="7156" width="6.7265625" customWidth="1"/>
    <col min="7157" max="7157" width="42.1796875" customWidth="1"/>
    <col min="7158" max="7158" width="9.1796875"/>
    <col min="7159" max="7159" width="17.453125" customWidth="1"/>
    <col min="7160" max="7160" width="8.54296875" customWidth="1"/>
    <col min="7161" max="7161" width="0" hidden="1" customWidth="1"/>
    <col min="7162" max="7162" width="44.81640625" customWidth="1"/>
    <col min="7163" max="7164" width="9.1796875"/>
    <col min="7165" max="7165" width="3.1796875" customWidth="1"/>
    <col min="7166" max="7166" width="3.81640625" customWidth="1"/>
    <col min="7167" max="7167" width="8.54296875" customWidth="1"/>
    <col min="7168" max="7168" width="8.81640625" customWidth="1"/>
    <col min="7169" max="7169" width="7.453125" customWidth="1"/>
    <col min="7170" max="7170" width="8.26953125" customWidth="1"/>
    <col min="7171" max="7171" width="8" customWidth="1"/>
    <col min="7172" max="7172" width="8.1796875" customWidth="1"/>
    <col min="7173" max="7173" width="9" customWidth="1"/>
    <col min="7174" max="7174" width="9.1796875" customWidth="1"/>
    <col min="7175" max="7175" width="8.54296875" customWidth="1"/>
    <col min="7176" max="7176" width="11.453125" customWidth="1"/>
    <col min="7177" max="7411" width="9.1796875"/>
    <col min="7412" max="7412" width="6.7265625" customWidth="1"/>
    <col min="7413" max="7413" width="42.1796875" customWidth="1"/>
    <col min="7414" max="7414" width="9.1796875"/>
    <col min="7415" max="7415" width="17.453125" customWidth="1"/>
    <col min="7416" max="7416" width="8.54296875" customWidth="1"/>
    <col min="7417" max="7417" width="0" hidden="1" customWidth="1"/>
    <col min="7418" max="7418" width="44.81640625" customWidth="1"/>
    <col min="7419" max="7420" width="9.1796875"/>
    <col min="7421" max="7421" width="3.1796875" customWidth="1"/>
    <col min="7422" max="7422" width="3.81640625" customWidth="1"/>
    <col min="7423" max="7423" width="8.54296875" customWidth="1"/>
    <col min="7424" max="7424" width="8.81640625" customWidth="1"/>
    <col min="7425" max="7425" width="7.453125" customWidth="1"/>
    <col min="7426" max="7426" width="8.26953125" customWidth="1"/>
    <col min="7427" max="7427" width="8" customWidth="1"/>
    <col min="7428" max="7428" width="8.1796875" customWidth="1"/>
    <col min="7429" max="7429" width="9" customWidth="1"/>
    <col min="7430" max="7430" width="9.1796875" customWidth="1"/>
    <col min="7431" max="7431" width="8.54296875" customWidth="1"/>
    <col min="7432" max="7432" width="11.453125" customWidth="1"/>
    <col min="7433" max="7667" width="9.1796875"/>
    <col min="7668" max="7668" width="6.7265625" customWidth="1"/>
    <col min="7669" max="7669" width="42.1796875" customWidth="1"/>
    <col min="7670" max="7670" width="9.1796875"/>
    <col min="7671" max="7671" width="17.453125" customWidth="1"/>
    <col min="7672" max="7672" width="8.54296875" customWidth="1"/>
    <col min="7673" max="7673" width="0" hidden="1" customWidth="1"/>
    <col min="7674" max="7674" width="44.81640625" customWidth="1"/>
    <col min="7675" max="7676" width="9.1796875"/>
    <col min="7677" max="7677" width="3.1796875" customWidth="1"/>
    <col min="7678" max="7678" width="3.81640625" customWidth="1"/>
    <col min="7679" max="7679" width="8.54296875" customWidth="1"/>
    <col min="7680" max="7680" width="8.81640625" customWidth="1"/>
    <col min="7681" max="7681" width="7.453125" customWidth="1"/>
    <col min="7682" max="7682" width="8.26953125" customWidth="1"/>
    <col min="7683" max="7683" width="8" customWidth="1"/>
    <col min="7684" max="7684" width="8.1796875" customWidth="1"/>
    <col min="7685" max="7685" width="9" customWidth="1"/>
    <col min="7686" max="7686" width="9.1796875" customWidth="1"/>
    <col min="7687" max="7687" width="8.54296875" customWidth="1"/>
    <col min="7688" max="7688" width="11.453125" customWidth="1"/>
    <col min="7689" max="7923" width="9.1796875"/>
    <col min="7924" max="7924" width="6.7265625" customWidth="1"/>
    <col min="7925" max="7925" width="42.1796875" customWidth="1"/>
    <col min="7926" max="7926" width="9.1796875"/>
    <col min="7927" max="7927" width="17.453125" customWidth="1"/>
    <col min="7928" max="7928" width="8.54296875" customWidth="1"/>
    <col min="7929" max="7929" width="0" hidden="1" customWidth="1"/>
    <col min="7930" max="7930" width="44.81640625" customWidth="1"/>
    <col min="7931" max="7932" width="9.1796875"/>
    <col min="7933" max="7933" width="3.1796875" customWidth="1"/>
    <col min="7934" max="7934" width="3.81640625" customWidth="1"/>
    <col min="7935" max="7935" width="8.54296875" customWidth="1"/>
    <col min="7936" max="7936" width="8.81640625" customWidth="1"/>
    <col min="7937" max="7937" width="7.453125" customWidth="1"/>
    <col min="7938" max="7938" width="8.26953125" customWidth="1"/>
    <col min="7939" max="7939" width="8" customWidth="1"/>
    <col min="7940" max="7940" width="8.1796875" customWidth="1"/>
    <col min="7941" max="7941" width="9" customWidth="1"/>
    <col min="7942" max="7942" width="9.1796875" customWidth="1"/>
    <col min="7943" max="7943" width="8.54296875" customWidth="1"/>
    <col min="7944" max="7944" width="11.453125" customWidth="1"/>
    <col min="7945" max="8179" width="9.1796875"/>
    <col min="8180" max="8180" width="6.7265625" customWidth="1"/>
    <col min="8181" max="8181" width="42.1796875" customWidth="1"/>
    <col min="8182" max="8182" width="9.1796875"/>
    <col min="8183" max="8183" width="17.453125" customWidth="1"/>
    <col min="8184" max="8184" width="8.54296875" customWidth="1"/>
    <col min="8185" max="8185" width="0" hidden="1" customWidth="1"/>
    <col min="8186" max="8186" width="44.81640625" customWidth="1"/>
    <col min="8187" max="8188" width="9.1796875"/>
    <col min="8189" max="8189" width="3.1796875" customWidth="1"/>
    <col min="8190" max="8190" width="3.81640625" customWidth="1"/>
    <col min="8191" max="8191" width="8.54296875" customWidth="1"/>
    <col min="8192" max="8192" width="8.81640625" customWidth="1"/>
    <col min="8193" max="8193" width="7.453125" customWidth="1"/>
    <col min="8194" max="8194" width="8.26953125" customWidth="1"/>
    <col min="8195" max="8195" width="8" customWidth="1"/>
    <col min="8196" max="8196" width="8.1796875" customWidth="1"/>
    <col min="8197" max="8197" width="9" customWidth="1"/>
    <col min="8198" max="8198" width="9.1796875" customWidth="1"/>
    <col min="8199" max="8199" width="8.54296875" customWidth="1"/>
    <col min="8200" max="8200" width="11.453125" customWidth="1"/>
    <col min="8201" max="8435" width="9.1796875"/>
    <col min="8436" max="8436" width="6.7265625" customWidth="1"/>
    <col min="8437" max="8437" width="42.1796875" customWidth="1"/>
    <col min="8438" max="8438" width="9.1796875"/>
    <col min="8439" max="8439" width="17.453125" customWidth="1"/>
    <col min="8440" max="8440" width="8.54296875" customWidth="1"/>
    <col min="8441" max="8441" width="0" hidden="1" customWidth="1"/>
    <col min="8442" max="8442" width="44.81640625" customWidth="1"/>
    <col min="8443" max="8444" width="9.1796875"/>
    <col min="8445" max="8445" width="3.1796875" customWidth="1"/>
    <col min="8446" max="8446" width="3.81640625" customWidth="1"/>
    <col min="8447" max="8447" width="8.54296875" customWidth="1"/>
    <col min="8448" max="8448" width="8.81640625" customWidth="1"/>
    <col min="8449" max="8449" width="7.453125" customWidth="1"/>
    <col min="8450" max="8450" width="8.26953125" customWidth="1"/>
    <col min="8451" max="8451" width="8" customWidth="1"/>
    <col min="8452" max="8452" width="8.1796875" customWidth="1"/>
    <col min="8453" max="8453" width="9" customWidth="1"/>
    <col min="8454" max="8454" width="9.1796875" customWidth="1"/>
    <col min="8455" max="8455" width="8.54296875" customWidth="1"/>
    <col min="8456" max="8456" width="11.453125" customWidth="1"/>
    <col min="8457" max="8691" width="9.1796875"/>
    <col min="8692" max="8692" width="6.7265625" customWidth="1"/>
    <col min="8693" max="8693" width="42.1796875" customWidth="1"/>
    <col min="8694" max="8694" width="9.1796875"/>
    <col min="8695" max="8695" width="17.453125" customWidth="1"/>
    <col min="8696" max="8696" width="8.54296875" customWidth="1"/>
    <col min="8697" max="8697" width="0" hidden="1" customWidth="1"/>
    <col min="8698" max="8698" width="44.81640625" customWidth="1"/>
    <col min="8699" max="8700" width="9.1796875"/>
    <col min="8701" max="8701" width="3.1796875" customWidth="1"/>
    <col min="8702" max="8702" width="3.81640625" customWidth="1"/>
    <col min="8703" max="8703" width="8.54296875" customWidth="1"/>
    <col min="8704" max="8704" width="8.81640625" customWidth="1"/>
    <col min="8705" max="8705" width="7.453125" customWidth="1"/>
    <col min="8706" max="8706" width="8.26953125" customWidth="1"/>
    <col min="8707" max="8707" width="8" customWidth="1"/>
    <col min="8708" max="8708" width="8.1796875" customWidth="1"/>
    <col min="8709" max="8709" width="9" customWidth="1"/>
    <col min="8710" max="8710" width="9.1796875" customWidth="1"/>
    <col min="8711" max="8711" width="8.54296875" customWidth="1"/>
    <col min="8712" max="8712" width="11.453125" customWidth="1"/>
    <col min="8713" max="8947" width="9.1796875"/>
    <col min="8948" max="8948" width="6.7265625" customWidth="1"/>
    <col min="8949" max="8949" width="42.1796875" customWidth="1"/>
    <col min="8950" max="8950" width="9.1796875"/>
    <col min="8951" max="8951" width="17.453125" customWidth="1"/>
    <col min="8952" max="8952" width="8.54296875" customWidth="1"/>
    <col min="8953" max="8953" width="0" hidden="1" customWidth="1"/>
    <col min="8954" max="8954" width="44.81640625" customWidth="1"/>
    <col min="8955" max="8956" width="9.1796875"/>
    <col min="8957" max="8957" width="3.1796875" customWidth="1"/>
    <col min="8958" max="8958" width="3.81640625" customWidth="1"/>
    <col min="8959" max="8959" width="8.54296875" customWidth="1"/>
    <col min="8960" max="8960" width="8.81640625" customWidth="1"/>
    <col min="8961" max="8961" width="7.453125" customWidth="1"/>
    <col min="8962" max="8962" width="8.26953125" customWidth="1"/>
    <col min="8963" max="8963" width="8" customWidth="1"/>
    <col min="8964" max="8964" width="8.1796875" customWidth="1"/>
    <col min="8965" max="8965" width="9" customWidth="1"/>
    <col min="8966" max="8966" width="9.1796875" customWidth="1"/>
    <col min="8967" max="8967" width="8.54296875" customWidth="1"/>
    <col min="8968" max="8968" width="11.453125" customWidth="1"/>
    <col min="8969" max="9203" width="9.1796875"/>
    <col min="9204" max="9204" width="6.7265625" customWidth="1"/>
    <col min="9205" max="9205" width="42.1796875" customWidth="1"/>
    <col min="9206" max="9206" width="9.1796875"/>
    <col min="9207" max="9207" width="17.453125" customWidth="1"/>
    <col min="9208" max="9208" width="8.54296875" customWidth="1"/>
    <col min="9209" max="9209" width="0" hidden="1" customWidth="1"/>
    <col min="9210" max="9210" width="44.81640625" customWidth="1"/>
    <col min="9211" max="9212" width="9.1796875"/>
    <col min="9213" max="9213" width="3.1796875" customWidth="1"/>
    <col min="9214" max="9214" width="3.81640625" customWidth="1"/>
    <col min="9215" max="9215" width="8.54296875" customWidth="1"/>
    <col min="9216" max="9216" width="8.81640625" customWidth="1"/>
    <col min="9217" max="9217" width="7.453125" customWidth="1"/>
    <col min="9218" max="9218" width="8.26953125" customWidth="1"/>
    <col min="9219" max="9219" width="8" customWidth="1"/>
    <col min="9220" max="9220" width="8.1796875" customWidth="1"/>
    <col min="9221" max="9221" width="9" customWidth="1"/>
    <col min="9222" max="9222" width="9.1796875" customWidth="1"/>
    <col min="9223" max="9223" width="8.54296875" customWidth="1"/>
    <col min="9224" max="9224" width="11.453125" customWidth="1"/>
    <col min="9225" max="9459" width="9.1796875"/>
    <col min="9460" max="9460" width="6.7265625" customWidth="1"/>
    <col min="9461" max="9461" width="42.1796875" customWidth="1"/>
    <col min="9462" max="9462" width="9.1796875"/>
    <col min="9463" max="9463" width="17.453125" customWidth="1"/>
    <col min="9464" max="9464" width="8.54296875" customWidth="1"/>
    <col min="9465" max="9465" width="0" hidden="1" customWidth="1"/>
    <col min="9466" max="9466" width="44.81640625" customWidth="1"/>
    <col min="9467" max="9468" width="9.1796875"/>
    <col min="9469" max="9469" width="3.1796875" customWidth="1"/>
    <col min="9470" max="9470" width="3.81640625" customWidth="1"/>
    <col min="9471" max="9471" width="8.54296875" customWidth="1"/>
    <col min="9472" max="9472" width="8.81640625" customWidth="1"/>
    <col min="9473" max="9473" width="7.453125" customWidth="1"/>
    <col min="9474" max="9474" width="8.26953125" customWidth="1"/>
    <col min="9475" max="9475" width="8" customWidth="1"/>
    <col min="9476" max="9476" width="8.1796875" customWidth="1"/>
    <col min="9477" max="9477" width="9" customWidth="1"/>
    <col min="9478" max="9478" width="9.1796875" customWidth="1"/>
    <col min="9479" max="9479" width="8.54296875" customWidth="1"/>
    <col min="9480" max="9480" width="11.453125" customWidth="1"/>
    <col min="9481" max="9715" width="9.1796875"/>
    <col min="9716" max="9716" width="6.7265625" customWidth="1"/>
    <col min="9717" max="9717" width="42.1796875" customWidth="1"/>
    <col min="9718" max="9718" width="9.1796875"/>
    <col min="9719" max="9719" width="17.453125" customWidth="1"/>
    <col min="9720" max="9720" width="8.54296875" customWidth="1"/>
    <col min="9721" max="9721" width="0" hidden="1" customWidth="1"/>
    <col min="9722" max="9722" width="44.81640625" customWidth="1"/>
    <col min="9723" max="9724" width="9.1796875"/>
    <col min="9725" max="9725" width="3.1796875" customWidth="1"/>
    <col min="9726" max="9726" width="3.81640625" customWidth="1"/>
    <col min="9727" max="9727" width="8.54296875" customWidth="1"/>
    <col min="9728" max="9728" width="8.81640625" customWidth="1"/>
    <col min="9729" max="9729" width="7.453125" customWidth="1"/>
    <col min="9730" max="9730" width="8.26953125" customWidth="1"/>
    <col min="9731" max="9731" width="8" customWidth="1"/>
    <col min="9732" max="9732" width="8.1796875" customWidth="1"/>
    <col min="9733" max="9733" width="9" customWidth="1"/>
    <col min="9734" max="9734" width="9.1796875" customWidth="1"/>
    <col min="9735" max="9735" width="8.54296875" customWidth="1"/>
    <col min="9736" max="9736" width="11.453125" customWidth="1"/>
    <col min="9737" max="9971" width="9.1796875"/>
    <col min="9972" max="9972" width="6.7265625" customWidth="1"/>
    <col min="9973" max="9973" width="42.1796875" customWidth="1"/>
    <col min="9974" max="9974" width="9.1796875"/>
    <col min="9975" max="9975" width="17.453125" customWidth="1"/>
    <col min="9976" max="9976" width="8.54296875" customWidth="1"/>
    <col min="9977" max="9977" width="0" hidden="1" customWidth="1"/>
    <col min="9978" max="9978" width="44.81640625" customWidth="1"/>
    <col min="9979" max="9980" width="9.1796875"/>
    <col min="9981" max="9981" width="3.1796875" customWidth="1"/>
    <col min="9982" max="9982" width="3.81640625" customWidth="1"/>
    <col min="9983" max="9983" width="8.54296875" customWidth="1"/>
    <col min="9984" max="9984" width="8.81640625" customWidth="1"/>
    <col min="9985" max="9985" width="7.453125" customWidth="1"/>
    <col min="9986" max="9986" width="8.26953125" customWidth="1"/>
    <col min="9987" max="9987" width="8" customWidth="1"/>
    <col min="9988" max="9988" width="8.1796875" customWidth="1"/>
    <col min="9989" max="9989" width="9" customWidth="1"/>
    <col min="9990" max="9990" width="9.1796875" customWidth="1"/>
    <col min="9991" max="9991" width="8.54296875" customWidth="1"/>
    <col min="9992" max="9992" width="11.453125" customWidth="1"/>
    <col min="9993" max="10227" width="9.1796875"/>
    <col min="10228" max="10228" width="6.7265625" customWidth="1"/>
    <col min="10229" max="10229" width="42.1796875" customWidth="1"/>
    <col min="10230" max="10230" width="9.1796875"/>
    <col min="10231" max="10231" width="17.453125" customWidth="1"/>
    <col min="10232" max="10232" width="8.54296875" customWidth="1"/>
    <col min="10233" max="10233" width="0" hidden="1" customWidth="1"/>
    <col min="10234" max="10234" width="44.81640625" customWidth="1"/>
    <col min="10235" max="10236" width="9.1796875"/>
    <col min="10237" max="10237" width="3.1796875" customWidth="1"/>
    <col min="10238" max="10238" width="3.81640625" customWidth="1"/>
    <col min="10239" max="10239" width="8.54296875" customWidth="1"/>
    <col min="10240" max="10240" width="8.81640625" customWidth="1"/>
    <col min="10241" max="10241" width="7.453125" customWidth="1"/>
    <col min="10242" max="10242" width="8.26953125" customWidth="1"/>
    <col min="10243" max="10243" width="8" customWidth="1"/>
    <col min="10244" max="10244" width="8.1796875" customWidth="1"/>
    <col min="10245" max="10245" width="9" customWidth="1"/>
    <col min="10246" max="10246" width="9.1796875" customWidth="1"/>
    <col min="10247" max="10247" width="8.54296875" customWidth="1"/>
    <col min="10248" max="10248" width="11.453125" customWidth="1"/>
    <col min="10249" max="10483" width="9.1796875"/>
    <col min="10484" max="10484" width="6.7265625" customWidth="1"/>
    <col min="10485" max="10485" width="42.1796875" customWidth="1"/>
    <col min="10486" max="10486" width="9.1796875"/>
    <col min="10487" max="10487" width="17.453125" customWidth="1"/>
    <col min="10488" max="10488" width="8.54296875" customWidth="1"/>
    <col min="10489" max="10489" width="0" hidden="1" customWidth="1"/>
    <col min="10490" max="10490" width="44.81640625" customWidth="1"/>
    <col min="10491" max="10492" width="9.1796875"/>
    <col min="10493" max="10493" width="3.1796875" customWidth="1"/>
    <col min="10494" max="10494" width="3.81640625" customWidth="1"/>
    <col min="10495" max="10495" width="8.54296875" customWidth="1"/>
    <col min="10496" max="10496" width="8.81640625" customWidth="1"/>
    <col min="10497" max="10497" width="7.453125" customWidth="1"/>
    <col min="10498" max="10498" width="8.26953125" customWidth="1"/>
    <col min="10499" max="10499" width="8" customWidth="1"/>
    <col min="10500" max="10500" width="8.1796875" customWidth="1"/>
    <col min="10501" max="10501" width="9" customWidth="1"/>
    <col min="10502" max="10502" width="9.1796875" customWidth="1"/>
    <col min="10503" max="10503" width="8.54296875" customWidth="1"/>
    <col min="10504" max="10504" width="11.453125" customWidth="1"/>
    <col min="10505" max="10739" width="9.1796875"/>
    <col min="10740" max="10740" width="6.7265625" customWidth="1"/>
    <col min="10741" max="10741" width="42.1796875" customWidth="1"/>
    <col min="10742" max="10742" width="9.1796875"/>
    <col min="10743" max="10743" width="17.453125" customWidth="1"/>
    <col min="10744" max="10744" width="8.54296875" customWidth="1"/>
    <col min="10745" max="10745" width="0" hidden="1" customWidth="1"/>
    <col min="10746" max="10746" width="44.81640625" customWidth="1"/>
    <col min="10747" max="10748" width="9.1796875"/>
    <col min="10749" max="10749" width="3.1796875" customWidth="1"/>
    <col min="10750" max="10750" width="3.81640625" customWidth="1"/>
    <col min="10751" max="10751" width="8.54296875" customWidth="1"/>
    <col min="10752" max="10752" width="8.81640625" customWidth="1"/>
    <col min="10753" max="10753" width="7.453125" customWidth="1"/>
    <col min="10754" max="10754" width="8.26953125" customWidth="1"/>
    <col min="10755" max="10755" width="8" customWidth="1"/>
    <col min="10756" max="10756" width="8.1796875" customWidth="1"/>
    <col min="10757" max="10757" width="9" customWidth="1"/>
    <col min="10758" max="10758" width="9.1796875" customWidth="1"/>
    <col min="10759" max="10759" width="8.54296875" customWidth="1"/>
    <col min="10760" max="10760" width="11.453125" customWidth="1"/>
    <col min="10761" max="10995" width="9.1796875"/>
    <col min="10996" max="10996" width="6.7265625" customWidth="1"/>
    <col min="10997" max="10997" width="42.1796875" customWidth="1"/>
    <col min="10998" max="10998" width="9.1796875"/>
    <col min="10999" max="10999" width="17.453125" customWidth="1"/>
    <col min="11000" max="11000" width="8.54296875" customWidth="1"/>
    <col min="11001" max="11001" width="0" hidden="1" customWidth="1"/>
    <col min="11002" max="11002" width="44.81640625" customWidth="1"/>
    <col min="11003" max="11004" width="9.1796875"/>
    <col min="11005" max="11005" width="3.1796875" customWidth="1"/>
    <col min="11006" max="11006" width="3.81640625" customWidth="1"/>
    <col min="11007" max="11007" width="8.54296875" customWidth="1"/>
    <col min="11008" max="11008" width="8.81640625" customWidth="1"/>
    <col min="11009" max="11009" width="7.453125" customWidth="1"/>
    <col min="11010" max="11010" width="8.26953125" customWidth="1"/>
    <col min="11011" max="11011" width="8" customWidth="1"/>
    <col min="11012" max="11012" width="8.1796875" customWidth="1"/>
    <col min="11013" max="11013" width="9" customWidth="1"/>
    <col min="11014" max="11014" width="9.1796875" customWidth="1"/>
    <col min="11015" max="11015" width="8.54296875" customWidth="1"/>
    <col min="11016" max="11016" width="11.453125" customWidth="1"/>
    <col min="11017" max="11251" width="9.1796875"/>
    <col min="11252" max="11252" width="6.7265625" customWidth="1"/>
    <col min="11253" max="11253" width="42.1796875" customWidth="1"/>
    <col min="11254" max="11254" width="9.1796875"/>
    <col min="11255" max="11255" width="17.453125" customWidth="1"/>
    <col min="11256" max="11256" width="8.54296875" customWidth="1"/>
    <col min="11257" max="11257" width="0" hidden="1" customWidth="1"/>
    <col min="11258" max="11258" width="44.81640625" customWidth="1"/>
    <col min="11259" max="11260" width="9.1796875"/>
    <col min="11261" max="11261" width="3.1796875" customWidth="1"/>
    <col min="11262" max="11262" width="3.81640625" customWidth="1"/>
    <col min="11263" max="11263" width="8.54296875" customWidth="1"/>
    <col min="11264" max="11264" width="8.81640625" customWidth="1"/>
    <col min="11265" max="11265" width="7.453125" customWidth="1"/>
    <col min="11266" max="11266" width="8.26953125" customWidth="1"/>
    <col min="11267" max="11267" width="8" customWidth="1"/>
    <col min="11268" max="11268" width="8.1796875" customWidth="1"/>
    <col min="11269" max="11269" width="9" customWidth="1"/>
    <col min="11270" max="11270" width="9.1796875" customWidth="1"/>
    <col min="11271" max="11271" width="8.54296875" customWidth="1"/>
    <col min="11272" max="11272" width="11.453125" customWidth="1"/>
    <col min="11273" max="11507" width="9.1796875"/>
    <col min="11508" max="11508" width="6.7265625" customWidth="1"/>
    <col min="11509" max="11509" width="42.1796875" customWidth="1"/>
    <col min="11510" max="11510" width="9.1796875"/>
    <col min="11511" max="11511" width="17.453125" customWidth="1"/>
    <col min="11512" max="11512" width="8.54296875" customWidth="1"/>
    <col min="11513" max="11513" width="0" hidden="1" customWidth="1"/>
    <col min="11514" max="11514" width="44.81640625" customWidth="1"/>
    <col min="11515" max="11516" width="9.1796875"/>
    <col min="11517" max="11517" width="3.1796875" customWidth="1"/>
    <col min="11518" max="11518" width="3.81640625" customWidth="1"/>
    <col min="11519" max="11519" width="8.54296875" customWidth="1"/>
    <col min="11520" max="11520" width="8.81640625" customWidth="1"/>
    <col min="11521" max="11521" width="7.453125" customWidth="1"/>
    <col min="11522" max="11522" width="8.26953125" customWidth="1"/>
    <col min="11523" max="11523" width="8" customWidth="1"/>
    <col min="11524" max="11524" width="8.1796875" customWidth="1"/>
    <col min="11525" max="11525" width="9" customWidth="1"/>
    <col min="11526" max="11526" width="9.1796875" customWidth="1"/>
    <col min="11527" max="11527" width="8.54296875" customWidth="1"/>
    <col min="11528" max="11528" width="11.453125" customWidth="1"/>
    <col min="11529" max="11763" width="9.1796875"/>
    <col min="11764" max="11764" width="6.7265625" customWidth="1"/>
    <col min="11765" max="11765" width="42.1796875" customWidth="1"/>
    <col min="11766" max="11766" width="9.1796875"/>
    <col min="11767" max="11767" width="17.453125" customWidth="1"/>
    <col min="11768" max="11768" width="8.54296875" customWidth="1"/>
    <col min="11769" max="11769" width="0" hidden="1" customWidth="1"/>
    <col min="11770" max="11770" width="44.81640625" customWidth="1"/>
    <col min="11771" max="11772" width="9.1796875"/>
    <col min="11773" max="11773" width="3.1796875" customWidth="1"/>
    <col min="11774" max="11774" width="3.81640625" customWidth="1"/>
    <col min="11775" max="11775" width="8.54296875" customWidth="1"/>
    <col min="11776" max="11776" width="8.81640625" customWidth="1"/>
    <col min="11777" max="11777" width="7.453125" customWidth="1"/>
    <col min="11778" max="11778" width="8.26953125" customWidth="1"/>
    <col min="11779" max="11779" width="8" customWidth="1"/>
    <col min="11780" max="11780" width="8.1796875" customWidth="1"/>
    <col min="11781" max="11781" width="9" customWidth="1"/>
    <col min="11782" max="11782" width="9.1796875" customWidth="1"/>
    <col min="11783" max="11783" width="8.54296875" customWidth="1"/>
    <col min="11784" max="11784" width="11.453125" customWidth="1"/>
    <col min="11785" max="12019" width="9.1796875"/>
    <col min="12020" max="12020" width="6.7265625" customWidth="1"/>
    <col min="12021" max="12021" width="42.1796875" customWidth="1"/>
    <col min="12022" max="12022" width="9.1796875"/>
    <col min="12023" max="12023" width="17.453125" customWidth="1"/>
    <col min="12024" max="12024" width="8.54296875" customWidth="1"/>
    <col min="12025" max="12025" width="0" hidden="1" customWidth="1"/>
    <col min="12026" max="12026" width="44.81640625" customWidth="1"/>
    <col min="12027" max="12028" width="9.1796875"/>
    <col min="12029" max="12029" width="3.1796875" customWidth="1"/>
    <col min="12030" max="12030" width="3.81640625" customWidth="1"/>
    <col min="12031" max="12031" width="8.54296875" customWidth="1"/>
    <col min="12032" max="12032" width="8.81640625" customWidth="1"/>
    <col min="12033" max="12033" width="7.453125" customWidth="1"/>
    <col min="12034" max="12034" width="8.26953125" customWidth="1"/>
    <col min="12035" max="12035" width="8" customWidth="1"/>
    <col min="12036" max="12036" width="8.1796875" customWidth="1"/>
    <col min="12037" max="12037" width="9" customWidth="1"/>
    <col min="12038" max="12038" width="9.1796875" customWidth="1"/>
    <col min="12039" max="12039" width="8.54296875" customWidth="1"/>
    <col min="12040" max="12040" width="11.453125" customWidth="1"/>
    <col min="12041" max="12275" width="9.1796875"/>
    <col min="12276" max="12276" width="6.7265625" customWidth="1"/>
    <col min="12277" max="12277" width="42.1796875" customWidth="1"/>
    <col min="12278" max="12278" width="9.1796875"/>
    <col min="12279" max="12279" width="17.453125" customWidth="1"/>
    <col min="12280" max="12280" width="8.54296875" customWidth="1"/>
    <col min="12281" max="12281" width="0" hidden="1" customWidth="1"/>
    <col min="12282" max="12282" width="44.81640625" customWidth="1"/>
    <col min="12283" max="12284" width="9.1796875"/>
    <col min="12285" max="12285" width="3.1796875" customWidth="1"/>
    <col min="12286" max="12286" width="3.81640625" customWidth="1"/>
    <col min="12287" max="12287" width="8.54296875" customWidth="1"/>
    <col min="12288" max="12288" width="8.81640625" customWidth="1"/>
    <col min="12289" max="12289" width="7.453125" customWidth="1"/>
    <col min="12290" max="12290" width="8.26953125" customWidth="1"/>
    <col min="12291" max="12291" width="8" customWidth="1"/>
    <col min="12292" max="12292" width="8.1796875" customWidth="1"/>
    <col min="12293" max="12293" width="9" customWidth="1"/>
    <col min="12294" max="12294" width="9.1796875" customWidth="1"/>
    <col min="12295" max="12295" width="8.54296875" customWidth="1"/>
    <col min="12296" max="12296" width="11.453125" customWidth="1"/>
    <col min="12297" max="12531" width="9.1796875"/>
    <col min="12532" max="12532" width="6.7265625" customWidth="1"/>
    <col min="12533" max="12533" width="42.1796875" customWidth="1"/>
    <col min="12534" max="12534" width="9.1796875"/>
    <col min="12535" max="12535" width="17.453125" customWidth="1"/>
    <col min="12536" max="12536" width="8.54296875" customWidth="1"/>
    <col min="12537" max="12537" width="0" hidden="1" customWidth="1"/>
    <col min="12538" max="12538" width="44.81640625" customWidth="1"/>
    <col min="12539" max="12540" width="9.1796875"/>
    <col min="12541" max="12541" width="3.1796875" customWidth="1"/>
    <col min="12542" max="12542" width="3.81640625" customWidth="1"/>
    <col min="12543" max="12543" width="8.54296875" customWidth="1"/>
    <col min="12544" max="12544" width="8.81640625" customWidth="1"/>
    <col min="12545" max="12545" width="7.453125" customWidth="1"/>
    <col min="12546" max="12546" width="8.26953125" customWidth="1"/>
    <col min="12547" max="12547" width="8" customWidth="1"/>
    <col min="12548" max="12548" width="8.1796875" customWidth="1"/>
    <col min="12549" max="12549" width="9" customWidth="1"/>
    <col min="12550" max="12550" width="9.1796875" customWidth="1"/>
    <col min="12551" max="12551" width="8.54296875" customWidth="1"/>
    <col min="12552" max="12552" width="11.453125" customWidth="1"/>
    <col min="12553" max="12787" width="9.1796875"/>
    <col min="12788" max="12788" width="6.7265625" customWidth="1"/>
    <col min="12789" max="12789" width="42.1796875" customWidth="1"/>
    <col min="12790" max="12790" width="9.1796875"/>
    <col min="12791" max="12791" width="17.453125" customWidth="1"/>
    <col min="12792" max="12792" width="8.54296875" customWidth="1"/>
    <col min="12793" max="12793" width="0" hidden="1" customWidth="1"/>
    <col min="12794" max="12794" width="44.81640625" customWidth="1"/>
    <col min="12795" max="12796" width="9.1796875"/>
    <col min="12797" max="12797" width="3.1796875" customWidth="1"/>
    <col min="12798" max="12798" width="3.81640625" customWidth="1"/>
    <col min="12799" max="12799" width="8.54296875" customWidth="1"/>
    <col min="12800" max="12800" width="8.81640625" customWidth="1"/>
    <col min="12801" max="12801" width="7.453125" customWidth="1"/>
    <col min="12802" max="12802" width="8.26953125" customWidth="1"/>
    <col min="12803" max="12803" width="8" customWidth="1"/>
    <col min="12804" max="12804" width="8.1796875" customWidth="1"/>
    <col min="12805" max="12805" width="9" customWidth="1"/>
    <col min="12806" max="12806" width="9.1796875" customWidth="1"/>
    <col min="12807" max="12807" width="8.54296875" customWidth="1"/>
    <col min="12808" max="12808" width="11.453125" customWidth="1"/>
    <col min="12809" max="13043" width="9.1796875"/>
    <col min="13044" max="13044" width="6.7265625" customWidth="1"/>
    <col min="13045" max="13045" width="42.1796875" customWidth="1"/>
    <col min="13046" max="13046" width="9.1796875"/>
    <col min="13047" max="13047" width="17.453125" customWidth="1"/>
    <col min="13048" max="13048" width="8.54296875" customWidth="1"/>
    <col min="13049" max="13049" width="0" hidden="1" customWidth="1"/>
    <col min="13050" max="13050" width="44.81640625" customWidth="1"/>
    <col min="13051" max="13052" width="9.1796875"/>
    <col min="13053" max="13053" width="3.1796875" customWidth="1"/>
    <col min="13054" max="13054" width="3.81640625" customWidth="1"/>
    <col min="13055" max="13055" width="8.54296875" customWidth="1"/>
    <col min="13056" max="13056" width="8.81640625" customWidth="1"/>
    <col min="13057" max="13057" width="7.453125" customWidth="1"/>
    <col min="13058" max="13058" width="8.26953125" customWidth="1"/>
    <col min="13059" max="13059" width="8" customWidth="1"/>
    <col min="13060" max="13060" width="8.1796875" customWidth="1"/>
    <col min="13061" max="13061" width="9" customWidth="1"/>
    <col min="13062" max="13062" width="9.1796875" customWidth="1"/>
    <col min="13063" max="13063" width="8.54296875" customWidth="1"/>
    <col min="13064" max="13064" width="11.453125" customWidth="1"/>
    <col min="13065" max="13299" width="9.1796875"/>
    <col min="13300" max="13300" width="6.7265625" customWidth="1"/>
    <col min="13301" max="13301" width="42.1796875" customWidth="1"/>
    <col min="13302" max="13302" width="9.1796875"/>
    <col min="13303" max="13303" width="17.453125" customWidth="1"/>
    <col min="13304" max="13304" width="8.54296875" customWidth="1"/>
    <col min="13305" max="13305" width="0" hidden="1" customWidth="1"/>
    <col min="13306" max="13306" width="44.81640625" customWidth="1"/>
    <col min="13307" max="13308" width="9.1796875"/>
    <col min="13309" max="13309" width="3.1796875" customWidth="1"/>
    <col min="13310" max="13310" width="3.81640625" customWidth="1"/>
    <col min="13311" max="13311" width="8.54296875" customWidth="1"/>
    <col min="13312" max="13312" width="8.81640625" customWidth="1"/>
    <col min="13313" max="13313" width="7.453125" customWidth="1"/>
    <col min="13314" max="13314" width="8.26953125" customWidth="1"/>
    <col min="13315" max="13315" width="8" customWidth="1"/>
    <col min="13316" max="13316" width="8.1796875" customWidth="1"/>
    <col min="13317" max="13317" width="9" customWidth="1"/>
    <col min="13318" max="13318" width="9.1796875" customWidth="1"/>
    <col min="13319" max="13319" width="8.54296875" customWidth="1"/>
    <col min="13320" max="13320" width="11.453125" customWidth="1"/>
    <col min="13321" max="13555" width="9.1796875"/>
    <col min="13556" max="13556" width="6.7265625" customWidth="1"/>
    <col min="13557" max="13557" width="42.1796875" customWidth="1"/>
    <col min="13558" max="13558" width="9.1796875"/>
    <col min="13559" max="13559" width="17.453125" customWidth="1"/>
    <col min="13560" max="13560" width="8.54296875" customWidth="1"/>
    <col min="13561" max="13561" width="0" hidden="1" customWidth="1"/>
    <col min="13562" max="13562" width="44.81640625" customWidth="1"/>
    <col min="13563" max="13564" width="9.1796875"/>
    <col min="13565" max="13565" width="3.1796875" customWidth="1"/>
    <col min="13566" max="13566" width="3.81640625" customWidth="1"/>
    <col min="13567" max="13567" width="8.54296875" customWidth="1"/>
    <col min="13568" max="13568" width="8.81640625" customWidth="1"/>
    <col min="13569" max="13569" width="7.453125" customWidth="1"/>
    <col min="13570" max="13570" width="8.26953125" customWidth="1"/>
    <col min="13571" max="13571" width="8" customWidth="1"/>
    <col min="13572" max="13572" width="8.1796875" customWidth="1"/>
    <col min="13573" max="13573" width="9" customWidth="1"/>
    <col min="13574" max="13574" width="9.1796875" customWidth="1"/>
    <col min="13575" max="13575" width="8.54296875" customWidth="1"/>
    <col min="13576" max="13576" width="11.453125" customWidth="1"/>
    <col min="13577" max="13811" width="9.1796875"/>
    <col min="13812" max="13812" width="6.7265625" customWidth="1"/>
    <col min="13813" max="13813" width="42.1796875" customWidth="1"/>
    <col min="13814" max="13814" width="9.1796875"/>
    <col min="13815" max="13815" width="17.453125" customWidth="1"/>
    <col min="13816" max="13816" width="8.54296875" customWidth="1"/>
    <col min="13817" max="13817" width="0" hidden="1" customWidth="1"/>
    <col min="13818" max="13818" width="44.81640625" customWidth="1"/>
    <col min="13819" max="13820" width="9.1796875"/>
    <col min="13821" max="13821" width="3.1796875" customWidth="1"/>
    <col min="13822" max="13822" width="3.81640625" customWidth="1"/>
    <col min="13823" max="13823" width="8.54296875" customWidth="1"/>
    <col min="13824" max="13824" width="8.81640625" customWidth="1"/>
    <col min="13825" max="13825" width="7.453125" customWidth="1"/>
    <col min="13826" max="13826" width="8.26953125" customWidth="1"/>
    <col min="13827" max="13827" width="8" customWidth="1"/>
    <col min="13828" max="13828" width="8.1796875" customWidth="1"/>
    <col min="13829" max="13829" width="9" customWidth="1"/>
    <col min="13830" max="13830" width="9.1796875" customWidth="1"/>
    <col min="13831" max="13831" width="8.54296875" customWidth="1"/>
    <col min="13832" max="13832" width="11.453125" customWidth="1"/>
    <col min="13833" max="14067" width="9.1796875"/>
    <col min="14068" max="14068" width="6.7265625" customWidth="1"/>
    <col min="14069" max="14069" width="42.1796875" customWidth="1"/>
    <col min="14070" max="14070" width="9.1796875"/>
    <col min="14071" max="14071" width="17.453125" customWidth="1"/>
    <col min="14072" max="14072" width="8.54296875" customWidth="1"/>
    <col min="14073" max="14073" width="0" hidden="1" customWidth="1"/>
    <col min="14074" max="14074" width="44.81640625" customWidth="1"/>
    <col min="14075" max="14076" width="9.1796875"/>
    <col min="14077" max="14077" width="3.1796875" customWidth="1"/>
    <col min="14078" max="14078" width="3.81640625" customWidth="1"/>
    <col min="14079" max="14079" width="8.54296875" customWidth="1"/>
    <col min="14080" max="14080" width="8.81640625" customWidth="1"/>
    <col min="14081" max="14081" width="7.453125" customWidth="1"/>
    <col min="14082" max="14082" width="8.26953125" customWidth="1"/>
    <col min="14083" max="14083" width="8" customWidth="1"/>
    <col min="14084" max="14084" width="8.1796875" customWidth="1"/>
    <col min="14085" max="14085" width="9" customWidth="1"/>
    <col min="14086" max="14086" width="9.1796875" customWidth="1"/>
    <col min="14087" max="14087" width="8.54296875" customWidth="1"/>
    <col min="14088" max="14088" width="11.453125" customWidth="1"/>
    <col min="14089" max="14323" width="9.1796875"/>
    <col min="14324" max="14324" width="6.7265625" customWidth="1"/>
    <col min="14325" max="14325" width="42.1796875" customWidth="1"/>
    <col min="14326" max="14326" width="9.1796875"/>
    <col min="14327" max="14327" width="17.453125" customWidth="1"/>
    <col min="14328" max="14328" width="8.54296875" customWidth="1"/>
    <col min="14329" max="14329" width="0" hidden="1" customWidth="1"/>
    <col min="14330" max="14330" width="44.81640625" customWidth="1"/>
    <col min="14331" max="14332" width="9.1796875"/>
    <col min="14333" max="14333" width="3.1796875" customWidth="1"/>
    <col min="14334" max="14334" width="3.81640625" customWidth="1"/>
    <col min="14335" max="14335" width="8.54296875" customWidth="1"/>
    <col min="14336" max="14336" width="8.81640625" customWidth="1"/>
    <col min="14337" max="14337" width="7.453125" customWidth="1"/>
    <col min="14338" max="14338" width="8.26953125" customWidth="1"/>
    <col min="14339" max="14339" width="8" customWidth="1"/>
    <col min="14340" max="14340" width="8.1796875" customWidth="1"/>
    <col min="14341" max="14341" width="9" customWidth="1"/>
    <col min="14342" max="14342" width="9.1796875" customWidth="1"/>
    <col min="14343" max="14343" width="8.54296875" customWidth="1"/>
    <col min="14344" max="14344" width="11.453125" customWidth="1"/>
    <col min="14345" max="14579" width="9.1796875"/>
    <col min="14580" max="14580" width="6.7265625" customWidth="1"/>
    <col min="14581" max="14581" width="42.1796875" customWidth="1"/>
    <col min="14582" max="14582" width="9.1796875"/>
    <col min="14583" max="14583" width="17.453125" customWidth="1"/>
    <col min="14584" max="14584" width="8.54296875" customWidth="1"/>
    <col min="14585" max="14585" width="0" hidden="1" customWidth="1"/>
    <col min="14586" max="14586" width="44.81640625" customWidth="1"/>
    <col min="14587" max="14588" width="9.1796875"/>
    <col min="14589" max="14589" width="3.1796875" customWidth="1"/>
    <col min="14590" max="14590" width="3.81640625" customWidth="1"/>
    <col min="14591" max="14591" width="8.54296875" customWidth="1"/>
    <col min="14592" max="14592" width="8.81640625" customWidth="1"/>
    <col min="14593" max="14593" width="7.453125" customWidth="1"/>
    <col min="14594" max="14594" width="8.26953125" customWidth="1"/>
    <col min="14595" max="14595" width="8" customWidth="1"/>
    <col min="14596" max="14596" width="8.1796875" customWidth="1"/>
    <col min="14597" max="14597" width="9" customWidth="1"/>
    <col min="14598" max="14598" width="9.1796875" customWidth="1"/>
    <col min="14599" max="14599" width="8.54296875" customWidth="1"/>
    <col min="14600" max="14600" width="11.453125" customWidth="1"/>
    <col min="14601" max="14835" width="9.1796875"/>
    <col min="14836" max="14836" width="6.7265625" customWidth="1"/>
    <col min="14837" max="14837" width="42.1796875" customWidth="1"/>
    <col min="14838" max="14838" width="9.1796875"/>
    <col min="14839" max="14839" width="17.453125" customWidth="1"/>
    <col min="14840" max="14840" width="8.54296875" customWidth="1"/>
    <col min="14841" max="14841" width="0" hidden="1" customWidth="1"/>
    <col min="14842" max="14842" width="44.81640625" customWidth="1"/>
    <col min="14843" max="14844" width="9.1796875"/>
    <col min="14845" max="14845" width="3.1796875" customWidth="1"/>
    <col min="14846" max="14846" width="3.81640625" customWidth="1"/>
    <col min="14847" max="14847" width="8.54296875" customWidth="1"/>
    <col min="14848" max="14848" width="8.81640625" customWidth="1"/>
    <col min="14849" max="14849" width="7.453125" customWidth="1"/>
    <col min="14850" max="14850" width="8.26953125" customWidth="1"/>
    <col min="14851" max="14851" width="8" customWidth="1"/>
    <col min="14852" max="14852" width="8.1796875" customWidth="1"/>
    <col min="14853" max="14853" width="9" customWidth="1"/>
    <col min="14854" max="14854" width="9.1796875" customWidth="1"/>
    <col min="14855" max="14855" width="8.54296875" customWidth="1"/>
    <col min="14856" max="14856" width="11.453125" customWidth="1"/>
    <col min="14857" max="15091" width="9.1796875"/>
    <col min="15092" max="15092" width="6.7265625" customWidth="1"/>
    <col min="15093" max="15093" width="42.1796875" customWidth="1"/>
    <col min="15094" max="15094" width="9.1796875"/>
    <col min="15095" max="15095" width="17.453125" customWidth="1"/>
    <col min="15096" max="15096" width="8.54296875" customWidth="1"/>
    <col min="15097" max="15097" width="0" hidden="1" customWidth="1"/>
    <col min="15098" max="15098" width="44.81640625" customWidth="1"/>
    <col min="15099" max="15100" width="9.1796875"/>
    <col min="15101" max="15101" width="3.1796875" customWidth="1"/>
    <col min="15102" max="15102" width="3.81640625" customWidth="1"/>
    <col min="15103" max="15103" width="8.54296875" customWidth="1"/>
    <col min="15104" max="15104" width="8.81640625" customWidth="1"/>
    <col min="15105" max="15105" width="7.453125" customWidth="1"/>
    <col min="15106" max="15106" width="8.26953125" customWidth="1"/>
    <col min="15107" max="15107" width="8" customWidth="1"/>
    <col min="15108" max="15108" width="8.1796875" customWidth="1"/>
    <col min="15109" max="15109" width="9" customWidth="1"/>
    <col min="15110" max="15110" width="9.1796875" customWidth="1"/>
    <col min="15111" max="15111" width="8.54296875" customWidth="1"/>
    <col min="15112" max="15112" width="11.453125" customWidth="1"/>
    <col min="15113" max="15347" width="9.1796875"/>
    <col min="15348" max="15348" width="6.7265625" customWidth="1"/>
    <col min="15349" max="15349" width="42.1796875" customWidth="1"/>
    <col min="15350" max="15350" width="9.1796875"/>
    <col min="15351" max="15351" width="17.453125" customWidth="1"/>
    <col min="15352" max="15352" width="8.54296875" customWidth="1"/>
    <col min="15353" max="15353" width="0" hidden="1" customWidth="1"/>
    <col min="15354" max="15354" width="44.81640625" customWidth="1"/>
    <col min="15355" max="15356" width="9.1796875"/>
    <col min="15357" max="15357" width="3.1796875" customWidth="1"/>
    <col min="15358" max="15358" width="3.81640625" customWidth="1"/>
    <col min="15359" max="15359" width="8.54296875" customWidth="1"/>
    <col min="15360" max="15360" width="8.81640625" customWidth="1"/>
    <col min="15361" max="15361" width="7.453125" customWidth="1"/>
    <col min="15362" max="15362" width="8.26953125" customWidth="1"/>
    <col min="15363" max="15363" width="8" customWidth="1"/>
    <col min="15364" max="15364" width="8.1796875" customWidth="1"/>
    <col min="15365" max="15365" width="9" customWidth="1"/>
    <col min="15366" max="15366" width="9.1796875" customWidth="1"/>
    <col min="15367" max="15367" width="8.54296875" customWidth="1"/>
    <col min="15368" max="15368" width="11.453125" customWidth="1"/>
    <col min="15369" max="15603" width="9.1796875"/>
    <col min="15604" max="15604" width="6.7265625" customWidth="1"/>
    <col min="15605" max="15605" width="42.1796875" customWidth="1"/>
    <col min="15606" max="15606" width="9.1796875"/>
    <col min="15607" max="15607" width="17.453125" customWidth="1"/>
    <col min="15608" max="15608" width="8.54296875" customWidth="1"/>
    <col min="15609" max="15609" width="0" hidden="1" customWidth="1"/>
    <col min="15610" max="15610" width="44.81640625" customWidth="1"/>
    <col min="15611" max="15612" width="9.1796875"/>
    <col min="15613" max="15613" width="3.1796875" customWidth="1"/>
    <col min="15614" max="15614" width="3.81640625" customWidth="1"/>
    <col min="15615" max="15615" width="8.54296875" customWidth="1"/>
    <col min="15616" max="15616" width="8.81640625" customWidth="1"/>
    <col min="15617" max="15617" width="7.453125" customWidth="1"/>
    <col min="15618" max="15618" width="8.26953125" customWidth="1"/>
    <col min="15619" max="15619" width="8" customWidth="1"/>
    <col min="15620" max="15620" width="8.1796875" customWidth="1"/>
    <col min="15621" max="15621" width="9" customWidth="1"/>
    <col min="15622" max="15622" width="9.1796875" customWidth="1"/>
    <col min="15623" max="15623" width="8.54296875" customWidth="1"/>
    <col min="15624" max="15624" width="11.453125" customWidth="1"/>
    <col min="15625" max="15859" width="9.1796875"/>
    <col min="15860" max="15860" width="6.7265625" customWidth="1"/>
    <col min="15861" max="15861" width="42.1796875" customWidth="1"/>
    <col min="15862" max="15862" width="9.1796875"/>
    <col min="15863" max="15863" width="17.453125" customWidth="1"/>
    <col min="15864" max="15864" width="8.54296875" customWidth="1"/>
    <col min="15865" max="15865" width="0" hidden="1" customWidth="1"/>
    <col min="15866" max="15866" width="44.81640625" customWidth="1"/>
    <col min="15867" max="15868" width="9.1796875"/>
    <col min="15869" max="15869" width="3.1796875" customWidth="1"/>
    <col min="15870" max="15870" width="3.81640625" customWidth="1"/>
    <col min="15871" max="15871" width="8.54296875" customWidth="1"/>
    <col min="15872" max="15872" width="8.81640625" customWidth="1"/>
    <col min="15873" max="15873" width="7.453125" customWidth="1"/>
    <col min="15874" max="15874" width="8.26953125" customWidth="1"/>
    <col min="15875" max="15875" width="8" customWidth="1"/>
    <col min="15876" max="15876" width="8.1796875" customWidth="1"/>
    <col min="15877" max="15877" width="9" customWidth="1"/>
    <col min="15878" max="15878" width="9.1796875" customWidth="1"/>
    <col min="15879" max="15879" width="8.54296875" customWidth="1"/>
    <col min="15880" max="15880" width="11.453125" customWidth="1"/>
    <col min="15881" max="16115" width="9.1796875"/>
    <col min="16116" max="16116" width="6.7265625" customWidth="1"/>
    <col min="16117" max="16117" width="42.1796875" customWidth="1"/>
    <col min="16118" max="16118" width="9.1796875"/>
    <col min="16119" max="16119" width="17.453125" customWidth="1"/>
    <col min="16120" max="16120" width="8.54296875" customWidth="1"/>
    <col min="16121" max="16121" width="0" hidden="1" customWidth="1"/>
    <col min="16122" max="16122" width="44.81640625" customWidth="1"/>
    <col min="16123" max="16124" width="9.1796875"/>
    <col min="16125" max="16125" width="3.1796875" customWidth="1"/>
    <col min="16126" max="16126" width="3.81640625" customWidth="1"/>
    <col min="16127" max="16127" width="8.54296875" customWidth="1"/>
    <col min="16128" max="16128" width="8.81640625" customWidth="1"/>
    <col min="16129" max="16129" width="7.453125" customWidth="1"/>
    <col min="16130" max="16130" width="8.26953125" customWidth="1"/>
    <col min="16131" max="16131" width="8" customWidth="1"/>
    <col min="16132" max="16132" width="8.1796875" customWidth="1"/>
    <col min="16133" max="16133" width="9" customWidth="1"/>
    <col min="16134" max="16134" width="9.1796875" customWidth="1"/>
    <col min="16135" max="16135" width="8.54296875" customWidth="1"/>
    <col min="16136" max="16136" width="11.453125" customWidth="1"/>
    <col min="16137" max="16371" width="9.1796875"/>
    <col min="16372" max="16384" width="9.1796875" customWidth="1"/>
  </cols>
  <sheetData>
    <row r="2" spans="2:7" ht="18.5" x14ac:dyDescent="0.45">
      <c r="B2" s="3" t="s">
        <v>270</v>
      </c>
      <c r="F2" s="141" t="s">
        <v>199</v>
      </c>
      <c r="G2" t="s">
        <v>600</v>
      </c>
    </row>
    <row r="3" spans="2:7" x14ac:dyDescent="0.35">
      <c r="B3" s="142" t="s">
        <v>464</v>
      </c>
    </row>
    <row r="4" spans="2:7" ht="18.5" x14ac:dyDescent="0.45">
      <c r="B4" s="327" t="s">
        <v>712</v>
      </c>
      <c r="F4" s="3"/>
      <c r="G4" s="3" t="s">
        <v>20</v>
      </c>
    </row>
    <row r="16" spans="2:7" x14ac:dyDescent="0.35">
      <c r="B16" s="143" t="s">
        <v>21</v>
      </c>
      <c r="C16" s="144"/>
      <c r="E16" s="28" t="s">
        <v>1399</v>
      </c>
    </row>
    <row r="17" spans="2:28" x14ac:dyDescent="0.35">
      <c r="B17" s="145" t="s">
        <v>22</v>
      </c>
      <c r="C17" s="146"/>
    </row>
    <row r="18" spans="2:28" ht="15" thickBot="1" x14ac:dyDescent="0.4"/>
    <row r="19" spans="2:28" ht="16" thickTop="1" x14ac:dyDescent="0.35">
      <c r="B19" s="638" t="s">
        <v>402</v>
      </c>
      <c r="C19" s="639"/>
      <c r="D19" s="639"/>
      <c r="E19" s="639"/>
      <c r="F19" s="640"/>
      <c r="G19" s="140"/>
      <c r="H19" s="140"/>
      <c r="I19" s="140"/>
      <c r="J19" s="140"/>
      <c r="K19" s="140"/>
      <c r="L19" s="140"/>
      <c r="M19" s="140"/>
      <c r="N19" s="140"/>
      <c r="O19" s="140"/>
      <c r="P19" s="140"/>
      <c r="Q19" s="140"/>
      <c r="R19" s="140"/>
      <c r="S19" s="140"/>
      <c r="T19" s="140"/>
      <c r="U19" s="140"/>
      <c r="V19" s="140"/>
      <c r="W19" s="140"/>
      <c r="X19" s="140"/>
      <c r="Y19" s="140"/>
      <c r="Z19" s="140"/>
      <c r="AA19" s="140"/>
      <c r="AB19" s="140"/>
    </row>
    <row r="20" spans="2:28" ht="17" x14ac:dyDescent="0.4">
      <c r="B20" s="236" t="s">
        <v>239</v>
      </c>
      <c r="C20" s="235"/>
      <c r="D20" s="592" t="s">
        <v>214</v>
      </c>
      <c r="E20" s="235"/>
      <c r="F20" s="235"/>
      <c r="G20" s="140"/>
      <c r="H20" s="140"/>
      <c r="I20" s="140"/>
      <c r="J20" s="140"/>
      <c r="K20" s="140"/>
      <c r="L20" s="140"/>
      <c r="M20" s="140"/>
      <c r="N20" s="140"/>
      <c r="O20" s="140"/>
      <c r="P20" s="140"/>
      <c r="Q20" s="140"/>
      <c r="R20" s="140"/>
      <c r="S20" s="140"/>
      <c r="T20" s="140"/>
      <c r="U20" s="140"/>
      <c r="V20" s="140"/>
      <c r="W20" s="140"/>
      <c r="X20" s="140"/>
      <c r="Y20" s="140"/>
      <c r="Z20" s="140"/>
      <c r="AA20" s="140"/>
      <c r="AB20" s="140"/>
    </row>
    <row r="21" spans="2:28" ht="15.5" x14ac:dyDescent="0.35">
      <c r="B21" s="147" t="s">
        <v>23</v>
      </c>
      <c r="C21" s="148" t="s">
        <v>24</v>
      </c>
      <c r="D21" s="136">
        <v>25</v>
      </c>
      <c r="E21" s="147" t="s">
        <v>465</v>
      </c>
      <c r="F21" s="149" t="s">
        <v>25</v>
      </c>
      <c r="G21" s="140"/>
      <c r="H21" s="140"/>
      <c r="I21" s="140"/>
      <c r="J21" s="140"/>
      <c r="K21" s="140"/>
      <c r="L21" s="140"/>
      <c r="M21" s="140"/>
      <c r="N21" s="140"/>
      <c r="O21" s="140"/>
      <c r="P21" s="140"/>
      <c r="Q21" s="140"/>
      <c r="R21" s="140"/>
      <c r="S21" s="140"/>
      <c r="T21" s="140"/>
      <c r="U21" s="140"/>
      <c r="V21" s="140"/>
      <c r="W21" s="140"/>
      <c r="X21" s="140"/>
      <c r="Y21" s="140"/>
      <c r="Z21" s="140"/>
      <c r="AA21" s="140"/>
      <c r="AB21" s="140"/>
    </row>
    <row r="22" spans="2:28" ht="17" x14ac:dyDescent="0.4">
      <c r="B22" s="147" t="s">
        <v>348</v>
      </c>
      <c r="C22" s="148" t="s">
        <v>26</v>
      </c>
      <c r="D22" s="583">
        <v>330</v>
      </c>
      <c r="E22" s="147" t="s">
        <v>27</v>
      </c>
      <c r="F22" s="149" t="s">
        <v>28</v>
      </c>
      <c r="G22" s="140"/>
      <c r="H22" s="270"/>
      <c r="I22" s="603"/>
      <c r="J22" s="603"/>
      <c r="K22" s="603"/>
      <c r="L22" s="603"/>
      <c r="M22" s="603"/>
      <c r="N22" s="603"/>
      <c r="O22" s="603"/>
      <c r="P22" s="140"/>
      <c r="Q22" s="140"/>
      <c r="R22" s="140"/>
      <c r="S22" s="140"/>
      <c r="T22" s="140"/>
      <c r="U22" s="140"/>
      <c r="V22" s="140"/>
      <c r="W22" s="140"/>
      <c r="X22" s="140"/>
      <c r="Y22" s="140"/>
      <c r="Z22" s="140"/>
      <c r="AA22" s="140"/>
      <c r="AB22" s="140"/>
    </row>
    <row r="23" spans="2:28" ht="17" x14ac:dyDescent="0.4">
      <c r="B23" s="149" t="s">
        <v>29</v>
      </c>
      <c r="C23" s="148" t="s">
        <v>30</v>
      </c>
      <c r="D23" s="584">
        <v>2</v>
      </c>
      <c r="E23" s="147" t="s">
        <v>29</v>
      </c>
      <c r="F23" s="149" t="s">
        <v>466</v>
      </c>
      <c r="G23" s="140"/>
      <c r="H23" s="140"/>
      <c r="I23" s="140"/>
      <c r="J23" s="140"/>
      <c r="K23" s="140"/>
      <c r="L23" s="140"/>
      <c r="M23" s="604"/>
      <c r="N23" s="140"/>
      <c r="O23" s="140"/>
      <c r="P23" s="140"/>
      <c r="Q23" s="140"/>
      <c r="R23" s="140"/>
      <c r="S23" s="140"/>
      <c r="T23" s="140"/>
      <c r="U23" s="140"/>
      <c r="V23" s="140"/>
      <c r="W23" s="140"/>
      <c r="X23" s="140"/>
      <c r="Y23" s="140"/>
      <c r="Z23" s="140"/>
      <c r="AA23" s="140"/>
      <c r="AB23" s="140"/>
    </row>
    <row r="24" spans="2:28" ht="17" x14ac:dyDescent="0.4">
      <c r="B24" s="8" t="s">
        <v>1583</v>
      </c>
      <c r="C24" s="151" t="s">
        <v>32</v>
      </c>
      <c r="D24" s="585">
        <v>11</v>
      </c>
      <c r="E24" s="152" t="s">
        <v>31</v>
      </c>
      <c r="F24" s="8" t="s">
        <v>33</v>
      </c>
      <c r="G24" s="140"/>
      <c r="H24" s="140"/>
      <c r="I24" s="140"/>
      <c r="J24" s="140"/>
      <c r="K24" s="140"/>
      <c r="L24" s="140"/>
      <c r="M24" s="604"/>
      <c r="N24" s="140"/>
      <c r="O24" s="140"/>
      <c r="P24" s="140"/>
      <c r="Q24" s="140"/>
      <c r="R24" s="140"/>
      <c r="S24" s="140"/>
      <c r="T24" s="140"/>
      <c r="U24" s="140"/>
      <c r="V24" s="140"/>
      <c r="W24" s="140"/>
      <c r="X24" s="140"/>
      <c r="Y24" s="140"/>
      <c r="Z24" s="140"/>
      <c r="AA24" s="140"/>
      <c r="AB24" s="140"/>
    </row>
    <row r="25" spans="2:28" ht="17.5" x14ac:dyDescent="0.45">
      <c r="B25" s="8" t="str">
        <f>IF(D28="Circular","Outer diameter of the inductor", "Short Side of inductor")</f>
        <v>Outer diameter of the inductor</v>
      </c>
      <c r="C25" s="151" t="s">
        <v>467</v>
      </c>
      <c r="D25" s="586">
        <v>20</v>
      </c>
      <c r="E25" s="137" t="s">
        <v>34</v>
      </c>
      <c r="F25" s="8" t="s">
        <v>35</v>
      </c>
      <c r="G25" s="140"/>
      <c r="H25" s="140"/>
      <c r="I25" s="140"/>
      <c r="J25" s="140"/>
      <c r="K25" s="140"/>
      <c r="L25" s="140"/>
      <c r="M25" s="140"/>
      <c r="N25" s="140"/>
      <c r="O25" s="140"/>
      <c r="P25" s="140"/>
      <c r="Q25" s="140"/>
      <c r="R25" s="140"/>
      <c r="S25" s="140"/>
      <c r="T25" s="140"/>
      <c r="U25" s="140"/>
      <c r="V25" s="140"/>
      <c r="W25" s="140"/>
      <c r="X25" s="140"/>
      <c r="Y25" s="140"/>
      <c r="Z25" s="140"/>
      <c r="AA25" s="140"/>
      <c r="AB25" s="140"/>
    </row>
    <row r="26" spans="2:28" ht="17" hidden="1" x14ac:dyDescent="0.4">
      <c r="B26" s="8" t="s">
        <v>1531</v>
      </c>
      <c r="C26" s="151" t="str">
        <f>E25</f>
        <v>mm</v>
      </c>
      <c r="D26" s="587" t="str">
        <f>C26</f>
        <v>mm</v>
      </c>
      <c r="E26" s="579"/>
      <c r="F26" s="8"/>
      <c r="G26" s="140"/>
      <c r="H26" s="140"/>
      <c r="I26" s="140"/>
      <c r="J26" s="140"/>
      <c r="K26" s="140"/>
      <c r="L26" s="140"/>
      <c r="M26" s="140"/>
      <c r="N26" s="140"/>
      <c r="O26" s="140"/>
      <c r="P26" s="140"/>
      <c r="Q26" s="140"/>
      <c r="R26" s="140"/>
      <c r="S26" s="140"/>
      <c r="T26" s="140"/>
      <c r="U26" s="140"/>
      <c r="V26" s="140"/>
      <c r="W26" s="140"/>
      <c r="X26" s="140"/>
      <c r="Y26" s="140"/>
      <c r="Z26" s="140"/>
      <c r="AA26" s="140"/>
      <c r="AB26" s="140"/>
    </row>
    <row r="27" spans="2:28" ht="17" hidden="1" x14ac:dyDescent="0.4">
      <c r="B27" s="8" t="s">
        <v>287</v>
      </c>
      <c r="C27" s="151"/>
      <c r="D27" s="588">
        <f>IF(D26="mm",D25,D25*0.0254)</f>
        <v>20</v>
      </c>
      <c r="E27" s="154" t="s">
        <v>34</v>
      </c>
      <c r="F27" s="8"/>
      <c r="G27" s="140"/>
      <c r="H27" s="140"/>
      <c r="I27" s="140"/>
      <c r="J27" s="140"/>
      <c r="K27" s="140"/>
      <c r="L27" s="140"/>
      <c r="M27" s="140"/>
      <c r="N27" s="140"/>
      <c r="O27" s="140"/>
      <c r="P27" s="140"/>
      <c r="Q27" s="140"/>
      <c r="R27" s="140"/>
      <c r="S27" s="140"/>
      <c r="T27" s="140"/>
      <c r="U27" s="140"/>
      <c r="V27" s="140"/>
      <c r="W27" s="140"/>
      <c r="X27" s="140"/>
      <c r="Y27" s="140"/>
      <c r="Z27" s="140"/>
      <c r="AA27" s="140"/>
      <c r="AB27" s="140"/>
    </row>
    <row r="28" spans="2:28" ht="17" x14ac:dyDescent="0.4">
      <c r="B28" s="8" t="s">
        <v>1541</v>
      </c>
      <c r="C28" s="151"/>
      <c r="D28" s="589" t="s">
        <v>693</v>
      </c>
      <c r="E28" s="154"/>
      <c r="F28" s="8"/>
      <c r="G28" s="140"/>
      <c r="H28" s="140"/>
      <c r="I28" s="140"/>
      <c r="J28" s="140"/>
      <c r="K28" s="140"/>
      <c r="L28" s="140"/>
      <c r="M28" s="140"/>
      <c r="N28" s="140"/>
      <c r="O28" s="140"/>
      <c r="P28" s="140"/>
      <c r="Q28" s="140"/>
      <c r="R28" s="140"/>
      <c r="S28" s="140"/>
      <c r="T28" s="140"/>
      <c r="U28" s="140"/>
      <c r="V28" s="140"/>
      <c r="W28" s="140"/>
      <c r="X28" s="140"/>
      <c r="Y28" s="140"/>
      <c r="Z28" s="140"/>
      <c r="AA28" s="140"/>
      <c r="AB28" s="140"/>
    </row>
    <row r="29" spans="2:28" ht="17.5" x14ac:dyDescent="0.45">
      <c r="B29" s="8" t="s">
        <v>448</v>
      </c>
      <c r="C29" s="151" t="s">
        <v>468</v>
      </c>
      <c r="D29" s="586">
        <v>20</v>
      </c>
      <c r="E29" s="582" t="str">
        <f>E25</f>
        <v>mm</v>
      </c>
      <c r="F29" s="170" t="str">
        <f>IF(D29&lt;D25,"Sensor Long Side must be longer than Short Side","")</f>
        <v/>
      </c>
      <c r="G29" s="140"/>
      <c r="H29" s="140"/>
      <c r="I29" s="140"/>
      <c r="J29" s="140"/>
      <c r="K29" s="140"/>
      <c r="L29" s="140"/>
      <c r="M29" s="140"/>
      <c r="N29" s="140"/>
      <c r="O29" s="140"/>
      <c r="P29" s="140"/>
      <c r="Q29" s="140"/>
      <c r="R29" s="140"/>
      <c r="S29" s="140"/>
      <c r="T29" s="140"/>
      <c r="U29" s="140"/>
      <c r="V29" s="140"/>
      <c r="W29" s="140"/>
      <c r="X29" s="140"/>
      <c r="Y29" s="140"/>
      <c r="Z29" s="140"/>
      <c r="AA29" s="140"/>
      <c r="AB29" s="140"/>
    </row>
    <row r="30" spans="2:28" ht="17" hidden="1" x14ac:dyDescent="0.4">
      <c r="B30" s="8" t="s">
        <v>1612</v>
      </c>
      <c r="C30" s="151"/>
      <c r="D30" s="587">
        <f>IF(E29="mm",D29,D29*0.0254)</f>
        <v>20</v>
      </c>
      <c r="E30" s="154" t="s">
        <v>34</v>
      </c>
      <c r="F30" s="8"/>
      <c r="G30" s="140"/>
      <c r="H30" s="140"/>
      <c r="I30" s="140"/>
      <c r="J30" s="140"/>
      <c r="K30" s="140"/>
      <c r="L30" s="140"/>
      <c r="M30" s="140"/>
      <c r="N30" s="140"/>
      <c r="O30" s="140"/>
      <c r="P30" s="140"/>
      <c r="Q30" s="140"/>
      <c r="R30" s="140"/>
      <c r="S30" s="140"/>
      <c r="T30" s="140"/>
      <c r="U30" s="140"/>
      <c r="V30" s="140"/>
      <c r="W30" s="140"/>
      <c r="X30" s="140"/>
      <c r="Y30" s="140"/>
      <c r="Z30" s="140"/>
      <c r="AA30" s="140"/>
      <c r="AB30" s="140"/>
    </row>
    <row r="31" spans="2:28" ht="17" hidden="1" x14ac:dyDescent="0.4">
      <c r="B31" s="8" t="s">
        <v>1542</v>
      </c>
      <c r="C31" s="151"/>
      <c r="D31" s="590">
        <f>IF(D28="Circular",1,D30/D27)</f>
        <v>1</v>
      </c>
      <c r="E31" s="154"/>
      <c r="F31" s="8"/>
      <c r="G31" s="140"/>
      <c r="H31" s="140"/>
      <c r="I31" s="140"/>
      <c r="J31" s="140"/>
      <c r="K31" s="140"/>
      <c r="L31" s="140"/>
      <c r="M31" s="140"/>
      <c r="N31" s="140"/>
      <c r="O31" s="140"/>
      <c r="P31" s="140"/>
      <c r="Q31" s="140"/>
      <c r="R31" s="140"/>
      <c r="S31" s="140"/>
      <c r="T31" s="140"/>
      <c r="U31" s="140"/>
      <c r="V31" s="140"/>
      <c r="W31" s="140"/>
      <c r="X31" s="140"/>
      <c r="Y31" s="140"/>
      <c r="Z31" s="140"/>
      <c r="AA31" s="140"/>
      <c r="AB31" s="140"/>
    </row>
    <row r="32" spans="2:28" ht="17" hidden="1" x14ac:dyDescent="0.4">
      <c r="B32" s="8" t="s">
        <v>387</v>
      </c>
      <c r="C32" s="151"/>
      <c r="D32" s="591">
        <f>1+(4*(D31-1)/PI())</f>
        <v>1</v>
      </c>
      <c r="E32" s="154"/>
      <c r="F32" s="8"/>
      <c r="G32" s="140"/>
      <c r="H32" s="140"/>
      <c r="I32" s="140"/>
      <c r="J32" s="140"/>
      <c r="K32" s="140"/>
      <c r="L32" s="140"/>
      <c r="M32" s="140"/>
      <c r="N32" s="140"/>
      <c r="O32" s="140"/>
      <c r="P32" s="140"/>
      <c r="Q32" s="140"/>
      <c r="R32" s="140"/>
      <c r="S32" s="140"/>
      <c r="T32" s="140"/>
      <c r="U32" s="140"/>
      <c r="V32" s="140"/>
      <c r="W32" s="140"/>
      <c r="X32" s="140"/>
      <c r="Y32" s="140"/>
      <c r="Z32" s="140"/>
      <c r="AA32" s="140"/>
      <c r="AB32" s="140"/>
    </row>
    <row r="33" spans="2:28" ht="17" x14ac:dyDescent="0.4">
      <c r="B33" s="8" t="s">
        <v>38</v>
      </c>
      <c r="C33" s="151" t="s">
        <v>39</v>
      </c>
      <c r="D33" s="589">
        <v>0.25</v>
      </c>
      <c r="E33" s="137" t="s">
        <v>34</v>
      </c>
      <c r="F33" s="8" t="s">
        <v>40</v>
      </c>
      <c r="G33" s="140"/>
      <c r="H33" s="604"/>
      <c r="I33" s="140"/>
      <c r="J33" s="140"/>
      <c r="K33" s="140"/>
      <c r="L33" s="140"/>
      <c r="M33" s="140"/>
      <c r="N33" s="140"/>
      <c r="O33" s="140"/>
      <c r="P33" s="140"/>
      <c r="Q33" s="140"/>
      <c r="R33" s="140"/>
      <c r="S33" s="140"/>
      <c r="T33" s="140"/>
      <c r="U33" s="140"/>
      <c r="V33" s="140"/>
      <c r="W33" s="140"/>
      <c r="X33" s="140"/>
      <c r="Y33" s="140"/>
      <c r="Z33" s="140"/>
      <c r="AA33" s="140"/>
      <c r="AB33" s="140"/>
    </row>
    <row r="34" spans="2:28" ht="17" hidden="1" x14ac:dyDescent="0.4">
      <c r="B34" s="8" t="s">
        <v>1532</v>
      </c>
      <c r="C34" s="151" t="str">
        <f>E33</f>
        <v>mm</v>
      </c>
      <c r="D34" s="588" t="str">
        <f>C34</f>
        <v>mm</v>
      </c>
      <c r="E34" s="577"/>
      <c r="F34" s="8"/>
      <c r="G34" s="140"/>
      <c r="H34" s="604"/>
      <c r="I34" s="140"/>
      <c r="J34" s="140"/>
      <c r="K34" s="140"/>
      <c r="L34" s="140"/>
      <c r="M34" s="140"/>
      <c r="N34" s="140"/>
      <c r="O34" s="140"/>
      <c r="P34" s="140"/>
      <c r="Q34" s="140"/>
      <c r="R34" s="140"/>
      <c r="S34" s="140"/>
      <c r="T34" s="140"/>
      <c r="U34" s="140"/>
      <c r="V34" s="140"/>
      <c r="W34" s="140"/>
      <c r="X34" s="140"/>
      <c r="Y34" s="140"/>
      <c r="Z34" s="140"/>
      <c r="AA34" s="140"/>
      <c r="AB34" s="140"/>
    </row>
    <row r="35" spans="2:28" ht="17" hidden="1" x14ac:dyDescent="0.4">
      <c r="B35" s="8" t="s">
        <v>1534</v>
      </c>
      <c r="C35" s="151"/>
      <c r="D35" s="591">
        <f>IF(D34="mm",D33,D33*0.0254)</f>
        <v>0.25</v>
      </c>
      <c r="E35" s="577" t="s">
        <v>34</v>
      </c>
      <c r="F35" s="8"/>
      <c r="G35" s="140"/>
      <c r="H35" s="604"/>
      <c r="I35" s="140"/>
      <c r="J35" s="140"/>
      <c r="K35" s="140"/>
      <c r="L35" s="140"/>
      <c r="M35" s="140"/>
      <c r="N35" s="140"/>
      <c r="O35" s="140"/>
      <c r="P35" s="140"/>
      <c r="Q35" s="140"/>
      <c r="R35" s="140"/>
      <c r="S35" s="140"/>
      <c r="T35" s="140"/>
      <c r="U35" s="140"/>
      <c r="V35" s="140"/>
      <c r="W35" s="140"/>
      <c r="X35" s="140"/>
      <c r="Y35" s="140"/>
      <c r="Z35" s="140"/>
      <c r="AA35" s="140"/>
      <c r="AB35" s="140"/>
    </row>
    <row r="36" spans="2:28" ht="17" x14ac:dyDescent="0.4">
      <c r="B36" s="8" t="s">
        <v>41</v>
      </c>
      <c r="C36" s="151" t="s">
        <v>42</v>
      </c>
      <c r="D36" s="589">
        <v>0.25</v>
      </c>
      <c r="E36" s="137" t="s">
        <v>34</v>
      </c>
      <c r="F36" s="8" t="s">
        <v>43</v>
      </c>
      <c r="G36" s="140"/>
      <c r="H36" s="140"/>
      <c r="I36" s="140"/>
      <c r="J36" s="140"/>
      <c r="K36" s="140"/>
      <c r="L36" s="140"/>
      <c r="M36" s="140"/>
      <c r="N36" s="140"/>
      <c r="O36" s="140"/>
      <c r="P36" s="140"/>
      <c r="Q36" s="140"/>
      <c r="R36" s="140"/>
      <c r="S36" s="140"/>
      <c r="T36" s="140"/>
      <c r="U36" s="140"/>
      <c r="V36" s="140"/>
      <c r="W36" s="140"/>
      <c r="X36" s="140"/>
      <c r="Y36" s="140"/>
      <c r="Z36" s="140"/>
      <c r="AA36" s="140"/>
      <c r="AB36" s="140"/>
    </row>
    <row r="37" spans="2:28" hidden="1" x14ac:dyDescent="0.35">
      <c r="B37" s="8" t="s">
        <v>1535</v>
      </c>
      <c r="C37" s="151" t="str">
        <f>E36</f>
        <v>mm</v>
      </c>
      <c r="D37" s="300" t="str">
        <f>C37</f>
        <v>mm</v>
      </c>
      <c r="E37" s="577"/>
      <c r="F37" s="8"/>
      <c r="G37" s="140"/>
      <c r="H37" s="140"/>
      <c r="I37" s="140"/>
      <c r="J37" s="140"/>
      <c r="K37" s="140"/>
      <c r="L37" s="140"/>
      <c r="M37" s="140"/>
      <c r="N37" s="140"/>
      <c r="O37" s="140"/>
      <c r="P37" s="140"/>
      <c r="Q37" s="140"/>
      <c r="R37" s="140"/>
      <c r="S37" s="140"/>
      <c r="T37" s="140"/>
      <c r="U37" s="140"/>
      <c r="V37" s="140"/>
      <c r="W37" s="140"/>
      <c r="X37" s="140"/>
      <c r="Y37" s="140"/>
      <c r="Z37" s="140"/>
      <c r="AA37" s="140"/>
      <c r="AB37" s="140"/>
    </row>
    <row r="38" spans="2:28" ht="15.5" hidden="1" x14ac:dyDescent="0.35">
      <c r="B38" s="8" t="s">
        <v>1533</v>
      </c>
      <c r="C38" s="151"/>
      <c r="D38" s="580">
        <f>IF(D37="mm",D36,D36*0.0254)</f>
        <v>0.25</v>
      </c>
      <c r="E38" s="577" t="s">
        <v>34</v>
      </c>
      <c r="F38" s="8"/>
      <c r="G38" s="140"/>
      <c r="H38" s="140"/>
      <c r="I38" s="140"/>
      <c r="J38" s="140"/>
      <c r="K38" s="140"/>
      <c r="L38" s="140"/>
      <c r="M38" s="140"/>
      <c r="N38" s="140"/>
      <c r="O38" s="140"/>
      <c r="P38" s="140"/>
      <c r="Q38" s="140"/>
      <c r="R38" s="140"/>
      <c r="S38" s="140"/>
      <c r="T38" s="140"/>
      <c r="U38" s="140"/>
      <c r="V38" s="140"/>
      <c r="W38" s="140"/>
      <c r="X38" s="140"/>
      <c r="Y38" s="140"/>
      <c r="Z38" s="140"/>
      <c r="AA38" s="140"/>
      <c r="AB38" s="140"/>
    </row>
    <row r="39" spans="2:28" x14ac:dyDescent="0.35">
      <c r="B39" s="8" t="s">
        <v>184</v>
      </c>
      <c r="C39" s="151" t="s">
        <v>191</v>
      </c>
      <c r="D39" s="300">
        <v>0.8</v>
      </c>
      <c r="E39" s="577" t="s">
        <v>34</v>
      </c>
      <c r="F39" s="8" t="s">
        <v>44</v>
      </c>
      <c r="G39" s="140"/>
      <c r="H39" s="140"/>
      <c r="I39" s="140"/>
      <c r="J39" s="140"/>
      <c r="K39" s="140"/>
      <c r="L39" s="140"/>
      <c r="M39" s="140"/>
      <c r="N39" s="140"/>
      <c r="O39" s="140"/>
      <c r="P39" s="140"/>
      <c r="Q39" s="140"/>
      <c r="R39" s="140"/>
      <c r="S39" s="140"/>
      <c r="T39" s="140"/>
      <c r="U39" s="140"/>
      <c r="V39" s="140"/>
      <c r="W39" s="140"/>
      <c r="X39" s="140"/>
      <c r="Y39" s="140"/>
      <c r="Z39" s="140"/>
      <c r="AA39" s="140"/>
      <c r="AB39" s="140"/>
    </row>
    <row r="40" spans="2:28" x14ac:dyDescent="0.35">
      <c r="B40" s="8" t="s">
        <v>185</v>
      </c>
      <c r="C40" s="151" t="s">
        <v>192</v>
      </c>
      <c r="D40" s="300">
        <v>30</v>
      </c>
      <c r="E40" s="153" t="str">
        <f t="shared" ref="E40:E45" si="0">E39</f>
        <v>mm</v>
      </c>
      <c r="F40" s="8" t="s">
        <v>45</v>
      </c>
      <c r="G40" s="140"/>
      <c r="H40" s="140"/>
      <c r="I40" s="140"/>
      <c r="J40" s="140"/>
      <c r="K40" s="140"/>
      <c r="L40" s="140"/>
      <c r="M40" s="140"/>
      <c r="N40" s="140"/>
      <c r="O40" s="140"/>
      <c r="P40" s="140"/>
      <c r="Q40" s="140"/>
      <c r="R40" s="140"/>
      <c r="S40" s="140"/>
      <c r="T40" s="140"/>
      <c r="U40" s="140"/>
      <c r="V40" s="140"/>
      <c r="W40" s="140"/>
      <c r="X40" s="140"/>
      <c r="Y40" s="140"/>
      <c r="Z40" s="140"/>
      <c r="AA40" s="140"/>
      <c r="AB40" s="140"/>
    </row>
    <row r="41" spans="2:28" x14ac:dyDescent="0.35">
      <c r="B41" s="8" t="s">
        <v>186</v>
      </c>
      <c r="C41" s="151" t="s">
        <v>193</v>
      </c>
      <c r="D41" s="300">
        <v>8</v>
      </c>
      <c r="E41" s="153" t="str">
        <f t="shared" si="0"/>
        <v>mm</v>
      </c>
      <c r="F41" s="8" t="s">
        <v>46</v>
      </c>
      <c r="G41" s="140"/>
      <c r="H41" s="140"/>
      <c r="I41" s="140"/>
      <c r="J41" s="140"/>
      <c r="K41" s="140"/>
      <c r="L41" s="140"/>
      <c r="M41" s="140"/>
      <c r="N41" s="140"/>
      <c r="O41" s="140"/>
      <c r="P41" s="140"/>
      <c r="Q41" s="140"/>
      <c r="R41" s="140"/>
      <c r="S41" s="140"/>
      <c r="T41" s="140"/>
      <c r="U41" s="140"/>
      <c r="V41" s="140"/>
      <c r="W41" s="140"/>
      <c r="X41" s="140"/>
      <c r="Y41" s="140"/>
      <c r="Z41" s="140"/>
      <c r="AA41" s="140"/>
      <c r="AB41" s="140"/>
    </row>
    <row r="42" spans="2:28" x14ac:dyDescent="0.35">
      <c r="B42" s="8" t="s">
        <v>187</v>
      </c>
      <c r="C42" s="151" t="s">
        <v>194</v>
      </c>
      <c r="D42" s="300">
        <v>8</v>
      </c>
      <c r="E42" s="153" t="str">
        <f t="shared" si="0"/>
        <v>mm</v>
      </c>
      <c r="F42" s="8" t="s">
        <v>47</v>
      </c>
      <c r="G42" s="140"/>
      <c r="H42" s="140"/>
      <c r="I42" s="140"/>
      <c r="J42" s="140"/>
      <c r="K42" s="140"/>
      <c r="L42" s="140"/>
      <c r="M42" s="140"/>
      <c r="N42" s="140"/>
      <c r="O42" s="140"/>
      <c r="P42" s="140"/>
      <c r="Q42" s="140"/>
      <c r="R42" s="140"/>
      <c r="S42" s="140"/>
      <c r="T42" s="140"/>
      <c r="U42" s="140"/>
      <c r="V42" s="140"/>
      <c r="W42" s="140"/>
      <c r="X42" s="140"/>
      <c r="Y42" s="140"/>
      <c r="Z42" s="140"/>
      <c r="AA42" s="140"/>
      <c r="AB42" s="140"/>
    </row>
    <row r="43" spans="2:28" x14ac:dyDescent="0.35">
      <c r="B43" s="8" t="s">
        <v>188</v>
      </c>
      <c r="C43" s="151" t="s">
        <v>195</v>
      </c>
      <c r="D43" s="300">
        <v>8</v>
      </c>
      <c r="E43" s="153" t="str">
        <f t="shared" si="0"/>
        <v>mm</v>
      </c>
      <c r="F43" s="8" t="s">
        <v>48</v>
      </c>
      <c r="G43" s="140"/>
      <c r="H43" s="140"/>
      <c r="I43" s="140"/>
      <c r="J43" s="140"/>
      <c r="K43" s="140"/>
      <c r="L43" s="140"/>
      <c r="M43" s="140"/>
      <c r="N43" s="140"/>
      <c r="O43" s="140"/>
      <c r="P43" s="140"/>
      <c r="Q43" s="140"/>
      <c r="R43" s="140"/>
      <c r="S43" s="140"/>
      <c r="T43" s="140"/>
      <c r="U43" s="140"/>
      <c r="V43" s="140"/>
      <c r="W43" s="140"/>
      <c r="X43" s="140"/>
      <c r="Y43" s="140"/>
      <c r="Z43" s="140"/>
      <c r="AA43" s="140"/>
      <c r="AB43" s="140"/>
    </row>
    <row r="44" spans="2:28" ht="15.65" customHeight="1" x14ac:dyDescent="0.35">
      <c r="B44" s="8" t="s">
        <v>189</v>
      </c>
      <c r="C44" s="151" t="s">
        <v>196</v>
      </c>
      <c r="D44" s="300">
        <f>62*0.0254</f>
        <v>1.5748</v>
      </c>
      <c r="E44" s="153" t="str">
        <f t="shared" si="0"/>
        <v>mm</v>
      </c>
      <c r="F44" s="8" t="s">
        <v>49</v>
      </c>
      <c r="G44" s="140"/>
      <c r="H44" s="140"/>
      <c r="I44" s="140"/>
      <c r="J44" s="140"/>
      <c r="K44" s="140"/>
      <c r="L44" s="140"/>
      <c r="M44" s="140"/>
      <c r="N44" s="140"/>
      <c r="O44" s="140"/>
      <c r="P44" s="140"/>
      <c r="Q44" s="140"/>
      <c r="R44" s="140"/>
      <c r="S44" s="140"/>
      <c r="T44" s="140"/>
      <c r="U44" s="140"/>
      <c r="V44" s="140"/>
      <c r="W44" s="140"/>
      <c r="X44" s="140"/>
      <c r="Y44" s="140"/>
      <c r="Z44" s="140"/>
      <c r="AA44" s="140"/>
      <c r="AB44" s="140"/>
    </row>
    <row r="45" spans="2:28" x14ac:dyDescent="0.35">
      <c r="B45" s="8" t="s">
        <v>190</v>
      </c>
      <c r="C45" s="151" t="s">
        <v>197</v>
      </c>
      <c r="D45" s="300">
        <f>62*0.0254</f>
        <v>1.5748</v>
      </c>
      <c r="E45" s="153" t="str">
        <f t="shared" si="0"/>
        <v>mm</v>
      </c>
      <c r="F45" s="8" t="s">
        <v>50</v>
      </c>
      <c r="G45" s="140"/>
      <c r="H45" s="140"/>
      <c r="I45" s="140"/>
      <c r="J45" s="140"/>
      <c r="K45" s="140"/>
      <c r="L45" s="140"/>
      <c r="M45" s="140"/>
      <c r="N45" s="140"/>
      <c r="O45" s="140"/>
      <c r="P45" s="140"/>
      <c r="Q45" s="140"/>
      <c r="R45" s="140"/>
      <c r="S45" s="140"/>
      <c r="T45" s="140"/>
      <c r="U45" s="140"/>
      <c r="V45" s="140"/>
      <c r="W45" s="140"/>
      <c r="X45" s="140"/>
      <c r="Y45" s="140"/>
      <c r="Z45" s="140"/>
      <c r="AA45" s="140"/>
      <c r="AB45" s="140"/>
    </row>
    <row r="46" spans="2:28" x14ac:dyDescent="0.35">
      <c r="B46" s="8" t="s">
        <v>51</v>
      </c>
      <c r="C46" s="151" t="s">
        <v>52</v>
      </c>
      <c r="D46" s="139">
        <v>1.7999999999999999E-2</v>
      </c>
      <c r="E46" s="137" t="s">
        <v>34</v>
      </c>
      <c r="F46" s="8" t="s">
        <v>54</v>
      </c>
      <c r="G46" s="140"/>
      <c r="H46" s="140"/>
      <c r="I46" s="140"/>
      <c r="J46" s="140"/>
      <c r="K46" s="140"/>
      <c r="L46" s="140"/>
      <c r="M46" s="140"/>
      <c r="N46" s="140"/>
      <c r="O46" s="140"/>
      <c r="P46" s="140"/>
      <c r="Q46" s="140"/>
      <c r="R46" s="140"/>
      <c r="S46" s="140"/>
      <c r="T46" s="140"/>
      <c r="U46" s="140"/>
      <c r="V46" s="140"/>
      <c r="W46" s="140"/>
      <c r="X46" s="140"/>
      <c r="Y46" s="140"/>
      <c r="Z46" s="140"/>
      <c r="AA46" s="140"/>
      <c r="AB46" s="140"/>
    </row>
    <row r="47" spans="2:28" hidden="1" x14ac:dyDescent="0.35">
      <c r="B47" s="8" t="s">
        <v>1537</v>
      </c>
      <c r="C47" s="151" t="str">
        <f>E46</f>
        <v>mm</v>
      </c>
      <c r="D47" s="300" t="str">
        <f>C47</f>
        <v>mm</v>
      </c>
      <c r="E47" s="577"/>
      <c r="F47" s="8"/>
      <c r="G47" s="140"/>
      <c r="H47" s="140"/>
      <c r="I47" s="140"/>
      <c r="J47" s="140"/>
      <c r="K47" s="140"/>
      <c r="L47" s="140"/>
      <c r="M47" s="140"/>
      <c r="N47" s="140"/>
      <c r="O47" s="140"/>
      <c r="P47" s="140"/>
      <c r="Q47" s="140"/>
      <c r="R47" s="140"/>
      <c r="S47" s="140"/>
      <c r="T47" s="140"/>
      <c r="U47" s="140"/>
      <c r="V47" s="140"/>
      <c r="W47" s="140"/>
      <c r="X47" s="140"/>
      <c r="Y47" s="140"/>
      <c r="Z47" s="140"/>
      <c r="AA47" s="140"/>
      <c r="AB47" s="140"/>
    </row>
    <row r="48" spans="2:28" hidden="1" x14ac:dyDescent="0.35">
      <c r="B48" s="8" t="s">
        <v>1536</v>
      </c>
      <c r="C48" s="151"/>
      <c r="D48" s="578">
        <f>IF(D47="mm",D46, IF(D47="mil",D46*0.0254,D46*0.0347))</f>
        <v>1.7999999999999999E-2</v>
      </c>
      <c r="E48" s="577" t="s">
        <v>34</v>
      </c>
      <c r="F48" s="8"/>
      <c r="G48" s="140"/>
      <c r="H48" s="140"/>
      <c r="I48" s="140"/>
      <c r="J48" s="140"/>
      <c r="K48" s="140"/>
      <c r="L48" s="140"/>
      <c r="M48" s="140"/>
      <c r="N48" s="140"/>
      <c r="O48" s="140"/>
      <c r="P48" s="140"/>
      <c r="Q48" s="140"/>
      <c r="R48" s="140"/>
      <c r="S48" s="140"/>
      <c r="T48" s="140"/>
      <c r="U48" s="140"/>
      <c r="V48" s="140"/>
      <c r="W48" s="140"/>
      <c r="X48" s="140"/>
      <c r="Y48" s="140"/>
      <c r="Z48" s="140"/>
      <c r="AA48" s="140"/>
      <c r="AB48" s="140"/>
    </row>
    <row r="49" spans="1:28" ht="15" customHeight="1" x14ac:dyDescent="0.35">
      <c r="B49" s="259" t="s">
        <v>591</v>
      </c>
      <c r="C49" s="260" t="s">
        <v>55</v>
      </c>
      <c r="D49" s="261">
        <v>1.6800000000000002E-8</v>
      </c>
      <c r="E49" s="262" t="s">
        <v>592</v>
      </c>
      <c r="F49" s="263" t="s">
        <v>590</v>
      </c>
      <c r="G49" s="140"/>
      <c r="H49" s="140"/>
      <c r="I49" s="140"/>
      <c r="J49" s="140"/>
      <c r="K49" s="140"/>
      <c r="L49" s="140"/>
      <c r="M49" s="140"/>
      <c r="N49" s="140"/>
      <c r="O49" s="140"/>
      <c r="P49" s="140"/>
      <c r="Q49" s="140"/>
      <c r="R49" s="140"/>
      <c r="S49" s="140"/>
      <c r="T49" s="140"/>
      <c r="U49" s="140"/>
      <c r="V49" s="140"/>
      <c r="W49" s="140"/>
      <c r="X49" s="140"/>
      <c r="Y49" s="140"/>
      <c r="Z49" s="140"/>
      <c r="AA49" s="140"/>
      <c r="AB49" s="140"/>
    </row>
    <row r="50" spans="1:28" x14ac:dyDescent="0.35">
      <c r="B50" s="259" t="s">
        <v>255</v>
      </c>
      <c r="C50" s="260" t="s">
        <v>56</v>
      </c>
      <c r="D50" s="264">
        <v>0.39300000000000002</v>
      </c>
      <c r="E50" s="262" t="s">
        <v>593</v>
      </c>
      <c r="F50" s="263" t="s">
        <v>589</v>
      </c>
      <c r="G50" s="140"/>
      <c r="H50" s="140"/>
      <c r="I50" s="140"/>
      <c r="J50" s="140"/>
      <c r="K50" s="140"/>
      <c r="L50" s="140"/>
      <c r="M50" s="140"/>
      <c r="N50" s="140"/>
      <c r="O50" s="140"/>
      <c r="P50" s="140"/>
      <c r="Q50" s="140"/>
      <c r="R50" s="140"/>
      <c r="S50" s="140"/>
      <c r="T50" s="140"/>
      <c r="U50" s="140"/>
      <c r="V50" s="140"/>
      <c r="W50" s="140"/>
      <c r="X50" s="140"/>
      <c r="Y50" s="140"/>
      <c r="Z50" s="140"/>
      <c r="AA50" s="140"/>
      <c r="AB50" s="140"/>
    </row>
    <row r="51" spans="1:28" x14ac:dyDescent="0.35">
      <c r="B51" s="259" t="s">
        <v>57</v>
      </c>
      <c r="C51" s="265" t="s">
        <v>594</v>
      </c>
      <c r="D51" s="266">
        <v>1</v>
      </c>
      <c r="E51" s="262"/>
      <c r="F51" s="263" t="s">
        <v>595</v>
      </c>
      <c r="G51" s="140"/>
      <c r="H51" s="140"/>
      <c r="I51" s="140"/>
      <c r="J51" s="140"/>
      <c r="K51" s="140"/>
      <c r="L51" s="140"/>
      <c r="M51" s="140"/>
      <c r="N51" s="140"/>
      <c r="O51" s="140"/>
      <c r="P51" s="140"/>
      <c r="Q51" s="140"/>
      <c r="R51" s="140"/>
      <c r="S51" s="140"/>
      <c r="T51" s="140"/>
      <c r="U51" s="140"/>
      <c r="V51" s="140"/>
      <c r="W51" s="140"/>
      <c r="X51" s="140"/>
      <c r="Y51" s="140"/>
      <c r="Z51" s="140"/>
      <c r="AA51" s="140"/>
      <c r="AB51" s="140"/>
    </row>
    <row r="52" spans="1:28" x14ac:dyDescent="0.35">
      <c r="B52" s="259" t="s">
        <v>58</v>
      </c>
      <c r="C52" s="260" t="s">
        <v>59</v>
      </c>
      <c r="D52" s="267">
        <v>4</v>
      </c>
      <c r="E52" s="262" t="s">
        <v>27</v>
      </c>
      <c r="F52" s="263" t="s">
        <v>60</v>
      </c>
      <c r="G52" s="140"/>
      <c r="H52" s="140"/>
      <c r="I52" s="140"/>
      <c r="J52" s="140"/>
      <c r="K52" s="140"/>
      <c r="L52" s="140"/>
      <c r="M52" s="140"/>
      <c r="N52" s="140"/>
      <c r="O52" s="140"/>
      <c r="P52" s="140"/>
      <c r="Q52" s="140"/>
      <c r="R52" s="140"/>
      <c r="S52" s="140"/>
      <c r="T52" s="140"/>
      <c r="U52" s="140"/>
      <c r="V52" s="140"/>
      <c r="W52" s="140"/>
      <c r="X52" s="140"/>
      <c r="Y52" s="140"/>
      <c r="Z52" s="140"/>
      <c r="AA52" s="140"/>
      <c r="AB52" s="140"/>
    </row>
    <row r="53" spans="1:28" x14ac:dyDescent="0.35">
      <c r="B53" s="155" t="s">
        <v>61</v>
      </c>
      <c r="C53" s="156" t="s">
        <v>62</v>
      </c>
      <c r="D53" s="157">
        <f>D49*(1+(D50/100)*(D21-20))</f>
        <v>1.713012E-8</v>
      </c>
      <c r="E53" s="158" t="s">
        <v>469</v>
      </c>
      <c r="F53" s="8"/>
      <c r="G53" s="140"/>
      <c r="H53" s="140"/>
      <c r="I53" s="140"/>
      <c r="J53" s="140"/>
      <c r="K53" s="140"/>
      <c r="L53" s="140"/>
      <c r="M53" s="140"/>
      <c r="N53" s="140"/>
      <c r="O53" s="140"/>
      <c r="P53" s="140"/>
      <c r="Q53" s="140"/>
      <c r="R53" s="140"/>
      <c r="S53" s="140"/>
      <c r="T53" s="140"/>
      <c r="U53" s="140"/>
      <c r="V53" s="140"/>
      <c r="W53" s="140"/>
      <c r="X53" s="140"/>
      <c r="Y53" s="140"/>
      <c r="Z53" s="140"/>
      <c r="AA53" s="140"/>
      <c r="AB53" s="140"/>
    </row>
    <row r="54" spans="1:28" x14ac:dyDescent="0.35">
      <c r="A54" s="159"/>
      <c r="B54" s="8" t="s">
        <v>286</v>
      </c>
      <c r="C54" s="151" t="s">
        <v>288</v>
      </c>
      <c r="D54" s="160">
        <f>D57/D27</f>
        <v>0.45</v>
      </c>
      <c r="E54" s="154"/>
      <c r="F54" s="625" t="s">
        <v>1643</v>
      </c>
      <c r="G54" s="140"/>
      <c r="H54" s="140"/>
      <c r="I54" s="140"/>
      <c r="J54" s="140"/>
      <c r="K54" s="140"/>
      <c r="L54" s="140"/>
      <c r="M54" s="140"/>
      <c r="N54" s="140"/>
      <c r="O54" s="140"/>
      <c r="P54" s="140"/>
      <c r="Q54" s="140"/>
      <c r="R54" s="140"/>
      <c r="S54" s="140"/>
      <c r="T54" s="140"/>
      <c r="U54" s="140"/>
      <c r="V54" s="140"/>
      <c r="W54" s="140"/>
      <c r="X54" s="140"/>
      <c r="Y54" s="140"/>
      <c r="Z54" s="140"/>
      <c r="AA54" s="140"/>
      <c r="AB54" s="140"/>
    </row>
    <row r="55" spans="1:28" hidden="1" x14ac:dyDescent="0.35">
      <c r="A55" s="159"/>
      <c r="B55" s="155" t="s">
        <v>63</v>
      </c>
      <c r="C55" s="156" t="s">
        <v>64</v>
      </c>
      <c r="D55" s="161">
        <f>MAX(0,D32*(D57+D27)/2)</f>
        <v>14.5</v>
      </c>
      <c r="E55" s="162" t="s">
        <v>34</v>
      </c>
      <c r="F55" s="8"/>
      <c r="G55" s="140"/>
      <c r="H55" s="140"/>
      <c r="I55" s="140"/>
      <c r="J55" s="140"/>
      <c r="K55" s="140"/>
      <c r="L55" s="140"/>
      <c r="M55" s="140"/>
      <c r="N55" s="140"/>
      <c r="O55" s="140"/>
      <c r="P55" s="140"/>
      <c r="Q55" s="140"/>
      <c r="R55" s="140"/>
      <c r="S55" s="140"/>
      <c r="T55" s="140"/>
      <c r="U55" s="140"/>
      <c r="V55" s="140"/>
      <c r="W55" s="140"/>
      <c r="X55" s="140"/>
      <c r="Y55" s="140"/>
      <c r="Z55" s="140"/>
      <c r="AA55" s="140"/>
      <c r="AB55" s="140"/>
    </row>
    <row r="56" spans="1:28" hidden="1" x14ac:dyDescent="0.35">
      <c r="A56" s="159"/>
      <c r="B56" s="155" t="s">
        <v>65</v>
      </c>
      <c r="C56" s="156" t="s">
        <v>66</v>
      </c>
      <c r="D56" s="163">
        <f>(D27-D57)/(D27+D57)</f>
        <v>0.37931034482758619</v>
      </c>
      <c r="E56" s="162"/>
      <c r="F56" s="8"/>
      <c r="G56" s="140"/>
      <c r="H56" s="140"/>
      <c r="I56" s="140"/>
      <c r="J56" s="140"/>
      <c r="K56" s="140"/>
      <c r="L56" s="140"/>
      <c r="M56" s="140"/>
      <c r="N56" s="140"/>
      <c r="O56" s="140"/>
      <c r="P56" s="140"/>
      <c r="Q56" s="140"/>
      <c r="R56" s="140"/>
      <c r="S56" s="140"/>
      <c r="T56" s="140"/>
      <c r="U56" s="140"/>
      <c r="V56" s="140"/>
      <c r="W56" s="140"/>
      <c r="X56" s="140"/>
      <c r="Y56" s="140"/>
      <c r="Z56" s="140"/>
      <c r="AA56" s="140"/>
      <c r="AB56" s="140"/>
    </row>
    <row r="57" spans="1:28" hidden="1" x14ac:dyDescent="0.35">
      <c r="A57" s="159"/>
      <c r="B57" s="155" t="s">
        <v>1530</v>
      </c>
      <c r="C57" s="156"/>
      <c r="D57" s="163">
        <f>D27-(2*D24+1)*D38-(2*D24-1)*D35</f>
        <v>9</v>
      </c>
      <c r="E57" s="162" t="s">
        <v>34</v>
      </c>
      <c r="F57" s="8"/>
      <c r="G57" s="140"/>
      <c r="H57" s="140"/>
      <c r="I57" s="140"/>
      <c r="J57" s="140"/>
      <c r="K57" s="140"/>
      <c r="L57" s="140"/>
      <c r="M57" s="140"/>
      <c r="N57" s="140"/>
      <c r="O57" s="140"/>
      <c r="P57" s="140"/>
      <c r="Q57" s="140"/>
      <c r="R57" s="140"/>
      <c r="S57" s="140"/>
      <c r="T57" s="140"/>
      <c r="U57" s="140"/>
      <c r="V57" s="140"/>
      <c r="W57" s="140"/>
      <c r="X57" s="140"/>
      <c r="Y57" s="140"/>
      <c r="Z57" s="140"/>
      <c r="AA57" s="140"/>
      <c r="AB57" s="140"/>
    </row>
    <row r="58" spans="1:28" hidden="1" x14ac:dyDescent="0.35">
      <c r="A58" s="159"/>
      <c r="B58" s="155" t="s">
        <v>1538</v>
      </c>
      <c r="C58" s="156" t="str">
        <f>E59</f>
        <v>mm</v>
      </c>
      <c r="D58" s="163" t="str">
        <f>C58</f>
        <v>mm</v>
      </c>
      <c r="E58" s="162"/>
      <c r="F58" s="8"/>
      <c r="G58" s="140"/>
      <c r="H58" s="140"/>
      <c r="I58" s="140"/>
      <c r="J58" s="140"/>
      <c r="K58" s="140"/>
      <c r="L58" s="140"/>
      <c r="M58" s="140"/>
      <c r="N58" s="140"/>
      <c r="O58" s="140"/>
      <c r="P58" s="140"/>
      <c r="Q58" s="140"/>
      <c r="R58" s="140"/>
      <c r="S58" s="140"/>
      <c r="T58" s="140"/>
      <c r="U58" s="140"/>
      <c r="V58" s="140"/>
      <c r="W58" s="140"/>
      <c r="X58" s="140"/>
      <c r="Y58" s="140"/>
      <c r="Z58" s="140"/>
      <c r="AA58" s="140"/>
      <c r="AB58" s="140"/>
    </row>
    <row r="59" spans="1:28" x14ac:dyDescent="0.35">
      <c r="A59" s="159"/>
      <c r="B59" s="155" t="s">
        <v>67</v>
      </c>
      <c r="C59" s="156" t="s">
        <v>36</v>
      </c>
      <c r="D59" s="164">
        <f>IF(D58="mm",D57,D57/0.0254)</f>
        <v>9</v>
      </c>
      <c r="E59" s="137" t="s">
        <v>34</v>
      </c>
      <c r="F59" s="8" t="s">
        <v>37</v>
      </c>
      <c r="G59" s="140"/>
      <c r="H59" s="140"/>
      <c r="I59" s="140"/>
      <c r="J59" s="140"/>
      <c r="K59" s="140"/>
      <c r="L59" s="140"/>
      <c r="M59" s="140"/>
      <c r="N59" s="140"/>
      <c r="O59" s="140"/>
      <c r="P59" s="140"/>
      <c r="Q59" s="140"/>
      <c r="R59" s="140"/>
      <c r="S59" s="140"/>
      <c r="T59" s="140"/>
      <c r="U59" s="140"/>
      <c r="V59" s="140"/>
      <c r="W59" s="140"/>
      <c r="X59" s="140"/>
      <c r="Y59" s="140"/>
      <c r="Z59" s="140"/>
      <c r="AA59" s="140"/>
      <c r="AB59" s="140"/>
    </row>
    <row r="60" spans="1:28" x14ac:dyDescent="0.35">
      <c r="A60" s="159"/>
      <c r="B60" s="8" t="s">
        <v>68</v>
      </c>
      <c r="C60" s="151" t="s">
        <v>69</v>
      </c>
      <c r="D60" s="165">
        <f>0.5*4*PI()*0.0001*D24*D24*D55*(LN(2.46/D56)+0.2*D56*D56)</f>
        <v>2.0926981646037919</v>
      </c>
      <c r="E60" s="152" t="s">
        <v>470</v>
      </c>
      <c r="F60" s="166"/>
      <c r="G60" s="140"/>
      <c r="H60" s="140"/>
      <c r="I60" s="140"/>
      <c r="J60" s="140"/>
      <c r="K60" s="140"/>
      <c r="L60" s="140"/>
      <c r="M60" s="140"/>
      <c r="N60" s="140"/>
      <c r="O60" s="140"/>
      <c r="P60" s="140"/>
      <c r="Q60" s="140"/>
      <c r="R60" s="140"/>
      <c r="S60" s="140"/>
      <c r="T60" s="140"/>
      <c r="U60" s="140"/>
      <c r="V60" s="140"/>
      <c r="W60" s="140"/>
      <c r="X60" s="140"/>
      <c r="Y60" s="140"/>
      <c r="Z60" s="140"/>
      <c r="AA60" s="140"/>
      <c r="AB60" s="140"/>
    </row>
    <row r="61" spans="1:28" x14ac:dyDescent="0.35">
      <c r="A61" s="159"/>
      <c r="B61" s="575"/>
      <c r="C61" s="151"/>
      <c r="D61" s="165"/>
      <c r="E61" s="152"/>
      <c r="F61" s="166"/>
      <c r="G61" s="140"/>
      <c r="H61" s="140"/>
      <c r="I61" s="140"/>
      <c r="J61" s="140"/>
      <c r="K61" s="140"/>
      <c r="L61" s="140"/>
      <c r="M61" s="140"/>
      <c r="N61" s="140"/>
      <c r="O61" s="140"/>
      <c r="P61" s="140"/>
      <c r="Q61" s="140"/>
      <c r="R61" s="140"/>
      <c r="S61" s="140"/>
      <c r="T61" s="140"/>
      <c r="U61" s="140"/>
      <c r="V61" s="140"/>
      <c r="W61" s="140"/>
      <c r="X61" s="140"/>
      <c r="Y61" s="140"/>
      <c r="Z61" s="140"/>
      <c r="AA61" s="140"/>
      <c r="AB61" s="140"/>
    </row>
    <row r="62" spans="1:28" hidden="1" x14ac:dyDescent="0.35">
      <c r="A62" s="159"/>
      <c r="C62" s="82"/>
      <c r="D62" s="576"/>
      <c r="E62" s="95"/>
      <c r="F62" s="166"/>
      <c r="G62" s="140"/>
      <c r="H62" s="140"/>
      <c r="I62" s="140"/>
      <c r="J62" s="140"/>
      <c r="K62" s="140"/>
      <c r="L62" s="140"/>
      <c r="M62" s="140"/>
      <c r="N62" s="140"/>
      <c r="O62" s="140"/>
      <c r="P62" s="140"/>
      <c r="Q62" s="140"/>
      <c r="R62" s="140"/>
      <c r="S62" s="140"/>
      <c r="T62" s="140"/>
      <c r="U62" s="140"/>
      <c r="V62" s="140"/>
      <c r="W62" s="140"/>
      <c r="X62" s="140"/>
      <c r="Y62" s="140"/>
      <c r="Z62" s="140"/>
      <c r="AA62" s="140"/>
      <c r="AB62" s="140"/>
    </row>
    <row r="63" spans="1:28" hidden="1" x14ac:dyDescent="0.35">
      <c r="A63" s="159"/>
      <c r="B63" s="621" t="s">
        <v>1620</v>
      </c>
      <c r="C63" s="82"/>
      <c r="D63" s="576">
        <f>IF(E39="mm",D39,D39*0.0254)</f>
        <v>0.8</v>
      </c>
      <c r="E63" s="95" t="s">
        <v>34</v>
      </c>
      <c r="F63" s="166"/>
      <c r="G63" s="140"/>
      <c r="H63" s="140"/>
      <c r="I63" s="140"/>
      <c r="J63" s="140"/>
      <c r="K63" s="140"/>
      <c r="L63" s="140"/>
      <c r="M63" s="140"/>
      <c r="N63" s="140"/>
      <c r="O63" s="140"/>
      <c r="P63" s="140"/>
      <c r="Q63" s="140"/>
      <c r="R63" s="140"/>
      <c r="S63" s="140"/>
      <c r="T63" s="140"/>
      <c r="U63" s="140"/>
      <c r="V63" s="140"/>
      <c r="W63" s="140"/>
      <c r="X63" s="140"/>
      <c r="Y63" s="140"/>
      <c r="Z63" s="140"/>
      <c r="AA63" s="140"/>
      <c r="AB63" s="140"/>
    </row>
    <row r="64" spans="1:28" hidden="1" x14ac:dyDescent="0.35">
      <c r="A64" s="159"/>
      <c r="B64" s="621" t="s">
        <v>1621</v>
      </c>
      <c r="C64" s="82"/>
      <c r="D64" s="576">
        <f t="shared" ref="D64:D69" si="1">IF(E40="mm",D40,D40*0.0254)</f>
        <v>30</v>
      </c>
      <c r="E64" s="95" t="s">
        <v>34</v>
      </c>
      <c r="F64" s="166"/>
      <c r="G64" s="140"/>
      <c r="H64" s="140"/>
      <c r="I64" s="140"/>
      <c r="J64" s="140"/>
      <c r="K64" s="140"/>
      <c r="L64" s="140"/>
      <c r="M64" s="140"/>
      <c r="N64" s="140"/>
      <c r="O64" s="140"/>
      <c r="P64" s="140"/>
      <c r="Q64" s="140"/>
      <c r="R64" s="140"/>
      <c r="S64" s="140"/>
      <c r="T64" s="140"/>
      <c r="U64" s="140"/>
      <c r="V64" s="140"/>
      <c r="W64" s="140"/>
      <c r="X64" s="140"/>
      <c r="Y64" s="140"/>
      <c r="Z64" s="140"/>
      <c r="AA64" s="140"/>
      <c r="AB64" s="140"/>
    </row>
    <row r="65" spans="1:28" hidden="1" x14ac:dyDescent="0.35">
      <c r="A65" s="159"/>
      <c r="B65" s="621" t="s">
        <v>1622</v>
      </c>
      <c r="C65" s="82"/>
      <c r="D65" s="576">
        <f t="shared" si="1"/>
        <v>8</v>
      </c>
      <c r="E65" s="95" t="s">
        <v>34</v>
      </c>
      <c r="F65" s="166"/>
      <c r="G65" s="140"/>
      <c r="H65" s="140"/>
      <c r="I65" s="140"/>
      <c r="J65" s="140"/>
      <c r="K65" s="140"/>
      <c r="L65" s="140"/>
      <c r="M65" s="140"/>
      <c r="N65" s="140"/>
      <c r="O65" s="140"/>
      <c r="P65" s="140"/>
      <c r="Q65" s="140"/>
      <c r="R65" s="140"/>
      <c r="S65" s="140"/>
      <c r="T65" s="140"/>
      <c r="U65" s="140"/>
      <c r="V65" s="140"/>
      <c r="W65" s="140"/>
      <c r="X65" s="140"/>
      <c r="Y65" s="140"/>
      <c r="Z65" s="140"/>
      <c r="AA65" s="140"/>
      <c r="AB65" s="140"/>
    </row>
    <row r="66" spans="1:28" hidden="1" x14ac:dyDescent="0.35">
      <c r="A66" s="159"/>
      <c r="B66" s="621" t="s">
        <v>1623</v>
      </c>
      <c r="C66" s="82"/>
      <c r="D66" s="576">
        <f t="shared" si="1"/>
        <v>8</v>
      </c>
      <c r="E66" s="95" t="s">
        <v>34</v>
      </c>
      <c r="F66" s="166"/>
      <c r="G66" s="140"/>
      <c r="H66" s="140"/>
      <c r="I66" s="140"/>
      <c r="J66" s="140"/>
      <c r="K66" s="140"/>
      <c r="L66" s="140"/>
      <c r="M66" s="140"/>
      <c r="N66" s="140"/>
      <c r="O66" s="140"/>
      <c r="P66" s="140"/>
      <c r="Q66" s="140"/>
      <c r="R66" s="140"/>
      <c r="S66" s="140"/>
      <c r="T66" s="140"/>
      <c r="U66" s="140"/>
      <c r="V66" s="140"/>
      <c r="W66" s="140"/>
      <c r="X66" s="140"/>
      <c r="Y66" s="140"/>
      <c r="Z66" s="140"/>
      <c r="AA66" s="140"/>
      <c r="AB66" s="140"/>
    </row>
    <row r="67" spans="1:28" hidden="1" x14ac:dyDescent="0.35">
      <c r="A67" s="159"/>
      <c r="B67" s="621" t="s">
        <v>1624</v>
      </c>
      <c r="C67" s="82"/>
      <c r="D67" s="576">
        <f t="shared" si="1"/>
        <v>8</v>
      </c>
      <c r="E67" s="95" t="s">
        <v>34</v>
      </c>
      <c r="F67" s="166"/>
      <c r="G67" s="140"/>
      <c r="H67" s="140"/>
      <c r="I67" s="140"/>
      <c r="J67" s="140"/>
      <c r="K67" s="140"/>
      <c r="L67" s="140"/>
      <c r="M67" s="140"/>
      <c r="N67" s="140"/>
      <c r="O67" s="140"/>
      <c r="P67" s="140"/>
      <c r="Q67" s="140"/>
      <c r="R67" s="140"/>
      <c r="S67" s="140"/>
      <c r="T67" s="140"/>
      <c r="U67" s="140"/>
      <c r="V67" s="140"/>
      <c r="W67" s="140"/>
      <c r="X67" s="140"/>
      <c r="Y67" s="140"/>
      <c r="Z67" s="140"/>
      <c r="AA67" s="140"/>
      <c r="AB67" s="140"/>
    </row>
    <row r="68" spans="1:28" hidden="1" x14ac:dyDescent="0.35">
      <c r="A68" s="159"/>
      <c r="B68" s="621" t="s">
        <v>1625</v>
      </c>
      <c r="C68" s="82"/>
      <c r="D68" s="576">
        <f t="shared" si="1"/>
        <v>1.5748</v>
      </c>
      <c r="E68" s="95" t="s">
        <v>34</v>
      </c>
      <c r="F68" s="166"/>
      <c r="G68" s="140"/>
      <c r="H68" s="140"/>
      <c r="I68" s="140"/>
      <c r="J68" s="140"/>
      <c r="K68" s="140"/>
      <c r="L68" s="140"/>
      <c r="M68" s="140"/>
      <c r="N68" s="140"/>
      <c r="O68" s="140"/>
      <c r="P68" s="140"/>
      <c r="Q68" s="140"/>
      <c r="R68" s="140"/>
      <c r="S68" s="140"/>
      <c r="T68" s="140"/>
      <c r="U68" s="140"/>
      <c r="V68" s="140"/>
      <c r="W68" s="140"/>
      <c r="X68" s="140"/>
      <c r="Y68" s="140"/>
      <c r="Z68" s="140"/>
      <c r="AA68" s="140"/>
      <c r="AB68" s="140"/>
    </row>
    <row r="69" spans="1:28" hidden="1" x14ac:dyDescent="0.35">
      <c r="A69" s="159"/>
      <c r="B69" s="621" t="s">
        <v>1626</v>
      </c>
      <c r="D69" s="576">
        <f t="shared" si="1"/>
        <v>1.5748</v>
      </c>
      <c r="E69" s="95" t="s">
        <v>34</v>
      </c>
      <c r="F69" s="166"/>
      <c r="G69" s="140"/>
      <c r="H69" s="140"/>
      <c r="I69" s="140"/>
      <c r="J69" s="140"/>
      <c r="K69" s="140"/>
      <c r="L69" s="140"/>
      <c r="M69" s="140"/>
      <c r="N69" s="140"/>
      <c r="O69" s="140"/>
      <c r="P69" s="140"/>
      <c r="Q69" s="140"/>
      <c r="R69" s="140"/>
      <c r="S69" s="140"/>
      <c r="T69" s="140"/>
      <c r="U69" s="140"/>
      <c r="V69" s="140"/>
      <c r="W69" s="140"/>
      <c r="X69" s="140"/>
      <c r="Y69" s="140"/>
      <c r="Z69" s="140"/>
      <c r="AA69" s="140"/>
      <c r="AB69" s="140"/>
    </row>
    <row r="70" spans="1:28" hidden="1" x14ac:dyDescent="0.35">
      <c r="A70" s="159"/>
      <c r="B70" s="621"/>
      <c r="D70" s="576"/>
      <c r="E70" s="6"/>
      <c r="F70" s="166"/>
      <c r="G70" s="140"/>
      <c r="H70" s="140"/>
      <c r="I70" s="140"/>
      <c r="J70" s="140"/>
      <c r="K70" s="140"/>
      <c r="L70" s="140"/>
      <c r="M70" s="140"/>
      <c r="N70" s="140"/>
      <c r="O70" s="140"/>
      <c r="P70" s="140"/>
      <c r="Q70" s="140"/>
      <c r="R70" s="140"/>
      <c r="S70" s="140"/>
      <c r="T70" s="140"/>
      <c r="U70" s="140"/>
      <c r="V70" s="140"/>
      <c r="W70" s="140"/>
      <c r="X70" s="140"/>
      <c r="Y70" s="140"/>
      <c r="Z70" s="140"/>
      <c r="AA70" s="140"/>
      <c r="AB70" s="140"/>
    </row>
    <row r="71" spans="1:28" hidden="1" x14ac:dyDescent="0.35">
      <c r="A71" s="159"/>
      <c r="B71" s="621"/>
      <c r="C71" s="6"/>
      <c r="D71" s="576">
        <f>IF(E46="mm",D46,D46*0.0254)</f>
        <v>1.7999999999999999E-2</v>
      </c>
      <c r="E71" s="6"/>
      <c r="F71" s="166"/>
      <c r="G71" s="140"/>
      <c r="H71" s="140"/>
      <c r="I71" s="140"/>
      <c r="J71" s="140"/>
      <c r="K71" s="140"/>
      <c r="L71" s="140"/>
      <c r="M71" s="140"/>
      <c r="N71" s="140"/>
      <c r="O71" s="140"/>
      <c r="P71" s="140"/>
      <c r="Q71" s="140"/>
      <c r="R71" s="140"/>
      <c r="S71" s="140"/>
      <c r="T71" s="140"/>
      <c r="U71" s="140"/>
      <c r="V71" s="140"/>
      <c r="W71" s="140"/>
      <c r="X71" s="140"/>
      <c r="Y71" s="140"/>
      <c r="Z71" s="140"/>
      <c r="AA71" s="140"/>
      <c r="AB71" s="140"/>
    </row>
    <row r="72" spans="1:28" hidden="1" x14ac:dyDescent="0.35">
      <c r="A72" s="159"/>
      <c r="B72" s="6" t="s">
        <v>1221</v>
      </c>
      <c r="D72" s="523">
        <f>D24</f>
        <v>11</v>
      </c>
      <c r="E72" s="6"/>
      <c r="F72" s="166"/>
      <c r="G72" s="140"/>
      <c r="H72" s="140"/>
      <c r="I72" s="140"/>
      <c r="J72" s="140"/>
      <c r="K72" s="140"/>
      <c r="L72" s="140"/>
      <c r="M72" s="140"/>
      <c r="N72" s="140"/>
      <c r="O72" s="140"/>
      <c r="P72" s="140"/>
      <c r="Q72" s="140"/>
      <c r="R72" s="140"/>
      <c r="S72" s="140"/>
      <c r="T72" s="140"/>
      <c r="U72" s="140"/>
      <c r="V72" s="140"/>
      <c r="W72" s="140"/>
      <c r="X72" s="140"/>
      <c r="Y72" s="140"/>
      <c r="Z72" s="140"/>
      <c r="AA72" s="140"/>
      <c r="AB72" s="140"/>
    </row>
    <row r="73" spans="1:28" hidden="1" x14ac:dyDescent="0.35">
      <c r="A73" s="159"/>
      <c r="B73" s="6" t="s">
        <v>1222</v>
      </c>
      <c r="D73" s="524">
        <f>D60</f>
        <v>2.0926981646037919</v>
      </c>
      <c r="E73" s="17" t="s">
        <v>96</v>
      </c>
      <c r="F73" s="166"/>
      <c r="G73" s="140"/>
      <c r="H73" s="140"/>
      <c r="I73" s="140"/>
      <c r="J73" s="140"/>
      <c r="K73" s="140"/>
      <c r="L73" s="140"/>
      <c r="M73" s="140"/>
      <c r="N73" s="140"/>
      <c r="O73" s="140"/>
      <c r="P73" s="140"/>
      <c r="Q73" s="140"/>
      <c r="R73" s="140"/>
      <c r="S73" s="140"/>
      <c r="T73" s="140"/>
      <c r="U73" s="140"/>
      <c r="V73" s="140"/>
      <c r="W73" s="140"/>
      <c r="X73" s="140"/>
      <c r="Y73" s="140"/>
      <c r="Z73" s="140"/>
      <c r="AA73" s="140"/>
      <c r="AB73" s="140"/>
    </row>
    <row r="74" spans="1:28" hidden="1" x14ac:dyDescent="0.35">
      <c r="A74" s="159"/>
      <c r="B74" s="6" t="s">
        <v>1121</v>
      </c>
      <c r="D74" s="525">
        <f>D23</f>
        <v>2</v>
      </c>
      <c r="E74" s="6"/>
      <c r="F74" s="166"/>
      <c r="G74" s="140"/>
      <c r="H74" s="140"/>
      <c r="I74" s="140"/>
      <c r="J74" s="140"/>
      <c r="K74" s="140"/>
      <c r="L74" s="140"/>
      <c r="M74" s="140"/>
      <c r="N74" s="140"/>
      <c r="O74" s="140"/>
      <c r="P74" s="140"/>
      <c r="Q74" s="140"/>
      <c r="R74" s="140"/>
      <c r="S74" s="140"/>
      <c r="T74" s="140"/>
      <c r="U74" s="140"/>
      <c r="V74" s="140"/>
      <c r="W74" s="140"/>
      <c r="X74" s="140"/>
      <c r="Y74" s="140"/>
      <c r="Z74" s="140"/>
      <c r="AA74" s="140"/>
      <c r="AB74" s="140"/>
    </row>
    <row r="75" spans="1:28" hidden="1" x14ac:dyDescent="0.35">
      <c r="A75" s="159"/>
      <c r="B75" s="6" t="s">
        <v>1223</v>
      </c>
      <c r="D75" s="540">
        <f>D208</f>
        <v>2</v>
      </c>
      <c r="E75" s="6" t="s">
        <v>34</v>
      </c>
      <c r="F75" s="166"/>
      <c r="G75" s="140"/>
      <c r="H75" s="140"/>
      <c r="I75" s="140"/>
      <c r="J75" s="140"/>
      <c r="K75" s="140"/>
      <c r="L75" s="140"/>
      <c r="M75" s="140"/>
      <c r="N75" s="140"/>
      <c r="O75" s="140"/>
      <c r="P75" s="140"/>
      <c r="Q75" s="140"/>
      <c r="R75" s="140"/>
      <c r="S75" s="140"/>
      <c r="T75" s="140"/>
      <c r="U75" s="140"/>
      <c r="V75" s="140"/>
      <c r="W75" s="140"/>
      <c r="X75" s="140"/>
      <c r="Y75" s="140"/>
      <c r="Z75" s="140"/>
      <c r="AA75" s="140"/>
      <c r="AB75" s="140"/>
    </row>
    <row r="76" spans="1:28" hidden="1" x14ac:dyDescent="0.35">
      <c r="A76" s="159"/>
      <c r="B76" s="6" t="s">
        <v>1224</v>
      </c>
      <c r="D76" s="541">
        <f>D63</f>
        <v>0.8</v>
      </c>
      <c r="E76" s="6" t="s">
        <v>34</v>
      </c>
      <c r="F76" s="166"/>
      <c r="G76" s="140"/>
      <c r="H76" s="140"/>
      <c r="I76" s="140"/>
      <c r="J76" s="140"/>
      <c r="K76" s="140"/>
      <c r="L76" s="140"/>
      <c r="M76" s="140"/>
      <c r="N76" s="140"/>
      <c r="O76" s="140"/>
      <c r="P76" s="140"/>
      <c r="Q76" s="140"/>
      <c r="R76" s="140"/>
      <c r="S76" s="140"/>
      <c r="T76" s="140"/>
      <c r="U76" s="140"/>
      <c r="V76" s="140"/>
      <c r="W76" s="140"/>
      <c r="X76" s="140"/>
      <c r="Y76" s="140"/>
      <c r="Z76" s="140"/>
      <c r="AA76" s="140"/>
      <c r="AB76" s="140"/>
    </row>
    <row r="77" spans="1:28" hidden="1" x14ac:dyDescent="0.35">
      <c r="A77" s="159"/>
      <c r="B77" s="6" t="s">
        <v>1225</v>
      </c>
      <c r="D77" s="541">
        <f>D89</f>
        <v>1.5748</v>
      </c>
      <c r="E77" s="6" t="s">
        <v>34</v>
      </c>
      <c r="F77" s="166"/>
      <c r="G77" s="140"/>
      <c r="H77" s="140"/>
      <c r="I77" s="140"/>
      <c r="J77" s="140"/>
      <c r="K77" s="140"/>
      <c r="L77" s="140"/>
      <c r="M77" s="140"/>
      <c r="N77" s="140"/>
      <c r="O77" s="140"/>
      <c r="P77" s="140"/>
      <c r="Q77" s="140"/>
      <c r="R77" s="140"/>
      <c r="S77" s="140"/>
      <c r="T77" s="140"/>
      <c r="U77" s="140"/>
      <c r="V77" s="140"/>
      <c r="W77" s="140"/>
      <c r="X77" s="140"/>
      <c r="Y77" s="140"/>
      <c r="Z77" s="140"/>
      <c r="AA77" s="140"/>
      <c r="AB77" s="140"/>
    </row>
    <row r="78" spans="1:28" hidden="1" x14ac:dyDescent="0.35">
      <c r="A78" s="159"/>
      <c r="B78" s="6" t="s">
        <v>1226</v>
      </c>
      <c r="D78" s="541">
        <f>D88</f>
        <v>8</v>
      </c>
      <c r="E78" s="6" t="s">
        <v>34</v>
      </c>
      <c r="F78" s="166"/>
      <c r="G78" s="140"/>
      <c r="H78" s="140"/>
      <c r="I78" s="140"/>
      <c r="J78" s="140"/>
      <c r="K78" s="140"/>
      <c r="L78" s="140"/>
      <c r="M78" s="140"/>
      <c r="N78" s="140"/>
      <c r="O78" s="140"/>
      <c r="P78" s="140"/>
      <c r="Q78" s="140"/>
      <c r="R78" s="140"/>
      <c r="S78" s="140"/>
      <c r="T78" s="140"/>
      <c r="U78" s="140"/>
      <c r="V78" s="140"/>
      <c r="W78" s="140"/>
      <c r="X78" s="140"/>
      <c r="Y78" s="140"/>
      <c r="Z78" s="140"/>
      <c r="AA78" s="140"/>
      <c r="AB78" s="140"/>
    </row>
    <row r="79" spans="1:28" hidden="1" x14ac:dyDescent="0.35">
      <c r="A79" s="159"/>
      <c r="B79" s="6" t="s">
        <v>1227</v>
      </c>
      <c r="D79" s="541">
        <f>D87</f>
        <v>8</v>
      </c>
      <c r="E79" s="6" t="s">
        <v>34</v>
      </c>
      <c r="F79" s="166"/>
      <c r="G79" s="140"/>
      <c r="H79" s="140"/>
      <c r="I79" s="140"/>
      <c r="J79" s="140"/>
      <c r="K79" s="140"/>
      <c r="L79" s="140"/>
      <c r="M79" s="140"/>
      <c r="N79" s="140"/>
      <c r="O79" s="140"/>
      <c r="P79" s="140"/>
      <c r="Q79" s="140"/>
      <c r="R79" s="140"/>
      <c r="S79" s="140"/>
      <c r="T79" s="140"/>
      <c r="U79" s="140"/>
      <c r="V79" s="140"/>
      <c r="W79" s="140"/>
      <c r="X79" s="140"/>
      <c r="Y79" s="140"/>
      <c r="Z79" s="140"/>
      <c r="AA79" s="140"/>
      <c r="AB79" s="140"/>
    </row>
    <row r="80" spans="1:28" hidden="1" x14ac:dyDescent="0.35">
      <c r="A80" s="159"/>
      <c r="B80" s="6" t="s">
        <v>1228</v>
      </c>
      <c r="D80" s="541">
        <f>D86</f>
        <v>8</v>
      </c>
      <c r="E80" s="6" t="s">
        <v>34</v>
      </c>
      <c r="F80" s="166"/>
      <c r="G80" s="140"/>
      <c r="H80" s="140"/>
      <c r="I80" s="140"/>
      <c r="J80" s="140"/>
      <c r="K80" s="140"/>
      <c r="L80" s="140"/>
      <c r="M80" s="140"/>
      <c r="N80" s="140"/>
      <c r="O80" s="140"/>
      <c r="P80" s="140"/>
      <c r="Q80" s="140"/>
      <c r="R80" s="140"/>
      <c r="S80" s="140"/>
      <c r="T80" s="140"/>
      <c r="U80" s="140"/>
      <c r="V80" s="140"/>
      <c r="W80" s="140"/>
      <c r="X80" s="140"/>
      <c r="Y80" s="140"/>
      <c r="Z80" s="140"/>
      <c r="AA80" s="140"/>
      <c r="AB80" s="140"/>
    </row>
    <row r="81" spans="1:28" hidden="1" x14ac:dyDescent="0.35">
      <c r="A81" s="159"/>
      <c r="B81" s="6" t="s">
        <v>1229</v>
      </c>
      <c r="D81" s="541">
        <f>D85</f>
        <v>30</v>
      </c>
      <c r="E81" s="6" t="s">
        <v>34</v>
      </c>
      <c r="F81" s="166"/>
      <c r="G81" s="140"/>
      <c r="H81" s="140"/>
      <c r="I81" s="140"/>
      <c r="J81" s="140"/>
      <c r="K81" s="140"/>
      <c r="L81" s="140"/>
      <c r="M81" s="140"/>
      <c r="N81" s="140"/>
      <c r="O81" s="140"/>
      <c r="P81" s="140"/>
      <c r="Q81" s="140"/>
      <c r="R81" s="140"/>
      <c r="S81" s="140"/>
      <c r="T81" s="140"/>
      <c r="U81" s="140"/>
      <c r="V81" s="140"/>
      <c r="W81" s="140"/>
      <c r="X81" s="140"/>
      <c r="Y81" s="140"/>
      <c r="Z81" s="140"/>
      <c r="AA81" s="140"/>
      <c r="AB81" s="140"/>
    </row>
    <row r="82" spans="1:28" hidden="1" x14ac:dyDescent="0.35">
      <c r="A82" s="159"/>
      <c r="B82" s="6" t="s">
        <v>1230</v>
      </c>
      <c r="D82" s="541">
        <f>D84</f>
        <v>0.8</v>
      </c>
      <c r="E82" s="6" t="s">
        <v>34</v>
      </c>
      <c r="F82" s="166"/>
      <c r="G82" s="140"/>
      <c r="H82" s="140"/>
      <c r="I82" s="140"/>
      <c r="J82" s="140"/>
      <c r="K82" s="140"/>
      <c r="L82" s="140"/>
      <c r="M82" s="140"/>
      <c r="N82" s="140"/>
      <c r="O82" s="140"/>
      <c r="P82" s="140"/>
      <c r="Q82" s="140"/>
      <c r="R82" s="140"/>
      <c r="S82" s="140"/>
      <c r="T82" s="140"/>
      <c r="U82" s="140"/>
      <c r="V82" s="140"/>
      <c r="W82" s="140"/>
      <c r="X82" s="140"/>
      <c r="Y82" s="140"/>
      <c r="Z82" s="140"/>
      <c r="AA82" s="140"/>
      <c r="AB82" s="140"/>
    </row>
    <row r="83" spans="1:28" hidden="1" x14ac:dyDescent="0.35">
      <c r="A83" s="159"/>
      <c r="B83" s="6" t="s">
        <v>1231</v>
      </c>
      <c r="D83" s="542">
        <f>2*D75</f>
        <v>4</v>
      </c>
      <c r="E83" s="6" t="s">
        <v>34</v>
      </c>
      <c r="F83" s="166"/>
      <c r="G83" s="140"/>
      <c r="H83" s="140"/>
      <c r="I83" s="140"/>
      <c r="J83" s="140"/>
      <c r="K83" s="140"/>
      <c r="L83" s="140"/>
      <c r="M83" s="140"/>
      <c r="N83" s="140"/>
      <c r="O83" s="140"/>
      <c r="P83" s="140"/>
      <c r="Q83" s="140"/>
      <c r="R83" s="140"/>
      <c r="S83" s="140"/>
      <c r="T83" s="140"/>
      <c r="U83" s="140"/>
      <c r="V83" s="140"/>
      <c r="W83" s="140"/>
      <c r="X83" s="140"/>
      <c r="Y83" s="140"/>
      <c r="Z83" s="140"/>
      <c r="AA83" s="140"/>
      <c r="AB83" s="140"/>
    </row>
    <row r="84" spans="1:28" hidden="1" x14ac:dyDescent="0.35">
      <c r="A84" s="159"/>
      <c r="B84" s="6" t="s">
        <v>1232</v>
      </c>
      <c r="D84" s="524">
        <f>D63</f>
        <v>0.8</v>
      </c>
      <c r="E84" s="6" t="s">
        <v>34</v>
      </c>
      <c r="F84" s="166"/>
      <c r="G84" s="140"/>
      <c r="H84" s="140"/>
      <c r="I84" s="140"/>
      <c r="J84" s="140"/>
      <c r="K84" s="140"/>
      <c r="L84" s="140"/>
      <c r="M84" s="140"/>
      <c r="N84" s="140"/>
      <c r="O84" s="140"/>
      <c r="P84" s="140"/>
      <c r="Q84" s="140"/>
      <c r="R84" s="140"/>
      <c r="S84" s="140"/>
      <c r="T84" s="140"/>
      <c r="U84" s="140"/>
      <c r="V84" s="140"/>
      <c r="W84" s="140"/>
      <c r="X84" s="140"/>
      <c r="Y84" s="140"/>
      <c r="Z84" s="140"/>
      <c r="AA84" s="140"/>
      <c r="AB84" s="140"/>
    </row>
    <row r="85" spans="1:28" hidden="1" x14ac:dyDescent="0.35">
      <c r="A85" s="159"/>
      <c r="B85" s="6" t="s">
        <v>1233</v>
      </c>
      <c r="D85" s="524">
        <f t="shared" ref="D85:D90" si="2">D64</f>
        <v>30</v>
      </c>
      <c r="E85" s="6" t="s">
        <v>34</v>
      </c>
      <c r="F85" s="166"/>
      <c r="G85" s="140"/>
      <c r="H85" s="140"/>
      <c r="I85" s="140"/>
      <c r="J85" s="140"/>
      <c r="K85" s="140"/>
      <c r="L85" s="140"/>
      <c r="M85" s="140"/>
      <c r="N85" s="140"/>
      <c r="O85" s="140"/>
      <c r="P85" s="140"/>
      <c r="Q85" s="140"/>
      <c r="R85" s="140"/>
      <c r="S85" s="140"/>
      <c r="T85" s="140"/>
      <c r="U85" s="140"/>
      <c r="V85" s="140"/>
      <c r="W85" s="140"/>
      <c r="X85" s="140"/>
      <c r="Y85" s="140"/>
      <c r="Z85" s="140"/>
      <c r="AA85" s="140"/>
      <c r="AB85" s="140"/>
    </row>
    <row r="86" spans="1:28" hidden="1" x14ac:dyDescent="0.35">
      <c r="A86" s="159"/>
      <c r="B86" s="6" t="s">
        <v>1234</v>
      </c>
      <c r="D86" s="524">
        <f t="shared" si="2"/>
        <v>8</v>
      </c>
      <c r="E86" s="6" t="s">
        <v>34</v>
      </c>
      <c r="F86" s="166"/>
      <c r="G86" s="140"/>
      <c r="H86" s="140"/>
      <c r="I86" s="140"/>
      <c r="J86" s="140"/>
      <c r="K86" s="140"/>
      <c r="L86" s="140"/>
      <c r="M86" s="140"/>
      <c r="N86" s="140"/>
      <c r="O86" s="140"/>
      <c r="P86" s="140"/>
      <c r="Q86" s="140"/>
      <c r="R86" s="140"/>
      <c r="S86" s="140"/>
      <c r="T86" s="140"/>
      <c r="U86" s="140"/>
      <c r="V86" s="140"/>
      <c r="W86" s="140"/>
      <c r="X86" s="140"/>
      <c r="Y86" s="140"/>
      <c r="Z86" s="140"/>
      <c r="AA86" s="140"/>
      <c r="AB86" s="140"/>
    </row>
    <row r="87" spans="1:28" hidden="1" x14ac:dyDescent="0.35">
      <c r="A87" s="159"/>
      <c r="B87" s="6" t="s">
        <v>1235</v>
      </c>
      <c r="D87" s="524">
        <f t="shared" si="2"/>
        <v>8</v>
      </c>
      <c r="E87" s="6" t="s">
        <v>34</v>
      </c>
      <c r="F87" s="166"/>
      <c r="G87" s="140"/>
      <c r="H87" s="140"/>
      <c r="I87" s="140"/>
      <c r="J87" s="140"/>
      <c r="K87" s="140"/>
      <c r="L87" s="140"/>
      <c r="M87" s="140"/>
      <c r="N87" s="140"/>
      <c r="O87" s="140"/>
      <c r="P87" s="140"/>
      <c r="Q87" s="140"/>
      <c r="R87" s="140"/>
      <c r="S87" s="140"/>
      <c r="T87" s="140"/>
      <c r="U87" s="140"/>
      <c r="V87" s="140"/>
      <c r="W87" s="140"/>
      <c r="X87" s="140"/>
      <c r="Y87" s="140"/>
      <c r="Z87" s="140"/>
      <c r="AA87" s="140"/>
      <c r="AB87" s="140"/>
    </row>
    <row r="88" spans="1:28" hidden="1" x14ac:dyDescent="0.35">
      <c r="A88" s="159"/>
      <c r="B88" s="6" t="s">
        <v>1236</v>
      </c>
      <c r="D88" s="524">
        <f t="shared" si="2"/>
        <v>8</v>
      </c>
      <c r="E88" s="6" t="s">
        <v>34</v>
      </c>
      <c r="F88" s="166"/>
      <c r="G88" s="140"/>
      <c r="H88" s="140"/>
      <c r="I88" s="140"/>
      <c r="J88" s="140"/>
      <c r="K88" s="140"/>
      <c r="L88" s="140"/>
      <c r="M88" s="140"/>
      <c r="N88" s="140"/>
      <c r="O88" s="140"/>
      <c r="P88" s="140"/>
      <c r="Q88" s="140"/>
      <c r="R88" s="140"/>
      <c r="S88" s="140"/>
      <c r="T88" s="140"/>
      <c r="U88" s="140"/>
      <c r="V88" s="140"/>
      <c r="W88" s="140"/>
      <c r="X88" s="140"/>
      <c r="Y88" s="140"/>
      <c r="Z88" s="140"/>
      <c r="AA88" s="140"/>
      <c r="AB88" s="140"/>
    </row>
    <row r="89" spans="1:28" hidden="1" x14ac:dyDescent="0.35">
      <c r="A89" s="159"/>
      <c r="B89" s="6" t="s">
        <v>1237</v>
      </c>
      <c r="D89" s="524">
        <f t="shared" si="2"/>
        <v>1.5748</v>
      </c>
      <c r="E89" s="6" t="s">
        <v>34</v>
      </c>
      <c r="F89" s="166"/>
      <c r="G89" s="140"/>
      <c r="H89" s="140"/>
      <c r="I89" s="140"/>
      <c r="J89" s="140"/>
      <c r="K89" s="140"/>
      <c r="L89" s="140"/>
      <c r="M89" s="140"/>
      <c r="N89" s="140"/>
      <c r="O89" s="140"/>
      <c r="P89" s="140"/>
      <c r="Q89" s="140"/>
      <c r="R89" s="140"/>
      <c r="S89" s="140"/>
      <c r="T89" s="140"/>
      <c r="U89" s="140"/>
      <c r="V89" s="140"/>
      <c r="W89" s="140"/>
      <c r="X89" s="140"/>
      <c r="Y89" s="140"/>
      <c r="Z89" s="140"/>
      <c r="AA89" s="140"/>
      <c r="AB89" s="140"/>
    </row>
    <row r="90" spans="1:28" hidden="1" x14ac:dyDescent="0.35">
      <c r="A90" s="159"/>
      <c r="B90" s="6" t="s">
        <v>1238</v>
      </c>
      <c r="D90" s="524">
        <f t="shared" si="2"/>
        <v>1.5748</v>
      </c>
      <c r="E90" s="6" t="s">
        <v>34</v>
      </c>
      <c r="F90" s="166"/>
      <c r="G90" s="140"/>
      <c r="H90" s="140"/>
      <c r="I90" s="140"/>
      <c r="J90" s="140"/>
      <c r="K90" s="140"/>
      <c r="L90" s="140"/>
      <c r="M90" s="140"/>
      <c r="N90" s="140"/>
      <c r="O90" s="140"/>
      <c r="P90" s="140"/>
      <c r="Q90" s="140"/>
      <c r="R90" s="140"/>
      <c r="S90" s="140"/>
      <c r="T90" s="140"/>
      <c r="U90" s="140"/>
      <c r="V90" s="140"/>
      <c r="W90" s="140"/>
      <c r="X90" s="140"/>
      <c r="Y90" s="140"/>
      <c r="Z90" s="140"/>
      <c r="AA90" s="140"/>
      <c r="AB90" s="140"/>
    </row>
    <row r="91" spans="1:28" hidden="1" x14ac:dyDescent="0.35">
      <c r="A91" s="159"/>
      <c r="B91" s="6" t="s">
        <v>1239</v>
      </c>
      <c r="D91" s="524">
        <f>1.5625*D72^2/(1.67*D72^2-5.84*D72+65)</f>
        <v>0.93212296011438156</v>
      </c>
      <c r="E91" s="6"/>
      <c r="F91" s="166"/>
      <c r="G91" s="140"/>
      <c r="H91" s="140"/>
      <c r="I91" s="140"/>
      <c r="J91" s="140"/>
      <c r="K91" s="140"/>
      <c r="L91" s="140"/>
      <c r="M91" s="140"/>
      <c r="N91" s="140"/>
      <c r="O91" s="140"/>
      <c r="P91" s="140"/>
      <c r="Q91" s="140"/>
      <c r="R91" s="140"/>
      <c r="S91" s="140"/>
      <c r="T91" s="140"/>
      <c r="U91" s="140"/>
      <c r="V91" s="140"/>
      <c r="W91" s="140"/>
      <c r="X91" s="140"/>
      <c r="Y91" s="140"/>
      <c r="Z91" s="140"/>
      <c r="AA91" s="140"/>
      <c r="AB91" s="140"/>
    </row>
    <row r="92" spans="1:28" hidden="1" x14ac:dyDescent="0.35">
      <c r="A92" s="159"/>
      <c r="B92" s="6" t="s">
        <v>1240</v>
      </c>
      <c r="D92" s="527">
        <f>(2*SUM(D99:D126))</f>
        <v>1.2581718260099346</v>
      </c>
      <c r="E92" s="6"/>
      <c r="F92" s="166"/>
      <c r="G92" s="140"/>
      <c r="H92" s="140"/>
      <c r="I92" s="140"/>
      <c r="J92" s="140"/>
      <c r="K92" s="140"/>
      <c r="L92" s="140"/>
      <c r="M92" s="140"/>
      <c r="N92" s="140"/>
      <c r="O92" s="140"/>
      <c r="P92" s="140"/>
      <c r="Q92" s="140"/>
      <c r="R92" s="140"/>
      <c r="S92" s="140"/>
      <c r="T92" s="140"/>
      <c r="U92" s="140"/>
      <c r="V92" s="140"/>
      <c r="W92" s="140"/>
      <c r="X92" s="140"/>
      <c r="Y92" s="140"/>
      <c r="Z92" s="140"/>
      <c r="AA92" s="140"/>
      <c r="AB92" s="140"/>
    </row>
    <row r="93" spans="1:28" hidden="1" x14ac:dyDescent="0.35">
      <c r="A93" s="159"/>
      <c r="B93" s="6" t="s">
        <v>1241</v>
      </c>
      <c r="D93" s="527">
        <f>D92*D91+D74</f>
        <v>3.172770846792897</v>
      </c>
      <c r="E93" s="6"/>
      <c r="F93" s="166"/>
      <c r="G93" s="140"/>
      <c r="H93" s="140"/>
      <c r="I93" s="140"/>
      <c r="J93" s="140"/>
      <c r="K93" s="140"/>
      <c r="L93" s="140"/>
      <c r="M93" s="140"/>
      <c r="N93" s="140"/>
      <c r="O93" s="140"/>
      <c r="P93" s="140"/>
      <c r="Q93" s="140"/>
      <c r="R93" s="140"/>
      <c r="S93" s="140"/>
      <c r="T93" s="140"/>
      <c r="U93" s="140"/>
      <c r="V93" s="140"/>
      <c r="W93" s="140"/>
      <c r="X93" s="140"/>
      <c r="Y93" s="140"/>
      <c r="Z93" s="140"/>
      <c r="AA93" s="140"/>
      <c r="AB93" s="140"/>
    </row>
    <row r="94" spans="1:28" hidden="1" x14ac:dyDescent="0.35">
      <c r="A94" s="159"/>
      <c r="B94" s="106" t="s">
        <v>1242</v>
      </c>
      <c r="D94" s="528">
        <f>D93*D73</f>
        <v>6.6396517277919145</v>
      </c>
      <c r="E94" s="6"/>
      <c r="F94" s="166"/>
      <c r="G94" s="140"/>
      <c r="H94" s="140"/>
      <c r="I94" s="140"/>
      <c r="J94" s="140"/>
      <c r="K94" s="140"/>
      <c r="L94" s="140"/>
      <c r="M94" s="140"/>
      <c r="N94" s="140"/>
      <c r="O94" s="140"/>
      <c r="P94" s="140"/>
      <c r="Q94" s="140"/>
      <c r="R94" s="140"/>
      <c r="S94" s="140"/>
      <c r="T94" s="140"/>
      <c r="U94" s="140"/>
      <c r="V94" s="140"/>
      <c r="W94" s="140"/>
      <c r="X94" s="140"/>
      <c r="Y94" s="140"/>
      <c r="Z94" s="140"/>
      <c r="AA94" s="140"/>
      <c r="AB94" s="140"/>
    </row>
    <row r="95" spans="1:28" hidden="1" x14ac:dyDescent="0.35">
      <c r="A95" s="159"/>
      <c r="B95" s="6" t="s">
        <v>1243</v>
      </c>
      <c r="D95" s="527">
        <f>SUM(D128:D190)</f>
        <v>-0.30185720860000781</v>
      </c>
      <c r="E95" s="6"/>
      <c r="F95" s="166"/>
      <c r="G95" s="140"/>
      <c r="H95" s="140"/>
      <c r="I95" s="140"/>
      <c r="J95" s="140"/>
      <c r="K95" s="140"/>
      <c r="L95" s="140"/>
      <c r="M95" s="140"/>
      <c r="N95" s="140"/>
      <c r="O95" s="140"/>
      <c r="P95" s="140"/>
      <c r="Q95" s="140"/>
      <c r="R95" s="140"/>
      <c r="S95" s="140"/>
      <c r="T95" s="140"/>
      <c r="U95" s="140"/>
      <c r="V95" s="140"/>
      <c r="W95" s="140"/>
      <c r="X95" s="140"/>
      <c r="Y95" s="140"/>
      <c r="Z95" s="140"/>
      <c r="AA95" s="140"/>
      <c r="AB95" s="140"/>
    </row>
    <row r="96" spans="1:28" hidden="1" x14ac:dyDescent="0.35">
      <c r="A96" s="159"/>
      <c r="B96" s="6" t="s">
        <v>1244</v>
      </c>
      <c r="D96" s="527">
        <f>(D92+D95)*D91+D74</f>
        <v>2.8914028119807931</v>
      </c>
      <c r="E96" s="6"/>
      <c r="F96" s="166"/>
      <c r="G96" s="140"/>
      <c r="H96" s="140"/>
      <c r="I96" s="140"/>
      <c r="J96" s="140"/>
      <c r="K96" s="140"/>
      <c r="L96" s="140"/>
      <c r="M96" s="140"/>
      <c r="N96" s="140"/>
      <c r="O96" s="140"/>
      <c r="P96" s="140"/>
      <c r="Q96" s="140"/>
      <c r="R96" s="140"/>
      <c r="S96" s="140"/>
      <c r="T96" s="140"/>
      <c r="U96" s="140"/>
      <c r="V96" s="140"/>
      <c r="W96" s="140"/>
      <c r="X96" s="140"/>
      <c r="Y96" s="140"/>
      <c r="Z96" s="140"/>
      <c r="AA96" s="140"/>
      <c r="AB96" s="140"/>
    </row>
    <row r="97" spans="1:28" hidden="1" x14ac:dyDescent="0.35">
      <c r="A97" s="159"/>
      <c r="B97" s="106" t="s">
        <v>1245</v>
      </c>
      <c r="D97" s="528">
        <f>D96*D73</f>
        <v>6.050833357762448</v>
      </c>
      <c r="E97" s="6"/>
      <c r="F97" s="166"/>
      <c r="G97" s="140"/>
      <c r="H97" s="140"/>
      <c r="I97" s="140"/>
      <c r="J97" s="140"/>
      <c r="K97" s="140"/>
      <c r="L97" s="140"/>
      <c r="M97" s="140"/>
      <c r="N97" s="140"/>
      <c r="O97" s="140"/>
      <c r="P97" s="140"/>
      <c r="Q97" s="140"/>
      <c r="R97" s="140"/>
      <c r="S97" s="140"/>
      <c r="T97" s="140"/>
      <c r="U97" s="140"/>
      <c r="V97" s="140"/>
      <c r="W97" s="140"/>
      <c r="X97" s="140"/>
      <c r="Y97" s="140"/>
      <c r="Z97" s="140"/>
      <c r="AA97" s="140"/>
      <c r="AB97" s="140"/>
    </row>
    <row r="98" spans="1:28" hidden="1" x14ac:dyDescent="0.35">
      <c r="A98" s="159"/>
      <c r="B98" s="6"/>
      <c r="D98" s="527"/>
      <c r="E98" s="6"/>
      <c r="F98" s="166"/>
      <c r="G98" s="140"/>
      <c r="H98" s="140"/>
      <c r="I98" s="140"/>
      <c r="J98" s="140"/>
      <c r="K98" s="140"/>
      <c r="L98" s="140"/>
      <c r="M98" s="140"/>
      <c r="N98" s="140"/>
      <c r="O98" s="140"/>
      <c r="P98" s="140"/>
      <c r="Q98" s="140"/>
      <c r="R98" s="140"/>
      <c r="S98" s="140"/>
      <c r="T98" s="140"/>
      <c r="U98" s="140"/>
      <c r="V98" s="140"/>
      <c r="W98" s="140"/>
      <c r="X98" s="140"/>
      <c r="Y98" s="140"/>
      <c r="Z98" s="140"/>
      <c r="AA98" s="140"/>
      <c r="AB98" s="140"/>
    </row>
    <row r="99" spans="1:28" hidden="1" x14ac:dyDescent="0.35">
      <c r="A99" s="159"/>
      <c r="B99" s="6" t="s">
        <v>1246</v>
      </c>
      <c r="D99" s="527">
        <f>IF(2&gt;D74,0,1/((0.184*ABS(SUM(D84:D84))^3-0.525*(SUM(D84:D84))^2+1.038*ABS(SUM(D84:D84))+1.001)))</f>
        <v>0.6290859130049673</v>
      </c>
      <c r="E99" s="6"/>
      <c r="F99" s="166"/>
      <c r="G99" s="140"/>
      <c r="H99" s="140"/>
      <c r="I99" s="140"/>
      <c r="J99" s="140"/>
      <c r="K99" s="140"/>
      <c r="L99" s="140"/>
      <c r="M99" s="140"/>
      <c r="N99" s="140"/>
      <c r="O99" s="140"/>
      <c r="P99" s="140"/>
      <c r="Q99" s="140"/>
      <c r="R99" s="140"/>
      <c r="S99" s="140"/>
      <c r="T99" s="140"/>
      <c r="U99" s="140"/>
      <c r="V99" s="140"/>
      <c r="W99" s="140"/>
      <c r="X99" s="140"/>
      <c r="Y99" s="140"/>
      <c r="Z99" s="140"/>
      <c r="AA99" s="140"/>
      <c r="AB99" s="140"/>
    </row>
    <row r="100" spans="1:28" hidden="1" x14ac:dyDescent="0.35">
      <c r="A100" s="159"/>
      <c r="B100" s="6" t="s">
        <v>1247</v>
      </c>
      <c r="D100" s="527">
        <f>IF(3&gt;D74,0,1/((0.184*ABS(SUM(D84:D85))^3-0.525*(SUM(D84:D85))^2+1.038*ABS(SUM(D84:D85))+1.001)))</f>
        <v>0</v>
      </c>
      <c r="E100" s="6"/>
      <c r="F100" s="166"/>
      <c r="G100" s="140"/>
      <c r="H100" s="140"/>
      <c r="I100" s="140"/>
      <c r="J100" s="140"/>
      <c r="K100" s="140"/>
      <c r="L100" s="140"/>
      <c r="M100" s="140"/>
      <c r="N100" s="140"/>
      <c r="O100" s="140"/>
      <c r="P100" s="140"/>
      <c r="Q100" s="140"/>
      <c r="R100" s="140"/>
      <c r="S100" s="140"/>
      <c r="T100" s="140"/>
      <c r="U100" s="140"/>
      <c r="V100" s="140"/>
      <c r="W100" s="140"/>
      <c r="X100" s="140"/>
      <c r="Y100" s="140"/>
      <c r="Z100" s="140"/>
      <c r="AA100" s="140"/>
      <c r="AB100" s="140"/>
    </row>
    <row r="101" spans="1:28" hidden="1" x14ac:dyDescent="0.35">
      <c r="A101" s="159"/>
      <c r="B101" s="6" t="s">
        <v>1248</v>
      </c>
      <c r="D101" s="527">
        <f>IF(4&gt;D74,0,1/((0.184*ABS(SUM(D84:D86))^3-0.525*(SUM(D84:D86))^2+1.038*ABS(SUM(D84:D86))+1.001)))</f>
        <v>0</v>
      </c>
      <c r="E101" s="6"/>
      <c r="F101" s="166"/>
      <c r="G101" s="140"/>
      <c r="H101" s="140"/>
      <c r="I101" s="140"/>
      <c r="J101" s="140"/>
      <c r="K101" s="140"/>
      <c r="L101" s="140"/>
      <c r="M101" s="140"/>
      <c r="N101" s="140"/>
      <c r="O101" s="140"/>
      <c r="P101" s="140"/>
      <c r="Q101" s="140"/>
      <c r="R101" s="140"/>
      <c r="S101" s="140"/>
      <c r="T101" s="140"/>
      <c r="U101" s="140"/>
      <c r="V101" s="140"/>
      <c r="W101" s="140"/>
      <c r="X101" s="140"/>
      <c r="Y101" s="140"/>
      <c r="Z101" s="140"/>
      <c r="AA101" s="140"/>
      <c r="AB101" s="140"/>
    </row>
    <row r="102" spans="1:28" hidden="1" x14ac:dyDescent="0.35">
      <c r="A102" s="159"/>
      <c r="B102" s="6" t="s">
        <v>1249</v>
      </c>
      <c r="D102" s="527">
        <f>IF(5&gt;D74,0,1/((0.184*ABS(SUM(D84:D87))^3-0.525*(SUM(D84:D87))^2+1.038*ABS(SUM(D84:D87))+1.001)))</f>
        <v>0</v>
      </c>
      <c r="E102" s="6"/>
      <c r="F102" s="166"/>
      <c r="G102" s="140"/>
      <c r="H102" s="140"/>
      <c r="I102" s="140"/>
      <c r="J102" s="140"/>
      <c r="K102" s="140"/>
      <c r="L102" s="140"/>
      <c r="M102" s="140"/>
      <c r="N102" s="140"/>
      <c r="O102" s="140"/>
      <c r="P102" s="140"/>
      <c r="Q102" s="140"/>
      <c r="R102" s="140"/>
      <c r="S102" s="140"/>
      <c r="T102" s="140"/>
      <c r="U102" s="140"/>
      <c r="V102" s="140"/>
      <c r="W102" s="140"/>
      <c r="X102" s="140"/>
      <c r="Y102" s="140"/>
      <c r="Z102" s="140"/>
      <c r="AA102" s="140"/>
      <c r="AB102" s="140"/>
    </row>
    <row r="103" spans="1:28" hidden="1" x14ac:dyDescent="0.35">
      <c r="A103" s="159"/>
      <c r="B103" s="6" t="s">
        <v>1250</v>
      </c>
      <c r="D103" s="527">
        <f>IF(6&gt;D74,0,1/((0.184*ABS(SUM(D84:D88))^3-0.525*(SUM(D84:D88))^2+1.038*ABS(SUM(D84:D88))+1.001)))</f>
        <v>0</v>
      </c>
      <c r="E103" s="6"/>
      <c r="F103" s="166"/>
      <c r="G103" s="140"/>
      <c r="H103" s="140"/>
      <c r="I103" s="140"/>
      <c r="J103" s="140"/>
      <c r="K103" s="140"/>
      <c r="L103" s="140"/>
      <c r="M103" s="140"/>
      <c r="N103" s="140"/>
      <c r="O103" s="140"/>
      <c r="P103" s="140"/>
      <c r="Q103" s="140"/>
      <c r="R103" s="140"/>
      <c r="S103" s="140"/>
      <c r="T103" s="140"/>
      <c r="U103" s="140"/>
      <c r="V103" s="140"/>
      <c r="W103" s="140"/>
      <c r="X103" s="140"/>
      <c r="Y103" s="140"/>
      <c r="Z103" s="140"/>
      <c r="AA103" s="140"/>
      <c r="AB103" s="140"/>
    </row>
    <row r="104" spans="1:28" hidden="1" x14ac:dyDescent="0.35">
      <c r="A104" s="159"/>
      <c r="B104" s="6" t="s">
        <v>1251</v>
      </c>
      <c r="D104" s="527">
        <f>IF(7&gt;D74,0,1/((0.184*ABS(SUM(D84:D89))^3-0.525*(SUM(D84:D89))^2+1.038*ABS(SUM(D84:D89))+1.001)))</f>
        <v>0</v>
      </c>
      <c r="E104" s="6"/>
      <c r="F104" s="166"/>
      <c r="G104" s="140"/>
      <c r="H104" s="140"/>
      <c r="I104" s="140"/>
      <c r="J104" s="140"/>
      <c r="K104" s="140"/>
      <c r="L104" s="140"/>
      <c r="M104" s="140"/>
      <c r="N104" s="140"/>
      <c r="O104" s="140"/>
      <c r="P104" s="140"/>
      <c r="Q104" s="140"/>
      <c r="R104" s="140"/>
      <c r="S104" s="140"/>
      <c r="T104" s="140"/>
      <c r="U104" s="140"/>
      <c r="V104" s="140"/>
      <c r="W104" s="140"/>
      <c r="X104" s="140"/>
      <c r="Y104" s="140"/>
      <c r="Z104" s="140"/>
      <c r="AA104" s="140"/>
      <c r="AB104" s="140"/>
    </row>
    <row r="105" spans="1:28" hidden="1" x14ac:dyDescent="0.35">
      <c r="A105" s="159"/>
      <c r="B105" s="6" t="s">
        <v>1252</v>
      </c>
      <c r="D105" s="527">
        <f>IF(8&gt;D74,0,1/((0.184*ABS(SUM(D84:D90))^3-0.525*(SUM(D84:D90))^2+1.038*ABS(SUM(D84:D90))+1.001)))</f>
        <v>0</v>
      </c>
      <c r="E105" s="6"/>
      <c r="F105" s="166"/>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row>
    <row r="106" spans="1:28" hidden="1" x14ac:dyDescent="0.35">
      <c r="A106" s="159"/>
      <c r="B106" s="6" t="s">
        <v>1253</v>
      </c>
      <c r="D106" s="527">
        <f>IF(3&gt;D74,0,1/((0.184*ABS(SUM(D85:D85))^3-0.525*(SUM(D85:D85))^2+1.038*ABS(SUM(D85:D85))+1.001)))</f>
        <v>0</v>
      </c>
      <c r="E106" s="6"/>
      <c r="F106" s="166"/>
      <c r="G106" s="140"/>
      <c r="H106" s="140"/>
      <c r="I106" s="140"/>
      <c r="J106" s="140"/>
      <c r="K106" s="140"/>
      <c r="L106" s="140"/>
      <c r="M106" s="140"/>
      <c r="N106" s="140"/>
      <c r="O106" s="140"/>
      <c r="P106" s="140"/>
      <c r="Q106" s="140"/>
      <c r="R106" s="140"/>
      <c r="S106" s="140"/>
      <c r="T106" s="140"/>
      <c r="U106" s="140"/>
      <c r="V106" s="140"/>
      <c r="W106" s="140"/>
      <c r="X106" s="140"/>
      <c r="Y106" s="140"/>
      <c r="Z106" s="140"/>
      <c r="AA106" s="140"/>
      <c r="AB106" s="140"/>
    </row>
    <row r="107" spans="1:28" hidden="1" x14ac:dyDescent="0.35">
      <c r="A107" s="159"/>
      <c r="B107" s="6" t="s">
        <v>1254</v>
      </c>
      <c r="D107" s="527">
        <f>IF(4&gt;D74,0,1/((0.184*ABS(SUM(D85:D86))^3-0.525*(SUM(D85:D86))^2+1.038*ABS(SUM(D85:D86))+1.001)))</f>
        <v>0</v>
      </c>
      <c r="E107" s="6"/>
      <c r="F107" s="166"/>
      <c r="G107" s="140"/>
      <c r="H107" s="140"/>
      <c r="I107" s="140"/>
      <c r="J107" s="140"/>
      <c r="K107" s="140"/>
      <c r="L107" s="140"/>
      <c r="M107" s="140"/>
      <c r="N107" s="140"/>
      <c r="O107" s="140"/>
      <c r="P107" s="140"/>
      <c r="Q107" s="140"/>
      <c r="R107" s="140"/>
      <c r="S107" s="140"/>
      <c r="T107" s="140"/>
      <c r="U107" s="140"/>
      <c r="V107" s="140"/>
      <c r="W107" s="140"/>
      <c r="X107" s="140"/>
      <c r="Y107" s="140"/>
      <c r="Z107" s="140"/>
      <c r="AA107" s="140"/>
      <c r="AB107" s="140"/>
    </row>
    <row r="108" spans="1:28" hidden="1" x14ac:dyDescent="0.35">
      <c r="A108" s="159"/>
      <c r="B108" s="6" t="s">
        <v>1255</v>
      </c>
      <c r="D108" s="527">
        <f>IF(5&gt;D74,0,1/((0.184*ABS(SUM(D85:D87))^3-0.525*(SUM(D85:D87))^2+1.038*ABS(SUM(D85:D87))+1.001)))</f>
        <v>0</v>
      </c>
      <c r="E108" s="6"/>
      <c r="F108" s="166"/>
      <c r="G108" s="140"/>
      <c r="H108" s="140"/>
      <c r="I108" s="140"/>
      <c r="J108" s="140"/>
      <c r="K108" s="140"/>
      <c r="L108" s="140"/>
      <c r="M108" s="140"/>
      <c r="N108" s="140"/>
      <c r="O108" s="140"/>
      <c r="P108" s="140"/>
      <c r="Q108" s="140"/>
      <c r="R108" s="140"/>
      <c r="S108" s="140"/>
      <c r="T108" s="140"/>
      <c r="U108" s="140"/>
      <c r="V108" s="140"/>
      <c r="W108" s="140"/>
      <c r="X108" s="140"/>
      <c r="Y108" s="140"/>
      <c r="Z108" s="140"/>
      <c r="AA108" s="140"/>
      <c r="AB108" s="140"/>
    </row>
    <row r="109" spans="1:28" hidden="1" x14ac:dyDescent="0.35">
      <c r="A109" s="159"/>
      <c r="B109" s="6" t="s">
        <v>1256</v>
      </c>
      <c r="D109" s="527">
        <f>IF(6&gt;D74,0,1/((0.184*ABS(SUM(D85:D88))^3-0.525*(SUM(D85:D88))^2+1.038*ABS(SUM(D85:D88))+1.001)))</f>
        <v>0</v>
      </c>
      <c r="E109" s="6"/>
      <c r="F109" s="166"/>
      <c r="G109" s="140"/>
      <c r="H109" s="140"/>
      <c r="I109" s="140"/>
      <c r="J109" s="140"/>
      <c r="K109" s="140"/>
      <c r="L109" s="140"/>
      <c r="M109" s="140"/>
      <c r="N109" s="140"/>
      <c r="O109" s="140"/>
      <c r="P109" s="140"/>
      <c r="Q109" s="140"/>
      <c r="R109" s="140"/>
      <c r="S109" s="140"/>
      <c r="T109" s="140"/>
      <c r="U109" s="140"/>
      <c r="V109" s="140"/>
      <c r="W109" s="140"/>
      <c r="X109" s="140"/>
      <c r="Y109" s="140"/>
      <c r="Z109" s="140"/>
      <c r="AA109" s="140"/>
      <c r="AB109" s="140"/>
    </row>
    <row r="110" spans="1:28" hidden="1" x14ac:dyDescent="0.35">
      <c r="A110" s="159"/>
      <c r="B110" s="6" t="s">
        <v>1257</v>
      </c>
      <c r="D110" s="527">
        <f>IF(7&gt;D74,0,1/((0.184*ABS(SUM(D85:D89))^3-0.525*(SUM(D85:D89))^2+1.038*ABS(SUM(D85:D89))+1.001)))</f>
        <v>0</v>
      </c>
      <c r="E110" s="6"/>
      <c r="F110" s="166"/>
      <c r="G110" s="140"/>
      <c r="H110" s="140"/>
      <c r="I110" s="140"/>
      <c r="J110" s="140"/>
      <c r="K110" s="140"/>
      <c r="L110" s="140"/>
      <c r="M110" s="140"/>
      <c r="N110" s="140"/>
      <c r="O110" s="140"/>
      <c r="P110" s="140"/>
      <c r="Q110" s="140"/>
      <c r="R110" s="140"/>
      <c r="S110" s="140"/>
      <c r="T110" s="140"/>
      <c r="U110" s="140"/>
      <c r="V110" s="140"/>
      <c r="W110" s="140"/>
      <c r="X110" s="140"/>
      <c r="Y110" s="140"/>
      <c r="Z110" s="140"/>
      <c r="AA110" s="140"/>
      <c r="AB110" s="140"/>
    </row>
    <row r="111" spans="1:28" hidden="1" x14ac:dyDescent="0.35">
      <c r="A111" s="159"/>
      <c r="B111" s="6" t="s">
        <v>1258</v>
      </c>
      <c r="D111" s="527">
        <f>IF(8&gt;D74,0,1/((0.184*ABS(SUM(D85:D90))^3-0.525*(SUM(D85:D90))^2+1.038*ABS(SUM(D85:D90))+1.001)))</f>
        <v>0</v>
      </c>
      <c r="E111" s="6"/>
      <c r="F111" s="166"/>
      <c r="G111" s="140"/>
      <c r="H111" s="140"/>
      <c r="I111" s="140"/>
      <c r="J111" s="140"/>
      <c r="K111" s="140"/>
      <c r="L111" s="140"/>
      <c r="M111" s="140"/>
      <c r="N111" s="140"/>
      <c r="O111" s="140"/>
      <c r="P111" s="140"/>
      <c r="Q111" s="140"/>
      <c r="R111" s="140"/>
      <c r="S111" s="140"/>
      <c r="T111" s="140"/>
      <c r="U111" s="140"/>
      <c r="V111" s="140"/>
      <c r="W111" s="140"/>
      <c r="X111" s="140"/>
      <c r="Y111" s="140"/>
      <c r="Z111" s="140"/>
      <c r="AA111" s="140"/>
      <c r="AB111" s="140"/>
    </row>
    <row r="112" spans="1:28" hidden="1" x14ac:dyDescent="0.35">
      <c r="A112" s="159"/>
      <c r="B112" s="6" t="s">
        <v>1259</v>
      </c>
      <c r="D112" s="527">
        <f>IF(4&gt;D74,0,1/((0.184*ABS(SUM(D86:D86))^3-0.525*(SUM(D86:D86))^2+1.038*ABS(SUM(D86:D86))+1.001)))</f>
        <v>0</v>
      </c>
      <c r="E112" s="6"/>
      <c r="F112" s="166"/>
      <c r="G112" s="140"/>
      <c r="H112" s="140"/>
      <c r="I112" s="140"/>
      <c r="J112" s="140"/>
      <c r="K112" s="140"/>
      <c r="L112" s="140"/>
      <c r="M112" s="140"/>
      <c r="N112" s="140"/>
      <c r="O112" s="140"/>
      <c r="P112" s="140"/>
      <c r="Q112" s="140"/>
      <c r="R112" s="140"/>
      <c r="S112" s="140"/>
      <c r="T112" s="140"/>
      <c r="U112" s="140"/>
      <c r="V112" s="140"/>
      <c r="W112" s="140"/>
      <c r="X112" s="140"/>
      <c r="Y112" s="140"/>
      <c r="Z112" s="140"/>
      <c r="AA112" s="140"/>
      <c r="AB112" s="140"/>
    </row>
    <row r="113" spans="1:28" hidden="1" x14ac:dyDescent="0.35">
      <c r="A113" s="159"/>
      <c r="B113" s="6" t="s">
        <v>1260</v>
      </c>
      <c r="D113" s="527">
        <f>IF(5&gt;D74,0,1/((0.184*ABS(SUM(D86:D87))^3-0.525*(SUM(D86:D87))^2+1.038*ABS(SUM(D86:D87))+1.001)))</f>
        <v>0</v>
      </c>
      <c r="E113" s="6"/>
      <c r="F113" s="166"/>
      <c r="G113" s="140"/>
      <c r="H113" s="140"/>
      <c r="I113" s="140"/>
      <c r="J113" s="140"/>
      <c r="K113" s="140"/>
      <c r="L113" s="140"/>
      <c r="M113" s="140"/>
      <c r="N113" s="140"/>
      <c r="O113" s="140"/>
      <c r="P113" s="140"/>
      <c r="Q113" s="140"/>
      <c r="R113" s="140"/>
      <c r="S113" s="140"/>
      <c r="T113" s="140"/>
      <c r="U113" s="140"/>
      <c r="V113" s="140"/>
      <c r="W113" s="140"/>
      <c r="X113" s="140"/>
      <c r="Y113" s="140"/>
      <c r="Z113" s="140"/>
      <c r="AA113" s="140"/>
      <c r="AB113" s="140"/>
    </row>
    <row r="114" spans="1:28" hidden="1" x14ac:dyDescent="0.35">
      <c r="A114" s="159"/>
      <c r="B114" s="6" t="s">
        <v>1261</v>
      </c>
      <c r="D114" s="527">
        <f>IF(6&gt;D74,0,1/((0.184*ABS(SUM(D86:D88))^3-0.525*(SUM(D86:D88))^2+1.038*ABS(SUM(D86:D88))+1.001)))</f>
        <v>0</v>
      </c>
      <c r="E114" s="6"/>
      <c r="F114" s="166"/>
      <c r="G114" s="140"/>
      <c r="H114" s="140"/>
      <c r="I114" s="140"/>
      <c r="J114" s="140"/>
      <c r="K114" s="140"/>
      <c r="L114" s="140"/>
      <c r="M114" s="140"/>
      <c r="N114" s="140"/>
      <c r="O114" s="140"/>
      <c r="P114" s="140"/>
      <c r="Q114" s="140"/>
      <c r="R114" s="140"/>
      <c r="S114" s="140"/>
      <c r="T114" s="140"/>
      <c r="U114" s="140"/>
      <c r="V114" s="140"/>
      <c r="W114" s="140"/>
      <c r="X114" s="140"/>
      <c r="Y114" s="140"/>
      <c r="Z114" s="140"/>
      <c r="AA114" s="140"/>
      <c r="AB114" s="140"/>
    </row>
    <row r="115" spans="1:28" hidden="1" x14ac:dyDescent="0.35">
      <c r="A115" s="159"/>
      <c r="B115" s="6" t="s">
        <v>1262</v>
      </c>
      <c r="D115" s="527">
        <f>IF(7&gt;D74,0,1/((0.184*ABS(SUM(D86:D89))^3-0.525*(SUM(D86:D89))^2+1.038*ABS(SUM(D86:D89))+1.001)))</f>
        <v>0</v>
      </c>
      <c r="E115" s="6"/>
      <c r="F115" s="166"/>
      <c r="G115" s="140"/>
      <c r="H115" s="140"/>
      <c r="I115" s="140"/>
      <c r="J115" s="140"/>
      <c r="K115" s="140"/>
      <c r="L115" s="140"/>
      <c r="M115" s="140"/>
      <c r="N115" s="140"/>
      <c r="O115" s="140"/>
      <c r="P115" s="140"/>
      <c r="Q115" s="140"/>
      <c r="R115" s="140"/>
      <c r="S115" s="140"/>
      <c r="T115" s="140"/>
      <c r="U115" s="140"/>
      <c r="V115" s="140"/>
      <c r="W115" s="140"/>
      <c r="X115" s="140"/>
      <c r="Y115" s="140"/>
      <c r="Z115" s="140"/>
      <c r="AA115" s="140"/>
      <c r="AB115" s="140"/>
    </row>
    <row r="116" spans="1:28" hidden="1" x14ac:dyDescent="0.35">
      <c r="A116" s="159"/>
      <c r="B116" s="6" t="s">
        <v>1263</v>
      </c>
      <c r="D116" s="527">
        <f>IF(8&gt;D74,0,1/((0.184*ABS(SUM(D86:D90))^3-0.525*(SUM(D86:D90))^2+1.038*ABS(SUM(D86:D90))+1.001)))</f>
        <v>0</v>
      </c>
      <c r="E116" s="6"/>
      <c r="F116" s="166"/>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row>
    <row r="117" spans="1:28" hidden="1" x14ac:dyDescent="0.35">
      <c r="A117" s="159"/>
      <c r="B117" s="6" t="s">
        <v>1264</v>
      </c>
      <c r="D117" s="527">
        <f>IF(5&gt;D74,0,1/((0.184*ABS(SUM(D87:D87))^3-0.525*(SUM(D87:D87))^2+1.038*ABS(SUM(D87:D87))+1.001)))</f>
        <v>0</v>
      </c>
      <c r="E117" s="6"/>
      <c r="F117" s="166"/>
      <c r="G117" s="140"/>
      <c r="H117" s="140"/>
      <c r="I117" s="140"/>
      <c r="J117" s="140"/>
      <c r="K117" s="140"/>
      <c r="L117" s="140"/>
      <c r="M117" s="140"/>
      <c r="N117" s="140"/>
      <c r="O117" s="140"/>
      <c r="P117" s="140"/>
      <c r="Q117" s="140"/>
      <c r="R117" s="140"/>
      <c r="S117" s="140"/>
      <c r="T117" s="140"/>
      <c r="U117" s="140"/>
      <c r="V117" s="140"/>
      <c r="W117" s="140"/>
      <c r="X117" s="140"/>
      <c r="Y117" s="140"/>
      <c r="Z117" s="140"/>
      <c r="AA117" s="140"/>
      <c r="AB117" s="140"/>
    </row>
    <row r="118" spans="1:28" hidden="1" x14ac:dyDescent="0.35">
      <c r="A118" s="159"/>
      <c r="B118" s="6" t="s">
        <v>1265</v>
      </c>
      <c r="D118" s="527">
        <f>IF(6&gt;D74,0,1/((0.184*ABS(SUM(D87:D88))^3-0.525*(SUM(D87:D88))^2+1.038*ABS(SUM(D87:D88))+1.001)))</f>
        <v>0</v>
      </c>
      <c r="E118" s="6"/>
      <c r="F118" s="166"/>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row>
    <row r="119" spans="1:28" hidden="1" x14ac:dyDescent="0.35">
      <c r="A119" s="159"/>
      <c r="B119" s="6" t="s">
        <v>1266</v>
      </c>
      <c r="D119" s="527">
        <f>IF(7&gt;D74,0,1/((0.184*ABS(SUM(D87:D89))^3-0.525*(SUM(D87:D89))^2+1.038*ABS(SUM(D87:D89))+1.001)))</f>
        <v>0</v>
      </c>
      <c r="E119" s="6"/>
      <c r="F119" s="166"/>
      <c r="G119" s="140"/>
      <c r="H119" s="140"/>
      <c r="I119" s="140"/>
      <c r="J119" s="140"/>
      <c r="K119" s="140"/>
      <c r="L119" s="140"/>
      <c r="M119" s="140"/>
      <c r="N119" s="140"/>
      <c r="O119" s="140"/>
      <c r="P119" s="140"/>
      <c r="Q119" s="140"/>
      <c r="R119" s="140"/>
      <c r="S119" s="140"/>
      <c r="T119" s="140"/>
      <c r="U119" s="140"/>
      <c r="V119" s="140"/>
      <c r="W119" s="140"/>
      <c r="X119" s="140"/>
      <c r="Y119" s="140"/>
      <c r="Z119" s="140"/>
      <c r="AA119" s="140"/>
      <c r="AB119" s="140"/>
    </row>
    <row r="120" spans="1:28" hidden="1" x14ac:dyDescent="0.35">
      <c r="A120" s="159"/>
      <c r="B120" s="6" t="s">
        <v>1267</v>
      </c>
      <c r="D120" s="527">
        <f>IF(8&gt;D74,0,1/((0.184*ABS(SUM(D87:D90))^3-0.525*(SUM(D87:D90))^2+1.038*ABS(SUM(D87:D90))+1.001)))</f>
        <v>0</v>
      </c>
      <c r="E120" s="6"/>
      <c r="F120" s="166"/>
      <c r="G120" s="140"/>
      <c r="H120" s="140"/>
      <c r="I120" s="140"/>
      <c r="J120" s="140"/>
      <c r="K120" s="140"/>
      <c r="L120" s="140"/>
      <c r="M120" s="140"/>
      <c r="N120" s="140"/>
      <c r="O120" s="140"/>
      <c r="P120" s="140"/>
      <c r="Q120" s="140"/>
      <c r="R120" s="140"/>
      <c r="S120" s="140"/>
      <c r="T120" s="140"/>
      <c r="U120" s="140"/>
      <c r="V120" s="140"/>
      <c r="W120" s="140"/>
      <c r="X120" s="140"/>
      <c r="Y120" s="140"/>
      <c r="Z120" s="140"/>
      <c r="AA120" s="140"/>
      <c r="AB120" s="140"/>
    </row>
    <row r="121" spans="1:28" hidden="1" x14ac:dyDescent="0.35">
      <c r="A121" s="159"/>
      <c r="B121" s="6" t="s">
        <v>1268</v>
      </c>
      <c r="D121" s="527">
        <f>IF(6&gt;D74,0,1/((0.184*ABS(SUM(D88:D88))^3-0.525*(SUM(D88:D88))^2+1.038*ABS(SUM(D88:D88))+1.001)))</f>
        <v>0</v>
      </c>
      <c r="E121" s="6"/>
      <c r="F121" s="166"/>
      <c r="G121" s="140"/>
      <c r="H121" s="140"/>
      <c r="I121" s="140"/>
      <c r="J121" s="140"/>
      <c r="K121" s="140"/>
      <c r="L121" s="140"/>
      <c r="M121" s="140"/>
      <c r="N121" s="140"/>
      <c r="O121" s="140"/>
      <c r="P121" s="140"/>
      <c r="Q121" s="140"/>
      <c r="R121" s="140"/>
      <c r="S121" s="140"/>
      <c r="T121" s="140"/>
      <c r="U121" s="140"/>
      <c r="V121" s="140"/>
      <c r="W121" s="140"/>
      <c r="X121" s="140"/>
      <c r="Y121" s="140"/>
      <c r="Z121" s="140"/>
      <c r="AA121" s="140"/>
      <c r="AB121" s="140"/>
    </row>
    <row r="122" spans="1:28" hidden="1" x14ac:dyDescent="0.35">
      <c r="A122" s="159"/>
      <c r="B122" s="6" t="s">
        <v>1269</v>
      </c>
      <c r="D122" s="527">
        <f>IF(7&gt;D74,0,1/((0.184*ABS(SUM(D88:D89))^3-0.525*(SUM(D88:D89))^2+1.038*ABS(SUM(D88:D89))+1.001)))</f>
        <v>0</v>
      </c>
      <c r="E122" s="6"/>
      <c r="F122" s="166"/>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row>
    <row r="123" spans="1:28" hidden="1" x14ac:dyDescent="0.35">
      <c r="A123" s="159"/>
      <c r="B123" s="6" t="s">
        <v>1270</v>
      </c>
      <c r="D123" s="527">
        <f>IF(8&gt;D74,0,1/((0.184*ABS(SUM(D88:D90))^3-0.525*(SUM(D88:D90))^2+1.038*ABS(SUM(D88:D90))+1.001)))</f>
        <v>0</v>
      </c>
      <c r="E123" s="6"/>
      <c r="F123" s="166"/>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row>
    <row r="124" spans="1:28" hidden="1" x14ac:dyDescent="0.35">
      <c r="A124" s="159"/>
      <c r="B124" s="6" t="s">
        <v>1271</v>
      </c>
      <c r="D124" s="527">
        <f>IF(7&gt;D74,0,1/((0.184*ABS(SUM(D89:D89))^3-0.525*(SUM(D89:D89))^2+1.038*ABS(SUM(D89:D89))+1.001)))</f>
        <v>0</v>
      </c>
      <c r="E124" s="6"/>
      <c r="F124" s="166"/>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row>
    <row r="125" spans="1:28" hidden="1" x14ac:dyDescent="0.35">
      <c r="A125" s="159"/>
      <c r="B125" s="6" t="s">
        <v>1272</v>
      </c>
      <c r="D125" s="527">
        <f>IF(8&gt;D74,0,1/((0.184*ABS(SUM(D89:D90))^3-0.525*(SUM(D89:D90))^2+1.038*ABS(SUM(D89:D90))+1.001)))</f>
        <v>0</v>
      </c>
      <c r="E125" s="6"/>
      <c r="F125" s="166"/>
      <c r="G125" s="140"/>
      <c r="H125" s="140"/>
      <c r="I125" s="140"/>
      <c r="J125" s="140"/>
      <c r="K125" s="140"/>
      <c r="L125" s="140"/>
      <c r="M125" s="140"/>
      <c r="N125" s="140"/>
      <c r="O125" s="140"/>
      <c r="P125" s="140"/>
      <c r="Q125" s="140"/>
      <c r="R125" s="140"/>
      <c r="S125" s="140"/>
      <c r="T125" s="140"/>
      <c r="U125" s="140"/>
      <c r="V125" s="140"/>
      <c r="W125" s="140"/>
      <c r="X125" s="140"/>
      <c r="Y125" s="140"/>
      <c r="Z125" s="140"/>
      <c r="AA125" s="140"/>
      <c r="AB125" s="140"/>
    </row>
    <row r="126" spans="1:28" hidden="1" x14ac:dyDescent="0.35">
      <c r="A126" s="159"/>
      <c r="B126" s="6" t="s">
        <v>1273</v>
      </c>
      <c r="D126" s="527">
        <f>IF(8&gt;D74,0,1/((0.184*ABS(SUM(D90:D90))^3-0.525*(SUM(D90:D90))^2+1.038*ABS(SUM(D90:D90))+1.001)))</f>
        <v>0</v>
      </c>
      <c r="E126" s="6"/>
      <c r="F126" s="166"/>
      <c r="G126" s="140"/>
      <c r="H126" s="140"/>
      <c r="I126" s="140"/>
      <c r="J126" s="140"/>
      <c r="K126" s="140"/>
      <c r="L126" s="140"/>
      <c r="M126" s="140"/>
      <c r="N126" s="140"/>
      <c r="O126" s="140"/>
      <c r="P126" s="140"/>
      <c r="Q126" s="140"/>
      <c r="R126" s="140"/>
      <c r="S126" s="140"/>
      <c r="T126" s="140"/>
      <c r="U126" s="140"/>
      <c r="V126" s="140"/>
      <c r="W126" s="140"/>
      <c r="X126" s="140"/>
      <c r="Y126" s="140"/>
      <c r="Z126" s="140"/>
      <c r="AA126" s="140"/>
      <c r="AB126" s="140"/>
    </row>
    <row r="127" spans="1:28" hidden="1" x14ac:dyDescent="0.35">
      <c r="A127" s="159"/>
      <c r="B127" s="6"/>
      <c r="D127" s="527"/>
      <c r="E127" s="6"/>
      <c r="F127" s="166"/>
      <c r="G127" s="140"/>
      <c r="H127" s="140"/>
      <c r="I127" s="140"/>
      <c r="J127" s="140"/>
      <c r="K127" s="140"/>
      <c r="L127" s="140"/>
      <c r="M127" s="140"/>
      <c r="N127" s="140"/>
      <c r="O127" s="140"/>
      <c r="P127" s="140"/>
      <c r="Q127" s="140"/>
      <c r="R127" s="140"/>
      <c r="S127" s="140"/>
      <c r="T127" s="140"/>
      <c r="U127" s="140"/>
      <c r="V127" s="140"/>
      <c r="W127" s="140"/>
      <c r="X127" s="140"/>
      <c r="Y127" s="140"/>
      <c r="Z127" s="140"/>
      <c r="AA127" s="140"/>
      <c r="AB127" s="140"/>
    </row>
    <row r="128" spans="1:28" hidden="1" x14ac:dyDescent="0.35">
      <c r="A128" s="159"/>
      <c r="B128" s="6" t="s">
        <v>1274</v>
      </c>
      <c r="D128" s="527">
        <f>IF(1&gt;D74,0,-1/((0.184*ABS(SUM(D83:D83))^3-0.525*(SUM(D83:D83))^2+1.038*ABS(SUM(D83:D83))+1.001)))</f>
        <v>-0.11724703951225232</v>
      </c>
      <c r="E128" s="6"/>
      <c r="F128" s="166"/>
      <c r="G128" s="140"/>
      <c r="H128" s="140"/>
      <c r="I128" s="140"/>
      <c r="J128" s="140"/>
      <c r="K128" s="140"/>
      <c r="L128" s="140"/>
      <c r="M128" s="140"/>
      <c r="N128" s="140"/>
      <c r="O128" s="140"/>
      <c r="P128" s="140"/>
      <c r="Q128" s="140"/>
      <c r="R128" s="140"/>
      <c r="S128" s="140"/>
      <c r="T128" s="140"/>
      <c r="U128" s="140"/>
      <c r="V128" s="140"/>
      <c r="W128" s="140"/>
      <c r="X128" s="140"/>
      <c r="Y128" s="140"/>
      <c r="Z128" s="140"/>
      <c r="AA128" s="140"/>
      <c r="AB128" s="140"/>
    </row>
    <row r="129" spans="1:28" hidden="1" x14ac:dyDescent="0.35">
      <c r="A129" s="159"/>
      <c r="B129" s="6" t="s">
        <v>1275</v>
      </c>
      <c r="D129" s="527">
        <f>IF(2&gt;D74,0,-1/((0.184*ABS(SUM(D83:D84))^3-0.525*(SUM(D83:D84))^2+1.038*ABS(SUM(D83:D84))+1.001)))</f>
        <v>-7.0242832280908385E-2</v>
      </c>
      <c r="E129" s="6"/>
      <c r="F129" s="166"/>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row>
    <row r="130" spans="1:28" hidden="1" x14ac:dyDescent="0.35">
      <c r="A130" s="159"/>
      <c r="B130" s="6" t="s">
        <v>1276</v>
      </c>
      <c r="D130" s="527">
        <f>IF(3&gt;D74,0,-1/((0.184*ABS(SUM(D83:D85))^3-0.525*(SUM(D83:D85))^2+1.038*ABS(SUM(D83:D85))+1.001)))</f>
        <v>0</v>
      </c>
      <c r="E130" s="6"/>
      <c r="F130" s="166"/>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row>
    <row r="131" spans="1:28" hidden="1" x14ac:dyDescent="0.35">
      <c r="A131" s="159"/>
      <c r="B131" s="6" t="s">
        <v>1277</v>
      </c>
      <c r="D131" s="527">
        <f>IF(4&gt;D74,0,-1/((0.184*ABS(SUM(D83:D86))^3-0.525*(SUM(D83:D86))^2+1.038*ABS(SUM(D83:D86))+1.001)))</f>
        <v>0</v>
      </c>
      <c r="E131" s="6"/>
      <c r="F131" s="166"/>
      <c r="G131" s="140"/>
      <c r="H131" s="140"/>
      <c r="I131" s="140"/>
      <c r="J131" s="140"/>
      <c r="K131" s="140"/>
      <c r="L131" s="140"/>
      <c r="M131" s="140"/>
      <c r="N131" s="140"/>
      <c r="O131" s="140"/>
      <c r="P131" s="140"/>
      <c r="Q131" s="140"/>
      <c r="R131" s="140"/>
      <c r="S131" s="140"/>
      <c r="T131" s="140"/>
      <c r="U131" s="140"/>
      <c r="V131" s="140"/>
      <c r="W131" s="140"/>
      <c r="X131" s="140"/>
      <c r="Y131" s="140"/>
      <c r="Z131" s="140"/>
      <c r="AA131" s="140"/>
      <c r="AB131" s="140"/>
    </row>
    <row r="132" spans="1:28" hidden="1" x14ac:dyDescent="0.35">
      <c r="A132" s="159"/>
      <c r="B132" s="6" t="s">
        <v>1278</v>
      </c>
      <c r="D132" s="527">
        <f>IF(5&gt;D74,0,-1/((0.184*ABS(SUM(D83:D87))^3-0.525*(SUM(D83:D87))^2+1.038*ABS(SUM(D83:D87))+1.001)))</f>
        <v>0</v>
      </c>
      <c r="E132" s="6"/>
      <c r="F132" s="166"/>
      <c r="G132" s="140"/>
      <c r="H132" s="140"/>
      <c r="I132" s="140"/>
      <c r="J132" s="140"/>
      <c r="K132" s="140"/>
      <c r="L132" s="140"/>
      <c r="M132" s="140"/>
      <c r="N132" s="140"/>
      <c r="O132" s="140"/>
      <c r="P132" s="140"/>
      <c r="Q132" s="140"/>
      <c r="R132" s="140"/>
      <c r="S132" s="140"/>
      <c r="T132" s="140"/>
      <c r="U132" s="140"/>
      <c r="V132" s="140"/>
      <c r="W132" s="140"/>
      <c r="X132" s="140"/>
      <c r="Y132" s="140"/>
      <c r="Z132" s="140"/>
      <c r="AA132" s="140"/>
      <c r="AB132" s="140"/>
    </row>
    <row r="133" spans="1:28" hidden="1" x14ac:dyDescent="0.35">
      <c r="A133" s="159"/>
      <c r="B133" s="6" t="s">
        <v>1279</v>
      </c>
      <c r="D133" s="527">
        <f>IF(6&gt;D74,0,-1/((0.184*ABS(SUM(D83:D88))^3-0.525*(SUM(D83:D88))^2+1.038*ABS(SUM(D83:D88))+1.001)))</f>
        <v>0</v>
      </c>
      <c r="E133" s="6"/>
      <c r="F133" s="166"/>
      <c r="G133" s="140"/>
      <c r="H133" s="140"/>
      <c r="I133" s="140"/>
      <c r="J133" s="140"/>
      <c r="K133" s="140"/>
      <c r="L133" s="140"/>
      <c r="M133" s="140"/>
      <c r="N133" s="140"/>
      <c r="O133" s="140"/>
      <c r="P133" s="140"/>
      <c r="Q133" s="140"/>
      <c r="R133" s="140"/>
      <c r="S133" s="140"/>
      <c r="T133" s="140"/>
      <c r="U133" s="140"/>
      <c r="V133" s="140"/>
      <c r="W133" s="140"/>
      <c r="X133" s="140"/>
      <c r="Y133" s="140"/>
      <c r="Z133" s="140"/>
      <c r="AA133" s="140"/>
      <c r="AB133" s="140"/>
    </row>
    <row r="134" spans="1:28" hidden="1" x14ac:dyDescent="0.35">
      <c r="A134" s="159"/>
      <c r="B134" s="6" t="s">
        <v>1280</v>
      </c>
      <c r="D134" s="527">
        <f>IF(7&gt;D74,0,-1/((0.184*ABS(SUM(D83:D89))^3-0.525*(SUM(D83:D89))^2+1.038*ABS(SUM(D83:D89))+1.001)))</f>
        <v>0</v>
      </c>
      <c r="E134" s="6"/>
      <c r="F134" s="166"/>
      <c r="G134" s="140"/>
      <c r="H134" s="140"/>
      <c r="I134" s="140"/>
      <c r="J134" s="140"/>
      <c r="K134" s="140"/>
      <c r="L134" s="140"/>
      <c r="M134" s="140"/>
      <c r="N134" s="140"/>
      <c r="O134" s="140"/>
      <c r="P134" s="140"/>
      <c r="Q134" s="140"/>
      <c r="R134" s="140"/>
      <c r="S134" s="140"/>
      <c r="T134" s="140"/>
      <c r="U134" s="140"/>
      <c r="V134" s="140"/>
      <c r="W134" s="140"/>
      <c r="X134" s="140"/>
      <c r="Y134" s="140"/>
      <c r="Z134" s="140"/>
      <c r="AA134" s="140"/>
      <c r="AB134" s="140"/>
    </row>
    <row r="135" spans="1:28" hidden="1" x14ac:dyDescent="0.35">
      <c r="A135" s="159"/>
      <c r="B135" s="6" t="s">
        <v>1281</v>
      </c>
      <c r="D135" s="527">
        <f>IF(8&gt;D74,0,-1/((0.184*ABS(SUM(D83:D90))^3-0.525*(SUM(D83:D90))^2+1.038*ABS(SUM(D83:D90))+1.001)))</f>
        <v>0</v>
      </c>
      <c r="E135" s="6"/>
      <c r="F135" s="166"/>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row>
    <row r="136" spans="1:28" hidden="1" x14ac:dyDescent="0.35">
      <c r="A136" s="159"/>
      <c r="B136" s="6" t="s">
        <v>1282</v>
      </c>
      <c r="D136" s="527">
        <f>IF(2&gt;D74,0,-1/((0.184*ABS(SUM(D82:D83))^3-0.525*(SUM(D82:D83))^2+1.038*ABS(SUM(D82:D83))+1.001)))</f>
        <v>-7.0242832280908385E-2</v>
      </c>
      <c r="E136" s="6"/>
      <c r="F136" s="166"/>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row>
    <row r="137" spans="1:28" hidden="1" x14ac:dyDescent="0.35">
      <c r="A137" s="159"/>
      <c r="B137" s="6" t="s">
        <v>1283</v>
      </c>
      <c r="D137" s="527">
        <f>IF(2&gt;D74,0,-1/((0.184*ABS(SUM(D82:D84))^3-0.525*(SUM(D82:D84))^2+1.038*ABS(SUM(D82:D84))+1.001)))</f>
        <v>-4.412450452593869E-2</v>
      </c>
      <c r="E137" s="6"/>
      <c r="F137" s="166"/>
      <c r="G137" s="140"/>
      <c r="H137" s="140"/>
      <c r="I137" s="140"/>
      <c r="J137" s="140"/>
      <c r="K137" s="140"/>
      <c r="L137" s="140"/>
      <c r="M137" s="140"/>
      <c r="N137" s="140"/>
      <c r="O137" s="140"/>
      <c r="P137" s="140"/>
      <c r="Q137" s="140"/>
      <c r="R137" s="140"/>
      <c r="S137" s="140"/>
      <c r="T137" s="140"/>
      <c r="U137" s="140"/>
      <c r="V137" s="140"/>
      <c r="W137" s="140"/>
      <c r="X137" s="140"/>
      <c r="Y137" s="140"/>
      <c r="Z137" s="140"/>
      <c r="AA137" s="140"/>
      <c r="AB137" s="140"/>
    </row>
    <row r="138" spans="1:28" hidden="1" x14ac:dyDescent="0.35">
      <c r="A138" s="159"/>
      <c r="B138" s="6" t="s">
        <v>1284</v>
      </c>
      <c r="D138" s="527">
        <f>IF(3&gt;D74,0,-1/((0.184*ABS(SUM(D82:D85))^3-0.525*(SUM(D82:D85))^2+1.038*ABS(SUM(D82:D85))+1.001)))</f>
        <v>0</v>
      </c>
      <c r="E138" s="6"/>
      <c r="F138" s="166"/>
      <c r="G138" s="140"/>
      <c r="H138" s="140"/>
      <c r="I138" s="140"/>
      <c r="J138" s="140"/>
      <c r="K138" s="140"/>
      <c r="L138" s="140"/>
      <c r="M138" s="140"/>
      <c r="N138" s="140"/>
      <c r="O138" s="140"/>
      <c r="P138" s="140"/>
      <c r="Q138" s="140"/>
      <c r="R138" s="140"/>
      <c r="S138" s="140"/>
      <c r="T138" s="140"/>
      <c r="U138" s="140"/>
      <c r="V138" s="140"/>
      <c r="W138" s="140"/>
      <c r="X138" s="140"/>
      <c r="Y138" s="140"/>
      <c r="Z138" s="140"/>
      <c r="AA138" s="140"/>
      <c r="AB138" s="140"/>
    </row>
    <row r="139" spans="1:28" hidden="1" x14ac:dyDescent="0.35">
      <c r="A139" s="159"/>
      <c r="B139" s="6" t="s">
        <v>1285</v>
      </c>
      <c r="D139" s="527">
        <f>IF(4&gt;D74,0,-1/((0.184*ABS(SUM(D82:D86))^3-0.525*(SUM(D82:D86))^2+1.038*ABS(SUM(D82:D86))+1.001)))</f>
        <v>0</v>
      </c>
      <c r="E139" s="6"/>
      <c r="F139" s="166"/>
      <c r="G139" s="140"/>
      <c r="H139" s="140"/>
      <c r="I139" s="140"/>
      <c r="J139" s="140"/>
      <c r="K139" s="140"/>
      <c r="L139" s="140"/>
      <c r="M139" s="140"/>
      <c r="N139" s="140"/>
      <c r="O139" s="140"/>
      <c r="P139" s="140"/>
      <c r="Q139" s="140"/>
      <c r="R139" s="140"/>
      <c r="S139" s="140"/>
      <c r="T139" s="140"/>
      <c r="U139" s="140"/>
      <c r="V139" s="140"/>
      <c r="W139" s="140"/>
      <c r="X139" s="140"/>
      <c r="Y139" s="140"/>
      <c r="Z139" s="140"/>
      <c r="AA139" s="140"/>
      <c r="AB139" s="140"/>
    </row>
    <row r="140" spans="1:28" hidden="1" x14ac:dyDescent="0.35">
      <c r="A140" s="159"/>
      <c r="B140" s="6" t="s">
        <v>1286</v>
      </c>
      <c r="D140" s="527">
        <f>IF(5&gt;D74,0,-1/((0.184*ABS(SUM(D82:D87))^3-0.525*(SUM(D82:D87))^2+1.038*ABS(SUM(D82:D87))+1.001)))</f>
        <v>0</v>
      </c>
      <c r="E140" s="6"/>
      <c r="F140" s="166"/>
      <c r="G140" s="140"/>
      <c r="H140" s="140"/>
      <c r="I140" s="140"/>
      <c r="J140" s="140"/>
      <c r="K140" s="140"/>
      <c r="L140" s="140"/>
      <c r="M140" s="140"/>
      <c r="N140" s="140"/>
      <c r="O140" s="140"/>
      <c r="P140" s="140"/>
      <c r="Q140" s="140"/>
      <c r="R140" s="140"/>
      <c r="S140" s="140"/>
      <c r="T140" s="140"/>
      <c r="U140" s="140"/>
      <c r="V140" s="140"/>
      <c r="W140" s="140"/>
      <c r="X140" s="140"/>
      <c r="Y140" s="140"/>
      <c r="Z140" s="140"/>
      <c r="AA140" s="140"/>
      <c r="AB140" s="140"/>
    </row>
    <row r="141" spans="1:28" hidden="1" x14ac:dyDescent="0.35">
      <c r="A141" s="159"/>
      <c r="B141" s="6" t="s">
        <v>1287</v>
      </c>
      <c r="D141" s="527">
        <f>IF(6&gt;D74,0,-1/((0.184*ABS(SUM(D82:D88))^3-0.525*(SUM(D82:D88))^2+1.038*ABS(SUM(D82:D88))+1.001)))</f>
        <v>0</v>
      </c>
      <c r="E141" s="6"/>
      <c r="F141" s="166"/>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row>
    <row r="142" spans="1:28" hidden="1" x14ac:dyDescent="0.35">
      <c r="A142" s="159"/>
      <c r="B142" s="6" t="s">
        <v>1288</v>
      </c>
      <c r="D142" s="527">
        <f>IF(7&gt;D74,0,-1/((0.184*ABS(SUM(D82:D89))^3-0.525*(SUM(D82:D89))^2+1.038*ABS(SUM(D82:D89))+1.001)))</f>
        <v>0</v>
      </c>
      <c r="E142" s="6"/>
      <c r="F142" s="166"/>
      <c r="G142" s="140"/>
      <c r="H142" s="140"/>
      <c r="I142" s="140"/>
      <c r="J142" s="140"/>
      <c r="K142" s="140"/>
      <c r="L142" s="140"/>
      <c r="M142" s="140"/>
      <c r="N142" s="140"/>
      <c r="O142" s="140"/>
      <c r="P142" s="140"/>
      <c r="Q142" s="140"/>
      <c r="R142" s="140"/>
      <c r="S142" s="140"/>
      <c r="T142" s="140"/>
      <c r="U142" s="140"/>
      <c r="V142" s="140"/>
      <c r="W142" s="140"/>
      <c r="X142" s="140"/>
      <c r="Y142" s="140"/>
      <c r="Z142" s="140"/>
      <c r="AA142" s="140"/>
      <c r="AB142" s="140"/>
    </row>
    <row r="143" spans="1:28" hidden="1" x14ac:dyDescent="0.35">
      <c r="A143" s="159"/>
      <c r="B143" s="6" t="s">
        <v>1289</v>
      </c>
      <c r="D143" s="527">
        <f>IF(8&gt;D74,0,-1/((0.184*ABS(SUM(D82:D90))^3-0.525*(SUM(D82:D90))^2+1.038*ABS(SUM(D82:D90))+1.001)))</f>
        <v>0</v>
      </c>
      <c r="E143" s="6"/>
      <c r="F143" s="166"/>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row>
    <row r="144" spans="1:28" hidden="1" x14ac:dyDescent="0.35">
      <c r="A144" s="159"/>
      <c r="B144" s="6" t="s">
        <v>1290</v>
      </c>
      <c r="D144" s="527">
        <f>IF(3&gt;D74,0,-1/((0.184*ABS(SUM(D81:D83))^3-0.525*(SUM(D81:D83))^2+1.038*ABS(SUM(D81:D83))+1.001)))</f>
        <v>0</v>
      </c>
      <c r="E144" s="6"/>
      <c r="F144" s="166"/>
      <c r="G144" s="140"/>
      <c r="H144" s="140"/>
      <c r="I144" s="140"/>
      <c r="J144" s="140"/>
      <c r="K144" s="140"/>
      <c r="L144" s="140"/>
      <c r="M144" s="140"/>
      <c r="N144" s="140"/>
      <c r="O144" s="140"/>
      <c r="P144" s="140"/>
      <c r="Q144" s="140"/>
      <c r="R144" s="140"/>
      <c r="S144" s="140"/>
      <c r="T144" s="140"/>
      <c r="U144" s="140"/>
      <c r="V144" s="140"/>
      <c r="W144" s="140"/>
      <c r="X144" s="140"/>
      <c r="Y144" s="140"/>
      <c r="Z144" s="140"/>
      <c r="AA144" s="140"/>
      <c r="AB144" s="140"/>
    </row>
    <row r="145" spans="1:28" hidden="1" x14ac:dyDescent="0.35">
      <c r="A145" s="159"/>
      <c r="B145" s="6" t="s">
        <v>1291</v>
      </c>
      <c r="D145" s="527">
        <f>IF(3&gt;D74,0,-1/((0.184*ABS(SUM(D81:D84))^3-0.525*(SUM(D81:D84))^2+1.038*ABS(SUM(D81:D84))+1.001)))</f>
        <v>0</v>
      </c>
      <c r="E145" s="6"/>
      <c r="F145" s="166"/>
      <c r="G145" s="140"/>
      <c r="H145" s="140"/>
      <c r="I145" s="140"/>
      <c r="J145" s="140"/>
      <c r="K145" s="140"/>
      <c r="L145" s="140"/>
      <c r="M145" s="140"/>
      <c r="N145" s="140"/>
      <c r="O145" s="140"/>
      <c r="P145" s="140"/>
      <c r="Q145" s="140"/>
      <c r="R145" s="140"/>
      <c r="S145" s="140"/>
      <c r="T145" s="140"/>
      <c r="U145" s="140"/>
      <c r="V145" s="140"/>
      <c r="W145" s="140"/>
      <c r="X145" s="140"/>
      <c r="Y145" s="140"/>
      <c r="Z145" s="140"/>
      <c r="AA145" s="140"/>
      <c r="AB145" s="140"/>
    </row>
    <row r="146" spans="1:28" hidden="1" x14ac:dyDescent="0.35">
      <c r="A146" s="159"/>
      <c r="B146" s="6" t="s">
        <v>1292</v>
      </c>
      <c r="D146" s="527">
        <f>IF(3&gt;D74,0,-1/((0.184*ABS(SUM(D81:D85))^3-0.525*(SUM(D81:D85))^2+1.038*ABS(SUM(D81:D85))+1.001)))</f>
        <v>0</v>
      </c>
      <c r="E146" s="6"/>
      <c r="F146" s="166"/>
      <c r="G146" s="140"/>
      <c r="H146" s="140"/>
      <c r="I146" s="140"/>
      <c r="J146" s="140"/>
      <c r="K146" s="140"/>
      <c r="L146" s="140"/>
      <c r="M146" s="140"/>
      <c r="N146" s="140"/>
      <c r="O146" s="140"/>
      <c r="P146" s="140"/>
      <c r="Q146" s="140"/>
      <c r="R146" s="140"/>
      <c r="S146" s="140"/>
      <c r="T146" s="140"/>
      <c r="U146" s="140"/>
      <c r="V146" s="140"/>
      <c r="W146" s="140"/>
      <c r="X146" s="140"/>
      <c r="Y146" s="140"/>
      <c r="Z146" s="140"/>
      <c r="AA146" s="140"/>
      <c r="AB146" s="140"/>
    </row>
    <row r="147" spans="1:28" hidden="1" x14ac:dyDescent="0.35">
      <c r="A147" s="159"/>
      <c r="B147" s="6" t="s">
        <v>1293</v>
      </c>
      <c r="D147" s="527">
        <f>IF(4&gt;D74,0,-1/((0.184*ABS(SUM(D81:D86))^3-0.525*(SUM(D81:D86))^2+1.038*ABS(SUM(D81:D86))+1.001)))</f>
        <v>0</v>
      </c>
      <c r="E147" s="6"/>
      <c r="F147" s="166"/>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row>
    <row r="148" spans="1:28" hidden="1" x14ac:dyDescent="0.35">
      <c r="A148" s="159"/>
      <c r="B148" s="6" t="s">
        <v>1294</v>
      </c>
      <c r="D148" s="527">
        <f>IF(5&gt;D74,0,-1/((0.184*ABS(SUM(D81:D87))^3-0.525*(SUM(D81:D87))^2+1.038*ABS(SUM(D81:D87))+1.001)))</f>
        <v>0</v>
      </c>
      <c r="E148" s="6"/>
      <c r="F148" s="166"/>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row>
    <row r="149" spans="1:28" hidden="1" x14ac:dyDescent="0.35">
      <c r="A149" s="159"/>
      <c r="B149" s="6" t="s">
        <v>1295</v>
      </c>
      <c r="D149" s="527">
        <f>IF(6&gt;D74,0,-1/((0.184*ABS(SUM(D81:D88))^3-0.525*(SUM(D81:D88))^2+1.038*ABS(SUM(D81:D88))+1.001)))</f>
        <v>0</v>
      </c>
      <c r="E149" s="6"/>
      <c r="F149" s="166"/>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row>
    <row r="150" spans="1:28" hidden="1" x14ac:dyDescent="0.35">
      <c r="A150" s="159"/>
      <c r="B150" s="6" t="s">
        <v>1296</v>
      </c>
      <c r="D150" s="527">
        <f>IF(7&gt;D74,0,-1/((0.184*ABS(SUM(D81:D89))^3-0.525*(SUM(D81:D89))^2+1.038*ABS(SUM(D81:D89))+1.001)))</f>
        <v>0</v>
      </c>
      <c r="E150" s="6"/>
      <c r="F150" s="166"/>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row>
    <row r="151" spans="1:28" hidden="1" x14ac:dyDescent="0.35">
      <c r="A151" s="159"/>
      <c r="B151" s="6" t="s">
        <v>1297</v>
      </c>
      <c r="D151" s="527">
        <f>IF(8&gt;D74,0,-1/((0.184*ABS(SUM(D81:D90))^3-0.525*(SUM(D81:D90))^2+1.038*ABS(SUM(D81:D90))+1.001)))</f>
        <v>0</v>
      </c>
      <c r="E151" s="6"/>
      <c r="F151" s="166"/>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row>
    <row r="152" spans="1:28" hidden="1" x14ac:dyDescent="0.35">
      <c r="A152" s="159"/>
      <c r="B152" s="6" t="s">
        <v>1298</v>
      </c>
      <c r="D152" s="527">
        <f>IF(4&gt;D74,0,-1/((0.184*ABS(SUM(D80:D83))^3-0.525*(SUM(D80:D83))^2+1.038*ABS(SUM(D80:D83))+1.001)))</f>
        <v>0</v>
      </c>
      <c r="E152" s="6"/>
      <c r="F152" s="166"/>
      <c r="G152" s="140"/>
      <c r="H152" s="140"/>
      <c r="I152" s="140"/>
      <c r="J152" s="140"/>
      <c r="K152" s="140"/>
      <c r="L152" s="140"/>
      <c r="M152" s="140"/>
      <c r="N152" s="140"/>
      <c r="O152" s="140"/>
      <c r="P152" s="140"/>
      <c r="Q152" s="140"/>
      <c r="R152" s="140"/>
      <c r="S152" s="140"/>
      <c r="T152" s="140"/>
      <c r="U152" s="140"/>
      <c r="V152" s="140"/>
      <c r="W152" s="140"/>
      <c r="X152" s="140"/>
      <c r="Y152" s="140"/>
      <c r="Z152" s="140"/>
      <c r="AA152" s="140"/>
      <c r="AB152" s="140"/>
    </row>
    <row r="153" spans="1:28" hidden="1" x14ac:dyDescent="0.35">
      <c r="A153" s="159"/>
      <c r="B153" s="6" t="s">
        <v>1299</v>
      </c>
      <c r="D153" s="527">
        <f>IF(4&gt;D74,0,-1/((0.184*ABS(SUM(D80:D84))^3-0.525*(SUM(D80:D84))^2+1.038*ABS(SUM(D80:D84))+1.001)))</f>
        <v>0</v>
      </c>
      <c r="E153" s="6"/>
      <c r="F153" s="166"/>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row>
    <row r="154" spans="1:28" hidden="1" x14ac:dyDescent="0.35">
      <c r="A154" s="159"/>
      <c r="B154" s="6" t="s">
        <v>1300</v>
      </c>
      <c r="D154" s="527">
        <f>IF(4&gt;D74,0,-1/((0.184*ABS(SUM(D80:D85))^3-0.525*(SUM(D80:D85))^2+1.038*ABS(SUM(D80:D85))+1.001)))</f>
        <v>0</v>
      </c>
      <c r="E154" s="6"/>
      <c r="F154" s="166"/>
      <c r="G154" s="140"/>
      <c r="H154" s="140"/>
      <c r="I154" s="140"/>
      <c r="J154" s="140"/>
      <c r="K154" s="140"/>
      <c r="L154" s="140"/>
      <c r="M154" s="140"/>
      <c r="N154" s="140"/>
      <c r="O154" s="140"/>
      <c r="P154" s="140"/>
      <c r="Q154" s="140"/>
      <c r="R154" s="140"/>
      <c r="S154" s="140"/>
      <c r="T154" s="140"/>
      <c r="U154" s="140"/>
      <c r="V154" s="140"/>
      <c r="W154" s="140"/>
      <c r="X154" s="140"/>
      <c r="Y154" s="140"/>
      <c r="Z154" s="140"/>
      <c r="AA154" s="140"/>
      <c r="AB154" s="140"/>
    </row>
    <row r="155" spans="1:28" hidden="1" x14ac:dyDescent="0.35">
      <c r="A155" s="159"/>
      <c r="B155" s="6" t="s">
        <v>1301</v>
      </c>
      <c r="D155" s="527">
        <f>IF(4&gt;D74,0,-1/((0.184*ABS(SUM(D80:D86))^3-0.525*(SUM(D80:D86))^2+1.038*ABS(SUM(D80:D86))+1.001)))</f>
        <v>0</v>
      </c>
      <c r="E155" s="6"/>
      <c r="F155" s="166"/>
      <c r="G155" s="140"/>
      <c r="H155" s="140"/>
      <c r="I155" s="140"/>
      <c r="J155" s="140"/>
      <c r="K155" s="140"/>
      <c r="L155" s="140"/>
      <c r="M155" s="140"/>
      <c r="N155" s="140"/>
      <c r="O155" s="140"/>
      <c r="P155" s="140"/>
      <c r="Q155" s="140"/>
      <c r="R155" s="140"/>
      <c r="S155" s="140"/>
      <c r="T155" s="140"/>
      <c r="U155" s="140"/>
      <c r="V155" s="140"/>
      <c r="W155" s="140"/>
      <c r="X155" s="140"/>
      <c r="Y155" s="140"/>
      <c r="Z155" s="140"/>
      <c r="AA155" s="140"/>
      <c r="AB155" s="140"/>
    </row>
    <row r="156" spans="1:28" hidden="1" x14ac:dyDescent="0.35">
      <c r="A156" s="159"/>
      <c r="B156" s="6" t="s">
        <v>1302</v>
      </c>
      <c r="D156" s="527">
        <f>IF(5&gt;D74,0,-1/((0.184*ABS(SUM(D80:D87))^3-0.525*(SUM(D80:D87))^2+1.038*ABS(SUM(D80:D87))+1.001)))</f>
        <v>0</v>
      </c>
      <c r="E156" s="6"/>
      <c r="F156" s="166"/>
      <c r="G156" s="140"/>
      <c r="H156" s="140"/>
      <c r="I156" s="140"/>
      <c r="J156" s="140"/>
      <c r="K156" s="140"/>
      <c r="L156" s="140"/>
      <c r="M156" s="140"/>
      <c r="N156" s="140"/>
      <c r="O156" s="140"/>
      <c r="P156" s="140"/>
      <c r="Q156" s="140"/>
      <c r="R156" s="140"/>
      <c r="S156" s="140"/>
      <c r="T156" s="140"/>
      <c r="U156" s="140"/>
      <c r="V156" s="140"/>
      <c r="W156" s="140"/>
      <c r="X156" s="140"/>
      <c r="Y156" s="140"/>
      <c r="Z156" s="140"/>
      <c r="AA156" s="140"/>
      <c r="AB156" s="140"/>
    </row>
    <row r="157" spans="1:28" hidden="1" x14ac:dyDescent="0.35">
      <c r="A157" s="159"/>
      <c r="B157" s="6" t="s">
        <v>1303</v>
      </c>
      <c r="D157" s="527">
        <f>IF(6&gt;D74,0,-1/((0.184*ABS(SUM(D80:D88))^3-0.525*(SUM(D80:D88))^2+1.038*ABS(SUM(D80:D88))+1.001)))</f>
        <v>0</v>
      </c>
      <c r="E157" s="6"/>
      <c r="F157" s="166"/>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row>
    <row r="158" spans="1:28" hidden="1" x14ac:dyDescent="0.35">
      <c r="A158" s="159"/>
      <c r="B158" s="6" t="s">
        <v>1304</v>
      </c>
      <c r="D158" s="527">
        <f>IF(7&gt;D74,0,-1/((0.184*ABS(SUM(D80:D89))^3-0.525*(SUM(D80:D89))^2+1.038*ABS(SUM(D80:D89))+1.001)))</f>
        <v>0</v>
      </c>
      <c r="E158" s="6"/>
      <c r="F158" s="166"/>
      <c r="G158" s="140"/>
      <c r="H158" s="140"/>
      <c r="I158" s="140"/>
      <c r="J158" s="140"/>
      <c r="K158" s="140"/>
      <c r="L158" s="140"/>
      <c r="M158" s="140"/>
      <c r="N158" s="140"/>
      <c r="O158" s="140"/>
      <c r="P158" s="140"/>
      <c r="Q158" s="140"/>
      <c r="R158" s="140"/>
      <c r="S158" s="140"/>
      <c r="T158" s="140"/>
      <c r="U158" s="140"/>
      <c r="V158" s="140"/>
      <c r="W158" s="140"/>
      <c r="X158" s="140"/>
      <c r="Y158" s="140"/>
      <c r="Z158" s="140"/>
      <c r="AA158" s="140"/>
      <c r="AB158" s="140"/>
    </row>
    <row r="159" spans="1:28" hidden="1" x14ac:dyDescent="0.35">
      <c r="A159" s="159"/>
      <c r="B159" s="6" t="s">
        <v>1305</v>
      </c>
      <c r="D159" s="527">
        <f>IF(8&gt;D74,0,-1/((0.184*ABS(SUM(D80:D90))^3-0.525*(SUM(D80:D90))^2+1.038*ABS(SUM(D80:D90))+1.001)))</f>
        <v>0</v>
      </c>
      <c r="E159" s="6"/>
      <c r="F159" s="166"/>
      <c r="G159" s="140"/>
      <c r="H159" s="140"/>
      <c r="I159" s="140"/>
      <c r="J159" s="140"/>
      <c r="K159" s="140"/>
      <c r="L159" s="140"/>
      <c r="M159" s="140"/>
      <c r="N159" s="140"/>
      <c r="O159" s="140"/>
      <c r="P159" s="140"/>
      <c r="Q159" s="140"/>
      <c r="R159" s="140"/>
      <c r="S159" s="140"/>
      <c r="T159" s="140"/>
      <c r="U159" s="140"/>
      <c r="V159" s="140"/>
      <c r="W159" s="140"/>
      <c r="X159" s="140"/>
      <c r="Y159" s="140"/>
      <c r="Z159" s="140"/>
      <c r="AA159" s="140"/>
      <c r="AB159" s="140"/>
    </row>
    <row r="160" spans="1:28" hidden="1" x14ac:dyDescent="0.35">
      <c r="A160" s="159"/>
      <c r="B160" s="6" t="s">
        <v>1306</v>
      </c>
      <c r="D160" s="527">
        <f>IF(5&gt;D74,0,-1/((0.184*ABS(SUM(D79:D83))^3-0.525*(SUM(D79:D83))^2+1.038*ABS(SUM(D79:D83))+1.001)))</f>
        <v>0</v>
      </c>
      <c r="E160" s="6"/>
      <c r="F160" s="166"/>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row>
    <row r="161" spans="1:28" hidden="1" x14ac:dyDescent="0.35">
      <c r="A161" s="159"/>
      <c r="B161" s="6" t="s">
        <v>1307</v>
      </c>
      <c r="D161" s="527">
        <f>IF(5&gt;D74,0,-1/((0.184*ABS(SUM(D79:D84))^3-0.525*(SUM(D79:D84))^2+1.038*ABS(SUM(D79:D84))+1.001)))</f>
        <v>0</v>
      </c>
      <c r="E161" s="6"/>
      <c r="F161" s="166"/>
      <c r="G161" s="140"/>
      <c r="H161" s="140"/>
      <c r="I161" s="140"/>
      <c r="J161" s="140"/>
      <c r="K161" s="140"/>
      <c r="L161" s="140"/>
      <c r="M161" s="140"/>
      <c r="N161" s="140"/>
      <c r="O161" s="140"/>
      <c r="P161" s="140"/>
      <c r="Q161" s="140"/>
      <c r="R161" s="140"/>
      <c r="S161" s="140"/>
      <c r="T161" s="140"/>
      <c r="U161" s="140"/>
      <c r="V161" s="140"/>
      <c r="W161" s="140"/>
      <c r="X161" s="140"/>
      <c r="Y161" s="140"/>
      <c r="Z161" s="140"/>
      <c r="AA161" s="140"/>
      <c r="AB161" s="140"/>
    </row>
    <row r="162" spans="1:28" hidden="1" x14ac:dyDescent="0.35">
      <c r="A162" s="159"/>
      <c r="B162" s="6" t="s">
        <v>1308</v>
      </c>
      <c r="D162" s="527">
        <f>IF(5&gt;D74,0,-1/((0.184*ABS(SUM(D79:D85))^3-0.525*(SUM(D79:D85))^2+1.038*ABS(SUM(D79:D85))+1.001)))</f>
        <v>0</v>
      </c>
      <c r="E162" s="6"/>
      <c r="F162" s="166"/>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row>
    <row r="163" spans="1:28" hidden="1" x14ac:dyDescent="0.35">
      <c r="A163" s="159"/>
      <c r="B163" s="6" t="s">
        <v>1309</v>
      </c>
      <c r="D163" s="526">
        <f>IF(5&gt;D74,0,-1/((0.184*ABS(SUM(D79:D86))^3-0.525*(SUM(D79:D86))^2+1.038*ABS(SUM(D79:D86))+1.001)))</f>
        <v>0</v>
      </c>
      <c r="E163" s="6"/>
      <c r="F163" s="166"/>
      <c r="G163" s="140"/>
      <c r="H163" s="140"/>
      <c r="I163" s="140"/>
      <c r="J163" s="140"/>
      <c r="K163" s="140"/>
      <c r="L163" s="140"/>
      <c r="M163" s="140"/>
      <c r="N163" s="140"/>
      <c r="O163" s="140"/>
      <c r="P163" s="140"/>
      <c r="Q163" s="140"/>
      <c r="R163" s="140"/>
      <c r="S163" s="140"/>
      <c r="T163" s="140"/>
      <c r="U163" s="140"/>
      <c r="V163" s="140"/>
      <c r="W163" s="140"/>
      <c r="X163" s="140"/>
      <c r="Y163" s="140"/>
      <c r="Z163" s="140"/>
      <c r="AA163" s="140"/>
      <c r="AB163" s="140"/>
    </row>
    <row r="164" spans="1:28" hidden="1" x14ac:dyDescent="0.35">
      <c r="A164" s="159"/>
      <c r="B164" s="6" t="s">
        <v>1310</v>
      </c>
      <c r="D164" s="526">
        <f>IF(5&gt;D74,0,-1/((0.184*ABS(SUM(D79:D87))^3-0.525*(SUM(D79:D87))^2+1.038*ABS(SUM(D79:D87))+1.001)))</f>
        <v>0</v>
      </c>
      <c r="E164" s="6"/>
      <c r="F164" s="166"/>
      <c r="G164" s="140"/>
      <c r="H164" s="140"/>
      <c r="I164" s="140"/>
      <c r="J164" s="140"/>
      <c r="K164" s="140"/>
      <c r="L164" s="140"/>
      <c r="M164" s="140"/>
      <c r="N164" s="140"/>
      <c r="O164" s="140"/>
      <c r="P164" s="140"/>
      <c r="Q164" s="140"/>
      <c r="R164" s="140"/>
      <c r="S164" s="140"/>
      <c r="T164" s="140"/>
      <c r="U164" s="140"/>
      <c r="V164" s="140"/>
      <c r="W164" s="140"/>
      <c r="X164" s="140"/>
      <c r="Y164" s="140"/>
      <c r="Z164" s="140"/>
      <c r="AA164" s="140"/>
      <c r="AB164" s="140"/>
    </row>
    <row r="165" spans="1:28" hidden="1" x14ac:dyDescent="0.35">
      <c r="A165" s="159"/>
      <c r="B165" s="6" t="s">
        <v>1311</v>
      </c>
      <c r="D165" s="526">
        <f>IF(6&gt;D74,0,-1/((0.184*ABS(SUM(D79:D88))^3-0.525*(SUM(D79:D88))^2+1.038*ABS(SUM(D79:D88))+1.001)))</f>
        <v>0</v>
      </c>
      <c r="E165" s="6"/>
      <c r="F165" s="166"/>
      <c r="G165" s="140"/>
      <c r="H165" s="140"/>
      <c r="I165" s="140"/>
      <c r="J165" s="140"/>
      <c r="K165" s="140"/>
      <c r="L165" s="140"/>
      <c r="M165" s="140"/>
      <c r="N165" s="140"/>
      <c r="O165" s="140"/>
      <c r="P165" s="140"/>
      <c r="Q165" s="140"/>
      <c r="R165" s="140"/>
      <c r="S165" s="140"/>
      <c r="T165" s="140"/>
      <c r="U165" s="140"/>
      <c r="V165" s="140"/>
      <c r="W165" s="140"/>
      <c r="X165" s="140"/>
      <c r="Y165" s="140"/>
      <c r="Z165" s="140"/>
      <c r="AA165" s="140"/>
      <c r="AB165" s="140"/>
    </row>
    <row r="166" spans="1:28" hidden="1" x14ac:dyDescent="0.35">
      <c r="A166" s="159"/>
      <c r="B166" s="6" t="s">
        <v>1312</v>
      </c>
      <c r="D166" s="526">
        <f>IF(7&gt;D74,0,-1/((0.184*ABS(SUM(D79:D89))^3-0.525*(SUM(D79:D89))^2+1.038*ABS(SUM(D79:D89))+1.001)))</f>
        <v>0</v>
      </c>
      <c r="E166" s="6"/>
      <c r="F166" s="166"/>
      <c r="G166" s="140"/>
      <c r="H166" s="140"/>
      <c r="I166" s="140"/>
      <c r="J166" s="140"/>
      <c r="K166" s="140"/>
      <c r="L166" s="140"/>
      <c r="M166" s="140"/>
      <c r="N166" s="140"/>
      <c r="O166" s="140"/>
      <c r="P166" s="140"/>
      <c r="Q166" s="140"/>
      <c r="R166" s="140"/>
      <c r="S166" s="140"/>
      <c r="T166" s="140"/>
      <c r="U166" s="140"/>
      <c r="V166" s="140"/>
      <c r="W166" s="140"/>
      <c r="X166" s="140"/>
      <c r="Y166" s="140"/>
      <c r="Z166" s="140"/>
      <c r="AA166" s="140"/>
      <c r="AB166" s="140"/>
    </row>
    <row r="167" spans="1:28" hidden="1" x14ac:dyDescent="0.35">
      <c r="A167" s="159"/>
      <c r="B167" s="6" t="s">
        <v>1313</v>
      </c>
      <c r="D167" s="526">
        <f>IF(8&gt;D74,0,-1/((0.184*ABS(SUM(D79:D90))^3-0.525*(SUM(D79:D90))^2+1.038*ABS(SUM(D79:D90))+1.001)))</f>
        <v>0</v>
      </c>
      <c r="E167" s="6"/>
      <c r="F167" s="166"/>
      <c r="G167" s="140"/>
      <c r="H167" s="140"/>
      <c r="I167" s="140"/>
      <c r="J167" s="140"/>
      <c r="K167" s="140"/>
      <c r="L167" s="140"/>
      <c r="M167" s="140"/>
      <c r="N167" s="140"/>
      <c r="O167" s="140"/>
      <c r="P167" s="140"/>
      <c r="Q167" s="140"/>
      <c r="R167" s="140"/>
      <c r="S167" s="140"/>
      <c r="T167" s="140"/>
      <c r="U167" s="140"/>
      <c r="V167" s="140"/>
      <c r="W167" s="140"/>
      <c r="X167" s="140"/>
      <c r="Y167" s="140"/>
      <c r="Z167" s="140"/>
      <c r="AA167" s="140"/>
      <c r="AB167" s="140"/>
    </row>
    <row r="168" spans="1:28" hidden="1" x14ac:dyDescent="0.35">
      <c r="A168" s="159"/>
      <c r="B168" s="6" t="s">
        <v>1314</v>
      </c>
      <c r="D168" s="526">
        <f>IF(6&gt;D74,0,-1/((0.184*ABS(SUM(D78:D83))^3-0.525*(SUM(D78:D83))^2+1.038*ABS(SUM(D78:D83))+1.001)))</f>
        <v>0</v>
      </c>
      <c r="E168" s="6"/>
      <c r="F168" s="166"/>
      <c r="G168" s="140"/>
      <c r="H168" s="140"/>
      <c r="I168" s="140"/>
      <c r="J168" s="140"/>
      <c r="K168" s="140"/>
      <c r="L168" s="140"/>
      <c r="M168" s="140"/>
      <c r="N168" s="140"/>
      <c r="O168" s="140"/>
      <c r="P168" s="140"/>
      <c r="Q168" s="140"/>
      <c r="R168" s="140"/>
      <c r="S168" s="140"/>
      <c r="T168" s="140"/>
      <c r="U168" s="140"/>
      <c r="V168" s="140"/>
      <c r="W168" s="140"/>
      <c r="X168" s="140"/>
      <c r="Y168" s="140"/>
      <c r="Z168" s="140"/>
      <c r="AA168" s="140"/>
      <c r="AB168" s="140"/>
    </row>
    <row r="169" spans="1:28" hidden="1" x14ac:dyDescent="0.35">
      <c r="A169" s="159"/>
      <c r="B169" s="6" t="s">
        <v>1315</v>
      </c>
      <c r="D169" s="526">
        <f>IF(6&gt;D74,0,-1/((0.184*ABS(SUM(D78:D84))^3-0.525*(SUM(D78:D84))^2+1.038*ABS(SUM(D78:D84))+1.001)))</f>
        <v>0</v>
      </c>
      <c r="E169" s="6"/>
      <c r="F169" s="166"/>
      <c r="G169" s="140"/>
      <c r="H169" s="140"/>
      <c r="I169" s="140"/>
      <c r="J169" s="140"/>
      <c r="K169" s="140"/>
      <c r="L169" s="140"/>
      <c r="M169" s="140"/>
      <c r="N169" s="140"/>
      <c r="O169" s="140"/>
      <c r="P169" s="140"/>
      <c r="Q169" s="140"/>
      <c r="R169" s="140"/>
      <c r="S169" s="140"/>
      <c r="T169" s="140"/>
      <c r="U169" s="140"/>
      <c r="V169" s="140"/>
      <c r="W169" s="140"/>
      <c r="X169" s="140"/>
      <c r="Y169" s="140"/>
      <c r="Z169" s="140"/>
      <c r="AA169" s="140"/>
      <c r="AB169" s="140"/>
    </row>
    <row r="170" spans="1:28" hidden="1" x14ac:dyDescent="0.35">
      <c r="A170" s="159"/>
      <c r="B170" s="6" t="s">
        <v>1316</v>
      </c>
      <c r="D170" s="526">
        <f>IF(6&gt;D74,0,-1/((0.184*ABS(SUM(D78:D85))^3-0.525*(SUM(D78:D85))^2+1.038*ABS(SUM(D78:D85))+1.001)))</f>
        <v>0</v>
      </c>
      <c r="E170" s="6"/>
      <c r="F170" s="166"/>
      <c r="G170" s="140"/>
      <c r="H170" s="140"/>
      <c r="I170" s="140"/>
      <c r="J170" s="140"/>
      <c r="K170" s="140"/>
      <c r="L170" s="140"/>
      <c r="M170" s="140"/>
      <c r="N170" s="140"/>
      <c r="O170" s="140"/>
      <c r="P170" s="140"/>
      <c r="Q170" s="140"/>
      <c r="R170" s="140"/>
      <c r="S170" s="140"/>
      <c r="T170" s="140"/>
      <c r="U170" s="140"/>
      <c r="V170" s="140"/>
      <c r="W170" s="140"/>
      <c r="X170" s="140"/>
      <c r="Y170" s="140"/>
      <c r="Z170" s="140"/>
      <c r="AA170" s="140"/>
      <c r="AB170" s="140"/>
    </row>
    <row r="171" spans="1:28" hidden="1" x14ac:dyDescent="0.35">
      <c r="A171" s="159"/>
      <c r="B171" s="6" t="s">
        <v>1317</v>
      </c>
      <c r="D171" s="526">
        <f>IF(6&gt;D74,0,-1/((0.184*ABS(SUM(D78:D86))^3-0.525*(SUM(D78:D86))^2+1.038*ABS(SUM(D78:D86))+1.001)))</f>
        <v>0</v>
      </c>
      <c r="E171" s="6"/>
      <c r="F171" s="166"/>
      <c r="G171" s="140"/>
      <c r="H171" s="140"/>
      <c r="I171" s="140"/>
      <c r="J171" s="140"/>
      <c r="K171" s="140"/>
      <c r="L171" s="140"/>
      <c r="M171" s="140"/>
      <c r="N171" s="140"/>
      <c r="O171" s="140"/>
      <c r="P171" s="140"/>
      <c r="Q171" s="140"/>
      <c r="R171" s="140"/>
      <c r="S171" s="140"/>
      <c r="T171" s="140"/>
      <c r="U171" s="140"/>
      <c r="V171" s="140"/>
      <c r="W171" s="140"/>
      <c r="X171" s="140"/>
      <c r="Y171" s="140"/>
      <c r="Z171" s="140"/>
      <c r="AA171" s="140"/>
      <c r="AB171" s="140"/>
    </row>
    <row r="172" spans="1:28" hidden="1" x14ac:dyDescent="0.35">
      <c r="A172" s="159"/>
      <c r="B172" s="6" t="s">
        <v>1318</v>
      </c>
      <c r="D172" s="526">
        <f>IF(6&gt;D74,0,-1/((0.184*ABS(SUM(D78:D87))^3-0.525*(SUM(D78:D87))^2+1.038*ABS(SUM(D78:D87))+1.001)))</f>
        <v>0</v>
      </c>
      <c r="E172" s="6"/>
      <c r="F172" s="166"/>
      <c r="G172" s="140"/>
      <c r="H172" s="140"/>
      <c r="I172" s="140"/>
      <c r="J172" s="140"/>
      <c r="K172" s="140"/>
      <c r="L172" s="140"/>
      <c r="M172" s="140"/>
      <c r="N172" s="140"/>
      <c r="O172" s="140"/>
      <c r="P172" s="140"/>
      <c r="Q172" s="140"/>
      <c r="R172" s="140"/>
      <c r="S172" s="140"/>
      <c r="T172" s="140"/>
      <c r="U172" s="140"/>
      <c r="V172" s="140"/>
      <c r="W172" s="140"/>
      <c r="X172" s="140"/>
      <c r="Y172" s="140"/>
      <c r="Z172" s="140"/>
      <c r="AA172" s="140"/>
      <c r="AB172" s="140"/>
    </row>
    <row r="173" spans="1:28" hidden="1" x14ac:dyDescent="0.35">
      <c r="A173" s="159"/>
      <c r="B173" s="6" t="s">
        <v>1319</v>
      </c>
      <c r="D173" s="526">
        <f>IF(6&gt;D74,0,-1/((0.184*ABS(SUM(D78:D88))^3-0.525*(SUM(D78:D88))^2+1.038*ABS(SUM(D78:D88))+1.001)))</f>
        <v>0</v>
      </c>
      <c r="E173" s="6"/>
      <c r="F173" s="166"/>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row>
    <row r="174" spans="1:28" hidden="1" x14ac:dyDescent="0.35">
      <c r="A174" s="159"/>
      <c r="B174" s="6" t="s">
        <v>1320</v>
      </c>
      <c r="D174" s="526">
        <f>IF(7&gt;D74,0,-1/((0.184*ABS(SUM(D78:D89))^3-0.525*(SUM(D78:D89))^2+1.038*ABS(SUM(D78:D89))+1.001)))</f>
        <v>0</v>
      </c>
      <c r="E174" s="6"/>
      <c r="F174" s="166"/>
      <c r="G174" s="140"/>
      <c r="H174" s="140"/>
      <c r="I174" s="140"/>
      <c r="J174" s="140"/>
      <c r="K174" s="140"/>
      <c r="L174" s="140"/>
      <c r="M174" s="140"/>
      <c r="N174" s="140"/>
      <c r="O174" s="140"/>
      <c r="P174" s="140"/>
      <c r="Q174" s="140"/>
      <c r="R174" s="140"/>
      <c r="S174" s="140"/>
      <c r="T174" s="140"/>
      <c r="U174" s="140"/>
      <c r="V174" s="140"/>
      <c r="W174" s="140"/>
      <c r="X174" s="140"/>
      <c r="Y174" s="140"/>
      <c r="Z174" s="140"/>
      <c r="AA174" s="140"/>
      <c r="AB174" s="140"/>
    </row>
    <row r="175" spans="1:28" hidden="1" x14ac:dyDescent="0.35">
      <c r="A175" s="159"/>
      <c r="B175" s="6" t="s">
        <v>1321</v>
      </c>
      <c r="D175" s="526">
        <f>IF(8&gt;D74,0,-1/((0.184*ABS(SUM(D78:D90))^3-0.525*(SUM(D78:D90))^2+1.038*ABS(SUM(D78:D90))+1.001)))</f>
        <v>0</v>
      </c>
      <c r="E175" s="6"/>
      <c r="F175" s="166"/>
      <c r="G175" s="140"/>
      <c r="H175" s="140"/>
      <c r="I175" s="140"/>
      <c r="J175" s="140"/>
      <c r="K175" s="140"/>
      <c r="L175" s="140"/>
      <c r="M175" s="140"/>
      <c r="N175" s="140"/>
      <c r="O175" s="140"/>
      <c r="P175" s="140"/>
      <c r="Q175" s="140"/>
      <c r="R175" s="140"/>
      <c r="S175" s="140"/>
      <c r="T175" s="140"/>
      <c r="U175" s="140"/>
      <c r="V175" s="140"/>
      <c r="W175" s="140"/>
      <c r="X175" s="140"/>
      <c r="Y175" s="140"/>
      <c r="Z175" s="140"/>
      <c r="AA175" s="140"/>
      <c r="AB175" s="140"/>
    </row>
    <row r="176" spans="1:28" hidden="1" x14ac:dyDescent="0.35">
      <c r="A176" s="159"/>
      <c r="B176" s="6" t="s">
        <v>1322</v>
      </c>
      <c r="D176" s="526">
        <f>IF(7&gt;D74,0,-1/((0.184*ABS(SUM(D77:D83))^3-0.525*(SUM(D77:D83))^2+1.038*ABS(SUM(D77:D83))+1.001)))</f>
        <v>0</v>
      </c>
      <c r="E176" s="6"/>
      <c r="F176" s="166"/>
      <c r="G176" s="140"/>
      <c r="H176" s="140"/>
      <c r="I176" s="140"/>
      <c r="J176" s="140"/>
      <c r="K176" s="140"/>
      <c r="L176" s="140"/>
      <c r="M176" s="140"/>
      <c r="N176" s="140"/>
      <c r="O176" s="140"/>
      <c r="P176" s="140"/>
      <c r="Q176" s="140"/>
      <c r="R176" s="140"/>
      <c r="S176" s="140"/>
      <c r="T176" s="140"/>
      <c r="U176" s="140"/>
      <c r="V176" s="140"/>
      <c r="W176" s="140"/>
      <c r="X176" s="140"/>
      <c r="Y176" s="140"/>
      <c r="Z176" s="140"/>
      <c r="AA176" s="140"/>
      <c r="AB176" s="140"/>
    </row>
    <row r="177" spans="1:28" hidden="1" x14ac:dyDescent="0.35">
      <c r="A177" s="159"/>
      <c r="B177" s="6" t="s">
        <v>1323</v>
      </c>
      <c r="D177" s="526">
        <f>IF(7&gt;D74,0,-1/((0.184*ABS(SUM(D77:D84))^3-0.525*(SUM(D77:D84))^2+1.038*ABS(SUM(D77:D84))+1.001)))</f>
        <v>0</v>
      </c>
      <c r="E177" s="6"/>
      <c r="F177" s="166"/>
      <c r="G177" s="140"/>
      <c r="H177" s="140"/>
      <c r="I177" s="140"/>
      <c r="J177" s="140"/>
      <c r="K177" s="140"/>
      <c r="L177" s="140"/>
      <c r="M177" s="140"/>
      <c r="N177" s="140"/>
      <c r="O177" s="140"/>
      <c r="P177" s="140"/>
      <c r="Q177" s="140"/>
      <c r="R177" s="140"/>
      <c r="S177" s="140"/>
      <c r="T177" s="140"/>
      <c r="U177" s="140"/>
      <c r="V177" s="140"/>
      <c r="W177" s="140"/>
      <c r="X177" s="140"/>
      <c r="Y177" s="140"/>
      <c r="Z177" s="140"/>
      <c r="AA177" s="140"/>
      <c r="AB177" s="140"/>
    </row>
    <row r="178" spans="1:28" hidden="1" x14ac:dyDescent="0.35">
      <c r="A178" s="159"/>
      <c r="B178" s="6" t="s">
        <v>1324</v>
      </c>
      <c r="D178" s="526">
        <f>IF(7&gt;D74,0,-1/((0.184*ABS(SUM(D77:D85))^3-0.525*(SUM(D77:D85))^2+1.038*ABS(SUM(D77:D85))+1.001)))</f>
        <v>0</v>
      </c>
      <c r="E178" s="6"/>
      <c r="F178" s="166"/>
      <c r="G178" s="140"/>
      <c r="H178" s="140"/>
      <c r="I178" s="140"/>
      <c r="J178" s="140"/>
      <c r="K178" s="140"/>
      <c r="L178" s="140"/>
      <c r="M178" s="140"/>
      <c r="N178" s="140"/>
      <c r="O178" s="140"/>
      <c r="P178" s="140"/>
      <c r="Q178" s="140"/>
      <c r="R178" s="140"/>
      <c r="S178" s="140"/>
      <c r="T178" s="140"/>
      <c r="U178" s="140"/>
      <c r="V178" s="140"/>
      <c r="W178" s="140"/>
      <c r="X178" s="140"/>
      <c r="Y178" s="140"/>
      <c r="Z178" s="140"/>
      <c r="AA178" s="140"/>
      <c r="AB178" s="140"/>
    </row>
    <row r="179" spans="1:28" hidden="1" x14ac:dyDescent="0.35">
      <c r="A179" s="159"/>
      <c r="B179" s="6" t="s">
        <v>1325</v>
      </c>
      <c r="D179" s="526">
        <f>IF(7&gt;D74,0,-1/((0.184*ABS(SUM(D77:D86))^3-0.525*(SUM(D77:D86))^2+1.038*ABS(SUM(D77:D86))+1.001)))</f>
        <v>0</v>
      </c>
      <c r="E179" s="6"/>
      <c r="F179" s="166"/>
      <c r="G179" s="140"/>
      <c r="H179" s="140"/>
      <c r="I179" s="140"/>
      <c r="J179" s="140"/>
      <c r="K179" s="140"/>
      <c r="L179" s="140"/>
      <c r="M179" s="140"/>
      <c r="N179" s="140"/>
      <c r="O179" s="140"/>
      <c r="P179" s="140"/>
      <c r="Q179" s="140"/>
      <c r="R179" s="140"/>
      <c r="S179" s="140"/>
      <c r="T179" s="140"/>
      <c r="U179" s="140"/>
      <c r="V179" s="140"/>
      <c r="W179" s="140"/>
      <c r="X179" s="140"/>
      <c r="Y179" s="140"/>
      <c r="Z179" s="140"/>
      <c r="AA179" s="140"/>
      <c r="AB179" s="140"/>
    </row>
    <row r="180" spans="1:28" hidden="1" x14ac:dyDescent="0.35">
      <c r="A180" s="159"/>
      <c r="B180" s="6" t="s">
        <v>1326</v>
      </c>
      <c r="D180" s="526">
        <f>IF(7&gt;D74,0,-1/((0.184*ABS(SUM(D77:D87))^3-0.525*(SUM(D77:D87))^2+1.038*ABS(SUM(D77:D87))+1.001)))</f>
        <v>0</v>
      </c>
      <c r="E180" s="6"/>
      <c r="F180" s="166"/>
      <c r="G180" s="140"/>
      <c r="H180" s="140"/>
      <c r="I180" s="140"/>
      <c r="J180" s="140"/>
      <c r="K180" s="140"/>
      <c r="L180" s="140"/>
      <c r="M180" s="140"/>
      <c r="N180" s="140"/>
      <c r="O180" s="140"/>
      <c r="P180" s="140"/>
      <c r="Q180" s="140"/>
      <c r="R180" s="140"/>
      <c r="S180" s="140"/>
      <c r="T180" s="140"/>
      <c r="U180" s="140"/>
      <c r="V180" s="140"/>
      <c r="W180" s="140"/>
      <c r="X180" s="140"/>
      <c r="Y180" s="140"/>
      <c r="Z180" s="140"/>
      <c r="AA180" s="140"/>
      <c r="AB180" s="140"/>
    </row>
    <row r="181" spans="1:28" hidden="1" x14ac:dyDescent="0.35">
      <c r="A181" s="159"/>
      <c r="B181" s="6" t="s">
        <v>1327</v>
      </c>
      <c r="D181" s="526">
        <f>IF(7&gt;D74,0,-1/((0.184*ABS(SUM(D77:D88))^3-0.525*(SUM(D77:D88))^2+1.038*ABS(SUM(D77:D88))+1.001)))</f>
        <v>0</v>
      </c>
      <c r="E181" s="6"/>
      <c r="F181" s="166"/>
      <c r="G181" s="140"/>
      <c r="H181" s="140"/>
      <c r="I181" s="140"/>
      <c r="J181" s="140"/>
      <c r="K181" s="140"/>
      <c r="L181" s="140"/>
      <c r="M181" s="140"/>
      <c r="N181" s="140"/>
      <c r="O181" s="140"/>
      <c r="P181" s="140"/>
      <c r="Q181" s="140"/>
      <c r="R181" s="140"/>
      <c r="S181" s="140"/>
      <c r="T181" s="140"/>
      <c r="U181" s="140"/>
      <c r="V181" s="140"/>
      <c r="W181" s="140"/>
      <c r="X181" s="140"/>
      <c r="Y181" s="140"/>
      <c r="Z181" s="140"/>
      <c r="AA181" s="140"/>
      <c r="AB181" s="140"/>
    </row>
    <row r="182" spans="1:28" hidden="1" x14ac:dyDescent="0.35">
      <c r="A182" s="159"/>
      <c r="B182" s="6" t="s">
        <v>1328</v>
      </c>
      <c r="D182" s="526">
        <f>IF(7&gt;D74,0,-1/((0.184*ABS(SUM(D77:D89))^3-0.525*(SUM(D77:D89))^2+1.038*ABS(SUM(D77:D89))+1.001)))</f>
        <v>0</v>
      </c>
      <c r="E182" s="6"/>
      <c r="F182" s="166"/>
      <c r="G182" s="140"/>
      <c r="H182" s="140"/>
      <c r="I182" s="140"/>
      <c r="J182" s="140"/>
      <c r="K182" s="140"/>
      <c r="L182" s="140"/>
      <c r="M182" s="140"/>
      <c r="N182" s="140"/>
      <c r="O182" s="140"/>
      <c r="P182" s="140"/>
      <c r="Q182" s="140"/>
      <c r="R182" s="140"/>
      <c r="S182" s="140"/>
      <c r="T182" s="140"/>
      <c r="U182" s="140"/>
      <c r="V182" s="140"/>
      <c r="W182" s="140"/>
      <c r="X182" s="140"/>
      <c r="Y182" s="140"/>
      <c r="Z182" s="140"/>
      <c r="AA182" s="140"/>
      <c r="AB182" s="140"/>
    </row>
    <row r="183" spans="1:28" hidden="1" x14ac:dyDescent="0.35">
      <c r="A183" s="159"/>
      <c r="B183" s="6" t="s">
        <v>1329</v>
      </c>
      <c r="D183" s="526">
        <f>IF(8&gt;D74,0,-1/((0.184*ABS(SUM(D77:D90))^3-0.525*(SUM(D77:D90))^2+1.038*ABS(SUM(D77:D90))+1.001)))</f>
        <v>0</v>
      </c>
      <c r="E183" s="6"/>
      <c r="F183" s="166"/>
      <c r="G183" s="140"/>
      <c r="H183" s="140"/>
      <c r="I183" s="140"/>
      <c r="J183" s="140"/>
      <c r="K183" s="140"/>
      <c r="L183" s="140"/>
      <c r="M183" s="140"/>
      <c r="N183" s="140"/>
      <c r="O183" s="140"/>
      <c r="P183" s="140"/>
      <c r="Q183" s="140"/>
      <c r="R183" s="140"/>
      <c r="S183" s="140"/>
      <c r="T183" s="140"/>
      <c r="U183" s="140"/>
      <c r="V183" s="140"/>
      <c r="W183" s="140"/>
      <c r="X183" s="140"/>
      <c r="Y183" s="140"/>
      <c r="Z183" s="140"/>
      <c r="AA183" s="140"/>
      <c r="AB183" s="140"/>
    </row>
    <row r="184" spans="1:28" hidden="1" x14ac:dyDescent="0.35">
      <c r="A184" s="159"/>
      <c r="B184" s="6" t="s">
        <v>1330</v>
      </c>
      <c r="D184" s="526">
        <f>IF(8&gt;D74,0,-1/((0.184*ABS(SUM(D76:D84))^3-0.525*(SUM(D76:D84))^2+1.038*ABS(SUM(D76:D84))+1.001)))</f>
        <v>0</v>
      </c>
      <c r="E184" s="6"/>
      <c r="F184" s="166"/>
      <c r="G184" s="140"/>
      <c r="H184" s="140"/>
      <c r="I184" s="140"/>
      <c r="J184" s="140"/>
      <c r="K184" s="140"/>
      <c r="L184" s="140"/>
      <c r="M184" s="140"/>
      <c r="N184" s="140"/>
      <c r="O184" s="140"/>
      <c r="P184" s="140"/>
      <c r="Q184" s="140"/>
      <c r="R184" s="140"/>
      <c r="S184" s="140"/>
      <c r="T184" s="140"/>
      <c r="U184" s="140"/>
      <c r="V184" s="140"/>
      <c r="W184" s="140"/>
      <c r="X184" s="140"/>
      <c r="Y184" s="140"/>
      <c r="Z184" s="140"/>
      <c r="AA184" s="140"/>
      <c r="AB184" s="140"/>
    </row>
    <row r="185" spans="1:28" hidden="1" x14ac:dyDescent="0.35">
      <c r="A185" s="159"/>
      <c r="B185" s="6" t="s">
        <v>1331</v>
      </c>
      <c r="D185" s="526">
        <f>IF(8&gt;D74,0,-1/((0.184*ABS(SUM(D76:D85))^3-0.525*(SUM(D76:D85))^2+1.038*ABS(SUM(D76:D85))+1.001)))</f>
        <v>0</v>
      </c>
      <c r="E185" s="6"/>
      <c r="F185" s="166"/>
      <c r="G185" s="140"/>
      <c r="H185" s="140"/>
      <c r="I185" s="140"/>
      <c r="J185" s="140"/>
      <c r="K185" s="140"/>
      <c r="L185" s="140"/>
      <c r="M185" s="140"/>
      <c r="N185" s="140"/>
      <c r="O185" s="140"/>
      <c r="P185" s="140"/>
      <c r="Q185" s="140"/>
      <c r="R185" s="140"/>
      <c r="S185" s="140"/>
      <c r="T185" s="140"/>
      <c r="U185" s="140"/>
      <c r="V185" s="140"/>
      <c r="W185" s="140"/>
      <c r="X185" s="140"/>
      <c r="Y185" s="140"/>
      <c r="Z185" s="140"/>
      <c r="AA185" s="140"/>
      <c r="AB185" s="140"/>
    </row>
    <row r="186" spans="1:28" hidden="1" x14ac:dyDescent="0.35">
      <c r="A186" s="159"/>
      <c r="B186" s="6" t="s">
        <v>1332</v>
      </c>
      <c r="D186" s="526">
        <f>IF(8&gt;D74,0,-1/((0.184*ABS(SUM(D76:D86))^3-0.525*(SUM(D76:D86))^2+1.038*ABS(SUM(D76:D86))+1.001)))</f>
        <v>0</v>
      </c>
      <c r="E186" s="6"/>
      <c r="F186" s="166"/>
      <c r="G186" s="140"/>
      <c r="H186" s="140"/>
      <c r="I186" s="140"/>
      <c r="J186" s="140"/>
      <c r="K186" s="140"/>
      <c r="L186" s="140"/>
      <c r="M186" s="140"/>
      <c r="N186" s="140"/>
      <c r="O186" s="140"/>
      <c r="P186" s="140"/>
      <c r="Q186" s="140"/>
      <c r="R186" s="140"/>
      <c r="S186" s="140"/>
      <c r="T186" s="140"/>
      <c r="U186" s="140"/>
      <c r="V186" s="140"/>
      <c r="W186" s="140"/>
      <c r="X186" s="140"/>
      <c r="Y186" s="140"/>
      <c r="Z186" s="140"/>
      <c r="AA186" s="140"/>
      <c r="AB186" s="140"/>
    </row>
    <row r="187" spans="1:28" hidden="1" x14ac:dyDescent="0.35">
      <c r="A187" s="159"/>
      <c r="B187" s="6" t="s">
        <v>1333</v>
      </c>
      <c r="D187" s="526">
        <f>IF(8&gt;D74,0,-1/((0.184*ABS(SUM(D76:D87))^3-0.525*(SUM(D76:D87))^2+1.038*ABS(SUM(D76:D87))+1.001)))</f>
        <v>0</v>
      </c>
      <c r="E187" s="6"/>
      <c r="F187" s="166"/>
      <c r="G187" s="140"/>
      <c r="H187" s="140"/>
      <c r="I187" s="140"/>
      <c r="J187" s="140"/>
      <c r="K187" s="140"/>
      <c r="L187" s="140"/>
      <c r="M187" s="140"/>
      <c r="N187" s="140"/>
      <c r="O187" s="140"/>
      <c r="P187" s="140"/>
      <c r="Q187" s="140"/>
      <c r="R187" s="140"/>
      <c r="S187" s="140"/>
      <c r="T187" s="140"/>
      <c r="U187" s="140"/>
      <c r="V187" s="140"/>
      <c r="W187" s="140"/>
      <c r="X187" s="140"/>
      <c r="Y187" s="140"/>
      <c r="Z187" s="140"/>
      <c r="AA187" s="140"/>
      <c r="AB187" s="140"/>
    </row>
    <row r="188" spans="1:28" hidden="1" x14ac:dyDescent="0.35">
      <c r="A188" s="159"/>
      <c r="B188" s="6" t="s">
        <v>1334</v>
      </c>
      <c r="D188" s="526">
        <f>IF(8&gt;D74,0,-1/((0.184*ABS(SUM(D76:D88))^3-0.525*(SUM(D76:D88))^2+1.038*ABS(SUM(D76:D88))+1.001)))</f>
        <v>0</v>
      </c>
      <c r="E188" s="6"/>
      <c r="F188" s="166"/>
      <c r="G188" s="140"/>
      <c r="H188" s="140"/>
      <c r="I188" s="140"/>
      <c r="J188" s="140"/>
      <c r="K188" s="140"/>
      <c r="L188" s="140"/>
      <c r="M188" s="140"/>
      <c r="N188" s="140"/>
      <c r="O188" s="140"/>
      <c r="P188" s="140"/>
      <c r="Q188" s="140"/>
      <c r="R188" s="140"/>
      <c r="S188" s="140"/>
      <c r="T188" s="140"/>
      <c r="U188" s="140"/>
      <c r="V188" s="140"/>
      <c r="W188" s="140"/>
      <c r="X188" s="140"/>
      <c r="Y188" s="140"/>
      <c r="Z188" s="140"/>
      <c r="AA188" s="140"/>
      <c r="AB188" s="140"/>
    </row>
    <row r="189" spans="1:28" hidden="1" x14ac:dyDescent="0.35">
      <c r="A189" s="159"/>
      <c r="B189" s="6" t="s">
        <v>1335</v>
      </c>
      <c r="D189" s="526">
        <f>IF(8&gt;D74,0,-1/((0.184*ABS(SUM(D76:D89))^3-0.525*(SUM(D76:D89))^2+1.038*ABS(SUM(D76:D89))+1.001)))</f>
        <v>0</v>
      </c>
      <c r="E189" s="6"/>
      <c r="F189" s="166"/>
      <c r="G189" s="140"/>
      <c r="H189" s="140"/>
      <c r="I189" s="140"/>
      <c r="J189" s="140"/>
      <c r="K189" s="140"/>
      <c r="L189" s="140"/>
      <c r="M189" s="140"/>
      <c r="N189" s="140"/>
      <c r="O189" s="140"/>
      <c r="P189" s="140"/>
      <c r="Q189" s="140"/>
      <c r="R189" s="140"/>
      <c r="S189" s="140"/>
      <c r="T189" s="140"/>
      <c r="U189" s="140"/>
      <c r="V189" s="140"/>
      <c r="W189" s="140"/>
      <c r="X189" s="140"/>
      <c r="Y189" s="140"/>
      <c r="Z189" s="140"/>
      <c r="AA189" s="140"/>
      <c r="AB189" s="140"/>
    </row>
    <row r="190" spans="1:28" hidden="1" x14ac:dyDescent="0.35">
      <c r="A190" s="159"/>
      <c r="B190" s="6" t="s">
        <v>1336</v>
      </c>
      <c r="D190" s="526">
        <f>IF(8&gt;D74,0,-1/((0.184*ABS(SUM(D76:D90))^3-0.525*(SUM(D76:D90))^2+1.038*ABS(SUM(D76:D90))+1.001)))</f>
        <v>0</v>
      </c>
      <c r="E190" s="6"/>
      <c r="F190" s="166"/>
      <c r="G190" s="140"/>
      <c r="H190" s="140"/>
      <c r="I190" s="140"/>
      <c r="J190" s="140"/>
      <c r="K190" s="140"/>
      <c r="L190" s="140"/>
      <c r="M190" s="140"/>
      <c r="N190" s="140"/>
      <c r="O190" s="140"/>
      <c r="P190" s="140"/>
      <c r="Q190" s="140"/>
      <c r="R190" s="140"/>
      <c r="S190" s="140"/>
      <c r="T190" s="140"/>
      <c r="U190" s="140"/>
      <c r="V190" s="140"/>
      <c r="W190" s="140"/>
      <c r="X190" s="140"/>
      <c r="Y190" s="140"/>
      <c r="Z190" s="140"/>
      <c r="AA190" s="140"/>
      <c r="AB190" s="140"/>
    </row>
    <row r="191" spans="1:28" hidden="1" x14ac:dyDescent="0.35">
      <c r="A191" s="159"/>
      <c r="B191" s="5"/>
      <c r="D191" s="499"/>
      <c r="E191" s="505"/>
      <c r="F191" s="166"/>
      <c r="G191" s="140"/>
      <c r="H191" s="140"/>
      <c r="I191" s="140"/>
      <c r="J191" s="140"/>
      <c r="K191" s="140"/>
      <c r="L191" s="140"/>
      <c r="M191" s="140"/>
      <c r="N191" s="140"/>
      <c r="O191" s="140"/>
      <c r="P191" s="140"/>
      <c r="Q191" s="140"/>
      <c r="R191" s="140"/>
      <c r="S191" s="140"/>
      <c r="T191" s="140"/>
      <c r="U191" s="140"/>
      <c r="V191" s="140"/>
      <c r="W191" s="140"/>
      <c r="X191" s="140"/>
      <c r="Y191" s="140"/>
      <c r="Z191" s="140"/>
      <c r="AA191" s="140"/>
      <c r="AB191" s="140"/>
    </row>
    <row r="192" spans="1:28" hidden="1" x14ac:dyDescent="0.35">
      <c r="A192" s="159"/>
      <c r="B192" s="5" t="s">
        <v>1123</v>
      </c>
      <c r="D192" s="499">
        <f>D195</f>
        <v>6.6396517277919145</v>
      </c>
      <c r="E192" s="95" t="s">
        <v>1174</v>
      </c>
      <c r="F192" s="166"/>
      <c r="G192" s="140"/>
      <c r="H192" s="140"/>
      <c r="I192" s="140"/>
      <c r="J192" s="140"/>
      <c r="K192" s="140"/>
      <c r="L192" s="140"/>
      <c r="M192" s="140"/>
      <c r="N192" s="140"/>
      <c r="O192" s="140"/>
      <c r="P192" s="140"/>
      <c r="Q192" s="140"/>
      <c r="R192" s="140"/>
      <c r="S192" s="140"/>
      <c r="T192" s="140"/>
      <c r="U192" s="140"/>
      <c r="V192" s="140"/>
      <c r="W192" s="140"/>
      <c r="X192" s="140"/>
      <c r="Y192" s="140"/>
      <c r="Z192" s="140"/>
      <c r="AA192" s="140"/>
      <c r="AB192" s="140"/>
    </row>
    <row r="193" spans="1:28" hidden="1" x14ac:dyDescent="0.35">
      <c r="A193" s="159"/>
      <c r="B193" s="5" t="s">
        <v>1124</v>
      </c>
      <c r="D193" s="499">
        <f>D97</f>
        <v>6.050833357762448</v>
      </c>
      <c r="E193" s="95" t="s">
        <v>1174</v>
      </c>
      <c r="F193" s="166"/>
      <c r="G193" s="140"/>
      <c r="H193" s="140"/>
      <c r="I193" s="140"/>
      <c r="J193" s="140"/>
      <c r="K193" s="140"/>
      <c r="L193" s="140"/>
      <c r="M193" s="140"/>
      <c r="N193" s="140"/>
      <c r="O193" s="140"/>
      <c r="P193" s="140"/>
      <c r="Q193" s="140"/>
      <c r="R193" s="140"/>
      <c r="S193" s="140"/>
      <c r="T193" s="140"/>
      <c r="U193" s="140"/>
      <c r="V193" s="140"/>
      <c r="W193" s="140"/>
      <c r="X193" s="140"/>
      <c r="Y193" s="140"/>
      <c r="Z193" s="140"/>
      <c r="AA193" s="140"/>
      <c r="AB193" s="140"/>
    </row>
    <row r="194" spans="1:28" x14ac:dyDescent="0.35">
      <c r="A194" s="159"/>
      <c r="B194" s="8"/>
      <c r="C194" s="151"/>
      <c r="D194" s="165"/>
      <c r="E194" s="152"/>
      <c r="F194" s="166"/>
      <c r="G194" s="140"/>
      <c r="H194" s="140"/>
      <c r="I194" s="140"/>
      <c r="J194" s="140"/>
      <c r="K194" s="140"/>
      <c r="L194" s="140"/>
      <c r="M194" s="140"/>
      <c r="N194" s="140"/>
      <c r="O194" s="140"/>
      <c r="P194" s="140"/>
      <c r="Q194" s="140"/>
      <c r="R194" s="140"/>
      <c r="S194" s="140"/>
      <c r="T194" s="140"/>
      <c r="U194" s="140"/>
      <c r="V194" s="140"/>
      <c r="W194" s="140"/>
      <c r="X194" s="140"/>
      <c r="Y194" s="140"/>
      <c r="Z194" s="140"/>
      <c r="AA194" s="140"/>
      <c r="AB194" s="140"/>
    </row>
    <row r="195" spans="1:28" ht="18.5" x14ac:dyDescent="0.45">
      <c r="A195" s="159"/>
      <c r="B195" s="167" t="s">
        <v>492</v>
      </c>
      <c r="C195" s="151" t="s">
        <v>471</v>
      </c>
      <c r="D195" s="168">
        <f>D94</f>
        <v>6.6396517277919145</v>
      </c>
      <c r="E195" s="169" t="s">
        <v>472</v>
      </c>
      <c r="F195" s="258" t="str">
        <f>IF(D195="Error","Too many turns or outer diameter too small!","")</f>
        <v/>
      </c>
      <c r="G195" s="140"/>
      <c r="H195" s="140"/>
      <c r="I195" s="140"/>
      <c r="J195" s="140"/>
      <c r="K195" s="140"/>
      <c r="L195" s="140"/>
      <c r="M195" s="140"/>
      <c r="N195" s="140"/>
      <c r="O195" s="140"/>
      <c r="P195" s="140"/>
      <c r="Q195" s="140"/>
      <c r="R195" s="140"/>
      <c r="S195" s="140"/>
      <c r="T195" s="140"/>
      <c r="U195" s="140"/>
      <c r="V195" s="140"/>
      <c r="W195" s="140"/>
      <c r="X195" s="140"/>
      <c r="Y195" s="140"/>
      <c r="Z195" s="140"/>
      <c r="AA195" s="140"/>
      <c r="AB195" s="140"/>
    </row>
    <row r="196" spans="1:28" ht="15.5" hidden="1" x14ac:dyDescent="0.35">
      <c r="A196" s="159"/>
      <c r="B196" s="167" t="s">
        <v>71</v>
      </c>
      <c r="C196" s="151"/>
      <c r="D196" s="256">
        <f>IF(D20="LDC0851",SQRT(2)/(2*PI()*SQRT(D195*0.000001*(D22+D52)*0.000000000001)),1/(2*PI()*SQRT(D195*0.000001*(D22+D52)*0.000000000001)))</f>
        <v>3379669.6240202757</v>
      </c>
      <c r="E196" s="169" t="s">
        <v>1</v>
      </c>
      <c r="F196" s="170"/>
      <c r="G196" s="140"/>
      <c r="H196" s="140"/>
      <c r="I196" s="140"/>
      <c r="J196" s="140"/>
      <c r="K196" s="140"/>
      <c r="L196" s="140"/>
      <c r="M196" s="140"/>
      <c r="N196" s="140"/>
      <c r="O196" s="140"/>
      <c r="P196" s="140"/>
      <c r="Q196" s="140"/>
      <c r="R196" s="140"/>
      <c r="S196" s="140"/>
      <c r="T196" s="140"/>
      <c r="U196" s="140"/>
      <c r="V196" s="140"/>
      <c r="W196" s="140"/>
      <c r="X196" s="140"/>
      <c r="Y196" s="140"/>
      <c r="Z196" s="140"/>
      <c r="AA196" s="140"/>
      <c r="AB196" s="140"/>
    </row>
    <row r="197" spans="1:28" ht="18.5" x14ac:dyDescent="0.45">
      <c r="A197" s="159"/>
      <c r="B197" s="167" t="s">
        <v>491</v>
      </c>
      <c r="C197" s="151" t="s">
        <v>583</v>
      </c>
      <c r="D197" s="168">
        <f>IF(D196&gt;300000,D196/1000000,D196/1000)</f>
        <v>3.3796696240202757</v>
      </c>
      <c r="E197" s="171" t="str">
        <f>IF(D196&gt;300000,"MHz","kHz")</f>
        <v>MHz</v>
      </c>
      <c r="F197" s="170" t="str">
        <f>IF(ISERROR(D197),"",IF(D197&gt;(D205*1000),"Sensor Frequency is too high, reduce C",""))</f>
        <v/>
      </c>
      <c r="G197" s="140"/>
      <c r="H197" s="140"/>
      <c r="I197" s="140"/>
      <c r="J197" s="140"/>
      <c r="K197" s="140"/>
      <c r="L197" s="140"/>
      <c r="M197" s="140"/>
      <c r="N197" s="140"/>
      <c r="O197" s="140"/>
      <c r="P197" s="140"/>
      <c r="Q197" s="140"/>
      <c r="R197" s="140"/>
      <c r="S197" s="140"/>
      <c r="T197" s="140"/>
      <c r="U197" s="140"/>
      <c r="V197" s="140"/>
      <c r="W197" s="140"/>
      <c r="X197" s="140"/>
      <c r="Y197" s="140"/>
      <c r="Z197" s="140"/>
      <c r="AA197" s="140"/>
      <c r="AB197" s="140"/>
    </row>
    <row r="198" spans="1:28" hidden="1" x14ac:dyDescent="0.35">
      <c r="A198" s="159"/>
      <c r="B198" s="172" t="s">
        <v>73</v>
      </c>
      <c r="C198" s="173" t="s">
        <v>74</v>
      </c>
      <c r="D198" s="250">
        <f>D24*(D31-1)*2*D27+PI()*D24*(D27+D57)/2</f>
        <v>501.08402824757195</v>
      </c>
      <c r="E198" s="174" t="s">
        <v>34</v>
      </c>
      <c r="F198" s="8"/>
      <c r="G198" s="140"/>
      <c r="H198" s="140"/>
      <c r="I198" s="140"/>
      <c r="J198" s="140"/>
      <c r="K198" s="140"/>
      <c r="L198" s="140"/>
      <c r="M198" s="140"/>
      <c r="N198" s="140"/>
      <c r="O198" s="140"/>
      <c r="P198" s="140"/>
      <c r="Q198" s="140"/>
      <c r="R198" s="140"/>
      <c r="S198" s="140"/>
      <c r="T198" s="140"/>
      <c r="U198" s="140"/>
      <c r="V198" s="140"/>
      <c r="W198" s="140"/>
      <c r="X198" s="140"/>
      <c r="Y198" s="140"/>
      <c r="Z198" s="140"/>
      <c r="AA198" s="140"/>
      <c r="AB198" s="140"/>
    </row>
    <row r="199" spans="1:28" hidden="1" x14ac:dyDescent="0.35">
      <c r="A199" s="159"/>
      <c r="B199" s="175" t="s">
        <v>75</v>
      </c>
      <c r="C199" s="176" t="s">
        <v>76</v>
      </c>
      <c r="D199" s="251">
        <f>D53*D198*0.001*D23/(D38*0.001*D48*0.001)</f>
        <v>3.8149464595396871</v>
      </c>
      <c r="E199" s="177" t="s">
        <v>77</v>
      </c>
      <c r="F199" s="8"/>
      <c r="G199" s="140"/>
      <c r="H199" s="140"/>
      <c r="I199" s="140"/>
      <c r="J199" s="140"/>
      <c r="K199" s="140"/>
      <c r="L199" s="140"/>
      <c r="M199" s="140"/>
      <c r="N199" s="140"/>
      <c r="O199" s="140"/>
      <c r="P199" s="140"/>
      <c r="Q199" s="140"/>
      <c r="R199" s="140"/>
      <c r="S199" s="140"/>
      <c r="T199" s="140"/>
      <c r="U199" s="140"/>
      <c r="V199" s="140"/>
      <c r="W199" s="140"/>
      <c r="X199" s="140"/>
      <c r="Y199" s="140"/>
      <c r="Z199" s="140"/>
      <c r="AA199" s="140"/>
      <c r="AB199" s="140"/>
    </row>
    <row r="200" spans="1:28" hidden="1" x14ac:dyDescent="0.35">
      <c r="A200" s="159"/>
      <c r="B200" s="175" t="s">
        <v>78</v>
      </c>
      <c r="C200" s="176" t="s">
        <v>79</v>
      </c>
      <c r="D200" s="252">
        <f>SQRT(D49/(4*PI()*PI()*0.0000001*D51*D196))*1000</f>
        <v>3.5484414879669461E-2</v>
      </c>
      <c r="E200" s="178" t="s">
        <v>34</v>
      </c>
      <c r="F200" s="8"/>
      <c r="G200" s="140"/>
      <c r="H200" s="140"/>
      <c r="I200" s="140"/>
      <c r="J200" s="140"/>
      <c r="K200" s="140"/>
      <c r="L200" s="140"/>
      <c r="M200" s="140"/>
      <c r="N200" s="140"/>
      <c r="O200" s="140"/>
      <c r="P200" s="140"/>
      <c r="Q200" s="140"/>
      <c r="R200" s="140"/>
      <c r="S200" s="140"/>
      <c r="T200" s="140"/>
      <c r="U200" s="140"/>
      <c r="V200" s="140"/>
      <c r="W200" s="140"/>
      <c r="X200" s="140"/>
      <c r="Y200" s="140"/>
      <c r="Z200" s="140"/>
      <c r="AA200" s="140"/>
      <c r="AB200" s="140"/>
    </row>
    <row r="201" spans="1:28" hidden="1" x14ac:dyDescent="0.35">
      <c r="A201" s="159"/>
      <c r="B201" s="115" t="s">
        <v>80</v>
      </c>
      <c r="C201" s="176" t="s">
        <v>388</v>
      </c>
      <c r="D201" s="253">
        <f>D199*D48/(D200*(1-EXP(-D48/D200)))</f>
        <v>4.8639965293565295</v>
      </c>
      <c r="E201" s="179" t="s">
        <v>77</v>
      </c>
      <c r="F201" s="8"/>
      <c r="G201" s="140"/>
      <c r="H201" s="140"/>
      <c r="I201" s="140"/>
      <c r="J201" s="140"/>
      <c r="K201" s="140"/>
      <c r="L201" s="140"/>
      <c r="M201" s="140"/>
      <c r="N201" s="140"/>
      <c r="O201" s="140"/>
      <c r="P201" s="140"/>
      <c r="Q201" s="140"/>
      <c r="R201" s="140"/>
      <c r="S201" s="140"/>
      <c r="T201" s="140"/>
      <c r="U201" s="140"/>
      <c r="V201" s="140"/>
      <c r="W201" s="140"/>
      <c r="X201" s="140"/>
      <c r="Y201" s="140"/>
      <c r="Z201" s="140"/>
      <c r="AA201" s="140"/>
      <c r="AB201" s="140"/>
    </row>
    <row r="202" spans="1:28" hidden="1" x14ac:dyDescent="0.35">
      <c r="A202" s="159"/>
      <c r="B202" s="8" t="s">
        <v>276</v>
      </c>
      <c r="C202" s="151" t="s">
        <v>81</v>
      </c>
      <c r="D202" s="254">
        <f>(1/D201)*(D195*0.000001/(D22*0.000000000001))</f>
        <v>4136.548336218968</v>
      </c>
      <c r="E202" s="180" t="s">
        <v>77</v>
      </c>
      <c r="F202" s="8"/>
      <c r="G202" s="140"/>
      <c r="H202" s="140"/>
      <c r="I202" s="140"/>
      <c r="J202" s="140"/>
      <c r="K202" s="140"/>
      <c r="L202" s="140"/>
      <c r="M202" s="140"/>
      <c r="N202" s="140"/>
      <c r="O202" s="140"/>
      <c r="P202" s="140"/>
      <c r="Q202" s="140"/>
      <c r="R202" s="140"/>
      <c r="S202" s="140"/>
      <c r="T202" s="140"/>
      <c r="U202" s="140"/>
      <c r="V202" s="140"/>
      <c r="W202" s="140"/>
      <c r="X202" s="140"/>
      <c r="Y202" s="140"/>
      <c r="Z202" s="140"/>
      <c r="AA202" s="140"/>
      <c r="AB202" s="140"/>
    </row>
    <row r="203" spans="1:28" ht="16.5" x14ac:dyDescent="0.45">
      <c r="A203" s="159"/>
      <c r="B203" s="229" t="s">
        <v>473</v>
      </c>
      <c r="C203" s="151" t="s">
        <v>585</v>
      </c>
      <c r="D203" s="181">
        <f>D202/1000</f>
        <v>4.1365483362189677</v>
      </c>
      <c r="E203" s="234" t="s">
        <v>243</v>
      </c>
      <c r="F203" s="8"/>
      <c r="G203" s="140"/>
      <c r="H203" s="140"/>
      <c r="I203" s="140"/>
      <c r="J203" s="140"/>
      <c r="K203" s="140"/>
      <c r="L203" s="140"/>
      <c r="M203" s="140"/>
      <c r="N203" s="140"/>
      <c r="O203" s="140"/>
      <c r="P203" s="140"/>
      <c r="Q203" s="140"/>
      <c r="R203" s="140"/>
      <c r="S203" s="140"/>
      <c r="T203" s="140"/>
      <c r="U203" s="140"/>
      <c r="V203" s="140"/>
      <c r="W203" s="140"/>
      <c r="X203" s="140"/>
      <c r="Y203" s="140"/>
      <c r="Z203" s="140"/>
      <c r="AA203" s="140"/>
      <c r="AB203" s="140"/>
    </row>
    <row r="204" spans="1:28" ht="15.5" x14ac:dyDescent="0.35">
      <c r="A204" s="159"/>
      <c r="B204" s="167" t="s">
        <v>82</v>
      </c>
      <c r="C204" s="151" t="s">
        <v>83</v>
      </c>
      <c r="D204" s="181">
        <f>(1/D201)*SQRT(D195*0.000001/((D22+D52)*0.000000000001))</f>
        <v>28.987192865293505</v>
      </c>
      <c r="E204" s="152"/>
      <c r="F204" s="8"/>
      <c r="G204" s="140"/>
      <c r="H204" s="140"/>
      <c r="I204" s="140"/>
      <c r="J204" s="140"/>
      <c r="K204" s="140"/>
      <c r="L204" s="140"/>
      <c r="M204" s="140"/>
      <c r="N204" s="140"/>
      <c r="O204" s="140"/>
      <c r="P204" s="140"/>
      <c r="Q204" s="140"/>
      <c r="R204" s="140"/>
      <c r="S204" s="140"/>
      <c r="T204" s="140"/>
      <c r="U204" s="140"/>
      <c r="V204" s="140"/>
      <c r="W204" s="140"/>
      <c r="X204" s="140"/>
      <c r="Y204" s="140"/>
      <c r="Z204" s="140"/>
      <c r="AA204" s="140"/>
      <c r="AB204" s="140"/>
    </row>
    <row r="205" spans="1:28" x14ac:dyDescent="0.35">
      <c r="A205" s="159"/>
      <c r="B205" s="8" t="s">
        <v>581</v>
      </c>
      <c r="C205" s="151" t="s">
        <v>84</v>
      </c>
      <c r="D205" s="165">
        <f>1/(2*PI()*SQRT(D195*0.000001*D52*0.000000000001))/1000000</f>
        <v>30.882858110744326</v>
      </c>
      <c r="E205" s="152" t="s">
        <v>0</v>
      </c>
      <c r="F205" s="8" t="s">
        <v>1644</v>
      </c>
      <c r="G205" s="140"/>
      <c r="H205" s="140"/>
      <c r="I205" s="140"/>
      <c r="J205" s="140"/>
      <c r="K205" s="140"/>
      <c r="L205" s="140"/>
      <c r="M205" s="140"/>
      <c r="N205" s="140"/>
      <c r="O205" s="140"/>
      <c r="P205" s="140"/>
      <c r="Q205" s="140"/>
      <c r="R205" s="140"/>
      <c r="S205" s="140"/>
      <c r="T205" s="140"/>
      <c r="U205" s="140"/>
      <c r="V205" s="140"/>
      <c r="W205" s="140"/>
      <c r="X205" s="140"/>
      <c r="Y205" s="140"/>
      <c r="Z205" s="140"/>
      <c r="AA205" s="140"/>
      <c r="AB205" s="140"/>
    </row>
    <row r="206" spans="1:28" ht="18.5" x14ac:dyDescent="0.45">
      <c r="A206" s="159"/>
      <c r="B206" s="229" t="s">
        <v>389</v>
      </c>
      <c r="C206" s="151" t="s">
        <v>390</v>
      </c>
      <c r="D206" s="138">
        <v>2</v>
      </c>
      <c r="E206" s="593" t="s">
        <v>34</v>
      </c>
      <c r="F206" s="8" t="s">
        <v>401</v>
      </c>
      <c r="G206" s="140"/>
      <c r="H206" s="140"/>
      <c r="I206" s="140"/>
      <c r="J206" s="140"/>
      <c r="K206" s="140"/>
      <c r="L206" s="140"/>
      <c r="M206" s="140"/>
      <c r="N206" s="140"/>
      <c r="O206" s="140"/>
      <c r="P206" s="140"/>
      <c r="Q206" s="140"/>
      <c r="R206" s="140"/>
      <c r="S206" s="140"/>
      <c r="T206" s="140"/>
      <c r="U206" s="140"/>
      <c r="V206" s="140"/>
      <c r="W206" s="140"/>
      <c r="X206" s="140"/>
      <c r="Y206" s="140"/>
      <c r="Z206" s="140"/>
      <c r="AA206" s="140"/>
      <c r="AB206" s="140"/>
    </row>
    <row r="207" spans="1:28" ht="15.5" hidden="1" x14ac:dyDescent="0.35">
      <c r="A207" s="159"/>
      <c r="B207" s="229"/>
      <c r="C207" s="594" t="str">
        <f>E206</f>
        <v>mm</v>
      </c>
      <c r="D207" s="300" t="str">
        <f>C207</f>
        <v>mm</v>
      </c>
      <c r="E207" s="182"/>
      <c r="F207" s="8"/>
      <c r="G207" s="140"/>
      <c r="H207" s="140"/>
      <c r="I207" s="140"/>
      <c r="J207" s="140"/>
      <c r="K207" s="140"/>
      <c r="L207" s="140"/>
      <c r="M207" s="140"/>
      <c r="N207" s="140"/>
      <c r="O207" s="140"/>
      <c r="P207" s="140"/>
      <c r="Q207" s="140"/>
      <c r="R207" s="140"/>
      <c r="S207" s="140"/>
      <c r="T207" s="140"/>
      <c r="U207" s="140"/>
      <c r="V207" s="140"/>
      <c r="W207" s="140"/>
      <c r="X207" s="140"/>
      <c r="Y207" s="140"/>
      <c r="Z207" s="140"/>
      <c r="AA207" s="140"/>
      <c r="AB207" s="140"/>
    </row>
    <row r="208" spans="1:28" hidden="1" x14ac:dyDescent="0.35">
      <c r="A208" s="159"/>
      <c r="B208" s="8" t="s">
        <v>1528</v>
      </c>
      <c r="C208" s="151"/>
      <c r="D208" s="502">
        <f>IF(D207="mm",D206,D206*0.0254)</f>
        <v>2</v>
      </c>
      <c r="E208" s="182" t="s">
        <v>34</v>
      </c>
      <c r="F208" s="8"/>
      <c r="G208" s="140"/>
      <c r="H208" s="140"/>
      <c r="I208" s="140"/>
      <c r="J208" s="140"/>
      <c r="K208" s="140"/>
      <c r="L208" s="140"/>
      <c r="M208" s="140"/>
      <c r="N208" s="140"/>
      <c r="O208" s="140"/>
      <c r="P208" s="140"/>
      <c r="Q208" s="140"/>
      <c r="R208" s="140"/>
      <c r="S208" s="140"/>
      <c r="T208" s="140"/>
      <c r="U208" s="140"/>
      <c r="V208" s="140"/>
      <c r="W208" s="140"/>
      <c r="X208" s="140"/>
      <c r="Y208" s="140"/>
      <c r="Z208" s="140"/>
      <c r="AA208" s="140"/>
      <c r="AB208" s="140"/>
    </row>
    <row r="209" spans="1:28" hidden="1" x14ac:dyDescent="0.35">
      <c r="A209" s="159"/>
      <c r="B209" s="8" t="s">
        <v>391</v>
      </c>
      <c r="C209" s="151"/>
      <c r="D209" s="244">
        <f>D208/D27</f>
        <v>0.1</v>
      </c>
      <c r="E209" s="183"/>
      <c r="F209" s="8"/>
      <c r="G209" s="140"/>
      <c r="H209" s="140"/>
      <c r="I209" s="140"/>
      <c r="J209" s="140"/>
      <c r="K209" s="140"/>
      <c r="L209" s="140"/>
      <c r="M209" s="140"/>
      <c r="N209" s="140"/>
      <c r="O209" s="140"/>
      <c r="P209" s="140"/>
      <c r="Q209" s="140"/>
      <c r="R209" s="140"/>
      <c r="S209" s="140"/>
      <c r="T209" s="140"/>
      <c r="U209" s="140"/>
      <c r="V209" s="140"/>
      <c r="W209" s="140"/>
      <c r="X209" s="140"/>
      <c r="Y209" s="140"/>
      <c r="Z209" s="140"/>
      <c r="AA209" s="140"/>
      <c r="AB209" s="140"/>
    </row>
    <row r="210" spans="1:28" hidden="1" x14ac:dyDescent="0.35">
      <c r="A210" s="159"/>
      <c r="B210" s="8" t="s">
        <v>392</v>
      </c>
      <c r="C210" s="151"/>
      <c r="D210" s="581">
        <f xml:space="preserve"> 12.413*D209^4 - 11.107*D209^3 - 1.1159*D209^2 + 3.6107*D209+ 0.0669</f>
        <v>0.40694530000000001</v>
      </c>
      <c r="E210" s="183"/>
      <c r="F210" s="8"/>
      <c r="G210" s="140"/>
      <c r="H210" s="140"/>
      <c r="I210" s="140"/>
      <c r="J210" s="140"/>
      <c r="K210" s="140"/>
      <c r="L210" s="140"/>
      <c r="M210" s="140"/>
      <c r="N210" s="140"/>
      <c r="O210" s="140"/>
      <c r="P210" s="140"/>
      <c r="Q210" s="140"/>
      <c r="R210" s="140"/>
      <c r="S210" s="140"/>
      <c r="T210" s="140"/>
      <c r="U210" s="140"/>
      <c r="V210" s="140"/>
      <c r="W210" s="140"/>
      <c r="X210" s="140"/>
      <c r="Y210" s="140"/>
      <c r="Z210" s="140"/>
      <c r="AA210" s="140"/>
      <c r="AB210" s="140"/>
    </row>
    <row r="211" spans="1:28" hidden="1" x14ac:dyDescent="0.35">
      <c r="A211" s="159"/>
      <c r="B211" s="8" t="s">
        <v>393</v>
      </c>
      <c r="C211" s="151"/>
      <c r="D211" s="244">
        <f>MIN(D210,1)</f>
        <v>0.40694530000000001</v>
      </c>
      <c r="E211" s="183"/>
      <c r="F211" s="8"/>
      <c r="G211" s="140"/>
      <c r="H211" s="140"/>
      <c r="I211" s="140"/>
      <c r="J211" s="140"/>
      <c r="K211" s="140"/>
      <c r="L211" s="140"/>
      <c r="M211" s="140"/>
      <c r="N211" s="140"/>
      <c r="O211" s="140"/>
      <c r="P211" s="140"/>
      <c r="Q211" s="140"/>
      <c r="R211" s="140"/>
      <c r="S211" s="140"/>
      <c r="T211" s="140"/>
      <c r="U211" s="140"/>
      <c r="V211" s="140"/>
      <c r="W211" s="140"/>
      <c r="X211" s="140"/>
      <c r="Y211" s="140"/>
      <c r="Z211" s="140"/>
      <c r="AA211" s="140"/>
      <c r="AB211" s="140"/>
    </row>
    <row r="212" spans="1:28" hidden="1" x14ac:dyDescent="0.35">
      <c r="A212" s="159"/>
      <c r="B212" s="115" t="s">
        <v>394</v>
      </c>
      <c r="C212" s="192"/>
      <c r="D212" s="247">
        <v>1</v>
      </c>
      <c r="E212" s="184"/>
      <c r="F212" s="8"/>
      <c r="G212" s="140"/>
      <c r="H212" s="140"/>
      <c r="I212" s="140"/>
      <c r="J212" s="140"/>
      <c r="K212" s="140"/>
      <c r="L212" s="140"/>
      <c r="M212" s="140"/>
      <c r="N212" s="140"/>
      <c r="O212" s="140"/>
      <c r="P212" s="140"/>
      <c r="Q212" s="140"/>
      <c r="R212" s="140"/>
      <c r="S212" s="140"/>
      <c r="T212" s="140"/>
      <c r="U212" s="140"/>
      <c r="V212" s="140"/>
      <c r="W212" s="140"/>
      <c r="X212" s="140"/>
      <c r="Y212" s="140"/>
      <c r="Z212" s="140"/>
      <c r="AA212" s="140"/>
      <c r="AB212" s="140"/>
    </row>
    <row r="213" spans="1:28" hidden="1" x14ac:dyDescent="0.35">
      <c r="A213" s="159"/>
      <c r="B213" s="115"/>
      <c r="C213" s="192"/>
      <c r="D213" s="248"/>
      <c r="E213" s="169"/>
      <c r="F213" s="278"/>
      <c r="G213" s="140"/>
      <c r="H213" s="140"/>
      <c r="I213" s="140"/>
      <c r="J213" s="140"/>
      <c r="K213" s="140"/>
      <c r="L213" s="140"/>
      <c r="M213" s="140"/>
      <c r="N213" s="140"/>
      <c r="O213" s="140"/>
      <c r="P213" s="140"/>
      <c r="Q213" s="140"/>
      <c r="R213" s="140"/>
      <c r="S213" s="140"/>
      <c r="T213" s="140"/>
      <c r="U213" s="140"/>
      <c r="V213" s="140"/>
      <c r="W213" s="140"/>
      <c r="X213" s="140"/>
      <c r="Y213" s="140"/>
      <c r="Z213" s="140"/>
      <c r="AA213" s="140"/>
      <c r="AB213" s="140"/>
    </row>
    <row r="214" spans="1:28" hidden="1" x14ac:dyDescent="0.35">
      <c r="A214" s="159"/>
      <c r="B214" s="115" t="s">
        <v>1529</v>
      </c>
      <c r="C214" s="192"/>
      <c r="D214" s="249">
        <f>D193</f>
        <v>6.050833357762448</v>
      </c>
      <c r="E214" s="169" t="s">
        <v>472</v>
      </c>
      <c r="F214" s="277"/>
      <c r="G214" s="140"/>
      <c r="H214" s="140"/>
      <c r="I214" s="140"/>
      <c r="J214" s="140"/>
      <c r="K214" s="140"/>
      <c r="L214" s="140"/>
      <c r="M214" s="140"/>
      <c r="N214" s="140"/>
      <c r="O214" s="140"/>
      <c r="P214" s="140"/>
      <c r="Q214" s="140"/>
      <c r="R214" s="140"/>
      <c r="S214" s="140"/>
      <c r="T214" s="140"/>
      <c r="U214" s="140"/>
      <c r="V214" s="140"/>
      <c r="W214" s="140"/>
      <c r="X214" s="140"/>
      <c r="Y214" s="140"/>
      <c r="Z214" s="140"/>
      <c r="AA214" s="140"/>
      <c r="AB214" s="140"/>
    </row>
    <row r="215" spans="1:28" hidden="1" x14ac:dyDescent="0.35">
      <c r="A215" s="159"/>
      <c r="B215" s="115" t="s">
        <v>474</v>
      </c>
      <c r="C215" s="192" t="s">
        <v>475</v>
      </c>
      <c r="D215" s="249">
        <f>SQRT(D49/(4*PI()*PI()*0.1*D51*D225))*1000</f>
        <v>3.4670102171065392E-2</v>
      </c>
      <c r="E215" s="230" t="s">
        <v>34</v>
      </c>
      <c r="F215" s="8"/>
      <c r="G215" s="140"/>
      <c r="H215" s="140"/>
      <c r="I215" s="140"/>
      <c r="J215" s="140"/>
      <c r="K215" s="140"/>
      <c r="L215" s="140"/>
      <c r="M215" s="140"/>
      <c r="N215" s="140"/>
      <c r="O215" s="140"/>
      <c r="P215" s="140"/>
      <c r="Q215" s="140"/>
      <c r="R215" s="140"/>
      <c r="S215" s="140"/>
      <c r="T215" s="140"/>
      <c r="U215" s="140"/>
      <c r="V215" s="140"/>
      <c r="W215" s="140"/>
      <c r="X215" s="140"/>
      <c r="Y215" s="140"/>
      <c r="Z215" s="140"/>
      <c r="AA215" s="140"/>
      <c r="AB215" s="140"/>
    </row>
    <row r="216" spans="1:28" hidden="1" x14ac:dyDescent="0.35">
      <c r="A216" s="159"/>
      <c r="B216" s="115" t="s">
        <v>476</v>
      </c>
      <c r="C216" s="192" t="s">
        <v>388</v>
      </c>
      <c r="D216" s="92">
        <f>D199*D48/(D215*(1-EXP(-D48/D215)))</f>
        <v>4.8905769287433758</v>
      </c>
      <c r="E216" s="233" t="s">
        <v>77</v>
      </c>
      <c r="F216" s="8"/>
      <c r="G216" s="140"/>
      <c r="H216" s="140"/>
      <c r="I216" s="140"/>
      <c r="J216" s="140"/>
      <c r="K216" s="140"/>
      <c r="L216" s="140"/>
      <c r="M216" s="140"/>
      <c r="N216" s="140"/>
      <c r="O216" s="140"/>
      <c r="P216" s="140"/>
      <c r="Q216" s="140"/>
      <c r="R216" s="140"/>
      <c r="S216" s="140"/>
      <c r="T216" s="140"/>
      <c r="U216" s="140"/>
      <c r="V216" s="140"/>
      <c r="W216" s="140"/>
      <c r="X216" s="140"/>
      <c r="Y216" s="140"/>
      <c r="Z216" s="140"/>
      <c r="AA216" s="140"/>
      <c r="AB216" s="140"/>
    </row>
    <row r="217" spans="1:28" hidden="1" x14ac:dyDescent="0.35">
      <c r="A217" s="159"/>
      <c r="B217" s="115" t="s">
        <v>477</v>
      </c>
      <c r="C217" s="192" t="s">
        <v>81</v>
      </c>
      <c r="D217" s="96">
        <f>(1/D216)*(D224*0.000001/(D22*0.000000000001))</f>
        <v>3749.222009395437</v>
      </c>
      <c r="E217" s="180" t="s">
        <v>77</v>
      </c>
      <c r="F217" s="8"/>
      <c r="G217" s="140"/>
      <c r="H217" s="140"/>
      <c r="I217" s="140"/>
      <c r="J217" s="140"/>
      <c r="K217" s="140"/>
      <c r="L217" s="140"/>
      <c r="M217" s="140"/>
      <c r="N217" s="140"/>
      <c r="O217" s="140"/>
      <c r="P217" s="140"/>
      <c r="Q217" s="140"/>
      <c r="R217" s="140"/>
      <c r="S217" s="140"/>
      <c r="T217" s="140"/>
      <c r="U217" s="140"/>
      <c r="V217" s="140"/>
      <c r="W217" s="140"/>
      <c r="X217" s="140"/>
      <c r="Y217" s="140"/>
      <c r="Z217" s="140"/>
      <c r="AA217" s="140"/>
      <c r="AB217" s="140"/>
    </row>
    <row r="218" spans="1:28" hidden="1" x14ac:dyDescent="0.35">
      <c r="A218" s="159"/>
      <c r="B218" s="115" t="s">
        <v>478</v>
      </c>
      <c r="C218" s="192"/>
      <c r="D218" s="96">
        <f>INDEX(G245:G251,MATCH(D20,B245:B251,0))</f>
        <v>1E-3</v>
      </c>
      <c r="E218" s="180" t="s">
        <v>0</v>
      </c>
      <c r="F218" s="8"/>
      <c r="G218" s="140"/>
      <c r="H218" s="140"/>
      <c r="I218" s="140"/>
      <c r="J218" s="140"/>
      <c r="K218" s="140"/>
      <c r="L218" s="140"/>
      <c r="M218" s="140"/>
      <c r="N218" s="140"/>
      <c r="O218" s="140"/>
      <c r="P218" s="140"/>
      <c r="Q218" s="140"/>
      <c r="R218" s="140"/>
      <c r="S218" s="140"/>
      <c r="T218" s="140"/>
      <c r="U218" s="140"/>
      <c r="V218" s="140"/>
      <c r="W218" s="140"/>
      <c r="X218" s="140"/>
      <c r="Y218" s="140"/>
      <c r="Z218" s="140"/>
      <c r="AA218" s="140"/>
      <c r="AB218" s="140"/>
    </row>
    <row r="219" spans="1:28" hidden="1" x14ac:dyDescent="0.35">
      <c r="A219" s="159"/>
      <c r="B219" s="115" t="s">
        <v>479</v>
      </c>
      <c r="C219" s="192"/>
      <c r="D219" s="96">
        <f>INDEX(H245:H251,MATCH(D20,B245:B251,0))</f>
        <v>10</v>
      </c>
      <c r="E219" s="180" t="s">
        <v>0</v>
      </c>
      <c r="F219" s="8"/>
      <c r="G219" s="140"/>
      <c r="H219" s="140"/>
      <c r="I219" s="140"/>
      <c r="J219" s="140"/>
      <c r="K219" s="140"/>
      <c r="L219" s="140"/>
      <c r="M219" s="140"/>
      <c r="N219" s="140"/>
      <c r="O219" s="140"/>
      <c r="P219" s="140"/>
      <c r="Q219" s="140"/>
      <c r="R219" s="140"/>
      <c r="S219" s="140"/>
      <c r="T219" s="140"/>
      <c r="U219" s="140"/>
      <c r="V219" s="140"/>
      <c r="W219" s="140"/>
      <c r="X219" s="140"/>
      <c r="Y219" s="140"/>
      <c r="Z219" s="140"/>
      <c r="AA219" s="140"/>
      <c r="AB219" s="140"/>
    </row>
    <row r="220" spans="1:28" hidden="1" x14ac:dyDescent="0.35">
      <c r="A220" s="159"/>
      <c r="B220" s="115" t="s">
        <v>480</v>
      </c>
      <c r="C220" s="192"/>
      <c r="D220" s="96">
        <f>INDEX(C245:C251,MATCH(D20,B245:B251,0))</f>
        <v>0.25</v>
      </c>
      <c r="E220" s="180" t="s">
        <v>243</v>
      </c>
      <c r="F220" s="8"/>
      <c r="G220" s="140"/>
      <c r="H220" s="140"/>
      <c r="I220" s="140"/>
      <c r="J220" s="140"/>
      <c r="K220" s="140"/>
      <c r="L220" s="140"/>
      <c r="M220" s="140"/>
      <c r="N220" s="140"/>
      <c r="O220" s="140"/>
      <c r="P220" s="140"/>
      <c r="Q220" s="140"/>
      <c r="R220" s="140"/>
      <c r="S220" s="140"/>
      <c r="T220" s="140"/>
      <c r="U220" s="140"/>
      <c r="V220" s="140"/>
      <c r="W220" s="140"/>
      <c r="X220" s="140"/>
      <c r="Y220" s="140"/>
      <c r="Z220" s="140"/>
      <c r="AA220" s="140"/>
      <c r="AB220" s="140"/>
    </row>
    <row r="221" spans="1:28" hidden="1" x14ac:dyDescent="0.35">
      <c r="A221" s="159"/>
      <c r="B221" s="115" t="s">
        <v>481</v>
      </c>
      <c r="C221" s="192"/>
      <c r="D221" s="96">
        <f>INDEX(D245:D251,MATCH(D20,B245:B251,0))</f>
        <v>500</v>
      </c>
      <c r="E221" s="180" t="s">
        <v>243</v>
      </c>
      <c r="F221" s="8"/>
      <c r="G221" s="140"/>
      <c r="H221" s="140"/>
      <c r="I221" s="140"/>
      <c r="J221" s="140"/>
      <c r="K221" s="140"/>
      <c r="L221" s="140"/>
      <c r="M221" s="140"/>
      <c r="N221" s="140"/>
      <c r="O221" s="140"/>
      <c r="P221" s="140"/>
      <c r="Q221" s="140"/>
      <c r="R221" s="140"/>
      <c r="S221" s="140"/>
      <c r="T221" s="140"/>
      <c r="U221" s="140"/>
      <c r="V221" s="140"/>
      <c r="W221" s="140"/>
      <c r="X221" s="140"/>
      <c r="Y221" s="140"/>
      <c r="Z221" s="140"/>
      <c r="AA221" s="140"/>
      <c r="AB221" s="140"/>
    </row>
    <row r="222" spans="1:28" hidden="1" x14ac:dyDescent="0.35">
      <c r="A222" s="159"/>
      <c r="B222" s="115" t="s">
        <v>482</v>
      </c>
      <c r="C222" s="192"/>
      <c r="D222" s="96">
        <f>INDEX(E245:E251,MATCH(D20,B245:B251,0))</f>
        <v>2.5</v>
      </c>
      <c r="E222" s="180"/>
      <c r="F222" s="8"/>
      <c r="G222" s="140"/>
      <c r="H222" s="140"/>
      <c r="I222" s="140"/>
      <c r="J222" s="140"/>
      <c r="K222" s="140"/>
      <c r="L222" s="140"/>
      <c r="M222" s="140"/>
      <c r="N222" s="140"/>
      <c r="O222" s="140"/>
      <c r="P222" s="140"/>
      <c r="Q222" s="140"/>
      <c r="R222" s="140"/>
      <c r="S222" s="140"/>
      <c r="T222" s="140"/>
      <c r="U222" s="140"/>
      <c r="V222" s="140"/>
      <c r="W222" s="140"/>
      <c r="X222" s="140"/>
      <c r="Y222" s="140"/>
      <c r="Z222" s="140"/>
      <c r="AA222" s="140"/>
      <c r="AB222" s="140"/>
    </row>
    <row r="223" spans="1:28" hidden="1" x14ac:dyDescent="0.35">
      <c r="A223" s="159"/>
      <c r="B223" s="115" t="s">
        <v>483</v>
      </c>
      <c r="C223" s="192"/>
      <c r="D223" s="96">
        <f>INDEX(F245:F251,MATCH(D20,B245:B251,0))</f>
        <v>1000</v>
      </c>
      <c r="E223" s="180"/>
      <c r="F223" s="8"/>
      <c r="G223" s="140"/>
      <c r="H223" s="140"/>
      <c r="I223" s="140"/>
      <c r="J223" s="140"/>
      <c r="K223" s="140"/>
      <c r="L223" s="140"/>
      <c r="M223" s="140"/>
      <c r="N223" s="140"/>
      <c r="O223" s="140"/>
      <c r="P223" s="140"/>
      <c r="Q223" s="140"/>
      <c r="R223" s="140"/>
      <c r="S223" s="140"/>
      <c r="T223" s="140"/>
      <c r="U223" s="140"/>
      <c r="V223" s="140"/>
      <c r="W223" s="140"/>
      <c r="X223" s="140"/>
      <c r="Y223" s="140"/>
      <c r="Z223" s="140"/>
      <c r="AA223" s="140"/>
      <c r="AB223" s="140"/>
    </row>
    <row r="224" spans="1:28" ht="18.5" x14ac:dyDescent="0.45">
      <c r="A224" s="159"/>
      <c r="B224" s="185" t="s">
        <v>395</v>
      </c>
      <c r="C224" s="186" t="s">
        <v>396</v>
      </c>
      <c r="D224" s="187">
        <f>D214</f>
        <v>6.050833357762448</v>
      </c>
      <c r="E224" s="169" t="s">
        <v>472</v>
      </c>
      <c r="F224" s="8"/>
      <c r="G224" s="140"/>
      <c r="H224" s="140"/>
      <c r="I224" s="140"/>
      <c r="J224" s="140"/>
      <c r="K224" s="140"/>
      <c r="L224" s="140"/>
      <c r="M224" s="140"/>
      <c r="N224" s="140"/>
      <c r="O224" s="140"/>
      <c r="P224" s="140"/>
      <c r="Q224" s="140"/>
      <c r="R224" s="140"/>
      <c r="S224" s="140"/>
      <c r="T224" s="140"/>
      <c r="U224" s="140"/>
      <c r="V224" s="140"/>
      <c r="W224" s="140"/>
      <c r="X224" s="140"/>
      <c r="Y224" s="140"/>
      <c r="Z224" s="140"/>
      <c r="AA224" s="140"/>
      <c r="AB224" s="140"/>
    </row>
    <row r="225" spans="1:28" ht="18.5" x14ac:dyDescent="0.45">
      <c r="A225" s="159"/>
      <c r="B225" s="185" t="s">
        <v>397</v>
      </c>
      <c r="C225" s="151" t="s">
        <v>584</v>
      </c>
      <c r="D225" s="187">
        <f>IF(D20="LDC0851",1000/(PI()*SQRT(2*D22*D224)),1000/(2*PI()*SQRT((D22+D52)*D224)))</f>
        <v>3.5402937795072988</v>
      </c>
      <c r="E225" s="188" t="s">
        <v>0</v>
      </c>
      <c r="F225" s="231" t="str">
        <f>IF(ISERROR(D225),"",IF(D225&lt;D218,"Fsensor is too low",IF(D225&gt;D219,"Fsensor is too high - increase L or C","")))</f>
        <v/>
      </c>
      <c r="G225" s="140"/>
      <c r="H225" s="140"/>
      <c r="I225" s="140"/>
      <c r="J225" s="140"/>
      <c r="K225" s="140"/>
      <c r="L225" s="140"/>
      <c r="M225" s="140"/>
      <c r="N225" s="140"/>
      <c r="O225" s="140"/>
      <c r="P225" s="140"/>
      <c r="Q225" s="140"/>
      <c r="R225" s="140"/>
      <c r="S225" s="140"/>
      <c r="T225" s="140"/>
      <c r="U225" s="140"/>
      <c r="V225" s="140"/>
      <c r="W225" s="140"/>
      <c r="X225" s="140"/>
      <c r="Y225" s="140"/>
      <c r="Z225" s="140"/>
      <c r="AA225" s="140"/>
      <c r="AB225" s="140"/>
    </row>
    <row r="226" spans="1:28" ht="18.5" x14ac:dyDescent="0.45">
      <c r="A226" s="159"/>
      <c r="B226" s="189" t="s">
        <v>398</v>
      </c>
      <c r="C226" s="186" t="s">
        <v>586</v>
      </c>
      <c r="D226" s="190">
        <f>D217/1000</f>
        <v>3.7492220093954369</v>
      </c>
      <c r="E226" s="191" t="s">
        <v>243</v>
      </c>
      <c r="F226" s="231" t="str">
        <f>IF(ISERROR(D226),"",IF(D226&lt;D220,"Sensor Rp is too low - try a lower C or higher L",IF(D226&gt;D221,"Sensor Rp too high","")))</f>
        <v/>
      </c>
      <c r="G226" s="140"/>
      <c r="H226" s="140"/>
      <c r="I226" s="140"/>
      <c r="J226" s="140"/>
      <c r="K226" s="140"/>
      <c r="L226" s="140"/>
      <c r="M226" s="140"/>
      <c r="N226" s="140"/>
      <c r="O226" s="140"/>
      <c r="P226" s="140"/>
      <c r="Q226" s="140"/>
      <c r="R226" s="140"/>
      <c r="S226" s="140"/>
      <c r="T226" s="140"/>
      <c r="U226" s="140"/>
      <c r="V226" s="140"/>
      <c r="W226" s="140"/>
      <c r="X226" s="140"/>
      <c r="Y226" s="140"/>
      <c r="Z226" s="140"/>
      <c r="AA226" s="140"/>
      <c r="AB226" s="140"/>
    </row>
    <row r="227" spans="1:28" ht="18.5" x14ac:dyDescent="0.45">
      <c r="B227" s="185" t="s">
        <v>399</v>
      </c>
      <c r="C227" s="186" t="s">
        <v>400</v>
      </c>
      <c r="D227" s="232">
        <f>(D226)*SQRT(D22/D224)</f>
        <v>27.687932756282802</v>
      </c>
      <c r="E227" s="184"/>
      <c r="F227" s="231" t="str">
        <f>IF(ISERROR(D227),"",IF(D227&lt;D222,"Sensor Q is too low",IF(D227&gt;D223,"Sensor Q too high","")))</f>
        <v/>
      </c>
      <c r="G227" s="140"/>
      <c r="H227" s="140"/>
      <c r="I227" s="140"/>
      <c r="J227" s="140"/>
      <c r="K227" s="140"/>
      <c r="L227" s="140"/>
      <c r="M227" s="140"/>
      <c r="N227" s="140"/>
      <c r="O227" s="140"/>
      <c r="P227" s="140"/>
      <c r="Q227" s="140"/>
      <c r="R227" s="140"/>
      <c r="S227" s="140"/>
      <c r="T227" s="140"/>
      <c r="U227" s="140"/>
      <c r="V227" s="140"/>
      <c r="W227" s="140"/>
      <c r="X227" s="140"/>
      <c r="Y227" s="140"/>
      <c r="Z227" s="140"/>
      <c r="AA227" s="140"/>
      <c r="AB227" s="140"/>
    </row>
    <row r="228" spans="1:28" ht="18.5" hidden="1" x14ac:dyDescent="0.45">
      <c r="B228" s="132" t="s">
        <v>569</v>
      </c>
      <c r="C228" s="186" t="s">
        <v>567</v>
      </c>
      <c r="D228" s="255">
        <f>0.001*ROUND((100*D22/D227),-2)</f>
        <v>1.2</v>
      </c>
      <c r="E228" s="243" t="s">
        <v>578</v>
      </c>
      <c r="F228" s="231"/>
      <c r="G228" s="140"/>
      <c r="H228" s="140"/>
      <c r="I228" s="140"/>
      <c r="J228" s="140"/>
      <c r="K228" s="140"/>
      <c r="L228" s="140"/>
      <c r="M228" s="140"/>
      <c r="N228" s="140"/>
      <c r="O228" s="140"/>
      <c r="P228" s="140"/>
      <c r="Q228" s="140"/>
      <c r="R228" s="140"/>
      <c r="S228" s="140"/>
      <c r="T228" s="140"/>
      <c r="U228" s="140"/>
      <c r="V228" s="140"/>
      <c r="W228" s="140"/>
      <c r="X228" s="140"/>
      <c r="Y228" s="140"/>
      <c r="Z228" s="140"/>
      <c r="AA228" s="140"/>
      <c r="AB228" s="140"/>
    </row>
    <row r="229" spans="1:28" ht="18.5" hidden="1" x14ac:dyDescent="0.45">
      <c r="B229" s="132" t="s">
        <v>570</v>
      </c>
      <c r="C229" s="186" t="s">
        <v>568</v>
      </c>
      <c r="D229" s="255">
        <f>0.001*ROUND((1250*D22/D227),-1)</f>
        <v>14.9</v>
      </c>
      <c r="E229" s="243" t="s">
        <v>578</v>
      </c>
      <c r="F229" s="231"/>
      <c r="G229" s="140"/>
      <c r="H229" s="140"/>
      <c r="I229" s="140"/>
      <c r="J229" s="140"/>
      <c r="K229" s="140"/>
      <c r="L229" s="140"/>
      <c r="M229" s="140"/>
      <c r="N229" s="140"/>
      <c r="O229" s="140"/>
      <c r="P229" s="140"/>
      <c r="Q229" s="140"/>
      <c r="R229" s="140"/>
      <c r="S229" s="140"/>
      <c r="T229" s="140"/>
      <c r="U229" s="140"/>
      <c r="V229" s="140"/>
      <c r="W229" s="140"/>
      <c r="X229" s="140"/>
      <c r="Y229" s="140"/>
      <c r="Z229" s="140"/>
      <c r="AA229" s="140"/>
      <c r="AB229" s="140"/>
    </row>
    <row r="230" spans="1:28" ht="18.5" x14ac:dyDescent="0.45">
      <c r="B230" s="242" t="str">
        <f>IF(D20=B250,B253,"")</f>
        <v/>
      </c>
      <c r="C230" s="115" t="str">
        <f>IF(D20=B250,C253,"")</f>
        <v/>
      </c>
      <c r="D230" s="245" t="str">
        <f>IF(D20=B250,TEXT(D228,"##0.0#")&amp;"&lt; C &lt;"&amp;TEXT(D229,"###.0"),"")</f>
        <v/>
      </c>
      <c r="E230" s="246" t="str">
        <f>IF(D20=B250,"nF","")</f>
        <v/>
      </c>
      <c r="F230" s="115"/>
      <c r="G230" s="140"/>
      <c r="H230" s="140"/>
      <c r="I230" s="140"/>
      <c r="J230" s="140"/>
      <c r="K230" s="140"/>
      <c r="L230" s="140"/>
      <c r="M230" s="140"/>
      <c r="N230" s="140"/>
      <c r="O230" s="140"/>
      <c r="P230" s="140"/>
      <c r="Q230" s="140"/>
      <c r="R230" s="140"/>
      <c r="S230" s="140"/>
      <c r="T230" s="140"/>
      <c r="U230" s="140"/>
      <c r="V230" s="140"/>
      <c r="W230" s="140"/>
      <c r="X230" s="140"/>
      <c r="Y230" s="140"/>
      <c r="Z230" s="140"/>
      <c r="AA230" s="140"/>
      <c r="AB230" s="140"/>
    </row>
    <row r="231" spans="1:28" x14ac:dyDescent="0.35">
      <c r="A231" s="140"/>
      <c r="B231" s="140"/>
      <c r="C231" s="140"/>
      <c r="D231" s="257"/>
      <c r="E231" s="257"/>
      <c r="F231" s="140"/>
      <c r="G231" s="140"/>
      <c r="H231" s="140"/>
      <c r="I231" s="140"/>
      <c r="J231" s="140"/>
      <c r="K231" s="140"/>
      <c r="L231" s="140"/>
      <c r="M231" s="140"/>
      <c r="N231" s="140"/>
      <c r="O231" s="140"/>
      <c r="P231" s="140"/>
      <c r="Q231" s="140"/>
      <c r="R231" s="140"/>
      <c r="S231" s="140"/>
      <c r="T231" s="140"/>
      <c r="U231" s="140"/>
      <c r="V231" s="140"/>
      <c r="W231" s="140"/>
      <c r="X231" s="140"/>
      <c r="Y231" s="140"/>
      <c r="Z231" s="140"/>
      <c r="AA231" s="140"/>
      <c r="AB231" s="140"/>
    </row>
    <row r="232" spans="1:28" ht="15.5" x14ac:dyDescent="0.35">
      <c r="A232" s="140"/>
      <c r="B232" s="385"/>
      <c r="C232" s="386"/>
      <c r="D232" s="386"/>
      <c r="E232" s="386"/>
      <c r="F232" s="386"/>
      <c r="G232" s="140"/>
      <c r="H232" s="140"/>
      <c r="I232" s="140"/>
      <c r="J232" s="140"/>
      <c r="K232" s="140"/>
      <c r="L232" s="140"/>
      <c r="M232" s="140"/>
      <c r="N232" s="140"/>
      <c r="O232" s="140"/>
      <c r="P232" s="140"/>
      <c r="Q232" s="140"/>
      <c r="R232" s="140"/>
      <c r="S232" s="140"/>
      <c r="T232" s="140"/>
      <c r="U232" s="140"/>
      <c r="V232" s="140"/>
      <c r="W232" s="140"/>
      <c r="X232" s="140"/>
      <c r="Y232" s="140"/>
      <c r="Z232" s="140"/>
      <c r="AA232" s="140"/>
      <c r="AB232" s="140"/>
    </row>
    <row r="233" spans="1:28" x14ac:dyDescent="0.35">
      <c r="A233" s="140"/>
      <c r="B233" s="386"/>
      <c r="C233" s="386"/>
      <c r="D233" s="387"/>
      <c r="E233" s="387"/>
      <c r="F233" s="386"/>
      <c r="G233" s="140"/>
      <c r="H233" s="140"/>
      <c r="I233" s="140"/>
      <c r="J233" s="140"/>
      <c r="K233" s="140"/>
      <c r="L233" s="140"/>
      <c r="M233" s="140"/>
      <c r="N233" s="140"/>
      <c r="O233" s="140"/>
      <c r="P233" s="140"/>
      <c r="Q233" s="140"/>
      <c r="R233" s="140"/>
      <c r="S233" s="140"/>
      <c r="T233" s="140"/>
      <c r="U233" s="140"/>
      <c r="V233" s="140"/>
      <c r="W233" s="140"/>
      <c r="X233" s="140"/>
      <c r="Y233" s="140"/>
      <c r="Z233" s="140"/>
      <c r="AA233" s="140"/>
      <c r="AB233" s="140"/>
    </row>
    <row r="234" spans="1:28" x14ac:dyDescent="0.35">
      <c r="A234" s="140"/>
      <c r="B234" s="386"/>
      <c r="C234" s="386"/>
      <c r="D234" s="388"/>
      <c r="E234" s="387"/>
      <c r="F234" s="386"/>
      <c r="G234" s="140"/>
      <c r="H234" s="140"/>
      <c r="I234" s="140"/>
      <c r="J234" s="140"/>
      <c r="K234" s="140"/>
      <c r="L234" s="140"/>
      <c r="M234" s="140"/>
      <c r="N234" s="140"/>
      <c r="O234" s="140"/>
      <c r="P234" s="140"/>
      <c r="Q234" s="140"/>
      <c r="R234" s="140"/>
      <c r="S234" s="140"/>
      <c r="T234" s="140"/>
      <c r="U234" s="140"/>
      <c r="V234" s="140"/>
      <c r="W234" s="140"/>
      <c r="X234" s="140"/>
      <c r="Y234" s="140"/>
      <c r="Z234" s="140"/>
      <c r="AA234" s="140"/>
      <c r="AB234" s="140"/>
    </row>
    <row r="235" spans="1:28" x14ac:dyDescent="0.35">
      <c r="A235" s="140"/>
      <c r="B235" s="386"/>
      <c r="C235" s="386"/>
      <c r="D235" s="388"/>
      <c r="E235" s="387"/>
      <c r="F235" s="386"/>
      <c r="G235" s="140"/>
      <c r="H235" s="140"/>
      <c r="I235" s="140"/>
      <c r="J235" s="140"/>
      <c r="K235" s="140"/>
      <c r="L235" s="140"/>
      <c r="M235" s="140"/>
      <c r="N235" s="140"/>
      <c r="O235" s="140"/>
      <c r="P235" s="140"/>
      <c r="Q235" s="140"/>
      <c r="R235" s="140"/>
      <c r="S235" s="140"/>
      <c r="T235" s="140"/>
      <c r="U235" s="140"/>
      <c r="V235" s="140"/>
      <c r="W235" s="140"/>
      <c r="X235" s="140"/>
      <c r="Y235" s="140"/>
      <c r="Z235" s="140"/>
      <c r="AA235" s="140"/>
      <c r="AB235" s="140"/>
    </row>
    <row r="236" spans="1:28" hidden="1" x14ac:dyDescent="0.35">
      <c r="A236" s="140"/>
      <c r="B236" s="386"/>
      <c r="C236" s="386"/>
      <c r="D236" s="388"/>
      <c r="E236" s="387"/>
      <c r="F236" s="386"/>
      <c r="G236" s="140"/>
      <c r="H236" s="140"/>
      <c r="I236" s="140"/>
      <c r="J236" s="140"/>
      <c r="K236" s="140"/>
      <c r="L236" s="140"/>
      <c r="M236" s="140"/>
      <c r="N236" s="140"/>
      <c r="O236" s="140"/>
      <c r="P236" s="140"/>
      <c r="Q236" s="140"/>
      <c r="R236" s="140"/>
      <c r="S236" s="140"/>
      <c r="T236" s="140"/>
      <c r="U236" s="140"/>
      <c r="V236" s="140"/>
      <c r="W236" s="140"/>
      <c r="X236" s="140"/>
      <c r="Y236" s="140"/>
      <c r="Z236" s="140"/>
      <c r="AA236" s="140"/>
      <c r="AB236" s="140"/>
    </row>
    <row r="237" spans="1:28" s="7" customFormat="1" hidden="1" x14ac:dyDescent="0.35">
      <c r="A237" s="257"/>
      <c r="B237" s="386"/>
      <c r="C237" s="386"/>
      <c r="D237" s="388"/>
      <c r="E237" s="387"/>
      <c r="F237" s="386"/>
      <c r="G237" s="140"/>
      <c r="H237" s="140"/>
      <c r="I237" s="257"/>
      <c r="J237" s="257"/>
      <c r="K237" s="257"/>
      <c r="L237" s="257"/>
      <c r="M237" s="257"/>
      <c r="N237" s="257"/>
      <c r="O237" s="257"/>
      <c r="P237" s="257"/>
      <c r="Q237" s="257"/>
      <c r="R237" s="257"/>
      <c r="S237" s="257"/>
      <c r="T237" s="257"/>
      <c r="U237" s="257"/>
      <c r="V237" s="257"/>
      <c r="W237" s="257"/>
      <c r="X237" s="257"/>
      <c r="Y237" s="257"/>
      <c r="Z237" s="257"/>
      <c r="AA237" s="257"/>
      <c r="AB237" s="257"/>
    </row>
    <row r="238" spans="1:28" s="7" customFormat="1" hidden="1" x14ac:dyDescent="0.35">
      <c r="A238" s="257"/>
      <c r="B238" s="386"/>
      <c r="C238" s="386"/>
      <c r="D238" s="388"/>
      <c r="E238" s="387"/>
      <c r="F238" s="386"/>
      <c r="G238" s="140"/>
      <c r="H238" s="140"/>
      <c r="I238" s="257"/>
      <c r="J238" s="257"/>
      <c r="K238" s="257"/>
      <c r="L238" s="257"/>
      <c r="M238" s="257"/>
      <c r="N238" s="257"/>
      <c r="O238" s="257"/>
      <c r="P238" s="257"/>
      <c r="Q238" s="257"/>
      <c r="R238" s="257"/>
      <c r="S238" s="257"/>
      <c r="T238" s="257"/>
      <c r="U238" s="257"/>
      <c r="V238" s="257"/>
      <c r="W238" s="257"/>
      <c r="X238" s="257"/>
      <c r="Y238" s="257"/>
      <c r="Z238" s="257"/>
      <c r="AA238" s="257"/>
      <c r="AB238" s="257"/>
    </row>
    <row r="239" spans="1:28" s="7" customFormat="1" hidden="1" x14ac:dyDescent="0.35">
      <c r="A239" s="257"/>
      <c r="B239" s="386"/>
      <c r="C239" s="386"/>
      <c r="D239" s="388"/>
      <c r="E239" s="387"/>
      <c r="F239" s="386"/>
      <c r="G239" s="140"/>
      <c r="H239" s="140"/>
      <c r="I239" s="257"/>
      <c r="J239" s="257"/>
      <c r="K239" s="257"/>
      <c r="L239" s="257"/>
      <c r="M239" s="257"/>
      <c r="N239" s="257"/>
      <c r="O239" s="257"/>
      <c r="P239" s="257"/>
      <c r="Q239" s="257"/>
      <c r="R239" s="257"/>
      <c r="S239" s="257"/>
      <c r="T239" s="257"/>
      <c r="U239" s="257"/>
      <c r="V239" s="257"/>
      <c r="W239" s="257"/>
      <c r="X239" s="257"/>
      <c r="Y239" s="257"/>
      <c r="Z239" s="257"/>
      <c r="AA239" s="257"/>
      <c r="AB239" s="257"/>
    </row>
    <row r="240" spans="1:28" hidden="1" x14ac:dyDescent="0.35">
      <c r="A240" s="140"/>
      <c r="B240" s="386"/>
      <c r="C240" s="386"/>
      <c r="D240" s="387"/>
      <c r="E240" s="387"/>
      <c r="F240" s="386"/>
      <c r="G240" s="140"/>
      <c r="H240" s="140"/>
      <c r="I240" s="140"/>
      <c r="J240" s="140"/>
      <c r="K240" s="140"/>
      <c r="L240" s="140"/>
      <c r="M240" s="140"/>
      <c r="N240" s="140"/>
      <c r="O240" s="140"/>
      <c r="P240" s="140"/>
      <c r="Q240" s="140"/>
      <c r="R240" s="140"/>
      <c r="S240" s="140"/>
      <c r="T240" s="140"/>
      <c r="U240" s="140"/>
      <c r="V240" s="140"/>
      <c r="W240" s="140"/>
      <c r="X240" s="140"/>
      <c r="Y240" s="140"/>
      <c r="Z240" s="140"/>
      <c r="AA240" s="140"/>
      <c r="AB240" s="140"/>
    </row>
    <row r="241" spans="1:28" hidden="1" x14ac:dyDescent="0.35">
      <c r="A241" s="140"/>
      <c r="B241" s="386"/>
      <c r="C241" s="386"/>
      <c r="D241" s="387"/>
      <c r="E241" s="387"/>
      <c r="F241" s="386"/>
      <c r="G241" s="140"/>
      <c r="H241" s="140"/>
      <c r="I241" s="140"/>
      <c r="J241" s="140"/>
      <c r="K241" s="140"/>
      <c r="L241" s="140"/>
      <c r="M241" s="140"/>
      <c r="N241" s="140"/>
      <c r="O241" s="140"/>
      <c r="P241" s="140"/>
      <c r="Q241" s="140"/>
      <c r="R241" s="140"/>
      <c r="S241" s="140"/>
      <c r="T241" s="140"/>
      <c r="U241" s="140"/>
      <c r="V241" s="140"/>
      <c r="W241" s="140"/>
      <c r="X241" s="140"/>
      <c r="Y241" s="140"/>
      <c r="Z241" s="140"/>
      <c r="AA241" s="140"/>
      <c r="AB241" s="140"/>
    </row>
    <row r="242" spans="1:28" hidden="1" x14ac:dyDescent="0.35">
      <c r="A242" s="140"/>
      <c r="B242" s="386"/>
      <c r="C242" s="386"/>
      <c r="D242" s="387"/>
      <c r="E242" s="387"/>
      <c r="F242" s="386"/>
      <c r="G242" s="140"/>
      <c r="H242" s="140"/>
      <c r="I242" s="140"/>
      <c r="J242" s="140"/>
      <c r="K242" s="140"/>
      <c r="L242" s="140"/>
      <c r="M242" s="140"/>
      <c r="N242" s="140"/>
      <c r="O242" s="140"/>
      <c r="P242" s="140"/>
      <c r="Q242" s="140"/>
      <c r="R242" s="140"/>
      <c r="S242" s="140"/>
      <c r="T242" s="140"/>
      <c r="U242" s="140"/>
      <c r="V242" s="140"/>
      <c r="W242" s="140"/>
      <c r="X242" s="140"/>
      <c r="Y242" s="140"/>
      <c r="Z242" s="140"/>
      <c r="AA242" s="140"/>
      <c r="AB242" s="140"/>
    </row>
    <row r="243" spans="1:28" hidden="1" x14ac:dyDescent="0.35">
      <c r="A243" s="140"/>
      <c r="B243" s="386"/>
      <c r="C243" s="386"/>
      <c r="D243" s="387"/>
      <c r="E243" s="387"/>
      <c r="F243" s="386"/>
      <c r="G243" s="140"/>
      <c r="H243" s="140"/>
      <c r="I243" s="140"/>
      <c r="J243" s="140"/>
      <c r="K243" s="140"/>
      <c r="L243" s="140"/>
      <c r="M243" s="140"/>
      <c r="N243" s="140"/>
      <c r="O243" s="140"/>
      <c r="P243" s="140"/>
      <c r="Q243" s="140"/>
      <c r="R243" s="140"/>
      <c r="S243" s="140"/>
      <c r="T243" s="140"/>
      <c r="U243" s="140"/>
      <c r="V243" s="140"/>
      <c r="W243" s="140"/>
      <c r="X243" s="140"/>
      <c r="Y243" s="140"/>
      <c r="Z243" s="140"/>
      <c r="AA243" s="140"/>
      <c r="AB243" s="140"/>
    </row>
    <row r="244" spans="1:28" hidden="1" x14ac:dyDescent="0.35">
      <c r="A244" s="140"/>
      <c r="B244" s="389" t="s">
        <v>15</v>
      </c>
      <c r="C244" s="389" t="s">
        <v>485</v>
      </c>
      <c r="D244" s="390" t="s">
        <v>486</v>
      </c>
      <c r="E244" s="390" t="s">
        <v>487</v>
      </c>
      <c r="F244" s="390" t="s">
        <v>488</v>
      </c>
      <c r="G244" s="600" t="s">
        <v>489</v>
      </c>
      <c r="H244" s="601" t="s">
        <v>490</v>
      </c>
      <c r="I244" s="140"/>
      <c r="J244" s="140"/>
      <c r="K244" s="140"/>
      <c r="L244" s="140"/>
      <c r="M244" s="140"/>
      <c r="N244" s="140"/>
      <c r="O244" s="140"/>
      <c r="P244" s="140"/>
      <c r="Q244" s="140"/>
      <c r="R244" s="140"/>
      <c r="S244" s="140"/>
      <c r="T244" s="140"/>
      <c r="U244" s="140"/>
      <c r="V244" s="140"/>
      <c r="W244" s="140"/>
      <c r="X244" s="140"/>
      <c r="Y244" s="140"/>
      <c r="Z244" s="140"/>
      <c r="AA244" s="140"/>
      <c r="AB244" s="140"/>
    </row>
    <row r="245" spans="1:28" hidden="1" x14ac:dyDescent="0.35">
      <c r="A245" s="140"/>
      <c r="B245" s="391" t="s">
        <v>332</v>
      </c>
      <c r="C245" s="391">
        <v>1</v>
      </c>
      <c r="D245" s="392">
        <v>60</v>
      </c>
      <c r="E245" s="392">
        <v>2.5</v>
      </c>
      <c r="F245" s="391">
        <v>100</v>
      </c>
      <c r="G245" s="602">
        <v>0.5</v>
      </c>
      <c r="H245" s="123">
        <v>10</v>
      </c>
      <c r="I245" s="140"/>
      <c r="J245" s="140"/>
      <c r="K245" s="140"/>
      <c r="L245" s="140"/>
      <c r="M245" s="140"/>
      <c r="N245" s="140"/>
      <c r="O245" s="140"/>
      <c r="P245" s="140"/>
      <c r="Q245" s="140"/>
      <c r="R245" s="140"/>
      <c r="S245" s="140"/>
      <c r="T245" s="140"/>
      <c r="U245" s="140"/>
      <c r="V245" s="140"/>
      <c r="W245" s="140"/>
      <c r="X245" s="140"/>
      <c r="Y245" s="140"/>
      <c r="Z245" s="140"/>
      <c r="AA245" s="140"/>
      <c r="AB245" s="140"/>
    </row>
    <row r="246" spans="1:28" hidden="1" x14ac:dyDescent="0.35">
      <c r="A246" s="140"/>
      <c r="B246" s="391" t="s">
        <v>10</v>
      </c>
      <c r="C246" s="391">
        <v>1</v>
      </c>
      <c r="D246" s="392">
        <v>1000</v>
      </c>
      <c r="E246" s="392">
        <v>2.5</v>
      </c>
      <c r="F246" s="391">
        <v>1000</v>
      </c>
      <c r="G246" s="602">
        <v>5.0000000000000001E-3</v>
      </c>
      <c r="H246" s="123">
        <v>5</v>
      </c>
      <c r="I246" s="140"/>
      <c r="J246" s="140"/>
      <c r="K246" s="140"/>
      <c r="L246" s="140"/>
      <c r="M246" s="140"/>
      <c r="N246" s="140"/>
      <c r="O246" s="140"/>
      <c r="P246" s="140"/>
      <c r="Q246" s="140"/>
      <c r="R246" s="140"/>
      <c r="S246" s="140"/>
      <c r="T246" s="140"/>
      <c r="U246" s="140"/>
      <c r="V246" s="140"/>
      <c r="W246" s="140"/>
      <c r="X246" s="140"/>
      <c r="Y246" s="140"/>
      <c r="Z246" s="140"/>
      <c r="AA246" s="140"/>
      <c r="AB246" s="140"/>
    </row>
    <row r="247" spans="1:28" hidden="1" x14ac:dyDescent="0.35">
      <c r="A247" s="140"/>
      <c r="B247" s="391" t="s">
        <v>214</v>
      </c>
      <c r="C247" s="391">
        <v>0.25</v>
      </c>
      <c r="D247" s="392">
        <v>500</v>
      </c>
      <c r="E247" s="392">
        <v>2.5</v>
      </c>
      <c r="F247" s="391">
        <v>1000</v>
      </c>
      <c r="G247" s="602">
        <v>1E-3</v>
      </c>
      <c r="H247" s="123">
        <v>10</v>
      </c>
      <c r="I247" s="140"/>
      <c r="J247" s="140"/>
      <c r="K247" s="140"/>
      <c r="L247" s="140"/>
      <c r="M247" s="140"/>
      <c r="N247" s="140"/>
      <c r="O247" s="140"/>
      <c r="P247" s="140"/>
      <c r="Q247" s="140"/>
      <c r="R247" s="140"/>
      <c r="S247" s="140"/>
      <c r="T247" s="140"/>
      <c r="U247" s="140"/>
      <c r="V247" s="140"/>
      <c r="W247" s="140"/>
      <c r="X247" s="140"/>
      <c r="Y247" s="140"/>
      <c r="Z247" s="140"/>
      <c r="AA247" s="140"/>
      <c r="AB247" s="140"/>
    </row>
    <row r="248" spans="1:28" hidden="1" x14ac:dyDescent="0.35">
      <c r="A248" s="140"/>
      <c r="B248" s="391" t="s">
        <v>215</v>
      </c>
      <c r="C248" s="391">
        <v>0.25</v>
      </c>
      <c r="D248" s="392">
        <v>500</v>
      </c>
      <c r="E248" s="392">
        <v>2.5</v>
      </c>
      <c r="F248" s="391">
        <v>1000</v>
      </c>
      <c r="G248" s="602">
        <v>1E-3</v>
      </c>
      <c r="H248" s="123">
        <v>10</v>
      </c>
      <c r="I248" s="140"/>
      <c r="J248" s="140"/>
      <c r="K248" s="140"/>
      <c r="L248" s="140"/>
      <c r="M248" s="140"/>
      <c r="N248" s="140"/>
      <c r="O248" s="140"/>
      <c r="P248" s="140"/>
      <c r="Q248" s="140"/>
      <c r="R248" s="140"/>
      <c r="S248" s="140"/>
      <c r="T248" s="140"/>
      <c r="U248" s="140"/>
      <c r="V248" s="140"/>
      <c r="W248" s="140"/>
      <c r="X248" s="140"/>
      <c r="Y248" s="140"/>
      <c r="Z248" s="140"/>
      <c r="AA248" s="140"/>
      <c r="AB248" s="140"/>
    </row>
    <row r="249" spans="1:28" hidden="1" x14ac:dyDescent="0.35">
      <c r="A249" s="140"/>
      <c r="B249" s="391" t="s">
        <v>587</v>
      </c>
      <c r="C249" s="391">
        <v>0.01</v>
      </c>
      <c r="D249" s="392">
        <v>500</v>
      </c>
      <c r="E249" s="392">
        <v>1</v>
      </c>
      <c r="F249" s="391">
        <v>1000</v>
      </c>
      <c r="G249" s="602">
        <v>0.3</v>
      </c>
      <c r="H249" s="123">
        <v>19</v>
      </c>
      <c r="I249" s="140"/>
      <c r="J249" s="140"/>
      <c r="K249" s="140"/>
      <c r="L249" s="140"/>
      <c r="M249" s="140"/>
      <c r="N249" s="140"/>
      <c r="O249" s="140"/>
      <c r="P249" s="140"/>
      <c r="Q249" s="140"/>
      <c r="R249" s="140"/>
      <c r="S249" s="140"/>
      <c r="T249" s="140"/>
      <c r="U249" s="140"/>
      <c r="V249" s="140"/>
      <c r="W249" s="140"/>
      <c r="X249" s="140"/>
      <c r="Y249" s="140"/>
      <c r="Z249" s="140"/>
      <c r="AA249" s="140"/>
      <c r="AB249" s="140"/>
    </row>
    <row r="250" spans="1:28" hidden="1" x14ac:dyDescent="0.35">
      <c r="A250" s="140"/>
      <c r="B250" s="391" t="s">
        <v>1042</v>
      </c>
      <c r="C250" s="391">
        <v>0.35</v>
      </c>
      <c r="D250" s="392">
        <v>10</v>
      </c>
      <c r="E250" s="392">
        <v>5</v>
      </c>
      <c r="F250" s="391">
        <v>30</v>
      </c>
      <c r="G250" s="602">
        <v>1</v>
      </c>
      <c r="H250" s="123">
        <v>30</v>
      </c>
      <c r="I250" s="140"/>
      <c r="J250" s="140"/>
      <c r="K250" s="140"/>
      <c r="L250" s="140"/>
      <c r="M250" s="140"/>
      <c r="N250" s="140"/>
      <c r="O250" s="140"/>
      <c r="P250" s="140"/>
      <c r="Q250" s="140"/>
      <c r="R250" s="140"/>
      <c r="S250" s="140"/>
      <c r="T250" s="140"/>
      <c r="U250" s="140"/>
      <c r="V250" s="140"/>
      <c r="W250" s="140"/>
      <c r="X250" s="140"/>
      <c r="Y250" s="140"/>
      <c r="Z250" s="140"/>
      <c r="AA250" s="140"/>
      <c r="AB250" s="140"/>
    </row>
    <row r="251" spans="1:28" hidden="1" x14ac:dyDescent="0.35">
      <c r="A251" s="140"/>
      <c r="B251" s="391" t="s">
        <v>1647</v>
      </c>
      <c r="C251" s="391">
        <v>0.35</v>
      </c>
      <c r="D251" s="392">
        <v>10</v>
      </c>
      <c r="E251" s="392">
        <v>5</v>
      </c>
      <c r="F251" s="391">
        <v>30</v>
      </c>
      <c r="G251" s="602">
        <v>5</v>
      </c>
      <c r="H251" s="123">
        <v>30</v>
      </c>
      <c r="I251" s="140"/>
      <c r="J251" s="140"/>
      <c r="K251" s="140"/>
      <c r="L251" s="140"/>
      <c r="M251" s="140"/>
      <c r="N251" s="140"/>
      <c r="O251" s="140"/>
      <c r="P251" s="140"/>
      <c r="Q251" s="140"/>
      <c r="R251" s="140"/>
      <c r="S251" s="140"/>
      <c r="T251" s="140"/>
      <c r="U251" s="140"/>
      <c r="V251" s="140"/>
      <c r="W251" s="140"/>
      <c r="X251" s="140"/>
      <c r="Y251" s="140"/>
      <c r="Z251" s="140"/>
      <c r="AA251" s="140"/>
      <c r="AB251" s="140"/>
    </row>
    <row r="252" spans="1:28" hidden="1" x14ac:dyDescent="0.35">
      <c r="A252" s="140"/>
      <c r="B252" s="386"/>
      <c r="C252" s="386"/>
      <c r="D252" s="387"/>
      <c r="E252" s="387"/>
      <c r="F252" s="386"/>
      <c r="G252" s="140"/>
      <c r="H252" s="140"/>
      <c r="I252" s="140"/>
      <c r="J252" s="140"/>
      <c r="K252" s="140"/>
      <c r="L252" s="140"/>
      <c r="M252" s="140"/>
      <c r="N252" s="140"/>
      <c r="O252" s="140"/>
      <c r="P252" s="140"/>
      <c r="Q252" s="140"/>
      <c r="R252" s="140"/>
      <c r="S252" s="140"/>
      <c r="T252" s="140"/>
      <c r="U252" s="140"/>
      <c r="V252" s="140"/>
      <c r="W252" s="140"/>
      <c r="X252" s="140"/>
      <c r="Y252" s="140"/>
      <c r="Z252" s="140"/>
      <c r="AA252" s="140"/>
      <c r="AB252" s="140"/>
    </row>
    <row r="253" spans="1:28" ht="16.5" hidden="1" x14ac:dyDescent="0.45">
      <c r="A253" s="140"/>
      <c r="B253" s="391" t="s">
        <v>573</v>
      </c>
      <c r="C253" s="386" t="s">
        <v>571</v>
      </c>
      <c r="D253" s="387"/>
      <c r="E253" s="387"/>
      <c r="F253" s="386"/>
      <c r="G253" s="140"/>
      <c r="H253" s="140"/>
      <c r="I253" s="140"/>
      <c r="J253" s="140"/>
      <c r="K253" s="140"/>
      <c r="L253" s="140"/>
      <c r="M253" s="140"/>
      <c r="N253" s="140"/>
      <c r="O253" s="140"/>
      <c r="P253" s="140"/>
      <c r="Q253" s="140"/>
      <c r="R253" s="140"/>
      <c r="S253" s="140"/>
      <c r="T253" s="140"/>
      <c r="U253" s="140"/>
      <c r="V253" s="140"/>
      <c r="W253" s="140"/>
      <c r="X253" s="140"/>
      <c r="Y253" s="140"/>
      <c r="Z253" s="140"/>
      <c r="AA253" s="140"/>
      <c r="AB253" s="140"/>
    </row>
    <row r="254" spans="1:28" hidden="1" x14ac:dyDescent="0.35">
      <c r="A254" s="140"/>
      <c r="B254" s="386"/>
      <c r="C254" s="386"/>
      <c r="D254" s="387"/>
      <c r="E254" s="387"/>
      <c r="F254" s="386"/>
      <c r="G254" s="140"/>
      <c r="H254" s="140"/>
      <c r="I254" s="140"/>
      <c r="J254" s="140"/>
      <c r="K254" s="140"/>
      <c r="L254" s="140"/>
      <c r="M254" s="140"/>
      <c r="N254" s="140"/>
      <c r="O254" s="140"/>
      <c r="P254" s="140"/>
      <c r="Q254" s="140"/>
      <c r="R254" s="140"/>
      <c r="S254" s="140"/>
      <c r="T254" s="140"/>
      <c r="U254" s="140"/>
      <c r="V254" s="140"/>
      <c r="W254" s="140"/>
      <c r="X254" s="140"/>
      <c r="Y254" s="140"/>
      <c r="Z254" s="140"/>
      <c r="AA254" s="140"/>
      <c r="AB254" s="140"/>
    </row>
    <row r="255" spans="1:28" hidden="1" x14ac:dyDescent="0.35">
      <c r="A255" s="140"/>
      <c r="B255" s="386"/>
      <c r="C255" s="386"/>
      <c r="D255" s="387"/>
      <c r="E255" s="387"/>
      <c r="F255" s="386"/>
      <c r="G255" s="140"/>
      <c r="H255" s="140"/>
      <c r="I255" s="140"/>
      <c r="J255" s="140"/>
      <c r="K255" s="140"/>
      <c r="L255" s="140"/>
      <c r="M255" s="140"/>
      <c r="N255" s="140"/>
      <c r="O255" s="140"/>
      <c r="P255" s="140"/>
      <c r="Q255" s="140"/>
      <c r="R255" s="140"/>
      <c r="S255" s="140"/>
      <c r="T255" s="140"/>
      <c r="U255" s="140"/>
      <c r="V255" s="140"/>
      <c r="W255" s="140"/>
      <c r="X255" s="140"/>
      <c r="Y255" s="140"/>
      <c r="Z255" s="140"/>
      <c r="AA255" s="140"/>
      <c r="AB255" s="140"/>
    </row>
    <row r="256" spans="1:28" hidden="1" x14ac:dyDescent="0.35">
      <c r="A256" s="140"/>
      <c r="B256" s="140"/>
      <c r="C256" s="140"/>
      <c r="D256" s="257"/>
      <c r="E256" s="257"/>
      <c r="F256" s="140"/>
      <c r="G256" s="140"/>
      <c r="H256" s="140"/>
      <c r="I256" s="140"/>
      <c r="J256" s="140"/>
      <c r="K256" s="140"/>
      <c r="L256" s="140"/>
      <c r="M256" s="140"/>
      <c r="N256" s="140"/>
      <c r="O256" s="140"/>
      <c r="P256" s="140"/>
      <c r="Q256" s="140"/>
      <c r="R256" s="140"/>
      <c r="S256" s="140"/>
      <c r="T256" s="140"/>
      <c r="U256" s="140"/>
      <c r="V256" s="140"/>
      <c r="W256" s="140"/>
      <c r="X256" s="140"/>
      <c r="Y256" s="140"/>
      <c r="Z256" s="140"/>
      <c r="AA256" s="140"/>
      <c r="AB256" s="140"/>
    </row>
    <row r="257" spans="1:28" hidden="1" x14ac:dyDescent="0.35">
      <c r="A257" s="140"/>
      <c r="B257" s="140"/>
      <c r="C257" s="140"/>
      <c r="D257" s="257"/>
      <c r="E257" s="257"/>
      <c r="F257" s="140"/>
      <c r="G257" s="140"/>
      <c r="H257" s="140"/>
      <c r="I257" s="140"/>
      <c r="J257" s="140"/>
      <c r="K257" s="140"/>
      <c r="L257" s="140"/>
      <c r="M257" s="140"/>
      <c r="N257" s="140"/>
      <c r="O257" s="140"/>
      <c r="P257" s="140"/>
      <c r="Q257" s="140"/>
      <c r="R257" s="140"/>
      <c r="S257" s="140"/>
      <c r="T257" s="140"/>
      <c r="U257" s="140"/>
      <c r="V257" s="140"/>
      <c r="W257" s="140"/>
      <c r="X257" s="140"/>
      <c r="Y257" s="140"/>
      <c r="Z257" s="140"/>
      <c r="AA257" s="140"/>
      <c r="AB257" s="140"/>
    </row>
    <row r="258" spans="1:28" x14ac:dyDescent="0.35">
      <c r="A258" s="140"/>
      <c r="B258" s="140"/>
      <c r="C258" s="140"/>
      <c r="D258" s="257"/>
      <c r="E258" s="257"/>
      <c r="F258" s="140"/>
      <c r="G258" s="140"/>
      <c r="H258" s="140"/>
      <c r="I258" s="140"/>
      <c r="J258" s="140"/>
      <c r="K258" s="140"/>
      <c r="L258" s="140"/>
      <c r="M258" s="140"/>
      <c r="N258" s="140"/>
      <c r="O258" s="140"/>
      <c r="P258" s="140"/>
      <c r="Q258" s="140"/>
      <c r="R258" s="140"/>
      <c r="S258" s="140"/>
      <c r="T258" s="140"/>
      <c r="U258" s="140"/>
      <c r="V258" s="140"/>
      <c r="W258" s="140"/>
      <c r="X258" s="140"/>
      <c r="Y258" s="140"/>
      <c r="Z258" s="140"/>
      <c r="AA258" s="140"/>
      <c r="AB258" s="140"/>
    </row>
    <row r="259" spans="1:28" x14ac:dyDescent="0.35">
      <c r="A259" s="140"/>
      <c r="B259" s="140"/>
      <c r="C259" s="140"/>
      <c r="D259" s="257"/>
      <c r="E259" s="257"/>
      <c r="F259" s="140"/>
      <c r="G259" s="140"/>
      <c r="H259" s="140"/>
      <c r="I259" s="140"/>
      <c r="J259" s="140"/>
      <c r="K259" s="140"/>
      <c r="L259" s="140"/>
      <c r="M259" s="140"/>
      <c r="N259" s="140"/>
      <c r="O259" s="140"/>
      <c r="P259" s="140"/>
      <c r="Q259" s="140"/>
      <c r="R259" s="140"/>
      <c r="S259" s="140"/>
      <c r="T259" s="140"/>
      <c r="U259" s="140"/>
      <c r="V259" s="140"/>
      <c r="W259" s="140"/>
      <c r="X259" s="140"/>
      <c r="Y259" s="140"/>
      <c r="Z259" s="140"/>
      <c r="AA259" s="140"/>
      <c r="AB259" s="140"/>
    </row>
    <row r="260" spans="1:28" x14ac:dyDescent="0.35">
      <c r="A260" s="140"/>
      <c r="B260" s="140"/>
      <c r="C260" s="140"/>
      <c r="D260" s="257"/>
      <c r="E260" s="257"/>
      <c r="F260" s="140"/>
      <c r="G260" s="140"/>
      <c r="H260" s="140"/>
      <c r="I260" s="140"/>
      <c r="J260" s="140"/>
      <c r="K260" s="140"/>
      <c r="L260" s="140"/>
      <c r="M260" s="140"/>
      <c r="N260" s="140"/>
      <c r="O260" s="140"/>
      <c r="P260" s="140"/>
      <c r="Q260" s="140"/>
      <c r="R260" s="140"/>
      <c r="S260" s="140"/>
      <c r="T260" s="140"/>
      <c r="U260" s="140"/>
      <c r="V260" s="140"/>
      <c r="W260" s="140"/>
      <c r="X260" s="140"/>
      <c r="Y260" s="140"/>
      <c r="Z260" s="140"/>
      <c r="AA260" s="140"/>
      <c r="AB260" s="140"/>
    </row>
    <row r="261" spans="1:28" x14ac:dyDescent="0.35">
      <c r="A261" s="140"/>
      <c r="B261" s="140"/>
      <c r="C261" s="140"/>
      <c r="D261" s="257"/>
      <c r="E261" s="257"/>
      <c r="F261" s="140"/>
      <c r="G261" s="140"/>
      <c r="H261" s="140"/>
      <c r="I261" s="140"/>
      <c r="J261" s="140"/>
      <c r="K261" s="140"/>
      <c r="L261" s="140"/>
      <c r="M261" s="140"/>
      <c r="N261" s="140"/>
      <c r="O261" s="140"/>
      <c r="P261" s="140"/>
      <c r="Q261" s="140"/>
      <c r="R261" s="140"/>
      <c r="S261" s="140"/>
      <c r="T261" s="140"/>
      <c r="U261" s="140"/>
      <c r="V261" s="140"/>
      <c r="W261" s="140"/>
      <c r="X261" s="140"/>
      <c r="Y261" s="140"/>
      <c r="Z261" s="140"/>
      <c r="AA261" s="140"/>
      <c r="AB261" s="140"/>
    </row>
    <row r="262" spans="1:28" x14ac:dyDescent="0.35">
      <c r="A262" s="140"/>
      <c r="B262" s="140"/>
      <c r="C262" s="140"/>
      <c r="D262" s="257"/>
      <c r="E262" s="257"/>
      <c r="F262" s="140"/>
      <c r="G262" s="140"/>
      <c r="H262" s="140"/>
      <c r="I262" s="140"/>
      <c r="J262" s="140"/>
      <c r="K262" s="140"/>
      <c r="L262" s="140"/>
      <c r="M262" s="140"/>
      <c r="N262" s="140"/>
      <c r="O262" s="140"/>
      <c r="P262" s="140"/>
      <c r="Q262" s="140"/>
      <c r="R262" s="140"/>
      <c r="S262" s="140"/>
      <c r="T262" s="140"/>
      <c r="U262" s="140"/>
      <c r="V262" s="140"/>
      <c r="W262" s="140"/>
      <c r="X262" s="140"/>
      <c r="Y262" s="140"/>
      <c r="Z262" s="140"/>
      <c r="AA262" s="140"/>
      <c r="AB262" s="140"/>
    </row>
    <row r="263" spans="1:28" x14ac:dyDescent="0.35">
      <c r="A263" s="140"/>
      <c r="B263" s="140"/>
      <c r="C263" s="140"/>
      <c r="D263" s="257"/>
      <c r="E263" s="257"/>
      <c r="F263" s="140"/>
      <c r="G263" s="140"/>
      <c r="H263" s="140"/>
      <c r="I263" s="140"/>
      <c r="J263" s="140"/>
      <c r="K263" s="140"/>
      <c r="L263" s="140"/>
      <c r="M263" s="140"/>
      <c r="N263" s="140"/>
      <c r="O263" s="140"/>
      <c r="P263" s="140"/>
      <c r="Q263" s="140"/>
      <c r="R263" s="140"/>
      <c r="S263" s="140"/>
      <c r="T263" s="140"/>
      <c r="U263" s="140"/>
      <c r="V263" s="140"/>
      <c r="W263" s="140"/>
      <c r="X263" s="140"/>
      <c r="Y263" s="140"/>
      <c r="Z263" s="140"/>
      <c r="AA263" s="140"/>
      <c r="AB263" s="140"/>
    </row>
    <row r="264" spans="1:28" x14ac:dyDescent="0.35">
      <c r="A264" s="140"/>
      <c r="B264" s="140"/>
      <c r="C264" s="140"/>
      <c r="D264" s="257"/>
      <c r="E264" s="257"/>
      <c r="F264" s="140"/>
      <c r="G264" s="140"/>
      <c r="H264" s="140"/>
      <c r="I264" s="140"/>
      <c r="J264" s="140"/>
      <c r="K264" s="140"/>
      <c r="L264" s="140"/>
      <c r="M264" s="140"/>
      <c r="N264" s="140"/>
      <c r="O264" s="140"/>
      <c r="P264" s="140"/>
      <c r="Q264" s="140"/>
      <c r="R264" s="140"/>
      <c r="S264" s="140"/>
      <c r="T264" s="140"/>
      <c r="U264" s="140"/>
      <c r="V264" s="140"/>
      <c r="W264" s="140"/>
      <c r="X264" s="140"/>
      <c r="Y264" s="140"/>
      <c r="Z264" s="140"/>
      <c r="AA264" s="140"/>
      <c r="AB264" s="140"/>
    </row>
    <row r="265" spans="1:28" x14ac:dyDescent="0.35">
      <c r="A265" s="140"/>
      <c r="B265" s="140"/>
      <c r="C265" s="140"/>
      <c r="D265" s="257"/>
      <c r="E265" s="257"/>
      <c r="F265" s="140"/>
      <c r="G265" s="140"/>
      <c r="H265" s="140"/>
      <c r="I265" s="140"/>
      <c r="J265" s="140"/>
      <c r="K265" s="140"/>
      <c r="L265" s="140"/>
      <c r="M265" s="140"/>
      <c r="N265" s="140"/>
      <c r="O265" s="140"/>
      <c r="P265" s="140"/>
      <c r="Q265" s="140"/>
      <c r="R265" s="140"/>
      <c r="S265" s="140"/>
      <c r="T265" s="140"/>
      <c r="U265" s="140"/>
      <c r="V265" s="140"/>
      <c r="W265" s="140"/>
      <c r="X265" s="140"/>
      <c r="Y265" s="140"/>
      <c r="Z265" s="140"/>
      <c r="AA265" s="140"/>
      <c r="AB265" s="140"/>
    </row>
    <row r="266" spans="1:28" x14ac:dyDescent="0.35">
      <c r="A266" s="140"/>
      <c r="B266" s="140"/>
      <c r="C266" s="140"/>
      <c r="D266" s="257"/>
      <c r="E266" s="257"/>
      <c r="F266" s="140"/>
      <c r="G266" s="140"/>
      <c r="H266" s="140"/>
      <c r="I266" s="140"/>
      <c r="J266" s="140"/>
      <c r="K266" s="140"/>
      <c r="L266" s="140"/>
      <c r="M266" s="140"/>
      <c r="N266" s="140"/>
      <c r="O266" s="140"/>
      <c r="P266" s="140"/>
      <c r="Q266" s="140"/>
      <c r="R266" s="140"/>
      <c r="S266" s="140"/>
      <c r="T266" s="140"/>
      <c r="U266" s="140"/>
      <c r="V266" s="140"/>
      <c r="W266" s="140"/>
      <c r="X266" s="140"/>
      <c r="Y266" s="140"/>
      <c r="Z266" s="140"/>
      <c r="AA266" s="140"/>
      <c r="AB266" s="140"/>
    </row>
    <row r="267" spans="1:28" x14ac:dyDescent="0.35">
      <c r="A267" s="140"/>
      <c r="B267" s="140"/>
      <c r="C267" s="140"/>
      <c r="D267" s="257"/>
      <c r="E267" s="257"/>
      <c r="F267" s="140"/>
      <c r="G267" s="140"/>
      <c r="H267" s="140"/>
      <c r="I267" s="140"/>
      <c r="J267" s="140"/>
      <c r="K267" s="140"/>
      <c r="L267" s="140"/>
      <c r="M267" s="140"/>
      <c r="N267" s="140"/>
      <c r="O267" s="140"/>
      <c r="P267" s="140"/>
      <c r="Q267" s="140"/>
      <c r="R267" s="140"/>
      <c r="S267" s="140"/>
      <c r="T267" s="140"/>
      <c r="U267" s="140"/>
      <c r="V267" s="140"/>
      <c r="W267" s="140"/>
      <c r="X267" s="140"/>
      <c r="Y267" s="140"/>
      <c r="Z267" s="140"/>
      <c r="AA267" s="140"/>
      <c r="AB267" s="140"/>
    </row>
    <row r="268" spans="1:28" x14ac:dyDescent="0.35">
      <c r="A268" s="140"/>
      <c r="B268" s="140"/>
      <c r="C268" s="140"/>
      <c r="D268" s="257"/>
      <c r="E268" s="257"/>
      <c r="F268" s="140"/>
      <c r="G268" s="140"/>
      <c r="H268" s="140"/>
      <c r="I268" s="140"/>
      <c r="J268" s="140"/>
      <c r="K268" s="140"/>
      <c r="L268" s="140"/>
      <c r="M268" s="140"/>
      <c r="N268" s="140"/>
      <c r="O268" s="140"/>
      <c r="P268" s="140"/>
      <c r="Q268" s="140"/>
      <c r="R268" s="140"/>
      <c r="S268" s="140"/>
      <c r="T268" s="140"/>
      <c r="U268" s="140"/>
      <c r="V268" s="140"/>
      <c r="W268" s="140"/>
      <c r="X268" s="140"/>
      <c r="Y268" s="140"/>
      <c r="Z268" s="140"/>
      <c r="AA268" s="140"/>
      <c r="AB268" s="140"/>
    </row>
    <row r="269" spans="1:28" x14ac:dyDescent="0.35">
      <c r="A269" s="140"/>
      <c r="B269" s="140"/>
      <c r="C269" s="140"/>
      <c r="D269" s="257"/>
      <c r="E269" s="257"/>
      <c r="F269" s="140"/>
      <c r="G269" s="140"/>
      <c r="H269" s="140"/>
      <c r="I269" s="140"/>
      <c r="J269" s="140"/>
      <c r="K269" s="140"/>
      <c r="L269" s="140"/>
      <c r="M269" s="140"/>
      <c r="N269" s="140"/>
      <c r="O269" s="140"/>
      <c r="P269" s="140"/>
      <c r="Q269" s="140"/>
      <c r="R269" s="140"/>
      <c r="S269" s="140"/>
      <c r="T269" s="140"/>
      <c r="U269" s="140"/>
      <c r="V269" s="140"/>
      <c r="W269" s="140"/>
      <c r="X269" s="140"/>
      <c r="Y269" s="140"/>
      <c r="Z269" s="140"/>
      <c r="AA269" s="140"/>
      <c r="AB269" s="140"/>
    </row>
    <row r="270" spans="1:28" x14ac:dyDescent="0.35">
      <c r="A270" s="140"/>
      <c r="B270" s="140"/>
      <c r="C270" s="140"/>
      <c r="D270" s="257"/>
      <c r="E270" s="257"/>
      <c r="F270" s="140"/>
      <c r="G270" s="140"/>
      <c r="H270" s="140"/>
      <c r="I270" s="140"/>
      <c r="J270" s="140"/>
      <c r="K270" s="140"/>
      <c r="L270" s="140"/>
      <c r="M270" s="140"/>
      <c r="N270" s="140"/>
      <c r="O270" s="140"/>
      <c r="P270" s="140"/>
      <c r="Q270" s="140"/>
      <c r="R270" s="140"/>
      <c r="S270" s="140"/>
      <c r="T270" s="140"/>
      <c r="U270" s="140"/>
      <c r="V270" s="140"/>
      <c r="W270" s="140"/>
      <c r="X270" s="140"/>
      <c r="Y270" s="140"/>
      <c r="Z270" s="140"/>
      <c r="AA270" s="140"/>
      <c r="AB270" s="140"/>
    </row>
    <row r="271" spans="1:28" x14ac:dyDescent="0.35">
      <c r="A271" s="140"/>
      <c r="B271" s="140"/>
      <c r="C271" s="140"/>
      <c r="D271" s="257"/>
      <c r="E271" s="257"/>
      <c r="F271" s="140"/>
      <c r="G271" s="140"/>
      <c r="H271" s="140"/>
      <c r="I271" s="140"/>
      <c r="J271" s="140"/>
      <c r="K271" s="140"/>
      <c r="L271" s="140"/>
      <c r="M271" s="140"/>
      <c r="N271" s="140"/>
      <c r="O271" s="140"/>
      <c r="P271" s="140"/>
      <c r="Q271" s="140"/>
      <c r="R271" s="140"/>
      <c r="S271" s="140"/>
      <c r="T271" s="140"/>
      <c r="U271" s="140"/>
      <c r="V271" s="140"/>
      <c r="W271" s="140"/>
      <c r="X271" s="140"/>
      <c r="Y271" s="140"/>
      <c r="Z271" s="140"/>
      <c r="AA271" s="140"/>
      <c r="AB271" s="140"/>
    </row>
    <row r="272" spans="1:28" x14ac:dyDescent="0.35">
      <c r="A272" s="140"/>
      <c r="B272" s="140"/>
      <c r="C272" s="140"/>
      <c r="D272" s="257"/>
      <c r="E272" s="257"/>
      <c r="F272" s="140"/>
      <c r="G272" s="140"/>
      <c r="H272" s="140"/>
      <c r="I272" s="140"/>
      <c r="J272" s="140"/>
      <c r="K272" s="140"/>
      <c r="L272" s="140"/>
      <c r="M272" s="140"/>
      <c r="N272" s="140"/>
      <c r="O272" s="140"/>
      <c r="P272" s="140"/>
      <c r="Q272" s="140"/>
      <c r="R272" s="140"/>
      <c r="S272" s="140"/>
      <c r="T272" s="140"/>
      <c r="U272" s="140"/>
      <c r="V272" s="140"/>
      <c r="W272" s="140"/>
      <c r="X272" s="140"/>
      <c r="Y272" s="140"/>
      <c r="Z272" s="140"/>
      <c r="AA272" s="140"/>
      <c r="AB272" s="140"/>
    </row>
    <row r="273" spans="1:28" x14ac:dyDescent="0.35">
      <c r="A273" s="140"/>
      <c r="B273" s="140"/>
      <c r="C273" s="140"/>
      <c r="D273" s="257"/>
      <c r="E273" s="257"/>
      <c r="F273" s="140"/>
      <c r="G273" s="140"/>
      <c r="H273" s="140"/>
      <c r="I273" s="140"/>
      <c r="J273" s="140"/>
      <c r="K273" s="140"/>
      <c r="L273" s="140"/>
      <c r="M273" s="140"/>
      <c r="N273" s="140"/>
      <c r="O273" s="140"/>
      <c r="P273" s="140"/>
      <c r="Q273" s="140"/>
      <c r="R273" s="140"/>
      <c r="S273" s="140"/>
      <c r="T273" s="140"/>
      <c r="U273" s="140"/>
      <c r="V273" s="140"/>
      <c r="W273" s="140"/>
      <c r="X273" s="140"/>
      <c r="Y273" s="140"/>
      <c r="Z273" s="140"/>
      <c r="AA273" s="140"/>
      <c r="AB273" s="140"/>
    </row>
    <row r="274" spans="1:28" x14ac:dyDescent="0.35">
      <c r="A274" s="140"/>
      <c r="B274" s="140"/>
      <c r="C274" s="140"/>
      <c r="D274" s="257"/>
      <c r="E274" s="257"/>
      <c r="F274" s="140"/>
      <c r="G274" s="140"/>
      <c r="H274" s="140"/>
      <c r="I274" s="140"/>
      <c r="J274" s="140"/>
      <c r="K274" s="140"/>
      <c r="L274" s="140"/>
      <c r="M274" s="140"/>
      <c r="N274" s="140"/>
      <c r="O274" s="140"/>
      <c r="P274" s="140"/>
      <c r="Q274" s="140"/>
      <c r="R274" s="140"/>
      <c r="S274" s="140"/>
      <c r="T274" s="140"/>
      <c r="U274" s="140"/>
      <c r="V274" s="140"/>
      <c r="W274" s="140"/>
      <c r="X274" s="140"/>
      <c r="Y274" s="140"/>
      <c r="Z274" s="140"/>
      <c r="AA274" s="140"/>
      <c r="AB274" s="140"/>
    </row>
    <row r="275" spans="1:28" x14ac:dyDescent="0.35">
      <c r="A275" s="140"/>
      <c r="B275" s="140"/>
      <c r="C275" s="140"/>
      <c r="D275" s="257"/>
      <c r="E275" s="257"/>
      <c r="F275" s="140"/>
      <c r="G275" s="140"/>
      <c r="H275" s="140"/>
      <c r="I275" s="140"/>
      <c r="J275" s="140"/>
      <c r="K275" s="140"/>
      <c r="L275" s="140"/>
      <c r="M275" s="140"/>
      <c r="N275" s="140"/>
      <c r="O275" s="140"/>
      <c r="P275" s="140"/>
      <c r="Q275" s="140"/>
      <c r="R275" s="140"/>
      <c r="S275" s="140"/>
      <c r="T275" s="140"/>
      <c r="U275" s="140"/>
      <c r="V275" s="140"/>
      <c r="W275" s="140"/>
      <c r="X275" s="140"/>
      <c r="Y275" s="140"/>
      <c r="Z275" s="140"/>
      <c r="AA275" s="140"/>
      <c r="AB275" s="140"/>
    </row>
    <row r="276" spans="1:28" x14ac:dyDescent="0.35">
      <c r="A276" s="140"/>
      <c r="B276" s="140"/>
      <c r="C276" s="140"/>
      <c r="D276" s="257"/>
      <c r="E276" s="257"/>
      <c r="F276" s="140"/>
      <c r="G276" s="140"/>
      <c r="H276" s="140"/>
      <c r="I276" s="140"/>
      <c r="J276" s="140"/>
      <c r="K276" s="140"/>
      <c r="L276" s="140"/>
      <c r="M276" s="140"/>
      <c r="N276" s="140"/>
      <c r="O276" s="140"/>
      <c r="P276" s="140"/>
      <c r="Q276" s="140"/>
      <c r="R276" s="140"/>
      <c r="S276" s="140"/>
      <c r="T276" s="140"/>
      <c r="U276" s="140"/>
      <c r="V276" s="140"/>
      <c r="W276" s="140"/>
      <c r="X276" s="140"/>
      <c r="Y276" s="140"/>
      <c r="Z276" s="140"/>
      <c r="AA276" s="140"/>
      <c r="AB276" s="140"/>
    </row>
    <row r="277" spans="1:28" x14ac:dyDescent="0.35">
      <c r="A277" s="140"/>
      <c r="B277" s="140"/>
      <c r="C277" s="140"/>
      <c r="D277" s="257"/>
      <c r="E277" s="257"/>
      <c r="F277" s="140"/>
      <c r="G277" s="140"/>
      <c r="H277" s="140"/>
      <c r="I277" s="140"/>
      <c r="J277" s="140"/>
      <c r="K277" s="140"/>
      <c r="L277" s="140"/>
      <c r="M277" s="140"/>
      <c r="N277" s="140"/>
      <c r="O277" s="140"/>
      <c r="P277" s="140"/>
      <c r="Q277" s="140"/>
      <c r="R277" s="140"/>
      <c r="S277" s="140"/>
      <c r="T277" s="140"/>
      <c r="U277" s="140"/>
      <c r="V277" s="140"/>
      <c r="W277" s="140"/>
      <c r="X277" s="140"/>
      <c r="Y277" s="140"/>
      <c r="Z277" s="140"/>
      <c r="AA277" s="140"/>
      <c r="AB277" s="140"/>
    </row>
    <row r="278" spans="1:28" x14ac:dyDescent="0.35">
      <c r="A278" s="140"/>
      <c r="B278" s="140"/>
      <c r="C278" s="140"/>
      <c r="D278" s="257"/>
      <c r="E278" s="257"/>
      <c r="F278" s="140"/>
      <c r="G278" s="140"/>
      <c r="H278" s="140"/>
      <c r="I278" s="140"/>
      <c r="J278" s="140"/>
      <c r="K278" s="140"/>
      <c r="L278" s="140"/>
      <c r="M278" s="140"/>
      <c r="N278" s="140"/>
      <c r="O278" s="140"/>
      <c r="P278" s="140"/>
      <c r="Q278" s="140"/>
      <c r="R278" s="140"/>
      <c r="S278" s="140"/>
      <c r="T278" s="140"/>
      <c r="U278" s="140"/>
      <c r="V278" s="140"/>
      <c r="W278" s="140"/>
      <c r="X278" s="140"/>
      <c r="Y278" s="140"/>
      <c r="Z278" s="140"/>
      <c r="AA278" s="140"/>
      <c r="AB278" s="140"/>
    </row>
    <row r="279" spans="1:28" x14ac:dyDescent="0.35">
      <c r="A279" s="140"/>
      <c r="B279" s="140"/>
      <c r="C279" s="140"/>
      <c r="D279" s="257"/>
      <c r="E279" s="257"/>
      <c r="F279" s="140"/>
      <c r="G279" s="140"/>
      <c r="H279" s="140"/>
      <c r="I279" s="140"/>
      <c r="J279" s="140"/>
      <c r="K279" s="140"/>
      <c r="L279" s="140"/>
      <c r="M279" s="140"/>
      <c r="N279" s="140"/>
      <c r="O279" s="140"/>
      <c r="P279" s="140"/>
      <c r="Q279" s="140"/>
      <c r="R279" s="140"/>
      <c r="S279" s="140"/>
      <c r="T279" s="140"/>
      <c r="U279" s="140"/>
      <c r="V279" s="140"/>
      <c r="W279" s="140"/>
      <c r="X279" s="140"/>
      <c r="Y279" s="140"/>
      <c r="Z279" s="140"/>
      <c r="AA279" s="140"/>
      <c r="AB279" s="140"/>
    </row>
    <row r="280" spans="1:28" x14ac:dyDescent="0.35">
      <c r="A280" s="140"/>
      <c r="B280" s="140"/>
      <c r="C280" s="140"/>
      <c r="D280" s="257"/>
      <c r="E280" s="257"/>
      <c r="F280" s="140"/>
      <c r="G280" s="140"/>
      <c r="H280" s="140"/>
      <c r="I280" s="140"/>
      <c r="J280" s="140"/>
      <c r="K280" s="140"/>
      <c r="L280" s="140"/>
      <c r="M280" s="140"/>
      <c r="N280" s="140"/>
      <c r="O280" s="140"/>
      <c r="P280" s="140"/>
      <c r="Q280" s="140"/>
      <c r="R280" s="140"/>
      <c r="S280" s="140"/>
      <c r="T280" s="140"/>
      <c r="U280" s="140"/>
      <c r="V280" s="140"/>
      <c r="W280" s="140"/>
      <c r="X280" s="140"/>
      <c r="Y280" s="140"/>
      <c r="Z280" s="140"/>
      <c r="AA280" s="140"/>
      <c r="AB280" s="140"/>
    </row>
    <row r="281" spans="1:28" x14ac:dyDescent="0.35">
      <c r="A281" s="140"/>
      <c r="B281" s="140"/>
      <c r="C281" s="140"/>
      <c r="D281" s="257"/>
      <c r="E281" s="257"/>
      <c r="F281" s="140"/>
      <c r="G281" s="140"/>
      <c r="H281" s="140"/>
      <c r="I281" s="140"/>
      <c r="J281" s="140"/>
      <c r="K281" s="140"/>
      <c r="L281" s="140"/>
      <c r="M281" s="140"/>
      <c r="N281" s="140"/>
      <c r="O281" s="140"/>
      <c r="P281" s="140"/>
      <c r="Q281" s="140"/>
      <c r="R281" s="140"/>
      <c r="S281" s="140"/>
      <c r="T281" s="140"/>
      <c r="U281" s="140"/>
      <c r="V281" s="140"/>
      <c r="W281" s="140"/>
      <c r="X281" s="140"/>
      <c r="Y281" s="140"/>
      <c r="Z281" s="140"/>
      <c r="AA281" s="140"/>
      <c r="AB281" s="140"/>
    </row>
    <row r="282" spans="1:28" x14ac:dyDescent="0.35">
      <c r="A282" s="140"/>
      <c r="B282" s="140"/>
      <c r="C282" s="140"/>
      <c r="D282" s="257"/>
      <c r="E282" s="257"/>
      <c r="F282" s="140"/>
      <c r="G282" s="140"/>
      <c r="H282" s="140"/>
      <c r="I282" s="140"/>
      <c r="J282" s="140"/>
      <c r="K282" s="140"/>
      <c r="L282" s="140"/>
      <c r="M282" s="140"/>
      <c r="N282" s="140"/>
      <c r="O282" s="140"/>
      <c r="P282" s="140"/>
      <c r="Q282" s="140"/>
      <c r="R282" s="140"/>
      <c r="S282" s="140"/>
      <c r="T282" s="140"/>
      <c r="U282" s="140"/>
      <c r="V282" s="140"/>
      <c r="W282" s="140"/>
      <c r="X282" s="140"/>
      <c r="Y282" s="140"/>
      <c r="Z282" s="140"/>
      <c r="AA282" s="140"/>
      <c r="AB282" s="140"/>
    </row>
    <row r="283" spans="1:28" x14ac:dyDescent="0.35">
      <c r="A283" s="140"/>
      <c r="B283" s="140"/>
      <c r="C283" s="140"/>
      <c r="D283" s="257"/>
      <c r="E283" s="257"/>
      <c r="F283" s="140"/>
      <c r="G283" s="140"/>
      <c r="H283" s="140"/>
      <c r="I283" s="140"/>
      <c r="J283" s="140"/>
      <c r="K283" s="140"/>
      <c r="L283" s="140"/>
      <c r="M283" s="140"/>
      <c r="N283" s="140"/>
      <c r="O283" s="140"/>
      <c r="P283" s="140"/>
      <c r="Q283" s="140"/>
      <c r="R283" s="140"/>
      <c r="S283" s="140"/>
      <c r="T283" s="140"/>
      <c r="U283" s="140"/>
      <c r="V283" s="140"/>
      <c r="W283" s="140"/>
      <c r="X283" s="140"/>
      <c r="Y283" s="140"/>
      <c r="Z283" s="140"/>
      <c r="AA283" s="140"/>
      <c r="AB283" s="140"/>
    </row>
    <row r="284" spans="1:28" x14ac:dyDescent="0.35">
      <c r="A284" s="140"/>
      <c r="B284" s="140"/>
      <c r="C284" s="140"/>
      <c r="D284" s="257"/>
      <c r="E284" s="257"/>
      <c r="F284" s="140"/>
      <c r="G284" s="140"/>
      <c r="H284" s="140"/>
      <c r="I284" s="140"/>
      <c r="J284" s="140"/>
      <c r="K284" s="140"/>
      <c r="L284" s="140"/>
      <c r="M284" s="140"/>
      <c r="N284" s="140"/>
      <c r="O284" s="140"/>
      <c r="P284" s="140"/>
      <c r="Q284" s="140"/>
      <c r="R284" s="140"/>
      <c r="S284" s="140"/>
      <c r="T284" s="140"/>
      <c r="U284" s="140"/>
      <c r="V284" s="140"/>
      <c r="W284" s="140"/>
      <c r="X284" s="140"/>
      <c r="Y284" s="140"/>
      <c r="Z284" s="140"/>
      <c r="AA284" s="140"/>
      <c r="AB284" s="140"/>
    </row>
    <row r="285" spans="1:28" x14ac:dyDescent="0.35">
      <c r="A285" s="140"/>
      <c r="B285" s="140"/>
      <c r="C285" s="140"/>
      <c r="D285" s="257"/>
      <c r="E285" s="257"/>
      <c r="F285" s="140"/>
      <c r="G285" s="140"/>
      <c r="H285" s="140"/>
      <c r="I285" s="140"/>
      <c r="J285" s="140"/>
      <c r="K285" s="140"/>
      <c r="L285" s="140"/>
      <c r="M285" s="140"/>
      <c r="N285" s="140"/>
      <c r="O285" s="140"/>
      <c r="P285" s="140"/>
      <c r="Q285" s="140"/>
      <c r="R285" s="140"/>
      <c r="S285" s="140"/>
      <c r="T285" s="140"/>
      <c r="U285" s="140"/>
      <c r="V285" s="140"/>
      <c r="W285" s="140"/>
      <c r="X285" s="140"/>
      <c r="Y285" s="140"/>
      <c r="Z285" s="140"/>
      <c r="AA285" s="140"/>
      <c r="AB285" s="140"/>
    </row>
    <row r="286" spans="1:28" x14ac:dyDescent="0.35">
      <c r="A286" s="140"/>
      <c r="B286" s="140"/>
      <c r="C286" s="140"/>
      <c r="D286" s="257"/>
      <c r="E286" s="257"/>
      <c r="F286" s="140"/>
      <c r="G286" s="140"/>
      <c r="H286" s="140"/>
      <c r="I286" s="140"/>
      <c r="J286" s="140"/>
      <c r="K286" s="140"/>
      <c r="L286" s="140"/>
      <c r="M286" s="140"/>
      <c r="N286" s="140"/>
      <c r="O286" s="140"/>
      <c r="P286" s="140"/>
      <c r="Q286" s="140"/>
      <c r="R286" s="140"/>
      <c r="S286" s="140"/>
      <c r="T286" s="140"/>
      <c r="U286" s="140"/>
      <c r="V286" s="140"/>
      <c r="W286" s="140"/>
      <c r="X286" s="140"/>
      <c r="Y286" s="140"/>
      <c r="Z286" s="140"/>
      <c r="AA286" s="140"/>
      <c r="AB286" s="140"/>
    </row>
    <row r="287" spans="1:28" x14ac:dyDescent="0.35">
      <c r="A287" s="140"/>
      <c r="B287" s="140"/>
      <c r="C287" s="140"/>
      <c r="D287" s="257"/>
      <c r="E287" s="257"/>
      <c r="F287" s="140"/>
      <c r="G287" s="140"/>
      <c r="H287" s="140"/>
      <c r="I287" s="140"/>
      <c r="J287" s="140"/>
      <c r="K287" s="140"/>
      <c r="L287" s="140"/>
      <c r="M287" s="140"/>
      <c r="N287" s="140"/>
      <c r="O287" s="140"/>
      <c r="P287" s="140"/>
      <c r="Q287" s="140"/>
      <c r="R287" s="140"/>
      <c r="S287" s="140"/>
      <c r="T287" s="140"/>
      <c r="U287" s="140"/>
      <c r="V287" s="140"/>
      <c r="W287" s="140"/>
      <c r="X287" s="140"/>
      <c r="Y287" s="140"/>
      <c r="Z287" s="140"/>
      <c r="AA287" s="140"/>
      <c r="AB287" s="140"/>
    </row>
    <row r="288" spans="1:28" x14ac:dyDescent="0.35">
      <c r="A288" s="140"/>
      <c r="B288" s="140"/>
      <c r="C288" s="140"/>
      <c r="D288" s="257"/>
      <c r="E288" s="257"/>
      <c r="F288" s="140"/>
      <c r="G288" s="140"/>
      <c r="H288" s="140"/>
      <c r="I288" s="140"/>
      <c r="J288" s="140"/>
      <c r="K288" s="140"/>
      <c r="L288" s="140"/>
      <c r="M288" s="140"/>
      <c r="N288" s="140"/>
      <c r="O288" s="140"/>
      <c r="P288" s="140"/>
      <c r="Q288" s="140"/>
      <c r="R288" s="140"/>
      <c r="S288" s="140"/>
      <c r="T288" s="140"/>
      <c r="U288" s="140"/>
      <c r="V288" s="140"/>
      <c r="W288" s="140"/>
      <c r="X288" s="140"/>
      <c r="Y288" s="140"/>
      <c r="Z288" s="140"/>
      <c r="AA288" s="140"/>
      <c r="AB288" s="140"/>
    </row>
    <row r="289" spans="1:28" x14ac:dyDescent="0.35">
      <c r="A289" s="140"/>
      <c r="B289" s="140"/>
      <c r="C289" s="140"/>
      <c r="D289" s="257"/>
      <c r="E289" s="257"/>
      <c r="F289" s="140"/>
      <c r="G289" s="140"/>
      <c r="H289" s="140"/>
      <c r="I289" s="140"/>
      <c r="J289" s="140"/>
      <c r="K289" s="140"/>
      <c r="L289" s="140"/>
      <c r="M289" s="140"/>
      <c r="N289" s="140"/>
      <c r="O289" s="140"/>
      <c r="P289" s="140"/>
      <c r="Q289" s="140"/>
      <c r="R289" s="140"/>
      <c r="S289" s="140"/>
      <c r="T289" s="140"/>
      <c r="U289" s="140"/>
      <c r="V289" s="140"/>
      <c r="W289" s="140"/>
      <c r="X289" s="140"/>
      <c r="Y289" s="140"/>
      <c r="Z289" s="140"/>
      <c r="AA289" s="140"/>
      <c r="AB289" s="140"/>
    </row>
    <row r="290" spans="1:28" x14ac:dyDescent="0.35">
      <c r="A290" s="140"/>
      <c r="B290" s="140"/>
      <c r="C290" s="140"/>
      <c r="D290" s="257"/>
      <c r="E290" s="257"/>
      <c r="F290" s="140"/>
      <c r="G290" s="140"/>
      <c r="H290" s="140"/>
      <c r="I290" s="140"/>
      <c r="J290" s="140"/>
      <c r="K290" s="140"/>
      <c r="L290" s="140"/>
      <c r="M290" s="140"/>
      <c r="N290" s="140"/>
      <c r="O290" s="140"/>
      <c r="P290" s="140"/>
      <c r="Q290" s="140"/>
      <c r="R290" s="140"/>
      <c r="S290" s="140"/>
      <c r="T290" s="140"/>
      <c r="U290" s="140"/>
      <c r="V290" s="140"/>
      <c r="W290" s="140"/>
      <c r="X290" s="140"/>
      <c r="Y290" s="140"/>
      <c r="Z290" s="140"/>
      <c r="AA290" s="140"/>
      <c r="AB290" s="140"/>
    </row>
    <row r="291" spans="1:28" x14ac:dyDescent="0.35">
      <c r="A291" s="140"/>
      <c r="B291" s="140"/>
      <c r="C291" s="140"/>
      <c r="D291" s="257"/>
      <c r="E291" s="257"/>
      <c r="F291" s="140"/>
      <c r="G291" s="140"/>
      <c r="H291" s="140"/>
      <c r="I291" s="140"/>
      <c r="J291" s="140"/>
      <c r="K291" s="140"/>
      <c r="L291" s="140"/>
      <c r="M291" s="140"/>
      <c r="N291" s="140"/>
      <c r="O291" s="140"/>
      <c r="P291" s="140"/>
      <c r="Q291" s="140"/>
      <c r="R291" s="140"/>
      <c r="S291" s="140"/>
      <c r="T291" s="140"/>
      <c r="U291" s="140"/>
      <c r="V291" s="140"/>
      <c r="W291" s="140"/>
      <c r="X291" s="140"/>
      <c r="Y291" s="140"/>
      <c r="Z291" s="140"/>
      <c r="AA291" s="140"/>
      <c r="AB291" s="140"/>
    </row>
    <row r="292" spans="1:28" x14ac:dyDescent="0.35">
      <c r="A292" s="140"/>
      <c r="B292" s="140"/>
      <c r="C292" s="140"/>
      <c r="D292" s="257"/>
      <c r="E292" s="257"/>
      <c r="F292" s="140"/>
      <c r="G292" s="140"/>
      <c r="H292" s="140"/>
      <c r="I292" s="140"/>
      <c r="J292" s="140"/>
      <c r="K292" s="140"/>
      <c r="L292" s="140"/>
      <c r="M292" s="140"/>
      <c r="N292" s="140"/>
      <c r="O292" s="140"/>
      <c r="P292" s="140"/>
      <c r="Q292" s="140"/>
      <c r="R292" s="140"/>
      <c r="S292" s="140"/>
      <c r="T292" s="140"/>
      <c r="U292" s="140"/>
      <c r="V292" s="140"/>
      <c r="W292" s="140"/>
      <c r="X292" s="140"/>
      <c r="Y292" s="140"/>
      <c r="Z292" s="140"/>
      <c r="AA292" s="140"/>
      <c r="AB292" s="140"/>
    </row>
    <row r="293" spans="1:28" x14ac:dyDescent="0.35">
      <c r="A293" s="140"/>
      <c r="B293" s="140"/>
      <c r="C293" s="140"/>
      <c r="D293" s="257"/>
      <c r="E293" s="257"/>
      <c r="F293" s="140"/>
      <c r="G293" s="140"/>
      <c r="H293" s="140"/>
      <c r="I293" s="140"/>
      <c r="J293" s="140"/>
      <c r="K293" s="140"/>
      <c r="L293" s="140"/>
      <c r="M293" s="140"/>
      <c r="N293" s="140"/>
      <c r="O293" s="140"/>
      <c r="P293" s="140"/>
      <c r="Q293" s="140"/>
      <c r="R293" s="140"/>
      <c r="S293" s="140"/>
      <c r="T293" s="140"/>
      <c r="U293" s="140"/>
      <c r="V293" s="140"/>
      <c r="W293" s="140"/>
      <c r="X293" s="140"/>
      <c r="Y293" s="140"/>
      <c r="Z293" s="140"/>
      <c r="AA293" s="140"/>
      <c r="AB293" s="140"/>
    </row>
    <row r="294" spans="1:28" x14ac:dyDescent="0.35">
      <c r="G294" s="140"/>
      <c r="H294" s="140"/>
      <c r="I294" s="140"/>
      <c r="J294" s="140"/>
      <c r="K294" s="140"/>
      <c r="L294" s="140"/>
      <c r="M294" s="140"/>
      <c r="N294" s="140"/>
      <c r="O294" s="140"/>
      <c r="P294" s="140"/>
      <c r="Q294" s="140"/>
      <c r="R294" s="140"/>
      <c r="S294" s="140"/>
      <c r="T294" s="140"/>
      <c r="U294" s="140"/>
      <c r="V294" s="140"/>
      <c r="W294" s="140"/>
      <c r="X294" s="140"/>
      <c r="Y294" s="140"/>
      <c r="Z294" s="140"/>
      <c r="AA294" s="140"/>
      <c r="AB294" s="140"/>
    </row>
    <row r="295" spans="1:28" x14ac:dyDescent="0.35">
      <c r="G295" s="140"/>
      <c r="H295" s="140"/>
      <c r="I295" s="140"/>
      <c r="J295" s="140"/>
      <c r="K295" s="140"/>
      <c r="L295" s="140"/>
      <c r="M295" s="140"/>
      <c r="N295" s="140"/>
      <c r="O295" s="140"/>
      <c r="P295" s="140"/>
      <c r="Q295" s="140"/>
      <c r="R295" s="140"/>
      <c r="S295" s="140"/>
      <c r="T295" s="140"/>
      <c r="U295" s="140"/>
      <c r="V295" s="140"/>
      <c r="W295" s="140"/>
      <c r="X295" s="140"/>
      <c r="Y295" s="140"/>
      <c r="Z295" s="140"/>
      <c r="AA295" s="140"/>
      <c r="AB295" s="140"/>
    </row>
    <row r="296" spans="1:28" x14ac:dyDescent="0.35">
      <c r="G296" s="140"/>
      <c r="H296" s="140"/>
      <c r="I296" s="140"/>
      <c r="J296" s="140"/>
      <c r="K296" s="140"/>
      <c r="L296" s="140"/>
      <c r="M296" s="140"/>
      <c r="N296" s="140"/>
      <c r="O296" s="140"/>
      <c r="P296" s="140"/>
      <c r="Q296" s="140"/>
      <c r="R296" s="140"/>
      <c r="S296" s="140"/>
      <c r="T296" s="140"/>
      <c r="U296" s="140"/>
      <c r="V296" s="140"/>
      <c r="W296" s="140"/>
      <c r="X296" s="140"/>
      <c r="Y296" s="140"/>
      <c r="Z296" s="140"/>
      <c r="AA296" s="140"/>
      <c r="AB296" s="140"/>
    </row>
    <row r="297" spans="1:28" x14ac:dyDescent="0.35">
      <c r="G297" s="140"/>
      <c r="H297" s="140"/>
      <c r="I297" s="140"/>
      <c r="J297" s="140"/>
      <c r="K297" s="140"/>
      <c r="L297" s="140"/>
      <c r="M297" s="140"/>
      <c r="N297" s="140"/>
      <c r="O297" s="140"/>
      <c r="P297" s="140"/>
      <c r="Q297" s="140"/>
      <c r="R297" s="140"/>
      <c r="S297" s="140"/>
      <c r="T297" s="140"/>
      <c r="U297" s="140"/>
      <c r="V297" s="140"/>
      <c r="W297" s="140"/>
      <c r="X297" s="140"/>
      <c r="Y297" s="140"/>
      <c r="Z297" s="140"/>
      <c r="AA297" s="140"/>
      <c r="AB297" s="140"/>
    </row>
    <row r="298" spans="1:28" x14ac:dyDescent="0.35">
      <c r="G298" s="140"/>
      <c r="H298" s="140"/>
      <c r="I298" s="140"/>
      <c r="J298" s="140"/>
      <c r="K298" s="140"/>
      <c r="L298" s="140"/>
      <c r="M298" s="140"/>
      <c r="N298" s="140"/>
      <c r="O298" s="140"/>
      <c r="P298" s="140"/>
      <c r="Q298" s="140"/>
      <c r="R298" s="140"/>
      <c r="S298" s="140"/>
      <c r="T298" s="140"/>
      <c r="U298" s="140"/>
      <c r="V298" s="140"/>
      <c r="W298" s="140"/>
      <c r="X298" s="140"/>
      <c r="Y298" s="140"/>
      <c r="Z298" s="140"/>
      <c r="AA298" s="140"/>
      <c r="AB298" s="140"/>
    </row>
    <row r="299" spans="1:28" x14ac:dyDescent="0.35">
      <c r="G299" s="140"/>
      <c r="H299" s="140"/>
      <c r="I299" s="140"/>
      <c r="J299" s="140"/>
      <c r="K299" s="140"/>
      <c r="L299" s="140"/>
      <c r="M299" s="140"/>
      <c r="N299" s="140"/>
      <c r="O299" s="140"/>
      <c r="P299" s="140"/>
      <c r="Q299" s="140"/>
      <c r="R299" s="140"/>
      <c r="S299" s="140"/>
      <c r="T299" s="140"/>
      <c r="U299" s="140"/>
      <c r="V299" s="140"/>
      <c r="W299" s="140"/>
      <c r="X299" s="140"/>
      <c r="Y299" s="140"/>
      <c r="Z299" s="140"/>
      <c r="AA299" s="140"/>
      <c r="AB299" s="140"/>
    </row>
    <row r="300" spans="1:28" x14ac:dyDescent="0.35">
      <c r="G300" s="140"/>
      <c r="H300" s="140"/>
      <c r="I300" s="140"/>
      <c r="J300" s="140"/>
      <c r="K300" s="140"/>
      <c r="L300" s="140"/>
      <c r="M300" s="140"/>
      <c r="N300" s="140"/>
      <c r="O300" s="140"/>
      <c r="P300" s="140"/>
      <c r="Q300" s="140"/>
      <c r="R300" s="140"/>
      <c r="S300" s="140"/>
      <c r="T300" s="140"/>
      <c r="U300" s="140"/>
      <c r="V300" s="140"/>
      <c r="W300" s="140"/>
      <c r="X300" s="140"/>
      <c r="Y300" s="140"/>
      <c r="Z300" s="140"/>
      <c r="AA300" s="140"/>
      <c r="AB300" s="140"/>
    </row>
    <row r="301" spans="1:28" x14ac:dyDescent="0.35">
      <c r="G301" s="140"/>
      <c r="H301" s="140"/>
      <c r="I301" s="140"/>
      <c r="J301" s="140"/>
      <c r="K301" s="140"/>
      <c r="L301" s="140"/>
      <c r="M301" s="140"/>
      <c r="N301" s="140"/>
      <c r="O301" s="140"/>
      <c r="P301" s="140"/>
      <c r="Q301" s="140"/>
      <c r="R301" s="140"/>
      <c r="S301" s="140"/>
      <c r="T301" s="140"/>
      <c r="U301" s="140"/>
      <c r="V301" s="140"/>
      <c r="W301" s="140"/>
      <c r="X301" s="140"/>
      <c r="Y301" s="140"/>
      <c r="Z301" s="140"/>
      <c r="AA301" s="140"/>
      <c r="AB301" s="140"/>
    </row>
    <row r="302" spans="1:28" x14ac:dyDescent="0.35">
      <c r="G302" s="140"/>
      <c r="H302" s="140"/>
      <c r="I302" s="140"/>
      <c r="J302" s="140"/>
      <c r="K302" s="140"/>
      <c r="L302" s="140"/>
      <c r="M302" s="140"/>
      <c r="N302" s="140"/>
      <c r="O302" s="140"/>
      <c r="P302" s="140"/>
      <c r="Q302" s="140"/>
      <c r="R302" s="140"/>
      <c r="S302" s="140"/>
      <c r="T302" s="140"/>
      <c r="U302" s="140"/>
      <c r="V302" s="140"/>
      <c r="W302" s="140"/>
      <c r="X302" s="140"/>
      <c r="Y302" s="140"/>
      <c r="Z302" s="140"/>
      <c r="AA302" s="140"/>
      <c r="AB302" s="140"/>
    </row>
    <row r="303" spans="1:28" x14ac:dyDescent="0.35">
      <c r="G303" s="140"/>
      <c r="H303" s="140"/>
      <c r="I303" s="140"/>
      <c r="J303" s="140"/>
      <c r="K303" s="140"/>
      <c r="L303" s="140"/>
      <c r="M303" s="140"/>
      <c r="N303" s="140"/>
      <c r="O303" s="140"/>
      <c r="P303" s="140"/>
      <c r="Q303" s="140"/>
      <c r="R303" s="140"/>
      <c r="S303" s="140"/>
      <c r="T303" s="140"/>
      <c r="U303" s="140"/>
      <c r="V303" s="140"/>
      <c r="W303" s="140"/>
      <c r="X303" s="140"/>
      <c r="Y303" s="140"/>
      <c r="Z303" s="140"/>
      <c r="AA303" s="140"/>
      <c r="AB303" s="140"/>
    </row>
    <row r="304" spans="1:28" x14ac:dyDescent="0.35">
      <c r="G304" s="140"/>
      <c r="H304" s="140"/>
      <c r="I304" s="140"/>
      <c r="J304" s="140"/>
      <c r="K304" s="140"/>
      <c r="L304" s="140"/>
      <c r="M304" s="140"/>
      <c r="N304" s="140"/>
      <c r="O304" s="140"/>
      <c r="P304" s="140"/>
      <c r="Q304" s="140"/>
      <c r="R304" s="140"/>
      <c r="S304" s="140"/>
      <c r="T304" s="140"/>
      <c r="U304" s="140"/>
      <c r="V304" s="140"/>
      <c r="W304" s="140"/>
      <c r="X304" s="140"/>
      <c r="Y304" s="140"/>
      <c r="Z304" s="140"/>
      <c r="AA304" s="140"/>
      <c r="AB304" s="140"/>
    </row>
    <row r="305" spans="7:28" x14ac:dyDescent="0.35">
      <c r="G305" s="140"/>
      <c r="H305" s="140"/>
      <c r="I305" s="140"/>
      <c r="J305" s="140"/>
      <c r="K305" s="140"/>
      <c r="L305" s="140"/>
      <c r="M305" s="140"/>
      <c r="N305" s="140"/>
      <c r="O305" s="140"/>
      <c r="P305" s="140"/>
      <c r="Q305" s="140"/>
      <c r="R305" s="140"/>
      <c r="S305" s="140"/>
      <c r="T305" s="140"/>
      <c r="U305" s="140"/>
      <c r="V305" s="140"/>
      <c r="W305" s="140"/>
      <c r="X305" s="140"/>
      <c r="Y305" s="140"/>
      <c r="Z305" s="140"/>
      <c r="AA305" s="140"/>
      <c r="AB305" s="140"/>
    </row>
    <row r="306" spans="7:28" x14ac:dyDescent="0.35">
      <c r="G306" s="140"/>
      <c r="H306" s="140"/>
      <c r="I306" s="140"/>
      <c r="J306" s="140"/>
      <c r="K306" s="140"/>
      <c r="L306" s="140"/>
      <c r="M306" s="140"/>
      <c r="N306" s="140"/>
      <c r="O306" s="140"/>
      <c r="P306" s="140"/>
      <c r="Q306" s="140"/>
      <c r="R306" s="140"/>
      <c r="S306" s="140"/>
      <c r="T306" s="140"/>
      <c r="U306" s="140"/>
      <c r="V306" s="140"/>
      <c r="W306" s="140"/>
      <c r="X306" s="140"/>
      <c r="Y306" s="140"/>
      <c r="Z306" s="140"/>
      <c r="AA306" s="140"/>
      <c r="AB306" s="140"/>
    </row>
    <row r="307" spans="7:28" x14ac:dyDescent="0.35">
      <c r="G307" s="140"/>
      <c r="H307" s="140"/>
      <c r="I307" s="140"/>
      <c r="J307" s="140"/>
      <c r="K307" s="140"/>
      <c r="L307" s="140"/>
      <c r="M307" s="140"/>
      <c r="N307" s="140"/>
      <c r="O307" s="140"/>
      <c r="P307" s="140"/>
      <c r="Q307" s="140"/>
      <c r="R307" s="140"/>
      <c r="S307" s="140"/>
      <c r="T307" s="140"/>
      <c r="U307" s="140"/>
      <c r="V307" s="140"/>
      <c r="W307" s="140"/>
      <c r="X307" s="140"/>
      <c r="Y307" s="140"/>
      <c r="Z307" s="140"/>
      <c r="AA307" s="140"/>
      <c r="AB307" s="140"/>
    </row>
    <row r="308" spans="7:28" x14ac:dyDescent="0.35">
      <c r="G308" s="140"/>
      <c r="H308" s="140"/>
      <c r="I308" s="140"/>
      <c r="J308" s="140"/>
      <c r="K308" s="140"/>
      <c r="L308" s="140"/>
      <c r="M308" s="140"/>
      <c r="N308" s="140"/>
      <c r="O308" s="140"/>
      <c r="P308" s="140"/>
      <c r="Q308" s="140"/>
      <c r="R308" s="140"/>
      <c r="S308" s="140"/>
      <c r="T308" s="140"/>
      <c r="U308" s="140"/>
      <c r="V308" s="140"/>
      <c r="W308" s="140"/>
      <c r="X308" s="140"/>
      <c r="Y308" s="140"/>
      <c r="Z308" s="140"/>
      <c r="AA308" s="140"/>
      <c r="AB308" s="140"/>
    </row>
    <row r="309" spans="7:28" x14ac:dyDescent="0.35">
      <c r="G309" s="140"/>
      <c r="H309" s="140"/>
      <c r="I309" s="140"/>
      <c r="J309" s="140"/>
      <c r="K309" s="140"/>
      <c r="L309" s="140"/>
      <c r="M309" s="140"/>
      <c r="N309" s="140"/>
      <c r="O309" s="140"/>
      <c r="P309" s="140"/>
      <c r="Q309" s="140"/>
      <c r="R309" s="140"/>
      <c r="S309" s="140"/>
      <c r="T309" s="140"/>
      <c r="U309" s="140"/>
      <c r="V309" s="140"/>
      <c r="W309" s="140"/>
      <c r="X309" s="140"/>
      <c r="Y309" s="140"/>
      <c r="Z309" s="140"/>
      <c r="AA309" s="140"/>
      <c r="AB309" s="140"/>
    </row>
    <row r="310" spans="7:28" x14ac:dyDescent="0.35">
      <c r="G310" s="140"/>
      <c r="H310" s="140"/>
      <c r="I310" s="140"/>
      <c r="J310" s="140"/>
      <c r="K310" s="140"/>
      <c r="L310" s="140"/>
      <c r="M310" s="140"/>
      <c r="N310" s="140"/>
      <c r="O310" s="140"/>
      <c r="P310" s="140"/>
      <c r="Q310" s="140"/>
      <c r="R310" s="140"/>
      <c r="S310" s="140"/>
      <c r="T310" s="140"/>
      <c r="U310" s="140"/>
      <c r="V310" s="140"/>
      <c r="W310" s="140"/>
      <c r="X310" s="140"/>
      <c r="Y310" s="140"/>
      <c r="Z310" s="140"/>
      <c r="AA310" s="140"/>
      <c r="AB310" s="140"/>
    </row>
    <row r="311" spans="7:28" x14ac:dyDescent="0.35">
      <c r="G311" s="140"/>
      <c r="H311" s="140"/>
      <c r="I311" s="140"/>
      <c r="J311" s="140"/>
      <c r="K311" s="140"/>
      <c r="L311" s="140"/>
      <c r="M311" s="140"/>
      <c r="N311" s="140"/>
      <c r="O311" s="140"/>
      <c r="P311" s="140"/>
      <c r="Q311" s="140"/>
      <c r="R311" s="140"/>
      <c r="S311" s="140"/>
      <c r="T311" s="140"/>
      <c r="U311" s="140"/>
      <c r="V311" s="140"/>
      <c r="W311" s="140"/>
      <c r="X311" s="140"/>
      <c r="Y311" s="140"/>
      <c r="Z311" s="140"/>
      <c r="AA311" s="140"/>
      <c r="AB311" s="140"/>
    </row>
    <row r="312" spans="7:28" x14ac:dyDescent="0.35">
      <c r="G312" s="140"/>
      <c r="H312" s="140"/>
      <c r="I312" s="140"/>
      <c r="J312" s="140"/>
      <c r="K312" s="140"/>
      <c r="L312" s="140"/>
      <c r="M312" s="140"/>
      <c r="N312" s="140"/>
      <c r="O312" s="140"/>
      <c r="P312" s="140"/>
      <c r="Q312" s="140"/>
      <c r="R312" s="140"/>
      <c r="S312" s="140"/>
      <c r="T312" s="140"/>
      <c r="U312" s="140"/>
      <c r="V312" s="140"/>
      <c r="W312" s="140"/>
      <c r="X312" s="140"/>
      <c r="Y312" s="140"/>
      <c r="Z312" s="140"/>
      <c r="AA312" s="140"/>
      <c r="AB312" s="140"/>
    </row>
    <row r="313" spans="7:28" x14ac:dyDescent="0.35">
      <c r="G313" s="140"/>
      <c r="H313" s="140"/>
      <c r="I313" s="140"/>
      <c r="J313" s="140"/>
      <c r="K313" s="140"/>
      <c r="L313" s="140"/>
      <c r="M313" s="140"/>
      <c r="N313" s="140"/>
      <c r="O313" s="140"/>
      <c r="P313" s="140"/>
      <c r="Q313" s="140"/>
      <c r="R313" s="140"/>
      <c r="S313" s="140"/>
      <c r="T313" s="140"/>
      <c r="U313" s="140"/>
      <c r="V313" s="140"/>
      <c r="W313" s="140"/>
      <c r="X313" s="140"/>
      <c r="Y313" s="140"/>
      <c r="Z313" s="140"/>
      <c r="AA313" s="140"/>
      <c r="AB313" s="140"/>
    </row>
    <row r="314" spans="7:28" x14ac:dyDescent="0.35">
      <c r="G314" s="140"/>
      <c r="H314" s="140"/>
      <c r="I314" s="140"/>
      <c r="J314" s="140"/>
      <c r="K314" s="140"/>
      <c r="L314" s="140"/>
      <c r="M314" s="140"/>
      <c r="N314" s="140"/>
      <c r="O314" s="140"/>
      <c r="P314" s="140"/>
      <c r="Q314" s="140"/>
      <c r="R314" s="140"/>
      <c r="S314" s="140"/>
      <c r="T314" s="140"/>
      <c r="U314" s="140"/>
      <c r="V314" s="140"/>
      <c r="W314" s="140"/>
      <c r="X314" s="140"/>
      <c r="Y314" s="140"/>
      <c r="Z314" s="140"/>
      <c r="AA314" s="140"/>
      <c r="AB314" s="140"/>
    </row>
    <row r="315" spans="7:28" x14ac:dyDescent="0.35">
      <c r="G315" s="140"/>
      <c r="H315" s="140"/>
      <c r="I315" s="140"/>
      <c r="J315" s="140"/>
      <c r="K315" s="140"/>
      <c r="L315" s="140"/>
      <c r="M315" s="140"/>
      <c r="N315" s="140"/>
      <c r="O315" s="140"/>
      <c r="P315" s="140"/>
      <c r="Q315" s="140"/>
      <c r="R315" s="140"/>
      <c r="S315" s="140"/>
      <c r="T315" s="140"/>
      <c r="U315" s="140"/>
      <c r="V315" s="140"/>
      <c r="W315" s="140"/>
      <c r="X315" s="140"/>
      <c r="Y315" s="140"/>
      <c r="Z315" s="140"/>
      <c r="AA315" s="140"/>
      <c r="AB315" s="140"/>
    </row>
    <row r="316" spans="7:28" x14ac:dyDescent="0.35">
      <c r="G316" s="140"/>
      <c r="H316" s="140"/>
      <c r="I316" s="140"/>
      <c r="J316" s="140"/>
      <c r="K316" s="140"/>
      <c r="L316" s="140"/>
      <c r="M316" s="140"/>
      <c r="N316" s="140"/>
      <c r="O316" s="140"/>
      <c r="P316" s="140"/>
      <c r="Q316" s="140"/>
      <c r="R316" s="140"/>
      <c r="S316" s="140"/>
      <c r="T316" s="140"/>
      <c r="U316" s="140"/>
      <c r="V316" s="140"/>
      <c r="W316" s="140"/>
      <c r="X316" s="140"/>
      <c r="Y316" s="140"/>
      <c r="Z316" s="140"/>
      <c r="AA316" s="140"/>
      <c r="AB316" s="140"/>
    </row>
    <row r="317" spans="7:28" x14ac:dyDescent="0.35">
      <c r="G317" s="140"/>
      <c r="H317" s="140"/>
      <c r="I317" s="140"/>
      <c r="J317" s="140"/>
      <c r="K317" s="140"/>
      <c r="L317" s="140"/>
      <c r="M317" s="140"/>
      <c r="N317" s="140"/>
      <c r="O317" s="140"/>
      <c r="P317" s="140"/>
      <c r="Q317" s="140"/>
      <c r="R317" s="140"/>
      <c r="S317" s="140"/>
      <c r="T317" s="140"/>
      <c r="U317" s="140"/>
      <c r="V317" s="140"/>
      <c r="W317" s="140"/>
      <c r="X317" s="140"/>
      <c r="Y317" s="140"/>
      <c r="Z317" s="140"/>
      <c r="AA317" s="140"/>
      <c r="AB317" s="140"/>
    </row>
    <row r="318" spans="7:28" x14ac:dyDescent="0.35">
      <c r="G318" s="140"/>
      <c r="H318" s="140"/>
      <c r="I318" s="140"/>
      <c r="J318" s="140"/>
      <c r="K318" s="140"/>
      <c r="L318" s="140"/>
      <c r="M318" s="140"/>
      <c r="N318" s="140"/>
      <c r="O318" s="140"/>
      <c r="P318" s="140"/>
      <c r="Q318" s="140"/>
      <c r="R318" s="140"/>
      <c r="S318" s="140"/>
      <c r="T318" s="140"/>
      <c r="U318" s="140"/>
      <c r="V318" s="140"/>
      <c r="W318" s="140"/>
      <c r="X318" s="140"/>
      <c r="Y318" s="140"/>
      <c r="Z318" s="140"/>
      <c r="AA318" s="140"/>
      <c r="AB318" s="140"/>
    </row>
    <row r="319" spans="7:28" x14ac:dyDescent="0.35">
      <c r="G319" s="140"/>
      <c r="H319" s="140"/>
      <c r="I319" s="140"/>
      <c r="J319" s="140"/>
      <c r="K319" s="140"/>
      <c r="L319" s="140"/>
      <c r="M319" s="140"/>
      <c r="N319" s="140"/>
      <c r="O319" s="140"/>
      <c r="P319" s="140"/>
      <c r="Q319" s="140"/>
      <c r="R319" s="140"/>
      <c r="S319" s="140"/>
      <c r="T319" s="140"/>
      <c r="U319" s="140"/>
      <c r="V319" s="140"/>
      <c r="W319" s="140"/>
      <c r="X319" s="140"/>
      <c r="Y319" s="140"/>
      <c r="Z319" s="140"/>
      <c r="AA319" s="140"/>
      <c r="AB319" s="140"/>
    </row>
    <row r="320" spans="7:28" x14ac:dyDescent="0.35">
      <c r="G320" s="140"/>
      <c r="H320" s="140"/>
      <c r="I320" s="140"/>
      <c r="J320" s="140"/>
      <c r="K320" s="140"/>
      <c r="L320" s="140"/>
      <c r="M320" s="140"/>
      <c r="N320" s="140"/>
      <c r="O320" s="140"/>
      <c r="P320" s="140"/>
      <c r="Q320" s="140"/>
      <c r="R320" s="140"/>
      <c r="S320" s="140"/>
      <c r="T320" s="140"/>
      <c r="U320" s="140"/>
      <c r="V320" s="140"/>
      <c r="W320" s="140"/>
      <c r="X320" s="140"/>
      <c r="Y320" s="140"/>
      <c r="Z320" s="140"/>
      <c r="AA320" s="140"/>
      <c r="AB320" s="140"/>
    </row>
    <row r="321" spans="7:28" x14ac:dyDescent="0.35">
      <c r="G321" s="140"/>
      <c r="H321" s="140"/>
      <c r="I321" s="140"/>
      <c r="J321" s="140"/>
      <c r="K321" s="140"/>
      <c r="L321" s="140"/>
      <c r="M321" s="140"/>
      <c r="N321" s="140"/>
      <c r="O321" s="140"/>
      <c r="P321" s="140"/>
      <c r="Q321" s="140"/>
      <c r="R321" s="140"/>
      <c r="S321" s="140"/>
      <c r="T321" s="140"/>
      <c r="U321" s="140"/>
      <c r="V321" s="140"/>
      <c r="W321" s="140"/>
      <c r="X321" s="140"/>
      <c r="Y321" s="140"/>
      <c r="Z321" s="140"/>
      <c r="AA321" s="140"/>
      <c r="AB321" s="140"/>
    </row>
    <row r="322" spans="7:28" x14ac:dyDescent="0.35">
      <c r="G322" s="140"/>
      <c r="H322" s="140"/>
      <c r="I322" s="140"/>
      <c r="J322" s="140"/>
      <c r="K322" s="140"/>
      <c r="L322" s="140"/>
      <c r="M322" s="140"/>
      <c r="N322" s="140"/>
      <c r="O322" s="140"/>
      <c r="P322" s="140"/>
      <c r="Q322" s="140"/>
      <c r="R322" s="140"/>
      <c r="S322" s="140"/>
      <c r="T322" s="140"/>
      <c r="U322" s="140"/>
      <c r="V322" s="140"/>
      <c r="W322" s="140"/>
      <c r="X322" s="140"/>
      <c r="Y322" s="140"/>
      <c r="Z322" s="140"/>
      <c r="AA322" s="140"/>
      <c r="AB322" s="140"/>
    </row>
    <row r="323" spans="7:28" x14ac:dyDescent="0.35">
      <c r="G323" s="140"/>
      <c r="H323" s="140"/>
      <c r="I323" s="140"/>
      <c r="J323" s="140"/>
      <c r="K323" s="140"/>
      <c r="L323" s="140"/>
      <c r="M323" s="140"/>
      <c r="N323" s="140"/>
      <c r="O323" s="140"/>
      <c r="P323" s="140"/>
      <c r="Q323" s="140"/>
      <c r="R323" s="140"/>
      <c r="S323" s="140"/>
      <c r="T323" s="140"/>
      <c r="U323" s="140"/>
      <c r="V323" s="140"/>
      <c r="W323" s="140"/>
      <c r="X323" s="140"/>
      <c r="Y323" s="140"/>
      <c r="Z323" s="140"/>
      <c r="AA323" s="140"/>
      <c r="AB323" s="140"/>
    </row>
    <row r="324" spans="7:28" x14ac:dyDescent="0.35">
      <c r="G324" s="140"/>
      <c r="H324" s="140"/>
      <c r="I324" s="140"/>
      <c r="J324" s="140"/>
      <c r="K324" s="140"/>
      <c r="L324" s="140"/>
      <c r="M324" s="140"/>
      <c r="N324" s="140"/>
      <c r="O324" s="140"/>
      <c r="P324" s="140"/>
      <c r="Q324" s="140"/>
      <c r="R324" s="140"/>
      <c r="S324" s="140"/>
      <c r="T324" s="140"/>
      <c r="U324" s="140"/>
      <c r="V324" s="140"/>
      <c r="W324" s="140"/>
      <c r="X324" s="140"/>
      <c r="Y324" s="140"/>
      <c r="Z324" s="140"/>
      <c r="AA324" s="140"/>
      <c r="AB324" s="140"/>
    </row>
    <row r="325" spans="7:28" x14ac:dyDescent="0.35">
      <c r="G325" s="140"/>
      <c r="H325" s="140"/>
      <c r="I325" s="140"/>
      <c r="J325" s="140"/>
      <c r="K325" s="140"/>
      <c r="L325" s="140"/>
      <c r="M325" s="140"/>
      <c r="N325" s="140"/>
      <c r="O325" s="140"/>
      <c r="P325" s="140"/>
      <c r="Q325" s="140"/>
      <c r="R325" s="140"/>
      <c r="S325" s="140"/>
      <c r="T325" s="140"/>
      <c r="U325" s="140"/>
      <c r="V325" s="140"/>
      <c r="W325" s="140"/>
      <c r="X325" s="140"/>
      <c r="Y325" s="140"/>
      <c r="Z325" s="140"/>
      <c r="AA325" s="140"/>
      <c r="AB325" s="140"/>
    </row>
    <row r="326" spans="7:28" x14ac:dyDescent="0.35">
      <c r="G326" s="140"/>
      <c r="H326" s="140"/>
      <c r="I326" s="140"/>
      <c r="J326" s="140"/>
      <c r="K326" s="140"/>
      <c r="L326" s="140"/>
      <c r="M326" s="140"/>
      <c r="N326" s="140"/>
      <c r="O326" s="140"/>
      <c r="P326" s="140"/>
      <c r="Q326" s="140"/>
      <c r="R326" s="140"/>
      <c r="S326" s="140"/>
      <c r="T326" s="140"/>
      <c r="U326" s="140"/>
      <c r="V326" s="140"/>
      <c r="W326" s="140"/>
      <c r="X326" s="140"/>
      <c r="Y326" s="140"/>
      <c r="Z326" s="140"/>
      <c r="AA326" s="140"/>
      <c r="AB326" s="140"/>
    </row>
    <row r="327" spans="7:28" x14ac:dyDescent="0.35">
      <c r="G327" s="140"/>
      <c r="H327" s="140"/>
      <c r="I327" s="140"/>
      <c r="J327" s="140"/>
      <c r="K327" s="140"/>
      <c r="L327" s="140"/>
      <c r="M327" s="140"/>
      <c r="N327" s="140"/>
      <c r="O327" s="140"/>
      <c r="P327" s="140"/>
      <c r="Q327" s="140"/>
      <c r="R327" s="140"/>
      <c r="S327" s="140"/>
      <c r="T327" s="140"/>
      <c r="U327" s="140"/>
      <c r="V327" s="140"/>
      <c r="W327" s="140"/>
      <c r="X327" s="140"/>
      <c r="Y327" s="140"/>
      <c r="Z327" s="140"/>
      <c r="AA327" s="140"/>
      <c r="AB327" s="140"/>
    </row>
    <row r="328" spans="7:28" x14ac:dyDescent="0.35">
      <c r="G328" s="140"/>
      <c r="H328" s="140"/>
      <c r="I328" s="140"/>
      <c r="J328" s="140"/>
      <c r="K328" s="140"/>
      <c r="L328" s="140"/>
      <c r="M328" s="140"/>
      <c r="N328" s="140"/>
      <c r="O328" s="140"/>
      <c r="P328" s="140"/>
      <c r="Q328" s="140"/>
      <c r="R328" s="140"/>
      <c r="S328" s="140"/>
      <c r="T328" s="140"/>
      <c r="U328" s="140"/>
      <c r="V328" s="140"/>
      <c r="W328" s="140"/>
      <c r="X328" s="140"/>
      <c r="Y328" s="140"/>
      <c r="Z328" s="140"/>
      <c r="AA328" s="140"/>
      <c r="AB328" s="140"/>
    </row>
    <row r="329" spans="7:28" x14ac:dyDescent="0.35">
      <c r="G329" s="140"/>
      <c r="H329" s="140"/>
      <c r="I329" s="140"/>
      <c r="J329" s="140"/>
      <c r="K329" s="140"/>
      <c r="L329" s="140"/>
      <c r="M329" s="140"/>
      <c r="N329" s="140"/>
      <c r="O329" s="140"/>
      <c r="P329" s="140"/>
      <c r="Q329" s="140"/>
      <c r="R329" s="140"/>
      <c r="S329" s="140"/>
      <c r="T329" s="140"/>
      <c r="U329" s="140"/>
      <c r="V329" s="140"/>
      <c r="W329" s="140"/>
      <c r="X329" s="140"/>
      <c r="Y329" s="140"/>
      <c r="Z329" s="140"/>
      <c r="AA329" s="140"/>
      <c r="AB329" s="140"/>
    </row>
  </sheetData>
  <sheetProtection algorithmName="SHA-512" hashValue="8r+TIpgD45JMWdXHKwpyamWNY/wj8cuuFDeIiMyPv59WJFnbNmzW6ij2U8Pid2BsTHo7spCjUf3DoNTIUnj5TA==" saltValue="HowtI3yYAy3IoPIGQK4xlQ==" spinCount="100000" sheet="1" objects="1" scenarios="1"/>
  <mergeCells count="1">
    <mergeCell ref="B19:F19"/>
  </mergeCells>
  <conditionalFormatting sqref="D29">
    <cfRule type="expression" dxfId="108" priority="3">
      <formula>$D$28="Circular"</formula>
    </cfRule>
  </conditionalFormatting>
  <conditionalFormatting sqref="D39">
    <cfRule type="expression" dxfId="107" priority="19">
      <formula>$D$23&gt;1</formula>
    </cfRule>
  </conditionalFormatting>
  <conditionalFormatting sqref="D40">
    <cfRule type="expression" dxfId="106" priority="18">
      <formula>$D$23&gt;2</formula>
    </cfRule>
  </conditionalFormatting>
  <conditionalFormatting sqref="D41">
    <cfRule type="expression" dxfId="105" priority="17">
      <formula>$D$23&gt;3</formula>
    </cfRule>
  </conditionalFormatting>
  <conditionalFormatting sqref="D42">
    <cfRule type="expression" dxfId="104" priority="16">
      <formula>$D$23&gt;4</formula>
    </cfRule>
  </conditionalFormatting>
  <conditionalFormatting sqref="D43">
    <cfRule type="expression" dxfId="103" priority="15">
      <formula>$D$23&gt;5</formula>
    </cfRule>
  </conditionalFormatting>
  <conditionalFormatting sqref="D44">
    <cfRule type="expression" dxfId="102" priority="14">
      <formula>$D$23&gt;6</formula>
    </cfRule>
  </conditionalFormatting>
  <conditionalFormatting sqref="D45">
    <cfRule type="expression" dxfId="101" priority="13">
      <formula>$D$23&gt;7</formula>
    </cfRule>
  </conditionalFormatting>
  <conditionalFormatting sqref="D59">
    <cfRule type="cellIs" dxfId="100" priority="4" operator="lessThan">
      <formula>0</formula>
    </cfRule>
  </conditionalFormatting>
  <conditionalFormatting sqref="E39">
    <cfRule type="expression" dxfId="99" priority="1">
      <formula>$D$23&gt;1</formula>
    </cfRule>
  </conditionalFormatting>
  <conditionalFormatting sqref="F29">
    <cfRule type="expression" dxfId="98" priority="2">
      <formula>$D$28="Circular"</formula>
    </cfRule>
  </conditionalFormatting>
  <dataValidations count="20">
    <dataValidation showInputMessage="1" showErrorMessage="1" sqref="E54:E55 IN54:IN55 SJ54:SJ55 ACF54:ACF55 AMB54:AMB55 AVX54:AVX55 BFT54:BFT55 BPP54:BPP55 BZL54:BZL55 CJH54:CJH55 CTD54:CTD55 DCZ54:DCZ55 DMV54:DMV55 DWR54:DWR55 EGN54:EGN55 EQJ54:EQJ55 FAF54:FAF55 FKB54:FKB55 FTX54:FTX55 GDT54:GDT55 GNP54:GNP55 GXL54:GXL55 HHH54:HHH55 HRD54:HRD55 IAZ54:IAZ55 IKV54:IKV55 IUR54:IUR55 JEN54:JEN55 JOJ54:JOJ55 JYF54:JYF55 KIB54:KIB55 KRX54:KRX55 LBT54:LBT55 LLP54:LLP55 LVL54:LVL55 MFH54:MFH55 MPD54:MPD55 MYZ54:MYZ55 NIV54:NIV55 NSR54:NSR55 OCN54:OCN55 OMJ54:OMJ55 OWF54:OWF55 PGB54:PGB55 PPX54:PPX55 PZT54:PZT55 QJP54:QJP55 QTL54:QTL55 RDH54:RDH55 RND54:RND55 RWZ54:RWZ55 SGV54:SGV55 SQR54:SQR55 TAN54:TAN55 TKJ54:TKJ55 TUF54:TUF55 UEB54:UEB55 UNX54:UNX55 UXT54:UXT55 VHP54:VHP55 VRL54:VRL55 WBH54:WBH55 WLD54:WLD55 WUZ54:WUZ55 E65740:E65741 IN65740:IN65741 SJ65740:SJ65741 ACF65740:ACF65741 AMB65740:AMB65741 AVX65740:AVX65741 BFT65740:BFT65741 BPP65740:BPP65741 BZL65740:BZL65741 CJH65740:CJH65741 CTD65740:CTD65741 DCZ65740:DCZ65741 DMV65740:DMV65741 DWR65740:DWR65741 EGN65740:EGN65741 EQJ65740:EQJ65741 FAF65740:FAF65741 FKB65740:FKB65741 FTX65740:FTX65741 GDT65740:GDT65741 GNP65740:GNP65741 GXL65740:GXL65741 HHH65740:HHH65741 HRD65740:HRD65741 IAZ65740:IAZ65741 IKV65740:IKV65741 IUR65740:IUR65741 JEN65740:JEN65741 JOJ65740:JOJ65741 JYF65740:JYF65741 KIB65740:KIB65741 KRX65740:KRX65741 LBT65740:LBT65741 LLP65740:LLP65741 LVL65740:LVL65741 MFH65740:MFH65741 MPD65740:MPD65741 MYZ65740:MYZ65741 NIV65740:NIV65741 NSR65740:NSR65741 OCN65740:OCN65741 OMJ65740:OMJ65741 OWF65740:OWF65741 PGB65740:PGB65741 PPX65740:PPX65741 PZT65740:PZT65741 QJP65740:QJP65741 QTL65740:QTL65741 RDH65740:RDH65741 RND65740:RND65741 RWZ65740:RWZ65741 SGV65740:SGV65741 SQR65740:SQR65741 TAN65740:TAN65741 TKJ65740:TKJ65741 TUF65740:TUF65741 UEB65740:UEB65741 UNX65740:UNX65741 UXT65740:UXT65741 VHP65740:VHP65741 VRL65740:VRL65741 WBH65740:WBH65741 WLD65740:WLD65741 WUZ65740:WUZ65741 E131276:E131277 IN131276:IN131277 SJ131276:SJ131277 ACF131276:ACF131277 AMB131276:AMB131277 AVX131276:AVX131277 BFT131276:BFT131277 BPP131276:BPP131277 BZL131276:BZL131277 CJH131276:CJH131277 CTD131276:CTD131277 DCZ131276:DCZ131277 DMV131276:DMV131277 DWR131276:DWR131277 EGN131276:EGN131277 EQJ131276:EQJ131277 FAF131276:FAF131277 FKB131276:FKB131277 FTX131276:FTX131277 GDT131276:GDT131277 GNP131276:GNP131277 GXL131276:GXL131277 HHH131276:HHH131277 HRD131276:HRD131277 IAZ131276:IAZ131277 IKV131276:IKV131277 IUR131276:IUR131277 JEN131276:JEN131277 JOJ131276:JOJ131277 JYF131276:JYF131277 KIB131276:KIB131277 KRX131276:KRX131277 LBT131276:LBT131277 LLP131276:LLP131277 LVL131276:LVL131277 MFH131276:MFH131277 MPD131276:MPD131277 MYZ131276:MYZ131277 NIV131276:NIV131277 NSR131276:NSR131277 OCN131276:OCN131277 OMJ131276:OMJ131277 OWF131276:OWF131277 PGB131276:PGB131277 PPX131276:PPX131277 PZT131276:PZT131277 QJP131276:QJP131277 QTL131276:QTL131277 RDH131276:RDH131277 RND131276:RND131277 RWZ131276:RWZ131277 SGV131276:SGV131277 SQR131276:SQR131277 TAN131276:TAN131277 TKJ131276:TKJ131277 TUF131276:TUF131277 UEB131276:UEB131277 UNX131276:UNX131277 UXT131276:UXT131277 VHP131276:VHP131277 VRL131276:VRL131277 WBH131276:WBH131277 WLD131276:WLD131277 WUZ131276:WUZ131277 E196812:E196813 IN196812:IN196813 SJ196812:SJ196813 ACF196812:ACF196813 AMB196812:AMB196813 AVX196812:AVX196813 BFT196812:BFT196813 BPP196812:BPP196813 BZL196812:BZL196813 CJH196812:CJH196813 CTD196812:CTD196813 DCZ196812:DCZ196813 DMV196812:DMV196813 DWR196812:DWR196813 EGN196812:EGN196813 EQJ196812:EQJ196813 FAF196812:FAF196813 FKB196812:FKB196813 FTX196812:FTX196813 GDT196812:GDT196813 GNP196812:GNP196813 GXL196812:GXL196813 HHH196812:HHH196813 HRD196812:HRD196813 IAZ196812:IAZ196813 IKV196812:IKV196813 IUR196812:IUR196813 JEN196812:JEN196813 JOJ196812:JOJ196813 JYF196812:JYF196813 KIB196812:KIB196813 KRX196812:KRX196813 LBT196812:LBT196813 LLP196812:LLP196813 LVL196812:LVL196813 MFH196812:MFH196813 MPD196812:MPD196813 MYZ196812:MYZ196813 NIV196812:NIV196813 NSR196812:NSR196813 OCN196812:OCN196813 OMJ196812:OMJ196813 OWF196812:OWF196813 PGB196812:PGB196813 PPX196812:PPX196813 PZT196812:PZT196813 QJP196812:QJP196813 QTL196812:QTL196813 RDH196812:RDH196813 RND196812:RND196813 RWZ196812:RWZ196813 SGV196812:SGV196813 SQR196812:SQR196813 TAN196812:TAN196813 TKJ196812:TKJ196813 TUF196812:TUF196813 UEB196812:UEB196813 UNX196812:UNX196813 UXT196812:UXT196813 VHP196812:VHP196813 VRL196812:VRL196813 WBH196812:WBH196813 WLD196812:WLD196813 WUZ196812:WUZ196813 E262348:E262349 IN262348:IN262349 SJ262348:SJ262349 ACF262348:ACF262349 AMB262348:AMB262349 AVX262348:AVX262349 BFT262348:BFT262349 BPP262348:BPP262349 BZL262348:BZL262349 CJH262348:CJH262349 CTD262348:CTD262349 DCZ262348:DCZ262349 DMV262348:DMV262349 DWR262348:DWR262349 EGN262348:EGN262349 EQJ262348:EQJ262349 FAF262348:FAF262349 FKB262348:FKB262349 FTX262348:FTX262349 GDT262348:GDT262349 GNP262348:GNP262349 GXL262348:GXL262349 HHH262348:HHH262349 HRD262348:HRD262349 IAZ262348:IAZ262349 IKV262348:IKV262349 IUR262348:IUR262349 JEN262348:JEN262349 JOJ262348:JOJ262349 JYF262348:JYF262349 KIB262348:KIB262349 KRX262348:KRX262349 LBT262348:LBT262349 LLP262348:LLP262349 LVL262348:LVL262349 MFH262348:MFH262349 MPD262348:MPD262349 MYZ262348:MYZ262349 NIV262348:NIV262349 NSR262348:NSR262349 OCN262348:OCN262349 OMJ262348:OMJ262349 OWF262348:OWF262349 PGB262348:PGB262349 PPX262348:PPX262349 PZT262348:PZT262349 QJP262348:QJP262349 QTL262348:QTL262349 RDH262348:RDH262349 RND262348:RND262349 RWZ262348:RWZ262349 SGV262348:SGV262349 SQR262348:SQR262349 TAN262348:TAN262349 TKJ262348:TKJ262349 TUF262348:TUF262349 UEB262348:UEB262349 UNX262348:UNX262349 UXT262348:UXT262349 VHP262348:VHP262349 VRL262348:VRL262349 WBH262348:WBH262349 WLD262348:WLD262349 WUZ262348:WUZ262349 E327884:E327885 IN327884:IN327885 SJ327884:SJ327885 ACF327884:ACF327885 AMB327884:AMB327885 AVX327884:AVX327885 BFT327884:BFT327885 BPP327884:BPP327885 BZL327884:BZL327885 CJH327884:CJH327885 CTD327884:CTD327885 DCZ327884:DCZ327885 DMV327884:DMV327885 DWR327884:DWR327885 EGN327884:EGN327885 EQJ327884:EQJ327885 FAF327884:FAF327885 FKB327884:FKB327885 FTX327884:FTX327885 GDT327884:GDT327885 GNP327884:GNP327885 GXL327884:GXL327885 HHH327884:HHH327885 HRD327884:HRD327885 IAZ327884:IAZ327885 IKV327884:IKV327885 IUR327884:IUR327885 JEN327884:JEN327885 JOJ327884:JOJ327885 JYF327884:JYF327885 KIB327884:KIB327885 KRX327884:KRX327885 LBT327884:LBT327885 LLP327884:LLP327885 LVL327884:LVL327885 MFH327884:MFH327885 MPD327884:MPD327885 MYZ327884:MYZ327885 NIV327884:NIV327885 NSR327884:NSR327885 OCN327884:OCN327885 OMJ327884:OMJ327885 OWF327884:OWF327885 PGB327884:PGB327885 PPX327884:PPX327885 PZT327884:PZT327885 QJP327884:QJP327885 QTL327884:QTL327885 RDH327884:RDH327885 RND327884:RND327885 RWZ327884:RWZ327885 SGV327884:SGV327885 SQR327884:SQR327885 TAN327884:TAN327885 TKJ327884:TKJ327885 TUF327884:TUF327885 UEB327884:UEB327885 UNX327884:UNX327885 UXT327884:UXT327885 VHP327884:VHP327885 VRL327884:VRL327885 WBH327884:WBH327885 WLD327884:WLD327885 WUZ327884:WUZ327885 E393420:E393421 IN393420:IN393421 SJ393420:SJ393421 ACF393420:ACF393421 AMB393420:AMB393421 AVX393420:AVX393421 BFT393420:BFT393421 BPP393420:BPP393421 BZL393420:BZL393421 CJH393420:CJH393421 CTD393420:CTD393421 DCZ393420:DCZ393421 DMV393420:DMV393421 DWR393420:DWR393421 EGN393420:EGN393421 EQJ393420:EQJ393421 FAF393420:FAF393421 FKB393420:FKB393421 FTX393420:FTX393421 GDT393420:GDT393421 GNP393420:GNP393421 GXL393420:GXL393421 HHH393420:HHH393421 HRD393420:HRD393421 IAZ393420:IAZ393421 IKV393420:IKV393421 IUR393420:IUR393421 JEN393420:JEN393421 JOJ393420:JOJ393421 JYF393420:JYF393421 KIB393420:KIB393421 KRX393420:KRX393421 LBT393420:LBT393421 LLP393420:LLP393421 LVL393420:LVL393421 MFH393420:MFH393421 MPD393420:MPD393421 MYZ393420:MYZ393421 NIV393420:NIV393421 NSR393420:NSR393421 OCN393420:OCN393421 OMJ393420:OMJ393421 OWF393420:OWF393421 PGB393420:PGB393421 PPX393420:PPX393421 PZT393420:PZT393421 QJP393420:QJP393421 QTL393420:QTL393421 RDH393420:RDH393421 RND393420:RND393421 RWZ393420:RWZ393421 SGV393420:SGV393421 SQR393420:SQR393421 TAN393420:TAN393421 TKJ393420:TKJ393421 TUF393420:TUF393421 UEB393420:UEB393421 UNX393420:UNX393421 UXT393420:UXT393421 VHP393420:VHP393421 VRL393420:VRL393421 WBH393420:WBH393421 WLD393420:WLD393421 WUZ393420:WUZ393421 E458956:E458957 IN458956:IN458957 SJ458956:SJ458957 ACF458956:ACF458957 AMB458956:AMB458957 AVX458956:AVX458957 BFT458956:BFT458957 BPP458956:BPP458957 BZL458956:BZL458957 CJH458956:CJH458957 CTD458956:CTD458957 DCZ458956:DCZ458957 DMV458956:DMV458957 DWR458956:DWR458957 EGN458956:EGN458957 EQJ458956:EQJ458957 FAF458956:FAF458957 FKB458956:FKB458957 FTX458956:FTX458957 GDT458956:GDT458957 GNP458956:GNP458957 GXL458956:GXL458957 HHH458956:HHH458957 HRD458956:HRD458957 IAZ458956:IAZ458957 IKV458956:IKV458957 IUR458956:IUR458957 JEN458956:JEN458957 JOJ458956:JOJ458957 JYF458956:JYF458957 KIB458956:KIB458957 KRX458956:KRX458957 LBT458956:LBT458957 LLP458956:LLP458957 LVL458956:LVL458957 MFH458956:MFH458957 MPD458956:MPD458957 MYZ458956:MYZ458957 NIV458956:NIV458957 NSR458956:NSR458957 OCN458956:OCN458957 OMJ458956:OMJ458957 OWF458956:OWF458957 PGB458956:PGB458957 PPX458956:PPX458957 PZT458956:PZT458957 QJP458956:QJP458957 QTL458956:QTL458957 RDH458956:RDH458957 RND458956:RND458957 RWZ458956:RWZ458957 SGV458956:SGV458957 SQR458956:SQR458957 TAN458956:TAN458957 TKJ458956:TKJ458957 TUF458956:TUF458957 UEB458956:UEB458957 UNX458956:UNX458957 UXT458956:UXT458957 VHP458956:VHP458957 VRL458956:VRL458957 WBH458956:WBH458957 WLD458956:WLD458957 WUZ458956:WUZ458957 E524492:E524493 IN524492:IN524493 SJ524492:SJ524493 ACF524492:ACF524493 AMB524492:AMB524493 AVX524492:AVX524493 BFT524492:BFT524493 BPP524492:BPP524493 BZL524492:BZL524493 CJH524492:CJH524493 CTD524492:CTD524493 DCZ524492:DCZ524493 DMV524492:DMV524493 DWR524492:DWR524493 EGN524492:EGN524493 EQJ524492:EQJ524493 FAF524492:FAF524493 FKB524492:FKB524493 FTX524492:FTX524493 GDT524492:GDT524493 GNP524492:GNP524493 GXL524492:GXL524493 HHH524492:HHH524493 HRD524492:HRD524493 IAZ524492:IAZ524493 IKV524492:IKV524493 IUR524492:IUR524493 JEN524492:JEN524493 JOJ524492:JOJ524493 JYF524492:JYF524493 KIB524492:KIB524493 KRX524492:KRX524493 LBT524492:LBT524493 LLP524492:LLP524493 LVL524492:LVL524493 MFH524492:MFH524493 MPD524492:MPD524493 MYZ524492:MYZ524493 NIV524492:NIV524493 NSR524492:NSR524493 OCN524492:OCN524493 OMJ524492:OMJ524493 OWF524492:OWF524493 PGB524492:PGB524493 PPX524492:PPX524493 PZT524492:PZT524493 QJP524492:QJP524493 QTL524492:QTL524493 RDH524492:RDH524493 RND524492:RND524493 RWZ524492:RWZ524493 SGV524492:SGV524493 SQR524492:SQR524493 TAN524492:TAN524493 TKJ524492:TKJ524493 TUF524492:TUF524493 UEB524492:UEB524493 UNX524492:UNX524493 UXT524492:UXT524493 VHP524492:VHP524493 VRL524492:VRL524493 WBH524492:WBH524493 WLD524492:WLD524493 WUZ524492:WUZ524493 E590028:E590029 IN590028:IN590029 SJ590028:SJ590029 ACF590028:ACF590029 AMB590028:AMB590029 AVX590028:AVX590029 BFT590028:BFT590029 BPP590028:BPP590029 BZL590028:BZL590029 CJH590028:CJH590029 CTD590028:CTD590029 DCZ590028:DCZ590029 DMV590028:DMV590029 DWR590028:DWR590029 EGN590028:EGN590029 EQJ590028:EQJ590029 FAF590028:FAF590029 FKB590028:FKB590029 FTX590028:FTX590029 GDT590028:GDT590029 GNP590028:GNP590029 GXL590028:GXL590029 HHH590028:HHH590029 HRD590028:HRD590029 IAZ590028:IAZ590029 IKV590028:IKV590029 IUR590028:IUR590029 JEN590028:JEN590029 JOJ590028:JOJ590029 JYF590028:JYF590029 KIB590028:KIB590029 KRX590028:KRX590029 LBT590028:LBT590029 LLP590028:LLP590029 LVL590028:LVL590029 MFH590028:MFH590029 MPD590028:MPD590029 MYZ590028:MYZ590029 NIV590028:NIV590029 NSR590028:NSR590029 OCN590028:OCN590029 OMJ590028:OMJ590029 OWF590028:OWF590029 PGB590028:PGB590029 PPX590028:PPX590029 PZT590028:PZT590029 QJP590028:QJP590029 QTL590028:QTL590029 RDH590028:RDH590029 RND590028:RND590029 RWZ590028:RWZ590029 SGV590028:SGV590029 SQR590028:SQR590029 TAN590028:TAN590029 TKJ590028:TKJ590029 TUF590028:TUF590029 UEB590028:UEB590029 UNX590028:UNX590029 UXT590028:UXT590029 VHP590028:VHP590029 VRL590028:VRL590029 WBH590028:WBH590029 WLD590028:WLD590029 WUZ590028:WUZ590029 E655564:E655565 IN655564:IN655565 SJ655564:SJ655565 ACF655564:ACF655565 AMB655564:AMB655565 AVX655564:AVX655565 BFT655564:BFT655565 BPP655564:BPP655565 BZL655564:BZL655565 CJH655564:CJH655565 CTD655564:CTD655565 DCZ655564:DCZ655565 DMV655564:DMV655565 DWR655564:DWR655565 EGN655564:EGN655565 EQJ655564:EQJ655565 FAF655564:FAF655565 FKB655564:FKB655565 FTX655564:FTX655565 GDT655564:GDT655565 GNP655564:GNP655565 GXL655564:GXL655565 HHH655564:HHH655565 HRD655564:HRD655565 IAZ655564:IAZ655565 IKV655564:IKV655565 IUR655564:IUR655565 JEN655564:JEN655565 JOJ655564:JOJ655565 JYF655564:JYF655565 KIB655564:KIB655565 KRX655564:KRX655565 LBT655564:LBT655565 LLP655564:LLP655565 LVL655564:LVL655565 MFH655564:MFH655565 MPD655564:MPD655565 MYZ655564:MYZ655565 NIV655564:NIV655565 NSR655564:NSR655565 OCN655564:OCN655565 OMJ655564:OMJ655565 OWF655564:OWF655565 PGB655564:PGB655565 PPX655564:PPX655565 PZT655564:PZT655565 QJP655564:QJP655565 QTL655564:QTL655565 RDH655564:RDH655565 RND655564:RND655565 RWZ655564:RWZ655565 SGV655564:SGV655565 SQR655564:SQR655565 TAN655564:TAN655565 TKJ655564:TKJ655565 TUF655564:TUF655565 UEB655564:UEB655565 UNX655564:UNX655565 UXT655564:UXT655565 VHP655564:VHP655565 VRL655564:VRL655565 WBH655564:WBH655565 WLD655564:WLD655565 WUZ655564:WUZ655565 E721100:E721101 IN721100:IN721101 SJ721100:SJ721101 ACF721100:ACF721101 AMB721100:AMB721101 AVX721100:AVX721101 BFT721100:BFT721101 BPP721100:BPP721101 BZL721100:BZL721101 CJH721100:CJH721101 CTD721100:CTD721101 DCZ721100:DCZ721101 DMV721100:DMV721101 DWR721100:DWR721101 EGN721100:EGN721101 EQJ721100:EQJ721101 FAF721100:FAF721101 FKB721100:FKB721101 FTX721100:FTX721101 GDT721100:GDT721101 GNP721100:GNP721101 GXL721100:GXL721101 HHH721100:HHH721101 HRD721100:HRD721101 IAZ721100:IAZ721101 IKV721100:IKV721101 IUR721100:IUR721101 JEN721100:JEN721101 JOJ721100:JOJ721101 JYF721100:JYF721101 KIB721100:KIB721101 KRX721100:KRX721101 LBT721100:LBT721101 LLP721100:LLP721101 LVL721100:LVL721101 MFH721100:MFH721101 MPD721100:MPD721101 MYZ721100:MYZ721101 NIV721100:NIV721101 NSR721100:NSR721101 OCN721100:OCN721101 OMJ721100:OMJ721101 OWF721100:OWF721101 PGB721100:PGB721101 PPX721100:PPX721101 PZT721100:PZT721101 QJP721100:QJP721101 QTL721100:QTL721101 RDH721100:RDH721101 RND721100:RND721101 RWZ721100:RWZ721101 SGV721100:SGV721101 SQR721100:SQR721101 TAN721100:TAN721101 TKJ721100:TKJ721101 TUF721100:TUF721101 UEB721100:UEB721101 UNX721100:UNX721101 UXT721100:UXT721101 VHP721100:VHP721101 VRL721100:VRL721101 WBH721100:WBH721101 WLD721100:WLD721101 WUZ721100:WUZ721101 E786636:E786637 IN786636:IN786637 SJ786636:SJ786637 ACF786636:ACF786637 AMB786636:AMB786637 AVX786636:AVX786637 BFT786636:BFT786637 BPP786636:BPP786637 BZL786636:BZL786637 CJH786636:CJH786637 CTD786636:CTD786637 DCZ786636:DCZ786637 DMV786636:DMV786637 DWR786636:DWR786637 EGN786636:EGN786637 EQJ786636:EQJ786637 FAF786636:FAF786637 FKB786636:FKB786637 FTX786636:FTX786637 GDT786636:GDT786637 GNP786636:GNP786637 GXL786636:GXL786637 HHH786636:HHH786637 HRD786636:HRD786637 IAZ786636:IAZ786637 IKV786636:IKV786637 IUR786636:IUR786637 JEN786636:JEN786637 JOJ786636:JOJ786637 JYF786636:JYF786637 KIB786636:KIB786637 KRX786636:KRX786637 LBT786636:LBT786637 LLP786636:LLP786637 LVL786636:LVL786637 MFH786636:MFH786637 MPD786636:MPD786637 MYZ786636:MYZ786637 NIV786636:NIV786637 NSR786636:NSR786637 OCN786636:OCN786637 OMJ786636:OMJ786637 OWF786636:OWF786637 PGB786636:PGB786637 PPX786636:PPX786637 PZT786636:PZT786637 QJP786636:QJP786637 QTL786636:QTL786637 RDH786636:RDH786637 RND786636:RND786637 RWZ786636:RWZ786637 SGV786636:SGV786637 SQR786636:SQR786637 TAN786636:TAN786637 TKJ786636:TKJ786637 TUF786636:TUF786637 UEB786636:UEB786637 UNX786636:UNX786637 UXT786636:UXT786637 VHP786636:VHP786637 VRL786636:VRL786637 WBH786636:WBH786637 WLD786636:WLD786637 WUZ786636:WUZ786637 E852172:E852173 IN852172:IN852173 SJ852172:SJ852173 ACF852172:ACF852173 AMB852172:AMB852173 AVX852172:AVX852173 BFT852172:BFT852173 BPP852172:BPP852173 BZL852172:BZL852173 CJH852172:CJH852173 CTD852172:CTD852173 DCZ852172:DCZ852173 DMV852172:DMV852173 DWR852172:DWR852173 EGN852172:EGN852173 EQJ852172:EQJ852173 FAF852172:FAF852173 FKB852172:FKB852173 FTX852172:FTX852173 GDT852172:GDT852173 GNP852172:GNP852173 GXL852172:GXL852173 HHH852172:HHH852173 HRD852172:HRD852173 IAZ852172:IAZ852173 IKV852172:IKV852173 IUR852172:IUR852173 JEN852172:JEN852173 JOJ852172:JOJ852173 JYF852172:JYF852173 KIB852172:KIB852173 KRX852172:KRX852173 LBT852172:LBT852173 LLP852172:LLP852173 LVL852172:LVL852173 MFH852172:MFH852173 MPD852172:MPD852173 MYZ852172:MYZ852173 NIV852172:NIV852173 NSR852172:NSR852173 OCN852172:OCN852173 OMJ852172:OMJ852173 OWF852172:OWF852173 PGB852172:PGB852173 PPX852172:PPX852173 PZT852172:PZT852173 QJP852172:QJP852173 QTL852172:QTL852173 RDH852172:RDH852173 RND852172:RND852173 RWZ852172:RWZ852173 SGV852172:SGV852173 SQR852172:SQR852173 TAN852172:TAN852173 TKJ852172:TKJ852173 TUF852172:TUF852173 UEB852172:UEB852173 UNX852172:UNX852173 UXT852172:UXT852173 VHP852172:VHP852173 VRL852172:VRL852173 WBH852172:WBH852173 WLD852172:WLD852173 WUZ852172:WUZ852173 E917708:E917709 IN917708:IN917709 SJ917708:SJ917709 ACF917708:ACF917709 AMB917708:AMB917709 AVX917708:AVX917709 BFT917708:BFT917709 BPP917708:BPP917709 BZL917708:BZL917709 CJH917708:CJH917709 CTD917708:CTD917709 DCZ917708:DCZ917709 DMV917708:DMV917709 DWR917708:DWR917709 EGN917708:EGN917709 EQJ917708:EQJ917709 FAF917708:FAF917709 FKB917708:FKB917709 FTX917708:FTX917709 GDT917708:GDT917709 GNP917708:GNP917709 GXL917708:GXL917709 HHH917708:HHH917709 HRD917708:HRD917709 IAZ917708:IAZ917709 IKV917708:IKV917709 IUR917708:IUR917709 JEN917708:JEN917709 JOJ917708:JOJ917709 JYF917708:JYF917709 KIB917708:KIB917709 KRX917708:KRX917709 LBT917708:LBT917709 LLP917708:LLP917709 LVL917708:LVL917709 MFH917708:MFH917709 MPD917708:MPD917709 MYZ917708:MYZ917709 NIV917708:NIV917709 NSR917708:NSR917709 OCN917708:OCN917709 OMJ917708:OMJ917709 OWF917708:OWF917709 PGB917708:PGB917709 PPX917708:PPX917709 PZT917708:PZT917709 QJP917708:QJP917709 QTL917708:QTL917709 RDH917708:RDH917709 RND917708:RND917709 RWZ917708:RWZ917709 SGV917708:SGV917709 SQR917708:SQR917709 TAN917708:TAN917709 TKJ917708:TKJ917709 TUF917708:TUF917709 UEB917708:UEB917709 UNX917708:UNX917709 UXT917708:UXT917709 VHP917708:VHP917709 VRL917708:VRL917709 WBH917708:WBH917709 WLD917708:WLD917709 WUZ917708:WUZ917709 E983244:E983245 IN983244:IN983245 SJ983244:SJ983245 ACF983244:ACF983245 AMB983244:AMB983245 AVX983244:AVX983245 BFT983244:BFT983245 BPP983244:BPP983245 BZL983244:BZL983245 CJH983244:CJH983245 CTD983244:CTD983245 DCZ983244:DCZ983245 DMV983244:DMV983245 DWR983244:DWR983245 EGN983244:EGN983245 EQJ983244:EQJ983245 FAF983244:FAF983245 FKB983244:FKB983245 FTX983244:FTX983245 GDT983244:GDT983245 GNP983244:GNP983245 GXL983244:GXL983245 HHH983244:HHH983245 HRD983244:HRD983245 IAZ983244:IAZ983245 IKV983244:IKV983245 IUR983244:IUR983245 JEN983244:JEN983245 JOJ983244:JOJ983245 JYF983244:JYF983245 KIB983244:KIB983245 KRX983244:KRX983245 LBT983244:LBT983245 LLP983244:LLP983245 LVL983244:LVL983245 MFH983244:MFH983245 MPD983244:MPD983245 MYZ983244:MYZ983245 NIV983244:NIV983245 NSR983244:NSR983245 OCN983244:OCN983245 OMJ983244:OMJ983245 OWF983244:OWF983245 PGB983244:PGB983245 PPX983244:PPX983245 PZT983244:PZT983245 QJP983244:QJP983245 QTL983244:QTL983245 RDH983244:RDH983245 RND983244:RND983245 RWZ983244:RWZ983245 SGV983244:SGV983245 SQR983244:SQR983245 TAN983244:TAN983245 TKJ983244:TKJ983245 TUF983244:TUF983245 UEB983244:UEB983245 UNX983244:UNX983245 UXT983244:UXT983245 VHP983244:VHP983245 VRL983244:VRL983245 WBH983244:WBH983245 WLD983244:WLD983245 WUZ983244:WUZ983245 E37 E47:E48 E26:E32" xr:uid="{00000000-0002-0000-0200-000000000000}"/>
    <dataValidation type="list" allowBlank="1" showInputMessage="1" showErrorMessage="1" errorTitle="Too Many layers" error="This tool can only calculate up to 8 Layers." sqref="D23 IM23 SI23 ACE23 AMA23 AVW23 BFS23 BPO23 BZK23 CJG23 CTC23 DCY23 DMU23 DWQ23 EGM23 EQI23 FAE23 FKA23 FTW23 GDS23 GNO23 GXK23 HHG23 HRC23 IAY23 IKU23 IUQ23 JEM23 JOI23 JYE23 KIA23 KRW23 LBS23 LLO23 LVK23 MFG23 MPC23 MYY23 NIU23 NSQ23 OCM23 OMI23 OWE23 PGA23 PPW23 PZS23 QJO23 QTK23 RDG23 RNC23 RWY23 SGU23 SQQ23 TAM23 TKI23 TUE23 UEA23 UNW23 UXS23 VHO23 VRK23 WBG23 WLC23 WUY23 D65718 IM65718 SI65718 ACE65718 AMA65718 AVW65718 BFS65718 BPO65718 BZK65718 CJG65718 CTC65718 DCY65718 DMU65718 DWQ65718 EGM65718 EQI65718 FAE65718 FKA65718 FTW65718 GDS65718 GNO65718 GXK65718 HHG65718 HRC65718 IAY65718 IKU65718 IUQ65718 JEM65718 JOI65718 JYE65718 KIA65718 KRW65718 LBS65718 LLO65718 LVK65718 MFG65718 MPC65718 MYY65718 NIU65718 NSQ65718 OCM65718 OMI65718 OWE65718 PGA65718 PPW65718 PZS65718 QJO65718 QTK65718 RDG65718 RNC65718 RWY65718 SGU65718 SQQ65718 TAM65718 TKI65718 TUE65718 UEA65718 UNW65718 UXS65718 VHO65718 VRK65718 WBG65718 WLC65718 WUY65718 D131254 IM131254 SI131254 ACE131254 AMA131254 AVW131254 BFS131254 BPO131254 BZK131254 CJG131254 CTC131254 DCY131254 DMU131254 DWQ131254 EGM131254 EQI131254 FAE131254 FKA131254 FTW131254 GDS131254 GNO131254 GXK131254 HHG131254 HRC131254 IAY131254 IKU131254 IUQ131254 JEM131254 JOI131254 JYE131254 KIA131254 KRW131254 LBS131254 LLO131254 LVK131254 MFG131254 MPC131254 MYY131254 NIU131254 NSQ131254 OCM131254 OMI131254 OWE131254 PGA131254 PPW131254 PZS131254 QJO131254 QTK131254 RDG131254 RNC131254 RWY131254 SGU131254 SQQ131254 TAM131254 TKI131254 TUE131254 UEA131254 UNW131254 UXS131254 VHO131254 VRK131254 WBG131254 WLC131254 WUY131254 D196790 IM196790 SI196790 ACE196790 AMA196790 AVW196790 BFS196790 BPO196790 BZK196790 CJG196790 CTC196790 DCY196790 DMU196790 DWQ196790 EGM196790 EQI196790 FAE196790 FKA196790 FTW196790 GDS196790 GNO196790 GXK196790 HHG196790 HRC196790 IAY196790 IKU196790 IUQ196790 JEM196790 JOI196790 JYE196790 KIA196790 KRW196790 LBS196790 LLO196790 LVK196790 MFG196790 MPC196790 MYY196790 NIU196790 NSQ196790 OCM196790 OMI196790 OWE196790 PGA196790 PPW196790 PZS196790 QJO196790 QTK196790 RDG196790 RNC196790 RWY196790 SGU196790 SQQ196790 TAM196790 TKI196790 TUE196790 UEA196790 UNW196790 UXS196790 VHO196790 VRK196790 WBG196790 WLC196790 WUY196790 D262326 IM262326 SI262326 ACE262326 AMA262326 AVW262326 BFS262326 BPO262326 BZK262326 CJG262326 CTC262326 DCY262326 DMU262326 DWQ262326 EGM262326 EQI262326 FAE262326 FKA262326 FTW262326 GDS262326 GNO262326 GXK262326 HHG262326 HRC262326 IAY262326 IKU262326 IUQ262326 JEM262326 JOI262326 JYE262326 KIA262326 KRW262326 LBS262326 LLO262326 LVK262326 MFG262326 MPC262326 MYY262326 NIU262326 NSQ262326 OCM262326 OMI262326 OWE262326 PGA262326 PPW262326 PZS262326 QJO262326 QTK262326 RDG262326 RNC262326 RWY262326 SGU262326 SQQ262326 TAM262326 TKI262326 TUE262326 UEA262326 UNW262326 UXS262326 VHO262326 VRK262326 WBG262326 WLC262326 WUY262326 D327862 IM327862 SI327862 ACE327862 AMA327862 AVW327862 BFS327862 BPO327862 BZK327862 CJG327862 CTC327862 DCY327862 DMU327862 DWQ327862 EGM327862 EQI327862 FAE327862 FKA327862 FTW327862 GDS327862 GNO327862 GXK327862 HHG327862 HRC327862 IAY327862 IKU327862 IUQ327862 JEM327862 JOI327862 JYE327862 KIA327862 KRW327862 LBS327862 LLO327862 LVK327862 MFG327862 MPC327862 MYY327862 NIU327862 NSQ327862 OCM327862 OMI327862 OWE327862 PGA327862 PPW327862 PZS327862 QJO327862 QTK327862 RDG327862 RNC327862 RWY327862 SGU327862 SQQ327862 TAM327862 TKI327862 TUE327862 UEA327862 UNW327862 UXS327862 VHO327862 VRK327862 WBG327862 WLC327862 WUY327862 D393398 IM393398 SI393398 ACE393398 AMA393398 AVW393398 BFS393398 BPO393398 BZK393398 CJG393398 CTC393398 DCY393398 DMU393398 DWQ393398 EGM393398 EQI393398 FAE393398 FKA393398 FTW393398 GDS393398 GNO393398 GXK393398 HHG393398 HRC393398 IAY393398 IKU393398 IUQ393398 JEM393398 JOI393398 JYE393398 KIA393398 KRW393398 LBS393398 LLO393398 LVK393398 MFG393398 MPC393398 MYY393398 NIU393398 NSQ393398 OCM393398 OMI393398 OWE393398 PGA393398 PPW393398 PZS393398 QJO393398 QTK393398 RDG393398 RNC393398 RWY393398 SGU393398 SQQ393398 TAM393398 TKI393398 TUE393398 UEA393398 UNW393398 UXS393398 VHO393398 VRK393398 WBG393398 WLC393398 WUY393398 D458934 IM458934 SI458934 ACE458934 AMA458934 AVW458934 BFS458934 BPO458934 BZK458934 CJG458934 CTC458934 DCY458934 DMU458934 DWQ458934 EGM458934 EQI458934 FAE458934 FKA458934 FTW458934 GDS458934 GNO458934 GXK458934 HHG458934 HRC458934 IAY458934 IKU458934 IUQ458934 JEM458934 JOI458934 JYE458934 KIA458934 KRW458934 LBS458934 LLO458934 LVK458934 MFG458934 MPC458934 MYY458934 NIU458934 NSQ458934 OCM458934 OMI458934 OWE458934 PGA458934 PPW458934 PZS458934 QJO458934 QTK458934 RDG458934 RNC458934 RWY458934 SGU458934 SQQ458934 TAM458934 TKI458934 TUE458934 UEA458934 UNW458934 UXS458934 VHO458934 VRK458934 WBG458934 WLC458934 WUY458934 D524470 IM524470 SI524470 ACE524470 AMA524470 AVW524470 BFS524470 BPO524470 BZK524470 CJG524470 CTC524470 DCY524470 DMU524470 DWQ524470 EGM524470 EQI524470 FAE524470 FKA524470 FTW524470 GDS524470 GNO524470 GXK524470 HHG524470 HRC524470 IAY524470 IKU524470 IUQ524470 JEM524470 JOI524470 JYE524470 KIA524470 KRW524470 LBS524470 LLO524470 LVK524470 MFG524470 MPC524470 MYY524470 NIU524470 NSQ524470 OCM524470 OMI524470 OWE524470 PGA524470 PPW524470 PZS524470 QJO524470 QTK524470 RDG524470 RNC524470 RWY524470 SGU524470 SQQ524470 TAM524470 TKI524470 TUE524470 UEA524470 UNW524470 UXS524470 VHO524470 VRK524470 WBG524470 WLC524470 WUY524470 D590006 IM590006 SI590006 ACE590006 AMA590006 AVW590006 BFS590006 BPO590006 BZK590006 CJG590006 CTC590006 DCY590006 DMU590006 DWQ590006 EGM590006 EQI590006 FAE590006 FKA590006 FTW590006 GDS590006 GNO590006 GXK590006 HHG590006 HRC590006 IAY590006 IKU590006 IUQ590006 JEM590006 JOI590006 JYE590006 KIA590006 KRW590006 LBS590006 LLO590006 LVK590006 MFG590006 MPC590006 MYY590006 NIU590006 NSQ590006 OCM590006 OMI590006 OWE590006 PGA590006 PPW590006 PZS590006 QJO590006 QTK590006 RDG590006 RNC590006 RWY590006 SGU590006 SQQ590006 TAM590006 TKI590006 TUE590006 UEA590006 UNW590006 UXS590006 VHO590006 VRK590006 WBG590006 WLC590006 WUY590006 D655542 IM655542 SI655542 ACE655542 AMA655542 AVW655542 BFS655542 BPO655542 BZK655542 CJG655542 CTC655542 DCY655542 DMU655542 DWQ655542 EGM655542 EQI655542 FAE655542 FKA655542 FTW655542 GDS655542 GNO655542 GXK655542 HHG655542 HRC655542 IAY655542 IKU655542 IUQ655542 JEM655542 JOI655542 JYE655542 KIA655542 KRW655542 LBS655542 LLO655542 LVK655542 MFG655542 MPC655542 MYY655542 NIU655542 NSQ655542 OCM655542 OMI655542 OWE655542 PGA655542 PPW655542 PZS655542 QJO655542 QTK655542 RDG655542 RNC655542 RWY655542 SGU655542 SQQ655542 TAM655542 TKI655542 TUE655542 UEA655542 UNW655542 UXS655542 VHO655542 VRK655542 WBG655542 WLC655542 WUY655542 D721078 IM721078 SI721078 ACE721078 AMA721078 AVW721078 BFS721078 BPO721078 BZK721078 CJG721078 CTC721078 DCY721078 DMU721078 DWQ721078 EGM721078 EQI721078 FAE721078 FKA721078 FTW721078 GDS721078 GNO721078 GXK721078 HHG721078 HRC721078 IAY721078 IKU721078 IUQ721078 JEM721078 JOI721078 JYE721078 KIA721078 KRW721078 LBS721078 LLO721078 LVK721078 MFG721078 MPC721078 MYY721078 NIU721078 NSQ721078 OCM721078 OMI721078 OWE721078 PGA721078 PPW721078 PZS721078 QJO721078 QTK721078 RDG721078 RNC721078 RWY721078 SGU721078 SQQ721078 TAM721078 TKI721078 TUE721078 UEA721078 UNW721078 UXS721078 VHO721078 VRK721078 WBG721078 WLC721078 WUY721078 D786614 IM786614 SI786614 ACE786614 AMA786614 AVW786614 BFS786614 BPO786614 BZK786614 CJG786614 CTC786614 DCY786614 DMU786614 DWQ786614 EGM786614 EQI786614 FAE786614 FKA786614 FTW786614 GDS786614 GNO786614 GXK786614 HHG786614 HRC786614 IAY786614 IKU786614 IUQ786614 JEM786614 JOI786614 JYE786614 KIA786614 KRW786614 LBS786614 LLO786614 LVK786614 MFG786614 MPC786614 MYY786614 NIU786614 NSQ786614 OCM786614 OMI786614 OWE786614 PGA786614 PPW786614 PZS786614 QJO786614 QTK786614 RDG786614 RNC786614 RWY786614 SGU786614 SQQ786614 TAM786614 TKI786614 TUE786614 UEA786614 UNW786614 UXS786614 VHO786614 VRK786614 WBG786614 WLC786614 WUY786614 D852150 IM852150 SI852150 ACE852150 AMA852150 AVW852150 BFS852150 BPO852150 BZK852150 CJG852150 CTC852150 DCY852150 DMU852150 DWQ852150 EGM852150 EQI852150 FAE852150 FKA852150 FTW852150 GDS852150 GNO852150 GXK852150 HHG852150 HRC852150 IAY852150 IKU852150 IUQ852150 JEM852150 JOI852150 JYE852150 KIA852150 KRW852150 LBS852150 LLO852150 LVK852150 MFG852150 MPC852150 MYY852150 NIU852150 NSQ852150 OCM852150 OMI852150 OWE852150 PGA852150 PPW852150 PZS852150 QJO852150 QTK852150 RDG852150 RNC852150 RWY852150 SGU852150 SQQ852150 TAM852150 TKI852150 TUE852150 UEA852150 UNW852150 UXS852150 VHO852150 VRK852150 WBG852150 WLC852150 WUY852150 D917686 IM917686 SI917686 ACE917686 AMA917686 AVW917686 BFS917686 BPO917686 BZK917686 CJG917686 CTC917686 DCY917686 DMU917686 DWQ917686 EGM917686 EQI917686 FAE917686 FKA917686 FTW917686 GDS917686 GNO917686 GXK917686 HHG917686 HRC917686 IAY917686 IKU917686 IUQ917686 JEM917686 JOI917686 JYE917686 KIA917686 KRW917686 LBS917686 LLO917686 LVK917686 MFG917686 MPC917686 MYY917686 NIU917686 NSQ917686 OCM917686 OMI917686 OWE917686 PGA917686 PPW917686 PZS917686 QJO917686 QTK917686 RDG917686 RNC917686 RWY917686 SGU917686 SQQ917686 TAM917686 TKI917686 TUE917686 UEA917686 UNW917686 UXS917686 VHO917686 VRK917686 WBG917686 WLC917686 WUY917686 D983222 IM983222 SI983222 ACE983222 AMA983222 AVW983222 BFS983222 BPO983222 BZK983222 CJG983222 CTC983222 DCY983222 DMU983222 DWQ983222 EGM983222 EQI983222 FAE983222 FKA983222 FTW983222 GDS983222 GNO983222 GXK983222 HHG983222 HRC983222 IAY983222 IKU983222 IUQ983222 JEM983222 JOI983222 JYE983222 KIA983222 KRW983222 LBS983222 LLO983222 LVK983222 MFG983222 MPC983222 MYY983222 NIU983222 NSQ983222 OCM983222 OMI983222 OWE983222 PGA983222 PPW983222 PZS983222 QJO983222 QTK983222 RDG983222 RNC983222 RWY983222 SGU983222 SQQ983222 TAM983222 TKI983222 TUE983222 UEA983222 UNW983222 UXS983222 VHO983222 VRK983222 WBG983222 WLC983222 WUY983222" xr:uid="{00000000-0002-0000-0200-000001000000}">
      <formula1>"1,2,3,4,5,6,7,8"</formula1>
    </dataValidation>
    <dataValidation type="list" showInputMessage="1" showErrorMessage="1" sqref="WUZ983238 IN46:IN48 SJ46:SJ48 ACF46:ACF48 AMB46:AMB48 AVX46:AVX48 BFT46:BFT48 BPP46:BPP48 BZL46:BZL48 CJH46:CJH48 CTD46:CTD48 DCZ46:DCZ48 DMV46:DMV48 DWR46:DWR48 EGN46:EGN48 EQJ46:EQJ48 FAF46:FAF48 FKB46:FKB48 FTX46:FTX48 GDT46:GDT48 GNP46:GNP48 GXL46:GXL48 HHH46:HHH48 HRD46:HRD48 IAZ46:IAZ48 IKV46:IKV48 IUR46:IUR48 JEN46:JEN48 JOJ46:JOJ48 JYF46:JYF48 KIB46:KIB48 KRX46:KRX48 LBT46:LBT48 LLP46:LLP48 LVL46:LVL48 MFH46:MFH48 MPD46:MPD48 MYZ46:MYZ48 NIV46:NIV48 NSR46:NSR48 OCN46:OCN48 OMJ46:OMJ48 OWF46:OWF48 PGB46:PGB48 PPX46:PPX48 PZT46:PZT48 QJP46:QJP48 QTL46:QTL48 RDH46:RDH48 RND46:RND48 RWZ46:RWZ48 SGV46:SGV48 SQR46:SQR48 TAN46:TAN48 TKJ46:TKJ48 TUF46:TUF48 UEB46:UEB48 UNX46:UNX48 UXT46:UXT48 VHP46:VHP48 VRL46:VRL48 WBH46:WBH48 WLD46:WLD48 WUZ46:WUZ48 E65734 IN65734 SJ65734 ACF65734 AMB65734 AVX65734 BFT65734 BPP65734 BZL65734 CJH65734 CTD65734 DCZ65734 DMV65734 DWR65734 EGN65734 EQJ65734 FAF65734 FKB65734 FTX65734 GDT65734 GNP65734 GXL65734 HHH65734 HRD65734 IAZ65734 IKV65734 IUR65734 JEN65734 JOJ65734 JYF65734 KIB65734 KRX65734 LBT65734 LLP65734 LVL65734 MFH65734 MPD65734 MYZ65734 NIV65734 NSR65734 OCN65734 OMJ65734 OWF65734 PGB65734 PPX65734 PZT65734 QJP65734 QTL65734 RDH65734 RND65734 RWZ65734 SGV65734 SQR65734 TAN65734 TKJ65734 TUF65734 UEB65734 UNX65734 UXT65734 VHP65734 VRL65734 WBH65734 WLD65734 WUZ65734 E131270 IN131270 SJ131270 ACF131270 AMB131270 AVX131270 BFT131270 BPP131270 BZL131270 CJH131270 CTD131270 DCZ131270 DMV131270 DWR131270 EGN131270 EQJ131270 FAF131270 FKB131270 FTX131270 GDT131270 GNP131270 GXL131270 HHH131270 HRD131270 IAZ131270 IKV131270 IUR131270 JEN131270 JOJ131270 JYF131270 KIB131270 KRX131270 LBT131270 LLP131270 LVL131270 MFH131270 MPD131270 MYZ131270 NIV131270 NSR131270 OCN131270 OMJ131270 OWF131270 PGB131270 PPX131270 PZT131270 QJP131270 QTL131270 RDH131270 RND131270 RWZ131270 SGV131270 SQR131270 TAN131270 TKJ131270 TUF131270 UEB131270 UNX131270 UXT131270 VHP131270 VRL131270 WBH131270 WLD131270 WUZ131270 E196806 IN196806 SJ196806 ACF196806 AMB196806 AVX196806 BFT196806 BPP196806 BZL196806 CJH196806 CTD196806 DCZ196806 DMV196806 DWR196806 EGN196806 EQJ196806 FAF196806 FKB196806 FTX196806 GDT196806 GNP196806 GXL196806 HHH196806 HRD196806 IAZ196806 IKV196806 IUR196806 JEN196806 JOJ196806 JYF196806 KIB196806 KRX196806 LBT196806 LLP196806 LVL196806 MFH196806 MPD196806 MYZ196806 NIV196806 NSR196806 OCN196806 OMJ196806 OWF196806 PGB196806 PPX196806 PZT196806 QJP196806 QTL196806 RDH196806 RND196806 RWZ196806 SGV196806 SQR196806 TAN196806 TKJ196806 TUF196806 UEB196806 UNX196806 UXT196806 VHP196806 VRL196806 WBH196806 WLD196806 WUZ196806 E262342 IN262342 SJ262342 ACF262342 AMB262342 AVX262342 BFT262342 BPP262342 BZL262342 CJH262342 CTD262342 DCZ262342 DMV262342 DWR262342 EGN262342 EQJ262342 FAF262342 FKB262342 FTX262342 GDT262342 GNP262342 GXL262342 HHH262342 HRD262342 IAZ262342 IKV262342 IUR262342 JEN262342 JOJ262342 JYF262342 KIB262342 KRX262342 LBT262342 LLP262342 LVL262342 MFH262342 MPD262342 MYZ262342 NIV262342 NSR262342 OCN262342 OMJ262342 OWF262342 PGB262342 PPX262342 PZT262342 QJP262342 QTL262342 RDH262342 RND262342 RWZ262342 SGV262342 SQR262342 TAN262342 TKJ262342 TUF262342 UEB262342 UNX262342 UXT262342 VHP262342 VRL262342 WBH262342 WLD262342 WUZ262342 E327878 IN327878 SJ327878 ACF327878 AMB327878 AVX327878 BFT327878 BPP327878 BZL327878 CJH327878 CTD327878 DCZ327878 DMV327878 DWR327878 EGN327878 EQJ327878 FAF327878 FKB327878 FTX327878 GDT327878 GNP327878 GXL327878 HHH327878 HRD327878 IAZ327878 IKV327878 IUR327878 JEN327878 JOJ327878 JYF327878 KIB327878 KRX327878 LBT327878 LLP327878 LVL327878 MFH327878 MPD327878 MYZ327878 NIV327878 NSR327878 OCN327878 OMJ327878 OWF327878 PGB327878 PPX327878 PZT327878 QJP327878 QTL327878 RDH327878 RND327878 RWZ327878 SGV327878 SQR327878 TAN327878 TKJ327878 TUF327878 UEB327878 UNX327878 UXT327878 VHP327878 VRL327878 WBH327878 WLD327878 WUZ327878 E393414 IN393414 SJ393414 ACF393414 AMB393414 AVX393414 BFT393414 BPP393414 BZL393414 CJH393414 CTD393414 DCZ393414 DMV393414 DWR393414 EGN393414 EQJ393414 FAF393414 FKB393414 FTX393414 GDT393414 GNP393414 GXL393414 HHH393414 HRD393414 IAZ393414 IKV393414 IUR393414 JEN393414 JOJ393414 JYF393414 KIB393414 KRX393414 LBT393414 LLP393414 LVL393414 MFH393414 MPD393414 MYZ393414 NIV393414 NSR393414 OCN393414 OMJ393414 OWF393414 PGB393414 PPX393414 PZT393414 QJP393414 QTL393414 RDH393414 RND393414 RWZ393414 SGV393414 SQR393414 TAN393414 TKJ393414 TUF393414 UEB393414 UNX393414 UXT393414 VHP393414 VRL393414 WBH393414 WLD393414 WUZ393414 E458950 IN458950 SJ458950 ACF458950 AMB458950 AVX458950 BFT458950 BPP458950 BZL458950 CJH458950 CTD458950 DCZ458950 DMV458950 DWR458950 EGN458950 EQJ458950 FAF458950 FKB458950 FTX458950 GDT458950 GNP458950 GXL458950 HHH458950 HRD458950 IAZ458950 IKV458950 IUR458950 JEN458950 JOJ458950 JYF458950 KIB458950 KRX458950 LBT458950 LLP458950 LVL458950 MFH458950 MPD458950 MYZ458950 NIV458950 NSR458950 OCN458950 OMJ458950 OWF458950 PGB458950 PPX458950 PZT458950 QJP458950 QTL458950 RDH458950 RND458950 RWZ458950 SGV458950 SQR458950 TAN458950 TKJ458950 TUF458950 UEB458950 UNX458950 UXT458950 VHP458950 VRL458950 WBH458950 WLD458950 WUZ458950 E524486 IN524486 SJ524486 ACF524486 AMB524486 AVX524486 BFT524486 BPP524486 BZL524486 CJH524486 CTD524486 DCZ524486 DMV524486 DWR524486 EGN524486 EQJ524486 FAF524486 FKB524486 FTX524486 GDT524486 GNP524486 GXL524486 HHH524486 HRD524486 IAZ524486 IKV524486 IUR524486 JEN524486 JOJ524486 JYF524486 KIB524486 KRX524486 LBT524486 LLP524486 LVL524486 MFH524486 MPD524486 MYZ524486 NIV524486 NSR524486 OCN524486 OMJ524486 OWF524486 PGB524486 PPX524486 PZT524486 QJP524486 QTL524486 RDH524486 RND524486 RWZ524486 SGV524486 SQR524486 TAN524486 TKJ524486 TUF524486 UEB524486 UNX524486 UXT524486 VHP524486 VRL524486 WBH524486 WLD524486 WUZ524486 E590022 IN590022 SJ590022 ACF590022 AMB590022 AVX590022 BFT590022 BPP590022 BZL590022 CJH590022 CTD590022 DCZ590022 DMV590022 DWR590022 EGN590022 EQJ590022 FAF590022 FKB590022 FTX590022 GDT590022 GNP590022 GXL590022 HHH590022 HRD590022 IAZ590022 IKV590022 IUR590022 JEN590022 JOJ590022 JYF590022 KIB590022 KRX590022 LBT590022 LLP590022 LVL590022 MFH590022 MPD590022 MYZ590022 NIV590022 NSR590022 OCN590022 OMJ590022 OWF590022 PGB590022 PPX590022 PZT590022 QJP590022 QTL590022 RDH590022 RND590022 RWZ590022 SGV590022 SQR590022 TAN590022 TKJ590022 TUF590022 UEB590022 UNX590022 UXT590022 VHP590022 VRL590022 WBH590022 WLD590022 WUZ590022 E655558 IN655558 SJ655558 ACF655558 AMB655558 AVX655558 BFT655558 BPP655558 BZL655558 CJH655558 CTD655558 DCZ655558 DMV655558 DWR655558 EGN655558 EQJ655558 FAF655558 FKB655558 FTX655558 GDT655558 GNP655558 GXL655558 HHH655558 HRD655558 IAZ655558 IKV655558 IUR655558 JEN655558 JOJ655558 JYF655558 KIB655558 KRX655558 LBT655558 LLP655558 LVL655558 MFH655558 MPD655558 MYZ655558 NIV655558 NSR655558 OCN655558 OMJ655558 OWF655558 PGB655558 PPX655558 PZT655558 QJP655558 QTL655558 RDH655558 RND655558 RWZ655558 SGV655558 SQR655558 TAN655558 TKJ655558 TUF655558 UEB655558 UNX655558 UXT655558 VHP655558 VRL655558 WBH655558 WLD655558 WUZ655558 E721094 IN721094 SJ721094 ACF721094 AMB721094 AVX721094 BFT721094 BPP721094 BZL721094 CJH721094 CTD721094 DCZ721094 DMV721094 DWR721094 EGN721094 EQJ721094 FAF721094 FKB721094 FTX721094 GDT721094 GNP721094 GXL721094 HHH721094 HRD721094 IAZ721094 IKV721094 IUR721094 JEN721094 JOJ721094 JYF721094 KIB721094 KRX721094 LBT721094 LLP721094 LVL721094 MFH721094 MPD721094 MYZ721094 NIV721094 NSR721094 OCN721094 OMJ721094 OWF721094 PGB721094 PPX721094 PZT721094 QJP721094 QTL721094 RDH721094 RND721094 RWZ721094 SGV721094 SQR721094 TAN721094 TKJ721094 TUF721094 UEB721094 UNX721094 UXT721094 VHP721094 VRL721094 WBH721094 WLD721094 WUZ721094 E786630 IN786630 SJ786630 ACF786630 AMB786630 AVX786630 BFT786630 BPP786630 BZL786630 CJH786630 CTD786630 DCZ786630 DMV786630 DWR786630 EGN786630 EQJ786630 FAF786630 FKB786630 FTX786630 GDT786630 GNP786630 GXL786630 HHH786630 HRD786630 IAZ786630 IKV786630 IUR786630 JEN786630 JOJ786630 JYF786630 KIB786630 KRX786630 LBT786630 LLP786630 LVL786630 MFH786630 MPD786630 MYZ786630 NIV786630 NSR786630 OCN786630 OMJ786630 OWF786630 PGB786630 PPX786630 PZT786630 QJP786630 QTL786630 RDH786630 RND786630 RWZ786630 SGV786630 SQR786630 TAN786630 TKJ786630 TUF786630 UEB786630 UNX786630 UXT786630 VHP786630 VRL786630 WBH786630 WLD786630 WUZ786630 E852166 IN852166 SJ852166 ACF852166 AMB852166 AVX852166 BFT852166 BPP852166 BZL852166 CJH852166 CTD852166 DCZ852166 DMV852166 DWR852166 EGN852166 EQJ852166 FAF852166 FKB852166 FTX852166 GDT852166 GNP852166 GXL852166 HHH852166 HRD852166 IAZ852166 IKV852166 IUR852166 JEN852166 JOJ852166 JYF852166 KIB852166 KRX852166 LBT852166 LLP852166 LVL852166 MFH852166 MPD852166 MYZ852166 NIV852166 NSR852166 OCN852166 OMJ852166 OWF852166 PGB852166 PPX852166 PZT852166 QJP852166 QTL852166 RDH852166 RND852166 RWZ852166 SGV852166 SQR852166 TAN852166 TKJ852166 TUF852166 UEB852166 UNX852166 UXT852166 VHP852166 VRL852166 WBH852166 WLD852166 WUZ852166 E917702 IN917702 SJ917702 ACF917702 AMB917702 AVX917702 BFT917702 BPP917702 BZL917702 CJH917702 CTD917702 DCZ917702 DMV917702 DWR917702 EGN917702 EQJ917702 FAF917702 FKB917702 FTX917702 GDT917702 GNP917702 GXL917702 HHH917702 HRD917702 IAZ917702 IKV917702 IUR917702 JEN917702 JOJ917702 JYF917702 KIB917702 KRX917702 LBT917702 LLP917702 LVL917702 MFH917702 MPD917702 MYZ917702 NIV917702 NSR917702 OCN917702 OMJ917702 OWF917702 PGB917702 PPX917702 PZT917702 QJP917702 QTL917702 RDH917702 RND917702 RWZ917702 SGV917702 SQR917702 TAN917702 TKJ917702 TUF917702 UEB917702 UNX917702 UXT917702 VHP917702 VRL917702 WBH917702 WLD917702 WUZ917702 E983238 IN983238 SJ983238 ACF983238 AMB983238 AVX983238 BFT983238 BPP983238 BZL983238 CJH983238 CTD983238 DCZ983238 DMV983238 DWR983238 EGN983238 EQJ983238 FAF983238 FKB983238 FTX983238 GDT983238 GNP983238 GXL983238 HHH983238 HRD983238 IAZ983238 IKV983238 IUR983238 JEN983238 JOJ983238 JYF983238 KIB983238 KRX983238 LBT983238 LLP983238 LVL983238 MFH983238 MPD983238 MYZ983238 NIV983238 NSR983238 OCN983238 OMJ983238 OWF983238 PGB983238 PPX983238 PZT983238 QJP983238 QTL983238 RDH983238 RND983238 RWZ983238 SGV983238 SQR983238 TAN983238 TKJ983238 TUF983238 UEB983238 UNX983238 UXT983238 VHP983238 VRL983238 WBH983238 WLD983238 E46" xr:uid="{00000000-0002-0000-0200-000002000000}">
      <formula1>"mm,mil,oz-Cu"</formula1>
    </dataValidation>
    <dataValidation type="list" showInputMessage="1" showErrorMessage="1" sqref="E38:E45 IN59 SJ59 ACF59 AMB59 AVX59 BFT59 BPP59 BZL59 CJH59 CTD59 DCZ59 DMV59 DWR59 EGN59 EQJ59 FAF59 FKB59 FTX59 GDT59 GNP59 GXL59 HHH59 HRD59 IAZ59 IKV59 IUR59 JEN59 JOJ59 JYF59 KIB59 KRX59 LBT59 LLP59 LVL59 MFH59 MPD59 MYZ59 NIV59 NSR59 OCN59 OMJ59 OWF59 PGB59 PPX59 PZT59 QJP59 QTL59 RDH59 RND59 RWZ59 SGV59 SQR59 TAN59 TKJ59 TUF59 UEB59 UNX59 UXT59 VHP59 VRL59 WBH59 WLD59 WUZ59 E65743 IN65743 SJ65743 ACF65743 AMB65743 AVX65743 BFT65743 BPP65743 BZL65743 CJH65743 CTD65743 DCZ65743 DMV65743 DWR65743 EGN65743 EQJ65743 FAF65743 FKB65743 FTX65743 GDT65743 GNP65743 GXL65743 HHH65743 HRD65743 IAZ65743 IKV65743 IUR65743 JEN65743 JOJ65743 JYF65743 KIB65743 KRX65743 LBT65743 LLP65743 LVL65743 MFH65743 MPD65743 MYZ65743 NIV65743 NSR65743 OCN65743 OMJ65743 OWF65743 PGB65743 PPX65743 PZT65743 QJP65743 QTL65743 RDH65743 RND65743 RWZ65743 SGV65743 SQR65743 TAN65743 TKJ65743 TUF65743 UEB65743 UNX65743 UXT65743 VHP65743 VRL65743 WBH65743 WLD65743 WUZ65743 E131279 IN131279 SJ131279 ACF131279 AMB131279 AVX131279 BFT131279 BPP131279 BZL131279 CJH131279 CTD131279 DCZ131279 DMV131279 DWR131279 EGN131279 EQJ131279 FAF131279 FKB131279 FTX131279 GDT131279 GNP131279 GXL131279 HHH131279 HRD131279 IAZ131279 IKV131279 IUR131279 JEN131279 JOJ131279 JYF131279 KIB131279 KRX131279 LBT131279 LLP131279 LVL131279 MFH131279 MPD131279 MYZ131279 NIV131279 NSR131279 OCN131279 OMJ131279 OWF131279 PGB131279 PPX131279 PZT131279 QJP131279 QTL131279 RDH131279 RND131279 RWZ131279 SGV131279 SQR131279 TAN131279 TKJ131279 TUF131279 UEB131279 UNX131279 UXT131279 VHP131279 VRL131279 WBH131279 WLD131279 WUZ131279 E196815 IN196815 SJ196815 ACF196815 AMB196815 AVX196815 BFT196815 BPP196815 BZL196815 CJH196815 CTD196815 DCZ196815 DMV196815 DWR196815 EGN196815 EQJ196815 FAF196815 FKB196815 FTX196815 GDT196815 GNP196815 GXL196815 HHH196815 HRD196815 IAZ196815 IKV196815 IUR196815 JEN196815 JOJ196815 JYF196815 KIB196815 KRX196815 LBT196815 LLP196815 LVL196815 MFH196815 MPD196815 MYZ196815 NIV196815 NSR196815 OCN196815 OMJ196815 OWF196815 PGB196815 PPX196815 PZT196815 QJP196815 QTL196815 RDH196815 RND196815 RWZ196815 SGV196815 SQR196815 TAN196815 TKJ196815 TUF196815 UEB196815 UNX196815 UXT196815 VHP196815 VRL196815 WBH196815 WLD196815 WUZ196815 E262351 IN262351 SJ262351 ACF262351 AMB262351 AVX262351 BFT262351 BPP262351 BZL262351 CJH262351 CTD262351 DCZ262351 DMV262351 DWR262351 EGN262351 EQJ262351 FAF262351 FKB262351 FTX262351 GDT262351 GNP262351 GXL262351 HHH262351 HRD262351 IAZ262351 IKV262351 IUR262351 JEN262351 JOJ262351 JYF262351 KIB262351 KRX262351 LBT262351 LLP262351 LVL262351 MFH262351 MPD262351 MYZ262351 NIV262351 NSR262351 OCN262351 OMJ262351 OWF262351 PGB262351 PPX262351 PZT262351 QJP262351 QTL262351 RDH262351 RND262351 RWZ262351 SGV262351 SQR262351 TAN262351 TKJ262351 TUF262351 UEB262351 UNX262351 UXT262351 VHP262351 VRL262351 WBH262351 WLD262351 WUZ262351 E327887 IN327887 SJ327887 ACF327887 AMB327887 AVX327887 BFT327887 BPP327887 BZL327887 CJH327887 CTD327887 DCZ327887 DMV327887 DWR327887 EGN327887 EQJ327887 FAF327887 FKB327887 FTX327887 GDT327887 GNP327887 GXL327887 HHH327887 HRD327887 IAZ327887 IKV327887 IUR327887 JEN327887 JOJ327887 JYF327887 KIB327887 KRX327887 LBT327887 LLP327887 LVL327887 MFH327887 MPD327887 MYZ327887 NIV327887 NSR327887 OCN327887 OMJ327887 OWF327887 PGB327887 PPX327887 PZT327887 QJP327887 QTL327887 RDH327887 RND327887 RWZ327887 SGV327887 SQR327887 TAN327887 TKJ327887 TUF327887 UEB327887 UNX327887 UXT327887 VHP327887 VRL327887 WBH327887 WLD327887 WUZ327887 E393423 IN393423 SJ393423 ACF393423 AMB393423 AVX393423 BFT393423 BPP393423 BZL393423 CJH393423 CTD393423 DCZ393423 DMV393423 DWR393423 EGN393423 EQJ393423 FAF393423 FKB393423 FTX393423 GDT393423 GNP393423 GXL393423 HHH393423 HRD393423 IAZ393423 IKV393423 IUR393423 JEN393423 JOJ393423 JYF393423 KIB393423 KRX393423 LBT393423 LLP393423 LVL393423 MFH393423 MPD393423 MYZ393423 NIV393423 NSR393423 OCN393423 OMJ393423 OWF393423 PGB393423 PPX393423 PZT393423 QJP393423 QTL393423 RDH393423 RND393423 RWZ393423 SGV393423 SQR393423 TAN393423 TKJ393423 TUF393423 UEB393423 UNX393423 UXT393423 VHP393423 VRL393423 WBH393423 WLD393423 WUZ393423 E458959 IN458959 SJ458959 ACF458959 AMB458959 AVX458959 BFT458959 BPP458959 BZL458959 CJH458959 CTD458959 DCZ458959 DMV458959 DWR458959 EGN458959 EQJ458959 FAF458959 FKB458959 FTX458959 GDT458959 GNP458959 GXL458959 HHH458959 HRD458959 IAZ458959 IKV458959 IUR458959 JEN458959 JOJ458959 JYF458959 KIB458959 KRX458959 LBT458959 LLP458959 LVL458959 MFH458959 MPD458959 MYZ458959 NIV458959 NSR458959 OCN458959 OMJ458959 OWF458959 PGB458959 PPX458959 PZT458959 QJP458959 QTL458959 RDH458959 RND458959 RWZ458959 SGV458959 SQR458959 TAN458959 TKJ458959 TUF458959 UEB458959 UNX458959 UXT458959 VHP458959 VRL458959 WBH458959 WLD458959 WUZ458959 E524495 IN524495 SJ524495 ACF524495 AMB524495 AVX524495 BFT524495 BPP524495 BZL524495 CJH524495 CTD524495 DCZ524495 DMV524495 DWR524495 EGN524495 EQJ524495 FAF524495 FKB524495 FTX524495 GDT524495 GNP524495 GXL524495 HHH524495 HRD524495 IAZ524495 IKV524495 IUR524495 JEN524495 JOJ524495 JYF524495 KIB524495 KRX524495 LBT524495 LLP524495 LVL524495 MFH524495 MPD524495 MYZ524495 NIV524495 NSR524495 OCN524495 OMJ524495 OWF524495 PGB524495 PPX524495 PZT524495 QJP524495 QTL524495 RDH524495 RND524495 RWZ524495 SGV524495 SQR524495 TAN524495 TKJ524495 TUF524495 UEB524495 UNX524495 UXT524495 VHP524495 VRL524495 WBH524495 WLD524495 WUZ524495 E590031 IN590031 SJ590031 ACF590031 AMB590031 AVX590031 BFT590031 BPP590031 BZL590031 CJH590031 CTD590031 DCZ590031 DMV590031 DWR590031 EGN590031 EQJ590031 FAF590031 FKB590031 FTX590031 GDT590031 GNP590031 GXL590031 HHH590031 HRD590031 IAZ590031 IKV590031 IUR590031 JEN590031 JOJ590031 JYF590031 KIB590031 KRX590031 LBT590031 LLP590031 LVL590031 MFH590031 MPD590031 MYZ590031 NIV590031 NSR590031 OCN590031 OMJ590031 OWF590031 PGB590031 PPX590031 PZT590031 QJP590031 QTL590031 RDH590031 RND590031 RWZ590031 SGV590031 SQR590031 TAN590031 TKJ590031 TUF590031 UEB590031 UNX590031 UXT590031 VHP590031 VRL590031 WBH590031 WLD590031 WUZ590031 E655567 IN655567 SJ655567 ACF655567 AMB655567 AVX655567 BFT655567 BPP655567 BZL655567 CJH655567 CTD655567 DCZ655567 DMV655567 DWR655567 EGN655567 EQJ655567 FAF655567 FKB655567 FTX655567 GDT655567 GNP655567 GXL655567 HHH655567 HRD655567 IAZ655567 IKV655567 IUR655567 JEN655567 JOJ655567 JYF655567 KIB655567 KRX655567 LBT655567 LLP655567 LVL655567 MFH655567 MPD655567 MYZ655567 NIV655567 NSR655567 OCN655567 OMJ655567 OWF655567 PGB655567 PPX655567 PZT655567 QJP655567 QTL655567 RDH655567 RND655567 RWZ655567 SGV655567 SQR655567 TAN655567 TKJ655567 TUF655567 UEB655567 UNX655567 UXT655567 VHP655567 VRL655567 WBH655567 WLD655567 WUZ655567 E721103 IN721103 SJ721103 ACF721103 AMB721103 AVX721103 BFT721103 BPP721103 BZL721103 CJH721103 CTD721103 DCZ721103 DMV721103 DWR721103 EGN721103 EQJ721103 FAF721103 FKB721103 FTX721103 GDT721103 GNP721103 GXL721103 HHH721103 HRD721103 IAZ721103 IKV721103 IUR721103 JEN721103 JOJ721103 JYF721103 KIB721103 KRX721103 LBT721103 LLP721103 LVL721103 MFH721103 MPD721103 MYZ721103 NIV721103 NSR721103 OCN721103 OMJ721103 OWF721103 PGB721103 PPX721103 PZT721103 QJP721103 QTL721103 RDH721103 RND721103 RWZ721103 SGV721103 SQR721103 TAN721103 TKJ721103 TUF721103 UEB721103 UNX721103 UXT721103 VHP721103 VRL721103 WBH721103 WLD721103 WUZ721103 E786639 IN786639 SJ786639 ACF786639 AMB786639 AVX786639 BFT786639 BPP786639 BZL786639 CJH786639 CTD786639 DCZ786639 DMV786639 DWR786639 EGN786639 EQJ786639 FAF786639 FKB786639 FTX786639 GDT786639 GNP786639 GXL786639 HHH786639 HRD786639 IAZ786639 IKV786639 IUR786639 JEN786639 JOJ786639 JYF786639 KIB786639 KRX786639 LBT786639 LLP786639 LVL786639 MFH786639 MPD786639 MYZ786639 NIV786639 NSR786639 OCN786639 OMJ786639 OWF786639 PGB786639 PPX786639 PZT786639 QJP786639 QTL786639 RDH786639 RND786639 RWZ786639 SGV786639 SQR786639 TAN786639 TKJ786639 TUF786639 UEB786639 UNX786639 UXT786639 VHP786639 VRL786639 WBH786639 WLD786639 WUZ786639 E852175 IN852175 SJ852175 ACF852175 AMB852175 AVX852175 BFT852175 BPP852175 BZL852175 CJH852175 CTD852175 DCZ852175 DMV852175 DWR852175 EGN852175 EQJ852175 FAF852175 FKB852175 FTX852175 GDT852175 GNP852175 GXL852175 HHH852175 HRD852175 IAZ852175 IKV852175 IUR852175 JEN852175 JOJ852175 JYF852175 KIB852175 KRX852175 LBT852175 LLP852175 LVL852175 MFH852175 MPD852175 MYZ852175 NIV852175 NSR852175 OCN852175 OMJ852175 OWF852175 PGB852175 PPX852175 PZT852175 QJP852175 QTL852175 RDH852175 RND852175 RWZ852175 SGV852175 SQR852175 TAN852175 TKJ852175 TUF852175 UEB852175 UNX852175 UXT852175 VHP852175 VRL852175 WBH852175 WLD852175 WUZ852175 E917711 IN917711 SJ917711 ACF917711 AMB917711 AVX917711 BFT917711 BPP917711 BZL917711 CJH917711 CTD917711 DCZ917711 DMV917711 DWR917711 EGN917711 EQJ917711 FAF917711 FKB917711 FTX917711 GDT917711 GNP917711 GXL917711 HHH917711 HRD917711 IAZ917711 IKV917711 IUR917711 JEN917711 JOJ917711 JYF917711 KIB917711 KRX917711 LBT917711 LLP917711 LVL917711 MFH917711 MPD917711 MYZ917711 NIV917711 NSR917711 OCN917711 OMJ917711 OWF917711 PGB917711 PPX917711 PZT917711 QJP917711 QTL917711 RDH917711 RND917711 RWZ917711 SGV917711 SQR917711 TAN917711 TKJ917711 TUF917711 UEB917711 UNX917711 UXT917711 VHP917711 VRL917711 WBH917711 WLD917711 WUZ917711 E983247 IN983247 SJ983247 ACF983247 AMB983247 AVX983247 BFT983247 BPP983247 BZL983247 CJH983247 CTD983247 DCZ983247 DMV983247 DWR983247 EGN983247 EQJ983247 FAF983247 FKB983247 FTX983247 GDT983247 GNP983247 GXL983247 HHH983247 HRD983247 IAZ983247 IKV983247 IUR983247 JEN983247 JOJ983247 JYF983247 KIB983247 KRX983247 LBT983247 LLP983247 LVL983247 MFH983247 MPD983247 MYZ983247 NIV983247 NSR983247 OCN983247 OMJ983247 OWF983247 PGB983247 PPX983247 PZT983247 QJP983247 QTL983247 RDH983247 RND983247 RWZ983247 SGV983247 SQR983247 TAN983247 TKJ983247 TUF983247 UEB983247 UNX983247 UXT983247 VHP983247 VRL983247 WBH983247 WLD983247 WUZ983247 WUZ983224 IN33:IN45 SJ33:SJ45 ACF33:ACF45 AMB33:AMB45 AVX33:AVX45 BFT33:BFT45 BPP33:BPP45 BZL33:BZL45 CJH33:CJH45 CTD33:CTD45 DCZ33:DCZ45 DMV33:DMV45 DWR33:DWR45 EGN33:EGN45 EQJ33:EQJ45 FAF33:FAF45 FKB33:FKB45 FTX33:FTX45 GDT33:GDT45 GNP33:GNP45 GXL33:GXL45 HHH33:HHH45 HRD33:HRD45 IAZ33:IAZ45 IKV33:IKV45 IUR33:IUR45 JEN33:JEN45 JOJ33:JOJ45 JYF33:JYF45 KIB33:KIB45 KRX33:KRX45 LBT33:LBT45 LLP33:LLP45 LVL33:LVL45 MFH33:MFH45 MPD33:MPD45 MYZ33:MYZ45 NIV33:NIV45 NSR33:NSR45 OCN33:OCN45 OMJ33:OMJ45 OWF33:OWF45 PGB33:PGB45 PPX33:PPX45 PZT33:PZT45 QJP33:QJP45 QTL33:QTL45 RDH33:RDH45 RND33:RND45 RWZ33:RWZ45 SGV33:SGV45 SQR33:SQR45 TAN33:TAN45 TKJ33:TKJ45 TUF33:TUF45 UEB33:UEB45 UNX33:UNX45 UXT33:UXT45 VHP33:VHP45 VRL33:VRL45 WBH33:WBH45 WLD33:WLD45 WUZ33:WUZ45 E65725:E65733 IN65725:IN65733 SJ65725:SJ65733 ACF65725:ACF65733 AMB65725:AMB65733 AVX65725:AVX65733 BFT65725:BFT65733 BPP65725:BPP65733 BZL65725:BZL65733 CJH65725:CJH65733 CTD65725:CTD65733 DCZ65725:DCZ65733 DMV65725:DMV65733 DWR65725:DWR65733 EGN65725:EGN65733 EQJ65725:EQJ65733 FAF65725:FAF65733 FKB65725:FKB65733 FTX65725:FTX65733 GDT65725:GDT65733 GNP65725:GNP65733 GXL65725:GXL65733 HHH65725:HHH65733 HRD65725:HRD65733 IAZ65725:IAZ65733 IKV65725:IKV65733 IUR65725:IUR65733 JEN65725:JEN65733 JOJ65725:JOJ65733 JYF65725:JYF65733 KIB65725:KIB65733 KRX65725:KRX65733 LBT65725:LBT65733 LLP65725:LLP65733 LVL65725:LVL65733 MFH65725:MFH65733 MPD65725:MPD65733 MYZ65725:MYZ65733 NIV65725:NIV65733 NSR65725:NSR65733 OCN65725:OCN65733 OMJ65725:OMJ65733 OWF65725:OWF65733 PGB65725:PGB65733 PPX65725:PPX65733 PZT65725:PZT65733 QJP65725:QJP65733 QTL65725:QTL65733 RDH65725:RDH65733 RND65725:RND65733 RWZ65725:RWZ65733 SGV65725:SGV65733 SQR65725:SQR65733 TAN65725:TAN65733 TKJ65725:TKJ65733 TUF65725:TUF65733 UEB65725:UEB65733 UNX65725:UNX65733 UXT65725:UXT65733 VHP65725:VHP65733 VRL65725:VRL65733 WBH65725:WBH65733 WLD65725:WLD65733 WUZ65725:WUZ65733 E131261:E131269 IN131261:IN131269 SJ131261:SJ131269 ACF131261:ACF131269 AMB131261:AMB131269 AVX131261:AVX131269 BFT131261:BFT131269 BPP131261:BPP131269 BZL131261:BZL131269 CJH131261:CJH131269 CTD131261:CTD131269 DCZ131261:DCZ131269 DMV131261:DMV131269 DWR131261:DWR131269 EGN131261:EGN131269 EQJ131261:EQJ131269 FAF131261:FAF131269 FKB131261:FKB131269 FTX131261:FTX131269 GDT131261:GDT131269 GNP131261:GNP131269 GXL131261:GXL131269 HHH131261:HHH131269 HRD131261:HRD131269 IAZ131261:IAZ131269 IKV131261:IKV131269 IUR131261:IUR131269 JEN131261:JEN131269 JOJ131261:JOJ131269 JYF131261:JYF131269 KIB131261:KIB131269 KRX131261:KRX131269 LBT131261:LBT131269 LLP131261:LLP131269 LVL131261:LVL131269 MFH131261:MFH131269 MPD131261:MPD131269 MYZ131261:MYZ131269 NIV131261:NIV131269 NSR131261:NSR131269 OCN131261:OCN131269 OMJ131261:OMJ131269 OWF131261:OWF131269 PGB131261:PGB131269 PPX131261:PPX131269 PZT131261:PZT131269 QJP131261:QJP131269 QTL131261:QTL131269 RDH131261:RDH131269 RND131261:RND131269 RWZ131261:RWZ131269 SGV131261:SGV131269 SQR131261:SQR131269 TAN131261:TAN131269 TKJ131261:TKJ131269 TUF131261:TUF131269 UEB131261:UEB131269 UNX131261:UNX131269 UXT131261:UXT131269 VHP131261:VHP131269 VRL131261:VRL131269 WBH131261:WBH131269 WLD131261:WLD131269 WUZ131261:WUZ131269 E196797:E196805 IN196797:IN196805 SJ196797:SJ196805 ACF196797:ACF196805 AMB196797:AMB196805 AVX196797:AVX196805 BFT196797:BFT196805 BPP196797:BPP196805 BZL196797:BZL196805 CJH196797:CJH196805 CTD196797:CTD196805 DCZ196797:DCZ196805 DMV196797:DMV196805 DWR196797:DWR196805 EGN196797:EGN196805 EQJ196797:EQJ196805 FAF196797:FAF196805 FKB196797:FKB196805 FTX196797:FTX196805 GDT196797:GDT196805 GNP196797:GNP196805 GXL196797:GXL196805 HHH196797:HHH196805 HRD196797:HRD196805 IAZ196797:IAZ196805 IKV196797:IKV196805 IUR196797:IUR196805 JEN196797:JEN196805 JOJ196797:JOJ196805 JYF196797:JYF196805 KIB196797:KIB196805 KRX196797:KRX196805 LBT196797:LBT196805 LLP196797:LLP196805 LVL196797:LVL196805 MFH196797:MFH196805 MPD196797:MPD196805 MYZ196797:MYZ196805 NIV196797:NIV196805 NSR196797:NSR196805 OCN196797:OCN196805 OMJ196797:OMJ196805 OWF196797:OWF196805 PGB196797:PGB196805 PPX196797:PPX196805 PZT196797:PZT196805 QJP196797:QJP196805 QTL196797:QTL196805 RDH196797:RDH196805 RND196797:RND196805 RWZ196797:RWZ196805 SGV196797:SGV196805 SQR196797:SQR196805 TAN196797:TAN196805 TKJ196797:TKJ196805 TUF196797:TUF196805 UEB196797:UEB196805 UNX196797:UNX196805 UXT196797:UXT196805 VHP196797:VHP196805 VRL196797:VRL196805 WBH196797:WBH196805 WLD196797:WLD196805 WUZ196797:WUZ196805 E262333:E262341 IN262333:IN262341 SJ262333:SJ262341 ACF262333:ACF262341 AMB262333:AMB262341 AVX262333:AVX262341 BFT262333:BFT262341 BPP262333:BPP262341 BZL262333:BZL262341 CJH262333:CJH262341 CTD262333:CTD262341 DCZ262333:DCZ262341 DMV262333:DMV262341 DWR262333:DWR262341 EGN262333:EGN262341 EQJ262333:EQJ262341 FAF262333:FAF262341 FKB262333:FKB262341 FTX262333:FTX262341 GDT262333:GDT262341 GNP262333:GNP262341 GXL262333:GXL262341 HHH262333:HHH262341 HRD262333:HRD262341 IAZ262333:IAZ262341 IKV262333:IKV262341 IUR262333:IUR262341 JEN262333:JEN262341 JOJ262333:JOJ262341 JYF262333:JYF262341 KIB262333:KIB262341 KRX262333:KRX262341 LBT262333:LBT262341 LLP262333:LLP262341 LVL262333:LVL262341 MFH262333:MFH262341 MPD262333:MPD262341 MYZ262333:MYZ262341 NIV262333:NIV262341 NSR262333:NSR262341 OCN262333:OCN262341 OMJ262333:OMJ262341 OWF262333:OWF262341 PGB262333:PGB262341 PPX262333:PPX262341 PZT262333:PZT262341 QJP262333:QJP262341 QTL262333:QTL262341 RDH262333:RDH262341 RND262333:RND262341 RWZ262333:RWZ262341 SGV262333:SGV262341 SQR262333:SQR262341 TAN262333:TAN262341 TKJ262333:TKJ262341 TUF262333:TUF262341 UEB262333:UEB262341 UNX262333:UNX262341 UXT262333:UXT262341 VHP262333:VHP262341 VRL262333:VRL262341 WBH262333:WBH262341 WLD262333:WLD262341 WUZ262333:WUZ262341 E327869:E327877 IN327869:IN327877 SJ327869:SJ327877 ACF327869:ACF327877 AMB327869:AMB327877 AVX327869:AVX327877 BFT327869:BFT327877 BPP327869:BPP327877 BZL327869:BZL327877 CJH327869:CJH327877 CTD327869:CTD327877 DCZ327869:DCZ327877 DMV327869:DMV327877 DWR327869:DWR327877 EGN327869:EGN327877 EQJ327869:EQJ327877 FAF327869:FAF327877 FKB327869:FKB327877 FTX327869:FTX327877 GDT327869:GDT327877 GNP327869:GNP327877 GXL327869:GXL327877 HHH327869:HHH327877 HRD327869:HRD327877 IAZ327869:IAZ327877 IKV327869:IKV327877 IUR327869:IUR327877 JEN327869:JEN327877 JOJ327869:JOJ327877 JYF327869:JYF327877 KIB327869:KIB327877 KRX327869:KRX327877 LBT327869:LBT327877 LLP327869:LLP327877 LVL327869:LVL327877 MFH327869:MFH327877 MPD327869:MPD327877 MYZ327869:MYZ327877 NIV327869:NIV327877 NSR327869:NSR327877 OCN327869:OCN327877 OMJ327869:OMJ327877 OWF327869:OWF327877 PGB327869:PGB327877 PPX327869:PPX327877 PZT327869:PZT327877 QJP327869:QJP327877 QTL327869:QTL327877 RDH327869:RDH327877 RND327869:RND327877 RWZ327869:RWZ327877 SGV327869:SGV327877 SQR327869:SQR327877 TAN327869:TAN327877 TKJ327869:TKJ327877 TUF327869:TUF327877 UEB327869:UEB327877 UNX327869:UNX327877 UXT327869:UXT327877 VHP327869:VHP327877 VRL327869:VRL327877 WBH327869:WBH327877 WLD327869:WLD327877 WUZ327869:WUZ327877 E393405:E393413 IN393405:IN393413 SJ393405:SJ393413 ACF393405:ACF393413 AMB393405:AMB393413 AVX393405:AVX393413 BFT393405:BFT393413 BPP393405:BPP393413 BZL393405:BZL393413 CJH393405:CJH393413 CTD393405:CTD393413 DCZ393405:DCZ393413 DMV393405:DMV393413 DWR393405:DWR393413 EGN393405:EGN393413 EQJ393405:EQJ393413 FAF393405:FAF393413 FKB393405:FKB393413 FTX393405:FTX393413 GDT393405:GDT393413 GNP393405:GNP393413 GXL393405:GXL393413 HHH393405:HHH393413 HRD393405:HRD393413 IAZ393405:IAZ393413 IKV393405:IKV393413 IUR393405:IUR393413 JEN393405:JEN393413 JOJ393405:JOJ393413 JYF393405:JYF393413 KIB393405:KIB393413 KRX393405:KRX393413 LBT393405:LBT393413 LLP393405:LLP393413 LVL393405:LVL393413 MFH393405:MFH393413 MPD393405:MPD393413 MYZ393405:MYZ393413 NIV393405:NIV393413 NSR393405:NSR393413 OCN393405:OCN393413 OMJ393405:OMJ393413 OWF393405:OWF393413 PGB393405:PGB393413 PPX393405:PPX393413 PZT393405:PZT393413 QJP393405:QJP393413 QTL393405:QTL393413 RDH393405:RDH393413 RND393405:RND393413 RWZ393405:RWZ393413 SGV393405:SGV393413 SQR393405:SQR393413 TAN393405:TAN393413 TKJ393405:TKJ393413 TUF393405:TUF393413 UEB393405:UEB393413 UNX393405:UNX393413 UXT393405:UXT393413 VHP393405:VHP393413 VRL393405:VRL393413 WBH393405:WBH393413 WLD393405:WLD393413 WUZ393405:WUZ393413 E458941:E458949 IN458941:IN458949 SJ458941:SJ458949 ACF458941:ACF458949 AMB458941:AMB458949 AVX458941:AVX458949 BFT458941:BFT458949 BPP458941:BPP458949 BZL458941:BZL458949 CJH458941:CJH458949 CTD458941:CTD458949 DCZ458941:DCZ458949 DMV458941:DMV458949 DWR458941:DWR458949 EGN458941:EGN458949 EQJ458941:EQJ458949 FAF458941:FAF458949 FKB458941:FKB458949 FTX458941:FTX458949 GDT458941:GDT458949 GNP458941:GNP458949 GXL458941:GXL458949 HHH458941:HHH458949 HRD458941:HRD458949 IAZ458941:IAZ458949 IKV458941:IKV458949 IUR458941:IUR458949 JEN458941:JEN458949 JOJ458941:JOJ458949 JYF458941:JYF458949 KIB458941:KIB458949 KRX458941:KRX458949 LBT458941:LBT458949 LLP458941:LLP458949 LVL458941:LVL458949 MFH458941:MFH458949 MPD458941:MPD458949 MYZ458941:MYZ458949 NIV458941:NIV458949 NSR458941:NSR458949 OCN458941:OCN458949 OMJ458941:OMJ458949 OWF458941:OWF458949 PGB458941:PGB458949 PPX458941:PPX458949 PZT458941:PZT458949 QJP458941:QJP458949 QTL458941:QTL458949 RDH458941:RDH458949 RND458941:RND458949 RWZ458941:RWZ458949 SGV458941:SGV458949 SQR458941:SQR458949 TAN458941:TAN458949 TKJ458941:TKJ458949 TUF458941:TUF458949 UEB458941:UEB458949 UNX458941:UNX458949 UXT458941:UXT458949 VHP458941:VHP458949 VRL458941:VRL458949 WBH458941:WBH458949 WLD458941:WLD458949 WUZ458941:WUZ458949 E524477:E524485 IN524477:IN524485 SJ524477:SJ524485 ACF524477:ACF524485 AMB524477:AMB524485 AVX524477:AVX524485 BFT524477:BFT524485 BPP524477:BPP524485 BZL524477:BZL524485 CJH524477:CJH524485 CTD524477:CTD524485 DCZ524477:DCZ524485 DMV524477:DMV524485 DWR524477:DWR524485 EGN524477:EGN524485 EQJ524477:EQJ524485 FAF524477:FAF524485 FKB524477:FKB524485 FTX524477:FTX524485 GDT524477:GDT524485 GNP524477:GNP524485 GXL524477:GXL524485 HHH524477:HHH524485 HRD524477:HRD524485 IAZ524477:IAZ524485 IKV524477:IKV524485 IUR524477:IUR524485 JEN524477:JEN524485 JOJ524477:JOJ524485 JYF524477:JYF524485 KIB524477:KIB524485 KRX524477:KRX524485 LBT524477:LBT524485 LLP524477:LLP524485 LVL524477:LVL524485 MFH524477:MFH524485 MPD524477:MPD524485 MYZ524477:MYZ524485 NIV524477:NIV524485 NSR524477:NSR524485 OCN524477:OCN524485 OMJ524477:OMJ524485 OWF524477:OWF524485 PGB524477:PGB524485 PPX524477:PPX524485 PZT524477:PZT524485 QJP524477:QJP524485 QTL524477:QTL524485 RDH524477:RDH524485 RND524477:RND524485 RWZ524477:RWZ524485 SGV524477:SGV524485 SQR524477:SQR524485 TAN524477:TAN524485 TKJ524477:TKJ524485 TUF524477:TUF524485 UEB524477:UEB524485 UNX524477:UNX524485 UXT524477:UXT524485 VHP524477:VHP524485 VRL524477:VRL524485 WBH524477:WBH524485 WLD524477:WLD524485 WUZ524477:WUZ524485 E590013:E590021 IN590013:IN590021 SJ590013:SJ590021 ACF590013:ACF590021 AMB590013:AMB590021 AVX590013:AVX590021 BFT590013:BFT590021 BPP590013:BPP590021 BZL590013:BZL590021 CJH590013:CJH590021 CTD590013:CTD590021 DCZ590013:DCZ590021 DMV590013:DMV590021 DWR590013:DWR590021 EGN590013:EGN590021 EQJ590013:EQJ590021 FAF590013:FAF590021 FKB590013:FKB590021 FTX590013:FTX590021 GDT590013:GDT590021 GNP590013:GNP590021 GXL590013:GXL590021 HHH590013:HHH590021 HRD590013:HRD590021 IAZ590013:IAZ590021 IKV590013:IKV590021 IUR590013:IUR590021 JEN590013:JEN590021 JOJ590013:JOJ590021 JYF590013:JYF590021 KIB590013:KIB590021 KRX590013:KRX590021 LBT590013:LBT590021 LLP590013:LLP590021 LVL590013:LVL590021 MFH590013:MFH590021 MPD590013:MPD590021 MYZ590013:MYZ590021 NIV590013:NIV590021 NSR590013:NSR590021 OCN590013:OCN590021 OMJ590013:OMJ590021 OWF590013:OWF590021 PGB590013:PGB590021 PPX590013:PPX590021 PZT590013:PZT590021 QJP590013:QJP590021 QTL590013:QTL590021 RDH590013:RDH590021 RND590013:RND590021 RWZ590013:RWZ590021 SGV590013:SGV590021 SQR590013:SQR590021 TAN590013:TAN590021 TKJ590013:TKJ590021 TUF590013:TUF590021 UEB590013:UEB590021 UNX590013:UNX590021 UXT590013:UXT590021 VHP590013:VHP590021 VRL590013:VRL590021 WBH590013:WBH590021 WLD590013:WLD590021 WUZ590013:WUZ590021 E655549:E655557 IN655549:IN655557 SJ655549:SJ655557 ACF655549:ACF655557 AMB655549:AMB655557 AVX655549:AVX655557 BFT655549:BFT655557 BPP655549:BPP655557 BZL655549:BZL655557 CJH655549:CJH655557 CTD655549:CTD655557 DCZ655549:DCZ655557 DMV655549:DMV655557 DWR655549:DWR655557 EGN655549:EGN655557 EQJ655549:EQJ655557 FAF655549:FAF655557 FKB655549:FKB655557 FTX655549:FTX655557 GDT655549:GDT655557 GNP655549:GNP655557 GXL655549:GXL655557 HHH655549:HHH655557 HRD655549:HRD655557 IAZ655549:IAZ655557 IKV655549:IKV655557 IUR655549:IUR655557 JEN655549:JEN655557 JOJ655549:JOJ655557 JYF655549:JYF655557 KIB655549:KIB655557 KRX655549:KRX655557 LBT655549:LBT655557 LLP655549:LLP655557 LVL655549:LVL655557 MFH655549:MFH655557 MPD655549:MPD655557 MYZ655549:MYZ655557 NIV655549:NIV655557 NSR655549:NSR655557 OCN655549:OCN655557 OMJ655549:OMJ655557 OWF655549:OWF655557 PGB655549:PGB655557 PPX655549:PPX655557 PZT655549:PZT655557 QJP655549:QJP655557 QTL655549:QTL655557 RDH655549:RDH655557 RND655549:RND655557 RWZ655549:RWZ655557 SGV655549:SGV655557 SQR655549:SQR655557 TAN655549:TAN655557 TKJ655549:TKJ655557 TUF655549:TUF655557 UEB655549:UEB655557 UNX655549:UNX655557 UXT655549:UXT655557 VHP655549:VHP655557 VRL655549:VRL655557 WBH655549:WBH655557 WLD655549:WLD655557 WUZ655549:WUZ655557 E721085:E721093 IN721085:IN721093 SJ721085:SJ721093 ACF721085:ACF721093 AMB721085:AMB721093 AVX721085:AVX721093 BFT721085:BFT721093 BPP721085:BPP721093 BZL721085:BZL721093 CJH721085:CJH721093 CTD721085:CTD721093 DCZ721085:DCZ721093 DMV721085:DMV721093 DWR721085:DWR721093 EGN721085:EGN721093 EQJ721085:EQJ721093 FAF721085:FAF721093 FKB721085:FKB721093 FTX721085:FTX721093 GDT721085:GDT721093 GNP721085:GNP721093 GXL721085:GXL721093 HHH721085:HHH721093 HRD721085:HRD721093 IAZ721085:IAZ721093 IKV721085:IKV721093 IUR721085:IUR721093 JEN721085:JEN721093 JOJ721085:JOJ721093 JYF721085:JYF721093 KIB721085:KIB721093 KRX721085:KRX721093 LBT721085:LBT721093 LLP721085:LLP721093 LVL721085:LVL721093 MFH721085:MFH721093 MPD721085:MPD721093 MYZ721085:MYZ721093 NIV721085:NIV721093 NSR721085:NSR721093 OCN721085:OCN721093 OMJ721085:OMJ721093 OWF721085:OWF721093 PGB721085:PGB721093 PPX721085:PPX721093 PZT721085:PZT721093 QJP721085:QJP721093 QTL721085:QTL721093 RDH721085:RDH721093 RND721085:RND721093 RWZ721085:RWZ721093 SGV721085:SGV721093 SQR721085:SQR721093 TAN721085:TAN721093 TKJ721085:TKJ721093 TUF721085:TUF721093 UEB721085:UEB721093 UNX721085:UNX721093 UXT721085:UXT721093 VHP721085:VHP721093 VRL721085:VRL721093 WBH721085:WBH721093 WLD721085:WLD721093 WUZ721085:WUZ721093 E786621:E786629 IN786621:IN786629 SJ786621:SJ786629 ACF786621:ACF786629 AMB786621:AMB786629 AVX786621:AVX786629 BFT786621:BFT786629 BPP786621:BPP786629 BZL786621:BZL786629 CJH786621:CJH786629 CTD786621:CTD786629 DCZ786621:DCZ786629 DMV786621:DMV786629 DWR786621:DWR786629 EGN786621:EGN786629 EQJ786621:EQJ786629 FAF786621:FAF786629 FKB786621:FKB786629 FTX786621:FTX786629 GDT786621:GDT786629 GNP786621:GNP786629 GXL786621:GXL786629 HHH786621:HHH786629 HRD786621:HRD786629 IAZ786621:IAZ786629 IKV786621:IKV786629 IUR786621:IUR786629 JEN786621:JEN786629 JOJ786621:JOJ786629 JYF786621:JYF786629 KIB786621:KIB786629 KRX786621:KRX786629 LBT786621:LBT786629 LLP786621:LLP786629 LVL786621:LVL786629 MFH786621:MFH786629 MPD786621:MPD786629 MYZ786621:MYZ786629 NIV786621:NIV786629 NSR786621:NSR786629 OCN786621:OCN786629 OMJ786621:OMJ786629 OWF786621:OWF786629 PGB786621:PGB786629 PPX786621:PPX786629 PZT786621:PZT786629 QJP786621:QJP786629 QTL786621:QTL786629 RDH786621:RDH786629 RND786621:RND786629 RWZ786621:RWZ786629 SGV786621:SGV786629 SQR786621:SQR786629 TAN786621:TAN786629 TKJ786621:TKJ786629 TUF786621:TUF786629 UEB786621:UEB786629 UNX786621:UNX786629 UXT786621:UXT786629 VHP786621:VHP786629 VRL786621:VRL786629 WBH786621:WBH786629 WLD786621:WLD786629 WUZ786621:WUZ786629 E852157:E852165 IN852157:IN852165 SJ852157:SJ852165 ACF852157:ACF852165 AMB852157:AMB852165 AVX852157:AVX852165 BFT852157:BFT852165 BPP852157:BPP852165 BZL852157:BZL852165 CJH852157:CJH852165 CTD852157:CTD852165 DCZ852157:DCZ852165 DMV852157:DMV852165 DWR852157:DWR852165 EGN852157:EGN852165 EQJ852157:EQJ852165 FAF852157:FAF852165 FKB852157:FKB852165 FTX852157:FTX852165 GDT852157:GDT852165 GNP852157:GNP852165 GXL852157:GXL852165 HHH852157:HHH852165 HRD852157:HRD852165 IAZ852157:IAZ852165 IKV852157:IKV852165 IUR852157:IUR852165 JEN852157:JEN852165 JOJ852157:JOJ852165 JYF852157:JYF852165 KIB852157:KIB852165 KRX852157:KRX852165 LBT852157:LBT852165 LLP852157:LLP852165 LVL852157:LVL852165 MFH852157:MFH852165 MPD852157:MPD852165 MYZ852157:MYZ852165 NIV852157:NIV852165 NSR852157:NSR852165 OCN852157:OCN852165 OMJ852157:OMJ852165 OWF852157:OWF852165 PGB852157:PGB852165 PPX852157:PPX852165 PZT852157:PZT852165 QJP852157:QJP852165 QTL852157:QTL852165 RDH852157:RDH852165 RND852157:RND852165 RWZ852157:RWZ852165 SGV852157:SGV852165 SQR852157:SQR852165 TAN852157:TAN852165 TKJ852157:TKJ852165 TUF852157:TUF852165 UEB852157:UEB852165 UNX852157:UNX852165 UXT852157:UXT852165 VHP852157:VHP852165 VRL852157:VRL852165 WBH852157:WBH852165 WLD852157:WLD852165 WUZ852157:WUZ852165 E917693:E917701 IN917693:IN917701 SJ917693:SJ917701 ACF917693:ACF917701 AMB917693:AMB917701 AVX917693:AVX917701 BFT917693:BFT917701 BPP917693:BPP917701 BZL917693:BZL917701 CJH917693:CJH917701 CTD917693:CTD917701 DCZ917693:DCZ917701 DMV917693:DMV917701 DWR917693:DWR917701 EGN917693:EGN917701 EQJ917693:EQJ917701 FAF917693:FAF917701 FKB917693:FKB917701 FTX917693:FTX917701 GDT917693:GDT917701 GNP917693:GNP917701 GXL917693:GXL917701 HHH917693:HHH917701 HRD917693:HRD917701 IAZ917693:IAZ917701 IKV917693:IKV917701 IUR917693:IUR917701 JEN917693:JEN917701 JOJ917693:JOJ917701 JYF917693:JYF917701 KIB917693:KIB917701 KRX917693:KRX917701 LBT917693:LBT917701 LLP917693:LLP917701 LVL917693:LVL917701 MFH917693:MFH917701 MPD917693:MPD917701 MYZ917693:MYZ917701 NIV917693:NIV917701 NSR917693:NSR917701 OCN917693:OCN917701 OMJ917693:OMJ917701 OWF917693:OWF917701 PGB917693:PGB917701 PPX917693:PPX917701 PZT917693:PZT917701 QJP917693:QJP917701 QTL917693:QTL917701 RDH917693:RDH917701 RND917693:RND917701 RWZ917693:RWZ917701 SGV917693:SGV917701 SQR917693:SQR917701 TAN917693:TAN917701 TKJ917693:TKJ917701 TUF917693:TUF917701 UEB917693:UEB917701 UNX917693:UNX917701 UXT917693:UXT917701 VHP917693:VHP917701 VRL917693:VRL917701 WBH917693:WBH917701 WLD917693:WLD917701 WUZ917693:WUZ917701 E983229:E983237 IN983229:IN983237 SJ983229:SJ983237 ACF983229:ACF983237 AMB983229:AMB983237 AVX983229:AVX983237 BFT983229:BFT983237 BPP983229:BPP983237 BZL983229:BZL983237 CJH983229:CJH983237 CTD983229:CTD983237 DCZ983229:DCZ983237 DMV983229:DMV983237 DWR983229:DWR983237 EGN983229:EGN983237 EQJ983229:EQJ983237 FAF983229:FAF983237 FKB983229:FKB983237 FTX983229:FTX983237 GDT983229:GDT983237 GNP983229:GNP983237 GXL983229:GXL983237 HHH983229:HHH983237 HRD983229:HRD983237 IAZ983229:IAZ983237 IKV983229:IKV983237 IUR983229:IUR983237 JEN983229:JEN983237 JOJ983229:JOJ983237 JYF983229:JYF983237 KIB983229:KIB983237 KRX983229:KRX983237 LBT983229:LBT983237 LLP983229:LLP983237 LVL983229:LVL983237 MFH983229:MFH983237 MPD983229:MPD983237 MYZ983229:MYZ983237 NIV983229:NIV983237 NSR983229:NSR983237 OCN983229:OCN983237 OMJ983229:OMJ983237 OWF983229:OWF983237 PGB983229:PGB983237 PPX983229:PPX983237 PZT983229:PZT983237 QJP983229:QJP983237 QTL983229:QTL983237 RDH983229:RDH983237 RND983229:RND983237 RWZ983229:RWZ983237 SGV983229:SGV983237 SQR983229:SQR983237 TAN983229:TAN983237 TKJ983229:TKJ983237 TUF983229:TUF983237 UEB983229:UEB983237 UNX983229:UNX983237 UXT983229:UXT983237 VHP983229:VHP983237 VRL983229:VRL983237 WBH983229:WBH983237 WLD983229:WLD983237 WUZ983229:WUZ983237 E25 IN25:IN26 SJ25:SJ26 ACF25:ACF26 AMB25:AMB26 AVX25:AVX26 BFT25:BFT26 BPP25:BPP26 BZL25:BZL26 CJH25:CJH26 CTD25:CTD26 DCZ25:DCZ26 DMV25:DMV26 DWR25:DWR26 EGN25:EGN26 EQJ25:EQJ26 FAF25:FAF26 FKB25:FKB26 FTX25:FTX26 GDT25:GDT26 GNP25:GNP26 GXL25:GXL26 HHH25:HHH26 HRD25:HRD26 IAZ25:IAZ26 IKV25:IKV26 IUR25:IUR26 JEN25:JEN26 JOJ25:JOJ26 JYF25:JYF26 KIB25:KIB26 KRX25:KRX26 LBT25:LBT26 LLP25:LLP26 LVL25:LVL26 MFH25:MFH26 MPD25:MPD26 MYZ25:MYZ26 NIV25:NIV26 NSR25:NSR26 OCN25:OCN26 OMJ25:OMJ26 OWF25:OWF26 PGB25:PGB26 PPX25:PPX26 PZT25:PZT26 QJP25:QJP26 QTL25:QTL26 RDH25:RDH26 RND25:RND26 RWZ25:RWZ26 SGV25:SGV26 SQR25:SQR26 TAN25:TAN26 TKJ25:TKJ26 TUF25:TUF26 UEB25:UEB26 UNX25:UNX26 UXT25:UXT26 VHP25:VHP26 VRL25:VRL26 WBH25:WBH26 WLD25:WLD26 WUZ25:WUZ26 E65720 IN65720 SJ65720 ACF65720 AMB65720 AVX65720 BFT65720 BPP65720 BZL65720 CJH65720 CTD65720 DCZ65720 DMV65720 DWR65720 EGN65720 EQJ65720 FAF65720 FKB65720 FTX65720 GDT65720 GNP65720 GXL65720 HHH65720 HRD65720 IAZ65720 IKV65720 IUR65720 JEN65720 JOJ65720 JYF65720 KIB65720 KRX65720 LBT65720 LLP65720 LVL65720 MFH65720 MPD65720 MYZ65720 NIV65720 NSR65720 OCN65720 OMJ65720 OWF65720 PGB65720 PPX65720 PZT65720 QJP65720 QTL65720 RDH65720 RND65720 RWZ65720 SGV65720 SQR65720 TAN65720 TKJ65720 TUF65720 UEB65720 UNX65720 UXT65720 VHP65720 VRL65720 WBH65720 WLD65720 WUZ65720 E131256 IN131256 SJ131256 ACF131256 AMB131256 AVX131256 BFT131256 BPP131256 BZL131256 CJH131256 CTD131256 DCZ131256 DMV131256 DWR131256 EGN131256 EQJ131256 FAF131256 FKB131256 FTX131256 GDT131256 GNP131256 GXL131256 HHH131256 HRD131256 IAZ131256 IKV131256 IUR131256 JEN131256 JOJ131256 JYF131256 KIB131256 KRX131256 LBT131256 LLP131256 LVL131256 MFH131256 MPD131256 MYZ131256 NIV131256 NSR131256 OCN131256 OMJ131256 OWF131256 PGB131256 PPX131256 PZT131256 QJP131256 QTL131256 RDH131256 RND131256 RWZ131256 SGV131256 SQR131256 TAN131256 TKJ131256 TUF131256 UEB131256 UNX131256 UXT131256 VHP131256 VRL131256 WBH131256 WLD131256 WUZ131256 E196792 IN196792 SJ196792 ACF196792 AMB196792 AVX196792 BFT196792 BPP196792 BZL196792 CJH196792 CTD196792 DCZ196792 DMV196792 DWR196792 EGN196792 EQJ196792 FAF196792 FKB196792 FTX196792 GDT196792 GNP196792 GXL196792 HHH196792 HRD196792 IAZ196792 IKV196792 IUR196792 JEN196792 JOJ196792 JYF196792 KIB196792 KRX196792 LBT196792 LLP196792 LVL196792 MFH196792 MPD196792 MYZ196792 NIV196792 NSR196792 OCN196792 OMJ196792 OWF196792 PGB196792 PPX196792 PZT196792 QJP196792 QTL196792 RDH196792 RND196792 RWZ196792 SGV196792 SQR196792 TAN196792 TKJ196792 TUF196792 UEB196792 UNX196792 UXT196792 VHP196792 VRL196792 WBH196792 WLD196792 WUZ196792 E262328 IN262328 SJ262328 ACF262328 AMB262328 AVX262328 BFT262328 BPP262328 BZL262328 CJH262328 CTD262328 DCZ262328 DMV262328 DWR262328 EGN262328 EQJ262328 FAF262328 FKB262328 FTX262328 GDT262328 GNP262328 GXL262328 HHH262328 HRD262328 IAZ262328 IKV262328 IUR262328 JEN262328 JOJ262328 JYF262328 KIB262328 KRX262328 LBT262328 LLP262328 LVL262328 MFH262328 MPD262328 MYZ262328 NIV262328 NSR262328 OCN262328 OMJ262328 OWF262328 PGB262328 PPX262328 PZT262328 QJP262328 QTL262328 RDH262328 RND262328 RWZ262328 SGV262328 SQR262328 TAN262328 TKJ262328 TUF262328 UEB262328 UNX262328 UXT262328 VHP262328 VRL262328 WBH262328 WLD262328 WUZ262328 E327864 IN327864 SJ327864 ACF327864 AMB327864 AVX327864 BFT327864 BPP327864 BZL327864 CJH327864 CTD327864 DCZ327864 DMV327864 DWR327864 EGN327864 EQJ327864 FAF327864 FKB327864 FTX327864 GDT327864 GNP327864 GXL327864 HHH327864 HRD327864 IAZ327864 IKV327864 IUR327864 JEN327864 JOJ327864 JYF327864 KIB327864 KRX327864 LBT327864 LLP327864 LVL327864 MFH327864 MPD327864 MYZ327864 NIV327864 NSR327864 OCN327864 OMJ327864 OWF327864 PGB327864 PPX327864 PZT327864 QJP327864 QTL327864 RDH327864 RND327864 RWZ327864 SGV327864 SQR327864 TAN327864 TKJ327864 TUF327864 UEB327864 UNX327864 UXT327864 VHP327864 VRL327864 WBH327864 WLD327864 WUZ327864 E393400 IN393400 SJ393400 ACF393400 AMB393400 AVX393400 BFT393400 BPP393400 BZL393400 CJH393400 CTD393400 DCZ393400 DMV393400 DWR393400 EGN393400 EQJ393400 FAF393400 FKB393400 FTX393400 GDT393400 GNP393400 GXL393400 HHH393400 HRD393400 IAZ393400 IKV393400 IUR393400 JEN393400 JOJ393400 JYF393400 KIB393400 KRX393400 LBT393400 LLP393400 LVL393400 MFH393400 MPD393400 MYZ393400 NIV393400 NSR393400 OCN393400 OMJ393400 OWF393400 PGB393400 PPX393400 PZT393400 QJP393400 QTL393400 RDH393400 RND393400 RWZ393400 SGV393400 SQR393400 TAN393400 TKJ393400 TUF393400 UEB393400 UNX393400 UXT393400 VHP393400 VRL393400 WBH393400 WLD393400 WUZ393400 E458936 IN458936 SJ458936 ACF458936 AMB458936 AVX458936 BFT458936 BPP458936 BZL458936 CJH458936 CTD458936 DCZ458936 DMV458936 DWR458936 EGN458936 EQJ458936 FAF458936 FKB458936 FTX458936 GDT458936 GNP458936 GXL458936 HHH458936 HRD458936 IAZ458936 IKV458936 IUR458936 JEN458936 JOJ458936 JYF458936 KIB458936 KRX458936 LBT458936 LLP458936 LVL458936 MFH458936 MPD458936 MYZ458936 NIV458936 NSR458936 OCN458936 OMJ458936 OWF458936 PGB458936 PPX458936 PZT458936 QJP458936 QTL458936 RDH458936 RND458936 RWZ458936 SGV458936 SQR458936 TAN458936 TKJ458936 TUF458936 UEB458936 UNX458936 UXT458936 VHP458936 VRL458936 WBH458936 WLD458936 WUZ458936 E524472 IN524472 SJ524472 ACF524472 AMB524472 AVX524472 BFT524472 BPP524472 BZL524472 CJH524472 CTD524472 DCZ524472 DMV524472 DWR524472 EGN524472 EQJ524472 FAF524472 FKB524472 FTX524472 GDT524472 GNP524472 GXL524472 HHH524472 HRD524472 IAZ524472 IKV524472 IUR524472 JEN524472 JOJ524472 JYF524472 KIB524472 KRX524472 LBT524472 LLP524472 LVL524472 MFH524472 MPD524472 MYZ524472 NIV524472 NSR524472 OCN524472 OMJ524472 OWF524472 PGB524472 PPX524472 PZT524472 QJP524472 QTL524472 RDH524472 RND524472 RWZ524472 SGV524472 SQR524472 TAN524472 TKJ524472 TUF524472 UEB524472 UNX524472 UXT524472 VHP524472 VRL524472 WBH524472 WLD524472 WUZ524472 E590008 IN590008 SJ590008 ACF590008 AMB590008 AVX590008 BFT590008 BPP590008 BZL590008 CJH590008 CTD590008 DCZ590008 DMV590008 DWR590008 EGN590008 EQJ590008 FAF590008 FKB590008 FTX590008 GDT590008 GNP590008 GXL590008 HHH590008 HRD590008 IAZ590008 IKV590008 IUR590008 JEN590008 JOJ590008 JYF590008 KIB590008 KRX590008 LBT590008 LLP590008 LVL590008 MFH590008 MPD590008 MYZ590008 NIV590008 NSR590008 OCN590008 OMJ590008 OWF590008 PGB590008 PPX590008 PZT590008 QJP590008 QTL590008 RDH590008 RND590008 RWZ590008 SGV590008 SQR590008 TAN590008 TKJ590008 TUF590008 UEB590008 UNX590008 UXT590008 VHP590008 VRL590008 WBH590008 WLD590008 WUZ590008 E655544 IN655544 SJ655544 ACF655544 AMB655544 AVX655544 BFT655544 BPP655544 BZL655544 CJH655544 CTD655544 DCZ655544 DMV655544 DWR655544 EGN655544 EQJ655544 FAF655544 FKB655544 FTX655544 GDT655544 GNP655544 GXL655544 HHH655544 HRD655544 IAZ655544 IKV655544 IUR655544 JEN655544 JOJ655544 JYF655544 KIB655544 KRX655544 LBT655544 LLP655544 LVL655544 MFH655544 MPD655544 MYZ655544 NIV655544 NSR655544 OCN655544 OMJ655544 OWF655544 PGB655544 PPX655544 PZT655544 QJP655544 QTL655544 RDH655544 RND655544 RWZ655544 SGV655544 SQR655544 TAN655544 TKJ655544 TUF655544 UEB655544 UNX655544 UXT655544 VHP655544 VRL655544 WBH655544 WLD655544 WUZ655544 E721080 IN721080 SJ721080 ACF721080 AMB721080 AVX721080 BFT721080 BPP721080 BZL721080 CJH721080 CTD721080 DCZ721080 DMV721080 DWR721080 EGN721080 EQJ721080 FAF721080 FKB721080 FTX721080 GDT721080 GNP721080 GXL721080 HHH721080 HRD721080 IAZ721080 IKV721080 IUR721080 JEN721080 JOJ721080 JYF721080 KIB721080 KRX721080 LBT721080 LLP721080 LVL721080 MFH721080 MPD721080 MYZ721080 NIV721080 NSR721080 OCN721080 OMJ721080 OWF721080 PGB721080 PPX721080 PZT721080 QJP721080 QTL721080 RDH721080 RND721080 RWZ721080 SGV721080 SQR721080 TAN721080 TKJ721080 TUF721080 UEB721080 UNX721080 UXT721080 VHP721080 VRL721080 WBH721080 WLD721080 WUZ721080 E786616 IN786616 SJ786616 ACF786616 AMB786616 AVX786616 BFT786616 BPP786616 BZL786616 CJH786616 CTD786616 DCZ786616 DMV786616 DWR786616 EGN786616 EQJ786616 FAF786616 FKB786616 FTX786616 GDT786616 GNP786616 GXL786616 HHH786616 HRD786616 IAZ786616 IKV786616 IUR786616 JEN786616 JOJ786616 JYF786616 KIB786616 KRX786616 LBT786616 LLP786616 LVL786616 MFH786616 MPD786616 MYZ786616 NIV786616 NSR786616 OCN786616 OMJ786616 OWF786616 PGB786616 PPX786616 PZT786616 QJP786616 QTL786616 RDH786616 RND786616 RWZ786616 SGV786616 SQR786616 TAN786616 TKJ786616 TUF786616 UEB786616 UNX786616 UXT786616 VHP786616 VRL786616 WBH786616 WLD786616 WUZ786616 E852152 IN852152 SJ852152 ACF852152 AMB852152 AVX852152 BFT852152 BPP852152 BZL852152 CJH852152 CTD852152 DCZ852152 DMV852152 DWR852152 EGN852152 EQJ852152 FAF852152 FKB852152 FTX852152 GDT852152 GNP852152 GXL852152 HHH852152 HRD852152 IAZ852152 IKV852152 IUR852152 JEN852152 JOJ852152 JYF852152 KIB852152 KRX852152 LBT852152 LLP852152 LVL852152 MFH852152 MPD852152 MYZ852152 NIV852152 NSR852152 OCN852152 OMJ852152 OWF852152 PGB852152 PPX852152 PZT852152 QJP852152 QTL852152 RDH852152 RND852152 RWZ852152 SGV852152 SQR852152 TAN852152 TKJ852152 TUF852152 UEB852152 UNX852152 UXT852152 VHP852152 VRL852152 WBH852152 WLD852152 WUZ852152 E917688 IN917688 SJ917688 ACF917688 AMB917688 AVX917688 BFT917688 BPP917688 BZL917688 CJH917688 CTD917688 DCZ917688 DMV917688 DWR917688 EGN917688 EQJ917688 FAF917688 FKB917688 FTX917688 GDT917688 GNP917688 GXL917688 HHH917688 HRD917688 IAZ917688 IKV917688 IUR917688 JEN917688 JOJ917688 JYF917688 KIB917688 KRX917688 LBT917688 LLP917688 LVL917688 MFH917688 MPD917688 MYZ917688 NIV917688 NSR917688 OCN917688 OMJ917688 OWF917688 PGB917688 PPX917688 PZT917688 QJP917688 QTL917688 RDH917688 RND917688 RWZ917688 SGV917688 SQR917688 TAN917688 TKJ917688 TUF917688 UEB917688 UNX917688 UXT917688 VHP917688 VRL917688 WBH917688 WLD917688 WUZ917688 E983224 IN983224 SJ983224 ACF983224 AMB983224 AVX983224 BFT983224 BPP983224 BZL983224 CJH983224 CTD983224 DCZ983224 DMV983224 DWR983224 EGN983224 EQJ983224 FAF983224 FKB983224 FTX983224 GDT983224 GNP983224 GXL983224 HHH983224 HRD983224 IAZ983224 IKV983224 IUR983224 JEN983224 JOJ983224 JYF983224 KIB983224 KRX983224 LBT983224 LLP983224 LVL983224 MFH983224 MPD983224 MYZ983224 NIV983224 NSR983224 OCN983224 OMJ983224 OWF983224 PGB983224 PPX983224 PZT983224 QJP983224 QTL983224 RDH983224 RND983224 RWZ983224 SGV983224 SQR983224 TAN983224 TKJ983224 TUF983224 UEB983224 UNX983224 UXT983224 VHP983224 VRL983224 WBH983224 WLD983224 E33:E36 E59" xr:uid="{00000000-0002-0000-0200-000003000000}">
      <formula1>"mm,mil"</formula1>
    </dataValidation>
    <dataValidation type="decimal" operator="greaterThan" allowBlank="1" showInputMessage="1" showErrorMessage="1" sqref="D24 IM24 SI24 ACE24 AMA24 AVW24 BFS24 BPO24 BZK24 CJG24 CTC24 DCY24 DMU24 DWQ24 EGM24 EQI24 FAE24 FKA24 FTW24 GDS24 GNO24 GXK24 HHG24 HRC24 IAY24 IKU24 IUQ24 JEM24 JOI24 JYE24 KIA24 KRW24 LBS24 LLO24 LVK24 MFG24 MPC24 MYY24 NIU24 NSQ24 OCM24 OMI24 OWE24 PGA24 PPW24 PZS24 QJO24 QTK24 RDG24 RNC24 RWY24 SGU24 SQQ24 TAM24 TKI24 TUE24 UEA24 UNW24 UXS24 VHO24 VRK24 WBG24 WLC24 WUY24 D65719 IM65719 SI65719 ACE65719 AMA65719 AVW65719 BFS65719 BPO65719 BZK65719 CJG65719 CTC65719 DCY65719 DMU65719 DWQ65719 EGM65719 EQI65719 FAE65719 FKA65719 FTW65719 GDS65719 GNO65719 GXK65719 HHG65719 HRC65719 IAY65719 IKU65719 IUQ65719 JEM65719 JOI65719 JYE65719 KIA65719 KRW65719 LBS65719 LLO65719 LVK65719 MFG65719 MPC65719 MYY65719 NIU65719 NSQ65719 OCM65719 OMI65719 OWE65719 PGA65719 PPW65719 PZS65719 QJO65719 QTK65719 RDG65719 RNC65719 RWY65719 SGU65719 SQQ65719 TAM65719 TKI65719 TUE65719 UEA65719 UNW65719 UXS65719 VHO65719 VRK65719 WBG65719 WLC65719 WUY65719 D131255 IM131255 SI131255 ACE131255 AMA131255 AVW131255 BFS131255 BPO131255 BZK131255 CJG131255 CTC131255 DCY131255 DMU131255 DWQ131255 EGM131255 EQI131255 FAE131255 FKA131255 FTW131255 GDS131255 GNO131255 GXK131255 HHG131255 HRC131255 IAY131255 IKU131255 IUQ131255 JEM131255 JOI131255 JYE131255 KIA131255 KRW131255 LBS131255 LLO131255 LVK131255 MFG131255 MPC131255 MYY131255 NIU131255 NSQ131255 OCM131255 OMI131255 OWE131255 PGA131255 PPW131255 PZS131255 QJO131255 QTK131255 RDG131255 RNC131255 RWY131255 SGU131255 SQQ131255 TAM131255 TKI131255 TUE131255 UEA131255 UNW131255 UXS131255 VHO131255 VRK131255 WBG131255 WLC131255 WUY131255 D196791 IM196791 SI196791 ACE196791 AMA196791 AVW196791 BFS196791 BPO196791 BZK196791 CJG196791 CTC196791 DCY196791 DMU196791 DWQ196791 EGM196791 EQI196791 FAE196791 FKA196791 FTW196791 GDS196791 GNO196791 GXK196791 HHG196791 HRC196791 IAY196791 IKU196791 IUQ196791 JEM196791 JOI196791 JYE196791 KIA196791 KRW196791 LBS196791 LLO196791 LVK196791 MFG196791 MPC196791 MYY196791 NIU196791 NSQ196791 OCM196791 OMI196791 OWE196791 PGA196791 PPW196791 PZS196791 QJO196791 QTK196791 RDG196791 RNC196791 RWY196791 SGU196791 SQQ196791 TAM196791 TKI196791 TUE196791 UEA196791 UNW196791 UXS196791 VHO196791 VRK196791 WBG196791 WLC196791 WUY196791 D262327 IM262327 SI262327 ACE262327 AMA262327 AVW262327 BFS262327 BPO262327 BZK262327 CJG262327 CTC262327 DCY262327 DMU262327 DWQ262327 EGM262327 EQI262327 FAE262327 FKA262327 FTW262327 GDS262327 GNO262327 GXK262327 HHG262327 HRC262327 IAY262327 IKU262327 IUQ262327 JEM262327 JOI262327 JYE262327 KIA262327 KRW262327 LBS262327 LLO262327 LVK262327 MFG262327 MPC262327 MYY262327 NIU262327 NSQ262327 OCM262327 OMI262327 OWE262327 PGA262327 PPW262327 PZS262327 QJO262327 QTK262327 RDG262327 RNC262327 RWY262327 SGU262327 SQQ262327 TAM262327 TKI262327 TUE262327 UEA262327 UNW262327 UXS262327 VHO262327 VRK262327 WBG262327 WLC262327 WUY262327 D327863 IM327863 SI327863 ACE327863 AMA327863 AVW327863 BFS327863 BPO327863 BZK327863 CJG327863 CTC327863 DCY327863 DMU327863 DWQ327863 EGM327863 EQI327863 FAE327863 FKA327863 FTW327863 GDS327863 GNO327863 GXK327863 HHG327863 HRC327863 IAY327863 IKU327863 IUQ327863 JEM327863 JOI327863 JYE327863 KIA327863 KRW327863 LBS327863 LLO327863 LVK327863 MFG327863 MPC327863 MYY327863 NIU327863 NSQ327863 OCM327863 OMI327863 OWE327863 PGA327863 PPW327863 PZS327863 QJO327863 QTK327863 RDG327863 RNC327863 RWY327863 SGU327863 SQQ327863 TAM327863 TKI327863 TUE327863 UEA327863 UNW327863 UXS327863 VHO327863 VRK327863 WBG327863 WLC327863 WUY327863 D393399 IM393399 SI393399 ACE393399 AMA393399 AVW393399 BFS393399 BPO393399 BZK393399 CJG393399 CTC393399 DCY393399 DMU393399 DWQ393399 EGM393399 EQI393399 FAE393399 FKA393399 FTW393399 GDS393399 GNO393399 GXK393399 HHG393399 HRC393399 IAY393399 IKU393399 IUQ393399 JEM393399 JOI393399 JYE393399 KIA393399 KRW393399 LBS393399 LLO393399 LVK393399 MFG393399 MPC393399 MYY393399 NIU393399 NSQ393399 OCM393399 OMI393399 OWE393399 PGA393399 PPW393399 PZS393399 QJO393399 QTK393399 RDG393399 RNC393399 RWY393399 SGU393399 SQQ393399 TAM393399 TKI393399 TUE393399 UEA393399 UNW393399 UXS393399 VHO393399 VRK393399 WBG393399 WLC393399 WUY393399 D458935 IM458935 SI458935 ACE458935 AMA458935 AVW458935 BFS458935 BPO458935 BZK458935 CJG458935 CTC458935 DCY458935 DMU458935 DWQ458935 EGM458935 EQI458935 FAE458935 FKA458935 FTW458935 GDS458935 GNO458935 GXK458935 HHG458935 HRC458935 IAY458935 IKU458935 IUQ458935 JEM458935 JOI458935 JYE458935 KIA458935 KRW458935 LBS458935 LLO458935 LVK458935 MFG458935 MPC458935 MYY458935 NIU458935 NSQ458935 OCM458935 OMI458935 OWE458935 PGA458935 PPW458935 PZS458935 QJO458935 QTK458935 RDG458935 RNC458935 RWY458935 SGU458935 SQQ458935 TAM458935 TKI458935 TUE458935 UEA458935 UNW458935 UXS458935 VHO458935 VRK458935 WBG458935 WLC458935 WUY458935 D524471 IM524471 SI524471 ACE524471 AMA524471 AVW524471 BFS524471 BPO524471 BZK524471 CJG524471 CTC524471 DCY524471 DMU524471 DWQ524471 EGM524471 EQI524471 FAE524471 FKA524471 FTW524471 GDS524471 GNO524471 GXK524471 HHG524471 HRC524471 IAY524471 IKU524471 IUQ524471 JEM524471 JOI524471 JYE524471 KIA524471 KRW524471 LBS524471 LLO524471 LVK524471 MFG524471 MPC524471 MYY524471 NIU524471 NSQ524471 OCM524471 OMI524471 OWE524471 PGA524471 PPW524471 PZS524471 QJO524471 QTK524471 RDG524471 RNC524471 RWY524471 SGU524471 SQQ524471 TAM524471 TKI524471 TUE524471 UEA524471 UNW524471 UXS524471 VHO524471 VRK524471 WBG524471 WLC524471 WUY524471 D590007 IM590007 SI590007 ACE590007 AMA590007 AVW590007 BFS590007 BPO590007 BZK590007 CJG590007 CTC590007 DCY590007 DMU590007 DWQ590007 EGM590007 EQI590007 FAE590007 FKA590007 FTW590007 GDS590007 GNO590007 GXK590007 HHG590007 HRC590007 IAY590007 IKU590007 IUQ590007 JEM590007 JOI590007 JYE590007 KIA590007 KRW590007 LBS590007 LLO590007 LVK590007 MFG590007 MPC590007 MYY590007 NIU590007 NSQ590007 OCM590007 OMI590007 OWE590007 PGA590007 PPW590007 PZS590007 QJO590007 QTK590007 RDG590007 RNC590007 RWY590007 SGU590007 SQQ590007 TAM590007 TKI590007 TUE590007 UEA590007 UNW590007 UXS590007 VHO590007 VRK590007 WBG590007 WLC590007 WUY590007 D655543 IM655543 SI655543 ACE655543 AMA655543 AVW655543 BFS655543 BPO655543 BZK655543 CJG655543 CTC655543 DCY655543 DMU655543 DWQ655543 EGM655543 EQI655543 FAE655543 FKA655543 FTW655543 GDS655543 GNO655543 GXK655543 HHG655543 HRC655543 IAY655543 IKU655543 IUQ655543 JEM655543 JOI655543 JYE655543 KIA655543 KRW655543 LBS655543 LLO655543 LVK655543 MFG655543 MPC655543 MYY655543 NIU655543 NSQ655543 OCM655543 OMI655543 OWE655543 PGA655543 PPW655543 PZS655543 QJO655543 QTK655543 RDG655543 RNC655543 RWY655543 SGU655543 SQQ655543 TAM655543 TKI655543 TUE655543 UEA655543 UNW655543 UXS655543 VHO655543 VRK655543 WBG655543 WLC655543 WUY655543 D721079 IM721079 SI721079 ACE721079 AMA721079 AVW721079 BFS721079 BPO721079 BZK721079 CJG721079 CTC721079 DCY721079 DMU721079 DWQ721079 EGM721079 EQI721079 FAE721079 FKA721079 FTW721079 GDS721079 GNO721079 GXK721079 HHG721079 HRC721079 IAY721079 IKU721079 IUQ721079 JEM721079 JOI721079 JYE721079 KIA721079 KRW721079 LBS721079 LLO721079 LVK721079 MFG721079 MPC721079 MYY721079 NIU721079 NSQ721079 OCM721079 OMI721079 OWE721079 PGA721079 PPW721079 PZS721079 QJO721079 QTK721079 RDG721079 RNC721079 RWY721079 SGU721079 SQQ721079 TAM721079 TKI721079 TUE721079 UEA721079 UNW721079 UXS721079 VHO721079 VRK721079 WBG721079 WLC721079 WUY721079 D786615 IM786615 SI786615 ACE786615 AMA786615 AVW786615 BFS786615 BPO786615 BZK786615 CJG786615 CTC786615 DCY786615 DMU786615 DWQ786615 EGM786615 EQI786615 FAE786615 FKA786615 FTW786615 GDS786615 GNO786615 GXK786615 HHG786615 HRC786615 IAY786615 IKU786615 IUQ786615 JEM786615 JOI786615 JYE786615 KIA786615 KRW786615 LBS786615 LLO786615 LVK786615 MFG786615 MPC786615 MYY786615 NIU786615 NSQ786615 OCM786615 OMI786615 OWE786615 PGA786615 PPW786615 PZS786615 QJO786615 QTK786615 RDG786615 RNC786615 RWY786615 SGU786615 SQQ786615 TAM786615 TKI786615 TUE786615 UEA786615 UNW786615 UXS786615 VHO786615 VRK786615 WBG786615 WLC786615 WUY786615 D852151 IM852151 SI852151 ACE852151 AMA852151 AVW852151 BFS852151 BPO852151 BZK852151 CJG852151 CTC852151 DCY852151 DMU852151 DWQ852151 EGM852151 EQI852151 FAE852151 FKA852151 FTW852151 GDS852151 GNO852151 GXK852151 HHG852151 HRC852151 IAY852151 IKU852151 IUQ852151 JEM852151 JOI852151 JYE852151 KIA852151 KRW852151 LBS852151 LLO852151 LVK852151 MFG852151 MPC852151 MYY852151 NIU852151 NSQ852151 OCM852151 OMI852151 OWE852151 PGA852151 PPW852151 PZS852151 QJO852151 QTK852151 RDG852151 RNC852151 RWY852151 SGU852151 SQQ852151 TAM852151 TKI852151 TUE852151 UEA852151 UNW852151 UXS852151 VHO852151 VRK852151 WBG852151 WLC852151 WUY852151 D917687 IM917687 SI917687 ACE917687 AMA917687 AVW917687 BFS917687 BPO917687 BZK917687 CJG917687 CTC917687 DCY917687 DMU917687 DWQ917687 EGM917687 EQI917687 FAE917687 FKA917687 FTW917687 GDS917687 GNO917687 GXK917687 HHG917687 HRC917687 IAY917687 IKU917687 IUQ917687 JEM917687 JOI917687 JYE917687 KIA917687 KRW917687 LBS917687 LLO917687 LVK917687 MFG917687 MPC917687 MYY917687 NIU917687 NSQ917687 OCM917687 OMI917687 OWE917687 PGA917687 PPW917687 PZS917687 QJO917687 QTK917687 RDG917687 RNC917687 RWY917687 SGU917687 SQQ917687 TAM917687 TKI917687 TUE917687 UEA917687 UNW917687 UXS917687 VHO917687 VRK917687 WBG917687 WLC917687 WUY917687 D983223 IM983223 SI983223 ACE983223 AMA983223 AVW983223 BFS983223 BPO983223 BZK983223 CJG983223 CTC983223 DCY983223 DMU983223 DWQ983223 EGM983223 EQI983223 FAE983223 FKA983223 FTW983223 GDS983223 GNO983223 GXK983223 HHG983223 HRC983223 IAY983223 IKU983223 IUQ983223 JEM983223 JOI983223 JYE983223 KIA983223 KRW983223 LBS983223 LLO983223 LVK983223 MFG983223 MPC983223 MYY983223 NIU983223 NSQ983223 OCM983223 OMI983223 OWE983223 PGA983223 PPW983223 PZS983223 QJO983223 QTK983223 RDG983223 RNC983223 RWY983223 SGU983223 SQQ983223 TAM983223 TKI983223 TUE983223 UEA983223 UNW983223 UXS983223 VHO983223 VRK983223 WBG983223 WLC983223 WUY983223" xr:uid="{00000000-0002-0000-0200-000004000000}">
      <formula1>0.1</formula1>
    </dataValidation>
    <dataValidation type="list" errorStyle="information" allowBlank="1" showInputMessage="1" showErrorMessage="1" errorTitle="Capacitor" error="1.68e-8 is appropriate value for copper traces." sqref="WUY983239 IM49 SI49 ACE49 AMA49 AVW49 BFS49 BPO49 BZK49 CJG49 CTC49 DCY49 DMU49 DWQ49 EGM49 EQI49 FAE49 FKA49 FTW49 GDS49 GNO49 GXK49 HHG49 HRC49 IAY49 IKU49 IUQ49 JEM49 JOI49 JYE49 KIA49 KRW49 LBS49 LLO49 LVK49 MFG49 MPC49 MYY49 NIU49 NSQ49 OCM49 OMI49 OWE49 PGA49 PPW49 PZS49 QJO49 QTK49 RDG49 RNC49 RWY49 SGU49 SQQ49 TAM49 TKI49 TUE49 UEA49 UNW49 UXS49 VHO49 VRK49 WBG49 WLC49 WUY49 D65735 IM65735 SI65735 ACE65735 AMA65735 AVW65735 BFS65735 BPO65735 BZK65735 CJG65735 CTC65735 DCY65735 DMU65735 DWQ65735 EGM65735 EQI65735 FAE65735 FKA65735 FTW65735 GDS65735 GNO65735 GXK65735 HHG65735 HRC65735 IAY65735 IKU65735 IUQ65735 JEM65735 JOI65735 JYE65735 KIA65735 KRW65735 LBS65735 LLO65735 LVK65735 MFG65735 MPC65735 MYY65735 NIU65735 NSQ65735 OCM65735 OMI65735 OWE65735 PGA65735 PPW65735 PZS65735 QJO65735 QTK65735 RDG65735 RNC65735 RWY65735 SGU65735 SQQ65735 TAM65735 TKI65735 TUE65735 UEA65735 UNW65735 UXS65735 VHO65735 VRK65735 WBG65735 WLC65735 WUY65735 D131271 IM131271 SI131271 ACE131271 AMA131271 AVW131271 BFS131271 BPO131271 BZK131271 CJG131271 CTC131271 DCY131271 DMU131271 DWQ131271 EGM131271 EQI131271 FAE131271 FKA131271 FTW131271 GDS131271 GNO131271 GXK131271 HHG131271 HRC131271 IAY131271 IKU131271 IUQ131271 JEM131271 JOI131271 JYE131271 KIA131271 KRW131271 LBS131271 LLO131271 LVK131271 MFG131271 MPC131271 MYY131271 NIU131271 NSQ131271 OCM131271 OMI131271 OWE131271 PGA131271 PPW131271 PZS131271 QJO131271 QTK131271 RDG131271 RNC131271 RWY131271 SGU131271 SQQ131271 TAM131271 TKI131271 TUE131271 UEA131271 UNW131271 UXS131271 VHO131271 VRK131271 WBG131271 WLC131271 WUY131271 D196807 IM196807 SI196807 ACE196807 AMA196807 AVW196807 BFS196807 BPO196807 BZK196807 CJG196807 CTC196807 DCY196807 DMU196807 DWQ196807 EGM196807 EQI196807 FAE196807 FKA196807 FTW196807 GDS196807 GNO196807 GXK196807 HHG196807 HRC196807 IAY196807 IKU196807 IUQ196807 JEM196807 JOI196807 JYE196807 KIA196807 KRW196807 LBS196807 LLO196807 LVK196807 MFG196807 MPC196807 MYY196807 NIU196807 NSQ196807 OCM196807 OMI196807 OWE196807 PGA196807 PPW196807 PZS196807 QJO196807 QTK196807 RDG196807 RNC196807 RWY196807 SGU196807 SQQ196807 TAM196807 TKI196807 TUE196807 UEA196807 UNW196807 UXS196807 VHO196807 VRK196807 WBG196807 WLC196807 WUY196807 D262343 IM262343 SI262343 ACE262343 AMA262343 AVW262343 BFS262343 BPO262343 BZK262343 CJG262343 CTC262343 DCY262343 DMU262343 DWQ262343 EGM262343 EQI262343 FAE262343 FKA262343 FTW262343 GDS262343 GNO262343 GXK262343 HHG262343 HRC262343 IAY262343 IKU262343 IUQ262343 JEM262343 JOI262343 JYE262343 KIA262343 KRW262343 LBS262343 LLO262343 LVK262343 MFG262343 MPC262343 MYY262343 NIU262343 NSQ262343 OCM262343 OMI262343 OWE262343 PGA262343 PPW262343 PZS262343 QJO262343 QTK262343 RDG262343 RNC262343 RWY262343 SGU262343 SQQ262343 TAM262343 TKI262343 TUE262343 UEA262343 UNW262343 UXS262343 VHO262343 VRK262343 WBG262343 WLC262343 WUY262343 D327879 IM327879 SI327879 ACE327879 AMA327879 AVW327879 BFS327879 BPO327879 BZK327879 CJG327879 CTC327879 DCY327879 DMU327879 DWQ327879 EGM327879 EQI327879 FAE327879 FKA327879 FTW327879 GDS327879 GNO327879 GXK327879 HHG327879 HRC327879 IAY327879 IKU327879 IUQ327879 JEM327879 JOI327879 JYE327879 KIA327879 KRW327879 LBS327879 LLO327879 LVK327879 MFG327879 MPC327879 MYY327879 NIU327879 NSQ327879 OCM327879 OMI327879 OWE327879 PGA327879 PPW327879 PZS327879 QJO327879 QTK327879 RDG327879 RNC327879 RWY327879 SGU327879 SQQ327879 TAM327879 TKI327879 TUE327879 UEA327879 UNW327879 UXS327879 VHO327879 VRK327879 WBG327879 WLC327879 WUY327879 D393415 IM393415 SI393415 ACE393415 AMA393415 AVW393415 BFS393415 BPO393415 BZK393415 CJG393415 CTC393415 DCY393415 DMU393415 DWQ393415 EGM393415 EQI393415 FAE393415 FKA393415 FTW393415 GDS393415 GNO393415 GXK393415 HHG393415 HRC393415 IAY393415 IKU393415 IUQ393415 JEM393415 JOI393415 JYE393415 KIA393415 KRW393415 LBS393415 LLO393415 LVK393415 MFG393415 MPC393415 MYY393415 NIU393415 NSQ393415 OCM393415 OMI393415 OWE393415 PGA393415 PPW393415 PZS393415 QJO393415 QTK393415 RDG393415 RNC393415 RWY393415 SGU393415 SQQ393415 TAM393415 TKI393415 TUE393415 UEA393415 UNW393415 UXS393415 VHO393415 VRK393415 WBG393415 WLC393415 WUY393415 D458951 IM458951 SI458951 ACE458951 AMA458951 AVW458951 BFS458951 BPO458951 BZK458951 CJG458951 CTC458951 DCY458951 DMU458951 DWQ458951 EGM458951 EQI458951 FAE458951 FKA458951 FTW458951 GDS458951 GNO458951 GXK458951 HHG458951 HRC458951 IAY458951 IKU458951 IUQ458951 JEM458951 JOI458951 JYE458951 KIA458951 KRW458951 LBS458951 LLO458951 LVK458951 MFG458951 MPC458951 MYY458951 NIU458951 NSQ458951 OCM458951 OMI458951 OWE458951 PGA458951 PPW458951 PZS458951 QJO458951 QTK458951 RDG458951 RNC458951 RWY458951 SGU458951 SQQ458951 TAM458951 TKI458951 TUE458951 UEA458951 UNW458951 UXS458951 VHO458951 VRK458951 WBG458951 WLC458951 WUY458951 D524487 IM524487 SI524487 ACE524487 AMA524487 AVW524487 BFS524487 BPO524487 BZK524487 CJG524487 CTC524487 DCY524487 DMU524487 DWQ524487 EGM524487 EQI524487 FAE524487 FKA524487 FTW524487 GDS524487 GNO524487 GXK524487 HHG524487 HRC524487 IAY524487 IKU524487 IUQ524487 JEM524487 JOI524487 JYE524487 KIA524487 KRW524487 LBS524487 LLO524487 LVK524487 MFG524487 MPC524487 MYY524487 NIU524487 NSQ524487 OCM524487 OMI524487 OWE524487 PGA524487 PPW524487 PZS524487 QJO524487 QTK524487 RDG524487 RNC524487 RWY524487 SGU524487 SQQ524487 TAM524487 TKI524487 TUE524487 UEA524487 UNW524487 UXS524487 VHO524487 VRK524487 WBG524487 WLC524487 WUY524487 D590023 IM590023 SI590023 ACE590023 AMA590023 AVW590023 BFS590023 BPO590023 BZK590023 CJG590023 CTC590023 DCY590023 DMU590023 DWQ590023 EGM590023 EQI590023 FAE590023 FKA590023 FTW590023 GDS590023 GNO590023 GXK590023 HHG590023 HRC590023 IAY590023 IKU590023 IUQ590023 JEM590023 JOI590023 JYE590023 KIA590023 KRW590023 LBS590023 LLO590023 LVK590023 MFG590023 MPC590023 MYY590023 NIU590023 NSQ590023 OCM590023 OMI590023 OWE590023 PGA590023 PPW590023 PZS590023 QJO590023 QTK590023 RDG590023 RNC590023 RWY590023 SGU590023 SQQ590023 TAM590023 TKI590023 TUE590023 UEA590023 UNW590023 UXS590023 VHO590023 VRK590023 WBG590023 WLC590023 WUY590023 D655559 IM655559 SI655559 ACE655559 AMA655559 AVW655559 BFS655559 BPO655559 BZK655559 CJG655559 CTC655559 DCY655559 DMU655559 DWQ655559 EGM655559 EQI655559 FAE655559 FKA655559 FTW655559 GDS655559 GNO655559 GXK655559 HHG655559 HRC655559 IAY655559 IKU655559 IUQ655559 JEM655559 JOI655559 JYE655559 KIA655559 KRW655559 LBS655559 LLO655559 LVK655559 MFG655559 MPC655559 MYY655559 NIU655559 NSQ655559 OCM655559 OMI655559 OWE655559 PGA655559 PPW655559 PZS655559 QJO655559 QTK655559 RDG655559 RNC655559 RWY655559 SGU655559 SQQ655559 TAM655559 TKI655559 TUE655559 UEA655559 UNW655559 UXS655559 VHO655559 VRK655559 WBG655559 WLC655559 WUY655559 D721095 IM721095 SI721095 ACE721095 AMA721095 AVW721095 BFS721095 BPO721095 BZK721095 CJG721095 CTC721095 DCY721095 DMU721095 DWQ721095 EGM721095 EQI721095 FAE721095 FKA721095 FTW721095 GDS721095 GNO721095 GXK721095 HHG721095 HRC721095 IAY721095 IKU721095 IUQ721095 JEM721095 JOI721095 JYE721095 KIA721095 KRW721095 LBS721095 LLO721095 LVK721095 MFG721095 MPC721095 MYY721095 NIU721095 NSQ721095 OCM721095 OMI721095 OWE721095 PGA721095 PPW721095 PZS721095 QJO721095 QTK721095 RDG721095 RNC721095 RWY721095 SGU721095 SQQ721095 TAM721095 TKI721095 TUE721095 UEA721095 UNW721095 UXS721095 VHO721095 VRK721095 WBG721095 WLC721095 WUY721095 D786631 IM786631 SI786631 ACE786631 AMA786631 AVW786631 BFS786631 BPO786631 BZK786631 CJG786631 CTC786631 DCY786631 DMU786631 DWQ786631 EGM786631 EQI786631 FAE786631 FKA786631 FTW786631 GDS786631 GNO786631 GXK786631 HHG786631 HRC786631 IAY786631 IKU786631 IUQ786631 JEM786631 JOI786631 JYE786631 KIA786631 KRW786631 LBS786631 LLO786631 LVK786631 MFG786631 MPC786631 MYY786631 NIU786631 NSQ786631 OCM786631 OMI786631 OWE786631 PGA786631 PPW786631 PZS786631 QJO786631 QTK786631 RDG786631 RNC786631 RWY786631 SGU786631 SQQ786631 TAM786631 TKI786631 TUE786631 UEA786631 UNW786631 UXS786631 VHO786631 VRK786631 WBG786631 WLC786631 WUY786631 D852167 IM852167 SI852167 ACE852167 AMA852167 AVW852167 BFS852167 BPO852167 BZK852167 CJG852167 CTC852167 DCY852167 DMU852167 DWQ852167 EGM852167 EQI852167 FAE852167 FKA852167 FTW852167 GDS852167 GNO852167 GXK852167 HHG852167 HRC852167 IAY852167 IKU852167 IUQ852167 JEM852167 JOI852167 JYE852167 KIA852167 KRW852167 LBS852167 LLO852167 LVK852167 MFG852167 MPC852167 MYY852167 NIU852167 NSQ852167 OCM852167 OMI852167 OWE852167 PGA852167 PPW852167 PZS852167 QJO852167 QTK852167 RDG852167 RNC852167 RWY852167 SGU852167 SQQ852167 TAM852167 TKI852167 TUE852167 UEA852167 UNW852167 UXS852167 VHO852167 VRK852167 WBG852167 WLC852167 WUY852167 D917703 IM917703 SI917703 ACE917703 AMA917703 AVW917703 BFS917703 BPO917703 BZK917703 CJG917703 CTC917703 DCY917703 DMU917703 DWQ917703 EGM917703 EQI917703 FAE917703 FKA917703 FTW917703 GDS917703 GNO917703 GXK917703 HHG917703 HRC917703 IAY917703 IKU917703 IUQ917703 JEM917703 JOI917703 JYE917703 KIA917703 KRW917703 LBS917703 LLO917703 LVK917703 MFG917703 MPC917703 MYY917703 NIU917703 NSQ917703 OCM917703 OMI917703 OWE917703 PGA917703 PPW917703 PZS917703 QJO917703 QTK917703 RDG917703 RNC917703 RWY917703 SGU917703 SQQ917703 TAM917703 TKI917703 TUE917703 UEA917703 UNW917703 UXS917703 VHO917703 VRK917703 WBG917703 WLC917703 WUY917703 D983239 IM983239 SI983239 ACE983239 AMA983239 AVW983239 BFS983239 BPO983239 BZK983239 CJG983239 CTC983239 DCY983239 DMU983239 DWQ983239 EGM983239 EQI983239 FAE983239 FKA983239 FTW983239 GDS983239 GNO983239 GXK983239 HHG983239 HRC983239 IAY983239 IKU983239 IUQ983239 JEM983239 JOI983239 JYE983239 KIA983239 KRW983239 LBS983239 LLO983239 LVK983239 MFG983239 MPC983239 MYY983239 NIU983239 NSQ983239 OCM983239 OMI983239 OWE983239 PGA983239 PPW983239 PZS983239 QJO983239 QTK983239 RDG983239 RNC983239 RWY983239 SGU983239 SQQ983239 TAM983239 TKI983239 TUE983239 UEA983239 UNW983239 UXS983239 VHO983239 VRK983239 WBG983239 WLC983239" xr:uid="{00000000-0002-0000-0200-000005000000}">
      <formula1>"1.68e-8"</formula1>
    </dataValidation>
    <dataValidation type="list" errorStyle="information" allowBlank="1" showInputMessage="1" showErrorMessage="1" errorTitle="USe appropriate value" error="PCB traces should use 0.393 for copper." sqref="WUY983240 IM50 SI50 ACE50 AMA50 AVW50 BFS50 BPO50 BZK50 CJG50 CTC50 DCY50 DMU50 DWQ50 EGM50 EQI50 FAE50 FKA50 FTW50 GDS50 GNO50 GXK50 HHG50 HRC50 IAY50 IKU50 IUQ50 JEM50 JOI50 JYE50 KIA50 KRW50 LBS50 LLO50 LVK50 MFG50 MPC50 MYY50 NIU50 NSQ50 OCM50 OMI50 OWE50 PGA50 PPW50 PZS50 QJO50 QTK50 RDG50 RNC50 RWY50 SGU50 SQQ50 TAM50 TKI50 TUE50 UEA50 UNW50 UXS50 VHO50 VRK50 WBG50 WLC50 WUY50 D65736 IM65736 SI65736 ACE65736 AMA65736 AVW65736 BFS65736 BPO65736 BZK65736 CJG65736 CTC65736 DCY65736 DMU65736 DWQ65736 EGM65736 EQI65736 FAE65736 FKA65736 FTW65736 GDS65736 GNO65736 GXK65736 HHG65736 HRC65736 IAY65736 IKU65736 IUQ65736 JEM65736 JOI65736 JYE65736 KIA65736 KRW65736 LBS65736 LLO65736 LVK65736 MFG65736 MPC65736 MYY65736 NIU65736 NSQ65736 OCM65736 OMI65736 OWE65736 PGA65736 PPW65736 PZS65736 QJO65736 QTK65736 RDG65736 RNC65736 RWY65736 SGU65736 SQQ65736 TAM65736 TKI65736 TUE65736 UEA65736 UNW65736 UXS65736 VHO65736 VRK65736 WBG65736 WLC65736 WUY65736 D131272 IM131272 SI131272 ACE131272 AMA131272 AVW131272 BFS131272 BPO131272 BZK131272 CJG131272 CTC131272 DCY131272 DMU131272 DWQ131272 EGM131272 EQI131272 FAE131272 FKA131272 FTW131272 GDS131272 GNO131272 GXK131272 HHG131272 HRC131272 IAY131272 IKU131272 IUQ131272 JEM131272 JOI131272 JYE131272 KIA131272 KRW131272 LBS131272 LLO131272 LVK131272 MFG131272 MPC131272 MYY131272 NIU131272 NSQ131272 OCM131272 OMI131272 OWE131272 PGA131272 PPW131272 PZS131272 QJO131272 QTK131272 RDG131272 RNC131272 RWY131272 SGU131272 SQQ131272 TAM131272 TKI131272 TUE131272 UEA131272 UNW131272 UXS131272 VHO131272 VRK131272 WBG131272 WLC131272 WUY131272 D196808 IM196808 SI196808 ACE196808 AMA196808 AVW196808 BFS196808 BPO196808 BZK196808 CJG196808 CTC196808 DCY196808 DMU196808 DWQ196808 EGM196808 EQI196808 FAE196808 FKA196808 FTW196808 GDS196808 GNO196808 GXK196808 HHG196808 HRC196808 IAY196808 IKU196808 IUQ196808 JEM196808 JOI196808 JYE196808 KIA196808 KRW196808 LBS196808 LLO196808 LVK196808 MFG196808 MPC196808 MYY196808 NIU196808 NSQ196808 OCM196808 OMI196808 OWE196808 PGA196808 PPW196808 PZS196808 QJO196808 QTK196808 RDG196808 RNC196808 RWY196808 SGU196808 SQQ196808 TAM196808 TKI196808 TUE196808 UEA196808 UNW196808 UXS196808 VHO196808 VRK196808 WBG196808 WLC196808 WUY196808 D262344 IM262344 SI262344 ACE262344 AMA262344 AVW262344 BFS262344 BPO262344 BZK262344 CJG262344 CTC262344 DCY262344 DMU262344 DWQ262344 EGM262344 EQI262344 FAE262344 FKA262344 FTW262344 GDS262344 GNO262344 GXK262344 HHG262344 HRC262344 IAY262344 IKU262344 IUQ262344 JEM262344 JOI262344 JYE262344 KIA262344 KRW262344 LBS262344 LLO262344 LVK262344 MFG262344 MPC262344 MYY262344 NIU262344 NSQ262344 OCM262344 OMI262344 OWE262344 PGA262344 PPW262344 PZS262344 QJO262344 QTK262344 RDG262344 RNC262344 RWY262344 SGU262344 SQQ262344 TAM262344 TKI262344 TUE262344 UEA262344 UNW262344 UXS262344 VHO262344 VRK262344 WBG262344 WLC262344 WUY262344 D327880 IM327880 SI327880 ACE327880 AMA327880 AVW327880 BFS327880 BPO327880 BZK327880 CJG327880 CTC327880 DCY327880 DMU327880 DWQ327880 EGM327880 EQI327880 FAE327880 FKA327880 FTW327880 GDS327880 GNO327880 GXK327880 HHG327880 HRC327880 IAY327880 IKU327880 IUQ327880 JEM327880 JOI327880 JYE327880 KIA327880 KRW327880 LBS327880 LLO327880 LVK327880 MFG327880 MPC327880 MYY327880 NIU327880 NSQ327880 OCM327880 OMI327880 OWE327880 PGA327880 PPW327880 PZS327880 QJO327880 QTK327880 RDG327880 RNC327880 RWY327880 SGU327880 SQQ327880 TAM327880 TKI327880 TUE327880 UEA327880 UNW327880 UXS327880 VHO327880 VRK327880 WBG327880 WLC327880 WUY327880 D393416 IM393416 SI393416 ACE393416 AMA393416 AVW393416 BFS393416 BPO393416 BZK393416 CJG393416 CTC393416 DCY393416 DMU393416 DWQ393416 EGM393416 EQI393416 FAE393416 FKA393416 FTW393416 GDS393416 GNO393416 GXK393416 HHG393416 HRC393416 IAY393416 IKU393416 IUQ393416 JEM393416 JOI393416 JYE393416 KIA393416 KRW393416 LBS393416 LLO393416 LVK393416 MFG393416 MPC393416 MYY393416 NIU393416 NSQ393416 OCM393416 OMI393416 OWE393416 PGA393416 PPW393416 PZS393416 QJO393416 QTK393416 RDG393416 RNC393416 RWY393416 SGU393416 SQQ393416 TAM393416 TKI393416 TUE393416 UEA393416 UNW393416 UXS393416 VHO393416 VRK393416 WBG393416 WLC393416 WUY393416 D458952 IM458952 SI458952 ACE458952 AMA458952 AVW458952 BFS458952 BPO458952 BZK458952 CJG458952 CTC458952 DCY458952 DMU458952 DWQ458952 EGM458952 EQI458952 FAE458952 FKA458952 FTW458952 GDS458952 GNO458952 GXK458952 HHG458952 HRC458952 IAY458952 IKU458952 IUQ458952 JEM458952 JOI458952 JYE458952 KIA458952 KRW458952 LBS458952 LLO458952 LVK458952 MFG458952 MPC458952 MYY458952 NIU458952 NSQ458952 OCM458952 OMI458952 OWE458952 PGA458952 PPW458952 PZS458952 QJO458952 QTK458952 RDG458952 RNC458952 RWY458952 SGU458952 SQQ458952 TAM458952 TKI458952 TUE458952 UEA458952 UNW458952 UXS458952 VHO458952 VRK458952 WBG458952 WLC458952 WUY458952 D524488 IM524488 SI524488 ACE524488 AMA524488 AVW524488 BFS524488 BPO524488 BZK524488 CJG524488 CTC524488 DCY524488 DMU524488 DWQ524488 EGM524488 EQI524488 FAE524488 FKA524488 FTW524488 GDS524488 GNO524488 GXK524488 HHG524488 HRC524488 IAY524488 IKU524488 IUQ524488 JEM524488 JOI524488 JYE524488 KIA524488 KRW524488 LBS524488 LLO524488 LVK524488 MFG524488 MPC524488 MYY524488 NIU524488 NSQ524488 OCM524488 OMI524488 OWE524488 PGA524488 PPW524488 PZS524488 QJO524488 QTK524488 RDG524488 RNC524488 RWY524488 SGU524488 SQQ524488 TAM524488 TKI524488 TUE524488 UEA524488 UNW524488 UXS524488 VHO524488 VRK524488 WBG524488 WLC524488 WUY524488 D590024 IM590024 SI590024 ACE590024 AMA590024 AVW590024 BFS590024 BPO590024 BZK590024 CJG590024 CTC590024 DCY590024 DMU590024 DWQ590024 EGM590024 EQI590024 FAE590024 FKA590024 FTW590024 GDS590024 GNO590024 GXK590024 HHG590024 HRC590024 IAY590024 IKU590024 IUQ590024 JEM590024 JOI590024 JYE590024 KIA590024 KRW590024 LBS590024 LLO590024 LVK590024 MFG590024 MPC590024 MYY590024 NIU590024 NSQ590024 OCM590024 OMI590024 OWE590024 PGA590024 PPW590024 PZS590024 QJO590024 QTK590024 RDG590024 RNC590024 RWY590024 SGU590024 SQQ590024 TAM590024 TKI590024 TUE590024 UEA590024 UNW590024 UXS590024 VHO590024 VRK590024 WBG590024 WLC590024 WUY590024 D655560 IM655560 SI655560 ACE655560 AMA655560 AVW655560 BFS655560 BPO655560 BZK655560 CJG655560 CTC655560 DCY655560 DMU655560 DWQ655560 EGM655560 EQI655560 FAE655560 FKA655560 FTW655560 GDS655560 GNO655560 GXK655560 HHG655560 HRC655560 IAY655560 IKU655560 IUQ655560 JEM655560 JOI655560 JYE655560 KIA655560 KRW655560 LBS655560 LLO655560 LVK655560 MFG655560 MPC655560 MYY655560 NIU655560 NSQ655560 OCM655560 OMI655560 OWE655560 PGA655560 PPW655560 PZS655560 QJO655560 QTK655560 RDG655560 RNC655560 RWY655560 SGU655560 SQQ655560 TAM655560 TKI655560 TUE655560 UEA655560 UNW655560 UXS655560 VHO655560 VRK655560 WBG655560 WLC655560 WUY655560 D721096 IM721096 SI721096 ACE721096 AMA721096 AVW721096 BFS721096 BPO721096 BZK721096 CJG721096 CTC721096 DCY721096 DMU721096 DWQ721096 EGM721096 EQI721096 FAE721096 FKA721096 FTW721096 GDS721096 GNO721096 GXK721096 HHG721096 HRC721096 IAY721096 IKU721096 IUQ721096 JEM721096 JOI721096 JYE721096 KIA721096 KRW721096 LBS721096 LLO721096 LVK721096 MFG721096 MPC721096 MYY721096 NIU721096 NSQ721096 OCM721096 OMI721096 OWE721096 PGA721096 PPW721096 PZS721096 QJO721096 QTK721096 RDG721096 RNC721096 RWY721096 SGU721096 SQQ721096 TAM721096 TKI721096 TUE721096 UEA721096 UNW721096 UXS721096 VHO721096 VRK721096 WBG721096 WLC721096 WUY721096 D786632 IM786632 SI786632 ACE786632 AMA786632 AVW786632 BFS786632 BPO786632 BZK786632 CJG786632 CTC786632 DCY786632 DMU786632 DWQ786632 EGM786632 EQI786632 FAE786632 FKA786632 FTW786632 GDS786632 GNO786632 GXK786632 HHG786632 HRC786632 IAY786632 IKU786632 IUQ786632 JEM786632 JOI786632 JYE786632 KIA786632 KRW786632 LBS786632 LLO786632 LVK786632 MFG786632 MPC786632 MYY786632 NIU786632 NSQ786632 OCM786632 OMI786632 OWE786632 PGA786632 PPW786632 PZS786632 QJO786632 QTK786632 RDG786632 RNC786632 RWY786632 SGU786632 SQQ786632 TAM786632 TKI786632 TUE786632 UEA786632 UNW786632 UXS786632 VHO786632 VRK786632 WBG786632 WLC786632 WUY786632 D852168 IM852168 SI852168 ACE852168 AMA852168 AVW852168 BFS852168 BPO852168 BZK852168 CJG852168 CTC852168 DCY852168 DMU852168 DWQ852168 EGM852168 EQI852168 FAE852168 FKA852168 FTW852168 GDS852168 GNO852168 GXK852168 HHG852168 HRC852168 IAY852168 IKU852168 IUQ852168 JEM852168 JOI852168 JYE852168 KIA852168 KRW852168 LBS852168 LLO852168 LVK852168 MFG852168 MPC852168 MYY852168 NIU852168 NSQ852168 OCM852168 OMI852168 OWE852168 PGA852168 PPW852168 PZS852168 QJO852168 QTK852168 RDG852168 RNC852168 RWY852168 SGU852168 SQQ852168 TAM852168 TKI852168 TUE852168 UEA852168 UNW852168 UXS852168 VHO852168 VRK852168 WBG852168 WLC852168 WUY852168 D917704 IM917704 SI917704 ACE917704 AMA917704 AVW917704 BFS917704 BPO917704 BZK917704 CJG917704 CTC917704 DCY917704 DMU917704 DWQ917704 EGM917704 EQI917704 FAE917704 FKA917704 FTW917704 GDS917704 GNO917704 GXK917704 HHG917704 HRC917704 IAY917704 IKU917704 IUQ917704 JEM917704 JOI917704 JYE917704 KIA917704 KRW917704 LBS917704 LLO917704 LVK917704 MFG917704 MPC917704 MYY917704 NIU917704 NSQ917704 OCM917704 OMI917704 OWE917704 PGA917704 PPW917704 PZS917704 QJO917704 QTK917704 RDG917704 RNC917704 RWY917704 SGU917704 SQQ917704 TAM917704 TKI917704 TUE917704 UEA917704 UNW917704 UXS917704 VHO917704 VRK917704 WBG917704 WLC917704 WUY917704 D983240 IM983240 SI983240 ACE983240 AMA983240 AVW983240 BFS983240 BPO983240 BZK983240 CJG983240 CTC983240 DCY983240 DMU983240 DWQ983240 EGM983240 EQI983240 FAE983240 FKA983240 FTW983240 GDS983240 GNO983240 GXK983240 HHG983240 HRC983240 IAY983240 IKU983240 IUQ983240 JEM983240 JOI983240 JYE983240 KIA983240 KRW983240 LBS983240 LLO983240 LVK983240 MFG983240 MPC983240 MYY983240 NIU983240 NSQ983240 OCM983240 OMI983240 OWE983240 PGA983240 PPW983240 PZS983240 QJO983240 QTK983240 RDG983240 RNC983240 RWY983240 SGU983240 SQQ983240 TAM983240 TKI983240 TUE983240 UEA983240 UNW983240 UXS983240 VHO983240 VRK983240 WBG983240 WLC983240" xr:uid="{00000000-0002-0000-0200-000006000000}">
      <formula1>"0.393"</formula1>
    </dataValidation>
    <dataValidation type="decimal" operator="greaterThanOrEqual" allowBlank="1" showInputMessage="1" showErrorMessage="1" sqref="D52 IM52 SI52 ACE52 AMA52 AVW52 BFS52 BPO52 BZK52 CJG52 CTC52 DCY52 DMU52 DWQ52 EGM52 EQI52 FAE52 FKA52 FTW52 GDS52 GNO52 GXK52 HHG52 HRC52 IAY52 IKU52 IUQ52 JEM52 JOI52 JYE52 KIA52 KRW52 LBS52 LLO52 LVK52 MFG52 MPC52 MYY52 NIU52 NSQ52 OCM52 OMI52 OWE52 PGA52 PPW52 PZS52 QJO52 QTK52 RDG52 RNC52 RWY52 SGU52 SQQ52 TAM52 TKI52 TUE52 UEA52 UNW52 UXS52 VHO52 VRK52 WBG52 WLC52 WUY52 D65738 IM65738 SI65738 ACE65738 AMA65738 AVW65738 BFS65738 BPO65738 BZK65738 CJG65738 CTC65738 DCY65738 DMU65738 DWQ65738 EGM65738 EQI65738 FAE65738 FKA65738 FTW65738 GDS65738 GNO65738 GXK65738 HHG65738 HRC65738 IAY65738 IKU65738 IUQ65738 JEM65738 JOI65738 JYE65738 KIA65738 KRW65738 LBS65738 LLO65738 LVK65738 MFG65738 MPC65738 MYY65738 NIU65738 NSQ65738 OCM65738 OMI65738 OWE65738 PGA65738 PPW65738 PZS65738 QJO65738 QTK65738 RDG65738 RNC65738 RWY65738 SGU65738 SQQ65738 TAM65738 TKI65738 TUE65738 UEA65738 UNW65738 UXS65738 VHO65738 VRK65738 WBG65738 WLC65738 WUY65738 D131274 IM131274 SI131274 ACE131274 AMA131274 AVW131274 BFS131274 BPO131274 BZK131274 CJG131274 CTC131274 DCY131274 DMU131274 DWQ131274 EGM131274 EQI131274 FAE131274 FKA131274 FTW131274 GDS131274 GNO131274 GXK131274 HHG131274 HRC131274 IAY131274 IKU131274 IUQ131274 JEM131274 JOI131274 JYE131274 KIA131274 KRW131274 LBS131274 LLO131274 LVK131274 MFG131274 MPC131274 MYY131274 NIU131274 NSQ131274 OCM131274 OMI131274 OWE131274 PGA131274 PPW131274 PZS131274 QJO131274 QTK131274 RDG131274 RNC131274 RWY131274 SGU131274 SQQ131274 TAM131274 TKI131274 TUE131274 UEA131274 UNW131274 UXS131274 VHO131274 VRK131274 WBG131274 WLC131274 WUY131274 D196810 IM196810 SI196810 ACE196810 AMA196810 AVW196810 BFS196810 BPO196810 BZK196810 CJG196810 CTC196810 DCY196810 DMU196810 DWQ196810 EGM196810 EQI196810 FAE196810 FKA196810 FTW196810 GDS196810 GNO196810 GXK196810 HHG196810 HRC196810 IAY196810 IKU196810 IUQ196810 JEM196810 JOI196810 JYE196810 KIA196810 KRW196810 LBS196810 LLO196810 LVK196810 MFG196810 MPC196810 MYY196810 NIU196810 NSQ196810 OCM196810 OMI196810 OWE196810 PGA196810 PPW196810 PZS196810 QJO196810 QTK196810 RDG196810 RNC196810 RWY196810 SGU196810 SQQ196810 TAM196810 TKI196810 TUE196810 UEA196810 UNW196810 UXS196810 VHO196810 VRK196810 WBG196810 WLC196810 WUY196810 D262346 IM262346 SI262346 ACE262346 AMA262346 AVW262346 BFS262346 BPO262346 BZK262346 CJG262346 CTC262346 DCY262346 DMU262346 DWQ262346 EGM262346 EQI262346 FAE262346 FKA262346 FTW262346 GDS262346 GNO262346 GXK262346 HHG262346 HRC262346 IAY262346 IKU262346 IUQ262346 JEM262346 JOI262346 JYE262346 KIA262346 KRW262346 LBS262346 LLO262346 LVK262346 MFG262346 MPC262346 MYY262346 NIU262346 NSQ262346 OCM262346 OMI262346 OWE262346 PGA262346 PPW262346 PZS262346 QJO262346 QTK262346 RDG262346 RNC262346 RWY262346 SGU262346 SQQ262346 TAM262346 TKI262346 TUE262346 UEA262346 UNW262346 UXS262346 VHO262346 VRK262346 WBG262346 WLC262346 WUY262346 D327882 IM327882 SI327882 ACE327882 AMA327882 AVW327882 BFS327882 BPO327882 BZK327882 CJG327882 CTC327882 DCY327882 DMU327882 DWQ327882 EGM327882 EQI327882 FAE327882 FKA327882 FTW327882 GDS327882 GNO327882 GXK327882 HHG327882 HRC327882 IAY327882 IKU327882 IUQ327882 JEM327882 JOI327882 JYE327882 KIA327882 KRW327882 LBS327882 LLO327882 LVK327882 MFG327882 MPC327882 MYY327882 NIU327882 NSQ327882 OCM327882 OMI327882 OWE327882 PGA327882 PPW327882 PZS327882 QJO327882 QTK327882 RDG327882 RNC327882 RWY327882 SGU327882 SQQ327882 TAM327882 TKI327882 TUE327882 UEA327882 UNW327882 UXS327882 VHO327882 VRK327882 WBG327882 WLC327882 WUY327882 D393418 IM393418 SI393418 ACE393418 AMA393418 AVW393418 BFS393418 BPO393418 BZK393418 CJG393418 CTC393418 DCY393418 DMU393418 DWQ393418 EGM393418 EQI393418 FAE393418 FKA393418 FTW393418 GDS393418 GNO393418 GXK393418 HHG393418 HRC393418 IAY393418 IKU393418 IUQ393418 JEM393418 JOI393418 JYE393418 KIA393418 KRW393418 LBS393418 LLO393418 LVK393418 MFG393418 MPC393418 MYY393418 NIU393418 NSQ393418 OCM393418 OMI393418 OWE393418 PGA393418 PPW393418 PZS393418 QJO393418 QTK393418 RDG393418 RNC393418 RWY393418 SGU393418 SQQ393418 TAM393418 TKI393418 TUE393418 UEA393418 UNW393418 UXS393418 VHO393418 VRK393418 WBG393418 WLC393418 WUY393418 D458954 IM458954 SI458954 ACE458954 AMA458954 AVW458954 BFS458954 BPO458954 BZK458954 CJG458954 CTC458954 DCY458954 DMU458954 DWQ458954 EGM458954 EQI458954 FAE458954 FKA458954 FTW458954 GDS458954 GNO458954 GXK458954 HHG458954 HRC458954 IAY458954 IKU458954 IUQ458954 JEM458954 JOI458954 JYE458954 KIA458954 KRW458954 LBS458954 LLO458954 LVK458954 MFG458954 MPC458954 MYY458954 NIU458954 NSQ458954 OCM458954 OMI458954 OWE458954 PGA458954 PPW458954 PZS458954 QJO458954 QTK458954 RDG458954 RNC458954 RWY458954 SGU458954 SQQ458954 TAM458954 TKI458954 TUE458954 UEA458954 UNW458954 UXS458954 VHO458954 VRK458954 WBG458954 WLC458954 WUY458954 D524490 IM524490 SI524490 ACE524490 AMA524490 AVW524490 BFS524490 BPO524490 BZK524490 CJG524490 CTC524490 DCY524490 DMU524490 DWQ524490 EGM524490 EQI524490 FAE524490 FKA524490 FTW524490 GDS524490 GNO524490 GXK524490 HHG524490 HRC524490 IAY524490 IKU524490 IUQ524490 JEM524490 JOI524490 JYE524490 KIA524490 KRW524490 LBS524490 LLO524490 LVK524490 MFG524490 MPC524490 MYY524490 NIU524490 NSQ524490 OCM524490 OMI524490 OWE524490 PGA524490 PPW524490 PZS524490 QJO524490 QTK524490 RDG524490 RNC524490 RWY524490 SGU524490 SQQ524490 TAM524490 TKI524490 TUE524490 UEA524490 UNW524490 UXS524490 VHO524490 VRK524490 WBG524490 WLC524490 WUY524490 D590026 IM590026 SI590026 ACE590026 AMA590026 AVW590026 BFS590026 BPO590026 BZK590026 CJG590026 CTC590026 DCY590026 DMU590026 DWQ590026 EGM590026 EQI590026 FAE590026 FKA590026 FTW590026 GDS590026 GNO590026 GXK590026 HHG590026 HRC590026 IAY590026 IKU590026 IUQ590026 JEM590026 JOI590026 JYE590026 KIA590026 KRW590026 LBS590026 LLO590026 LVK590026 MFG590026 MPC590026 MYY590026 NIU590026 NSQ590026 OCM590026 OMI590026 OWE590026 PGA590026 PPW590026 PZS590026 QJO590026 QTK590026 RDG590026 RNC590026 RWY590026 SGU590026 SQQ590026 TAM590026 TKI590026 TUE590026 UEA590026 UNW590026 UXS590026 VHO590026 VRK590026 WBG590026 WLC590026 WUY590026 D655562 IM655562 SI655562 ACE655562 AMA655562 AVW655562 BFS655562 BPO655562 BZK655562 CJG655562 CTC655562 DCY655562 DMU655562 DWQ655562 EGM655562 EQI655562 FAE655562 FKA655562 FTW655562 GDS655562 GNO655562 GXK655562 HHG655562 HRC655562 IAY655562 IKU655562 IUQ655562 JEM655562 JOI655562 JYE655562 KIA655562 KRW655562 LBS655562 LLO655562 LVK655562 MFG655562 MPC655562 MYY655562 NIU655562 NSQ655562 OCM655562 OMI655562 OWE655562 PGA655562 PPW655562 PZS655562 QJO655562 QTK655562 RDG655562 RNC655562 RWY655562 SGU655562 SQQ655562 TAM655562 TKI655562 TUE655562 UEA655562 UNW655562 UXS655562 VHO655562 VRK655562 WBG655562 WLC655562 WUY655562 D721098 IM721098 SI721098 ACE721098 AMA721098 AVW721098 BFS721098 BPO721098 BZK721098 CJG721098 CTC721098 DCY721098 DMU721098 DWQ721098 EGM721098 EQI721098 FAE721098 FKA721098 FTW721098 GDS721098 GNO721098 GXK721098 HHG721098 HRC721098 IAY721098 IKU721098 IUQ721098 JEM721098 JOI721098 JYE721098 KIA721098 KRW721098 LBS721098 LLO721098 LVK721098 MFG721098 MPC721098 MYY721098 NIU721098 NSQ721098 OCM721098 OMI721098 OWE721098 PGA721098 PPW721098 PZS721098 QJO721098 QTK721098 RDG721098 RNC721098 RWY721098 SGU721098 SQQ721098 TAM721098 TKI721098 TUE721098 UEA721098 UNW721098 UXS721098 VHO721098 VRK721098 WBG721098 WLC721098 WUY721098 D786634 IM786634 SI786634 ACE786634 AMA786634 AVW786634 BFS786634 BPO786634 BZK786634 CJG786634 CTC786634 DCY786634 DMU786634 DWQ786634 EGM786634 EQI786634 FAE786634 FKA786634 FTW786634 GDS786634 GNO786634 GXK786634 HHG786634 HRC786634 IAY786634 IKU786634 IUQ786634 JEM786634 JOI786634 JYE786634 KIA786634 KRW786634 LBS786634 LLO786634 LVK786634 MFG786634 MPC786634 MYY786634 NIU786634 NSQ786634 OCM786634 OMI786634 OWE786634 PGA786634 PPW786634 PZS786634 QJO786634 QTK786634 RDG786634 RNC786634 RWY786634 SGU786634 SQQ786634 TAM786634 TKI786634 TUE786634 UEA786634 UNW786634 UXS786634 VHO786634 VRK786634 WBG786634 WLC786634 WUY786634 D852170 IM852170 SI852170 ACE852170 AMA852170 AVW852170 BFS852170 BPO852170 BZK852170 CJG852170 CTC852170 DCY852170 DMU852170 DWQ852170 EGM852170 EQI852170 FAE852170 FKA852170 FTW852170 GDS852170 GNO852170 GXK852170 HHG852170 HRC852170 IAY852170 IKU852170 IUQ852170 JEM852170 JOI852170 JYE852170 KIA852170 KRW852170 LBS852170 LLO852170 LVK852170 MFG852170 MPC852170 MYY852170 NIU852170 NSQ852170 OCM852170 OMI852170 OWE852170 PGA852170 PPW852170 PZS852170 QJO852170 QTK852170 RDG852170 RNC852170 RWY852170 SGU852170 SQQ852170 TAM852170 TKI852170 TUE852170 UEA852170 UNW852170 UXS852170 VHO852170 VRK852170 WBG852170 WLC852170 WUY852170 D917706 IM917706 SI917706 ACE917706 AMA917706 AVW917706 BFS917706 BPO917706 BZK917706 CJG917706 CTC917706 DCY917706 DMU917706 DWQ917706 EGM917706 EQI917706 FAE917706 FKA917706 FTW917706 GDS917706 GNO917706 GXK917706 HHG917706 HRC917706 IAY917706 IKU917706 IUQ917706 JEM917706 JOI917706 JYE917706 KIA917706 KRW917706 LBS917706 LLO917706 LVK917706 MFG917706 MPC917706 MYY917706 NIU917706 NSQ917706 OCM917706 OMI917706 OWE917706 PGA917706 PPW917706 PZS917706 QJO917706 QTK917706 RDG917706 RNC917706 RWY917706 SGU917706 SQQ917706 TAM917706 TKI917706 TUE917706 UEA917706 UNW917706 UXS917706 VHO917706 VRK917706 WBG917706 WLC917706 WUY917706 D983242 IM983242 SI983242 ACE983242 AMA983242 AVW983242 BFS983242 BPO983242 BZK983242 CJG983242 CTC983242 DCY983242 DMU983242 DWQ983242 EGM983242 EQI983242 FAE983242 FKA983242 FTW983242 GDS983242 GNO983242 GXK983242 HHG983242 HRC983242 IAY983242 IKU983242 IUQ983242 JEM983242 JOI983242 JYE983242 KIA983242 KRW983242 LBS983242 LLO983242 LVK983242 MFG983242 MPC983242 MYY983242 NIU983242 NSQ983242 OCM983242 OMI983242 OWE983242 PGA983242 PPW983242 PZS983242 QJO983242 QTK983242 RDG983242 RNC983242 RWY983242 SGU983242 SQQ983242 TAM983242 TKI983242 TUE983242 UEA983242 UNW983242 UXS983242 VHO983242 VRK983242 WBG983242 WLC983242 WUY983242" xr:uid="{00000000-0002-0000-0200-000007000000}">
      <formula1>0</formula1>
    </dataValidation>
    <dataValidation type="list" errorStyle="information" allowBlank="1" showInputMessage="1" showErrorMessage="1" errorTitle="Set appropriate vale" error="For Copper PCBs, 1.00 is appropriate value." sqref="WUY983241 IM51 SI51 ACE51 AMA51 AVW51 BFS51 BPO51 BZK51 CJG51 CTC51 DCY51 DMU51 DWQ51 EGM51 EQI51 FAE51 FKA51 FTW51 GDS51 GNO51 GXK51 HHG51 HRC51 IAY51 IKU51 IUQ51 JEM51 JOI51 JYE51 KIA51 KRW51 LBS51 LLO51 LVK51 MFG51 MPC51 MYY51 NIU51 NSQ51 OCM51 OMI51 OWE51 PGA51 PPW51 PZS51 QJO51 QTK51 RDG51 RNC51 RWY51 SGU51 SQQ51 TAM51 TKI51 TUE51 UEA51 UNW51 UXS51 VHO51 VRK51 WBG51 WLC51 WUY51 D65737 IM65737 SI65737 ACE65737 AMA65737 AVW65737 BFS65737 BPO65737 BZK65737 CJG65737 CTC65737 DCY65737 DMU65737 DWQ65737 EGM65737 EQI65737 FAE65737 FKA65737 FTW65737 GDS65737 GNO65737 GXK65737 HHG65737 HRC65737 IAY65737 IKU65737 IUQ65737 JEM65737 JOI65737 JYE65737 KIA65737 KRW65737 LBS65737 LLO65737 LVK65737 MFG65737 MPC65737 MYY65737 NIU65737 NSQ65737 OCM65737 OMI65737 OWE65737 PGA65737 PPW65737 PZS65737 QJO65737 QTK65737 RDG65737 RNC65737 RWY65737 SGU65737 SQQ65737 TAM65737 TKI65737 TUE65737 UEA65737 UNW65737 UXS65737 VHO65737 VRK65737 WBG65737 WLC65737 WUY65737 D131273 IM131273 SI131273 ACE131273 AMA131273 AVW131273 BFS131273 BPO131273 BZK131273 CJG131273 CTC131273 DCY131273 DMU131273 DWQ131273 EGM131273 EQI131273 FAE131273 FKA131273 FTW131273 GDS131273 GNO131273 GXK131273 HHG131273 HRC131273 IAY131273 IKU131273 IUQ131273 JEM131273 JOI131273 JYE131273 KIA131273 KRW131273 LBS131273 LLO131273 LVK131273 MFG131273 MPC131273 MYY131273 NIU131273 NSQ131273 OCM131273 OMI131273 OWE131273 PGA131273 PPW131273 PZS131273 QJO131273 QTK131273 RDG131273 RNC131273 RWY131273 SGU131273 SQQ131273 TAM131273 TKI131273 TUE131273 UEA131273 UNW131273 UXS131273 VHO131273 VRK131273 WBG131273 WLC131273 WUY131273 D196809 IM196809 SI196809 ACE196809 AMA196809 AVW196809 BFS196809 BPO196809 BZK196809 CJG196809 CTC196809 DCY196809 DMU196809 DWQ196809 EGM196809 EQI196809 FAE196809 FKA196809 FTW196809 GDS196809 GNO196809 GXK196809 HHG196809 HRC196809 IAY196809 IKU196809 IUQ196809 JEM196809 JOI196809 JYE196809 KIA196809 KRW196809 LBS196809 LLO196809 LVK196809 MFG196809 MPC196809 MYY196809 NIU196809 NSQ196809 OCM196809 OMI196809 OWE196809 PGA196809 PPW196809 PZS196809 QJO196809 QTK196809 RDG196809 RNC196809 RWY196809 SGU196809 SQQ196809 TAM196809 TKI196809 TUE196809 UEA196809 UNW196809 UXS196809 VHO196809 VRK196809 WBG196809 WLC196809 WUY196809 D262345 IM262345 SI262345 ACE262345 AMA262345 AVW262345 BFS262345 BPO262345 BZK262345 CJG262345 CTC262345 DCY262345 DMU262345 DWQ262345 EGM262345 EQI262345 FAE262345 FKA262345 FTW262345 GDS262345 GNO262345 GXK262345 HHG262345 HRC262345 IAY262345 IKU262345 IUQ262345 JEM262345 JOI262345 JYE262345 KIA262345 KRW262345 LBS262345 LLO262345 LVK262345 MFG262345 MPC262345 MYY262345 NIU262345 NSQ262345 OCM262345 OMI262345 OWE262345 PGA262345 PPW262345 PZS262345 QJO262345 QTK262345 RDG262345 RNC262345 RWY262345 SGU262345 SQQ262345 TAM262345 TKI262345 TUE262345 UEA262345 UNW262345 UXS262345 VHO262345 VRK262345 WBG262345 WLC262345 WUY262345 D327881 IM327881 SI327881 ACE327881 AMA327881 AVW327881 BFS327881 BPO327881 BZK327881 CJG327881 CTC327881 DCY327881 DMU327881 DWQ327881 EGM327881 EQI327881 FAE327881 FKA327881 FTW327881 GDS327881 GNO327881 GXK327881 HHG327881 HRC327881 IAY327881 IKU327881 IUQ327881 JEM327881 JOI327881 JYE327881 KIA327881 KRW327881 LBS327881 LLO327881 LVK327881 MFG327881 MPC327881 MYY327881 NIU327881 NSQ327881 OCM327881 OMI327881 OWE327881 PGA327881 PPW327881 PZS327881 QJO327881 QTK327881 RDG327881 RNC327881 RWY327881 SGU327881 SQQ327881 TAM327881 TKI327881 TUE327881 UEA327881 UNW327881 UXS327881 VHO327881 VRK327881 WBG327881 WLC327881 WUY327881 D393417 IM393417 SI393417 ACE393417 AMA393417 AVW393417 BFS393417 BPO393417 BZK393417 CJG393417 CTC393417 DCY393417 DMU393417 DWQ393417 EGM393417 EQI393417 FAE393417 FKA393417 FTW393417 GDS393417 GNO393417 GXK393417 HHG393417 HRC393417 IAY393417 IKU393417 IUQ393417 JEM393417 JOI393417 JYE393417 KIA393417 KRW393417 LBS393417 LLO393417 LVK393417 MFG393417 MPC393417 MYY393417 NIU393417 NSQ393417 OCM393417 OMI393417 OWE393417 PGA393417 PPW393417 PZS393417 QJO393417 QTK393417 RDG393417 RNC393417 RWY393417 SGU393417 SQQ393417 TAM393417 TKI393417 TUE393417 UEA393417 UNW393417 UXS393417 VHO393417 VRK393417 WBG393417 WLC393417 WUY393417 D458953 IM458953 SI458953 ACE458953 AMA458953 AVW458953 BFS458953 BPO458953 BZK458953 CJG458953 CTC458953 DCY458953 DMU458953 DWQ458953 EGM458953 EQI458953 FAE458953 FKA458953 FTW458953 GDS458953 GNO458953 GXK458953 HHG458953 HRC458953 IAY458953 IKU458953 IUQ458953 JEM458953 JOI458953 JYE458953 KIA458953 KRW458953 LBS458953 LLO458953 LVK458953 MFG458953 MPC458953 MYY458953 NIU458953 NSQ458953 OCM458953 OMI458953 OWE458953 PGA458953 PPW458953 PZS458953 QJO458953 QTK458953 RDG458953 RNC458953 RWY458953 SGU458953 SQQ458953 TAM458953 TKI458953 TUE458953 UEA458953 UNW458953 UXS458953 VHO458953 VRK458953 WBG458953 WLC458953 WUY458953 D524489 IM524489 SI524489 ACE524489 AMA524489 AVW524489 BFS524489 BPO524489 BZK524489 CJG524489 CTC524489 DCY524489 DMU524489 DWQ524489 EGM524489 EQI524489 FAE524489 FKA524489 FTW524489 GDS524489 GNO524489 GXK524489 HHG524489 HRC524489 IAY524489 IKU524489 IUQ524489 JEM524489 JOI524489 JYE524489 KIA524489 KRW524489 LBS524489 LLO524489 LVK524489 MFG524489 MPC524489 MYY524489 NIU524489 NSQ524489 OCM524489 OMI524489 OWE524489 PGA524489 PPW524489 PZS524489 QJO524489 QTK524489 RDG524489 RNC524489 RWY524489 SGU524489 SQQ524489 TAM524489 TKI524489 TUE524489 UEA524489 UNW524489 UXS524489 VHO524489 VRK524489 WBG524489 WLC524489 WUY524489 D590025 IM590025 SI590025 ACE590025 AMA590025 AVW590025 BFS590025 BPO590025 BZK590025 CJG590025 CTC590025 DCY590025 DMU590025 DWQ590025 EGM590025 EQI590025 FAE590025 FKA590025 FTW590025 GDS590025 GNO590025 GXK590025 HHG590025 HRC590025 IAY590025 IKU590025 IUQ590025 JEM590025 JOI590025 JYE590025 KIA590025 KRW590025 LBS590025 LLO590025 LVK590025 MFG590025 MPC590025 MYY590025 NIU590025 NSQ590025 OCM590025 OMI590025 OWE590025 PGA590025 PPW590025 PZS590025 QJO590025 QTK590025 RDG590025 RNC590025 RWY590025 SGU590025 SQQ590025 TAM590025 TKI590025 TUE590025 UEA590025 UNW590025 UXS590025 VHO590025 VRK590025 WBG590025 WLC590025 WUY590025 D655561 IM655561 SI655561 ACE655561 AMA655561 AVW655561 BFS655561 BPO655561 BZK655561 CJG655561 CTC655561 DCY655561 DMU655561 DWQ655561 EGM655561 EQI655561 FAE655561 FKA655561 FTW655561 GDS655561 GNO655561 GXK655561 HHG655561 HRC655561 IAY655561 IKU655561 IUQ655561 JEM655561 JOI655561 JYE655561 KIA655561 KRW655561 LBS655561 LLO655561 LVK655561 MFG655561 MPC655561 MYY655561 NIU655561 NSQ655561 OCM655561 OMI655561 OWE655561 PGA655561 PPW655561 PZS655561 QJO655561 QTK655561 RDG655561 RNC655561 RWY655561 SGU655561 SQQ655561 TAM655561 TKI655561 TUE655561 UEA655561 UNW655561 UXS655561 VHO655561 VRK655561 WBG655561 WLC655561 WUY655561 D721097 IM721097 SI721097 ACE721097 AMA721097 AVW721097 BFS721097 BPO721097 BZK721097 CJG721097 CTC721097 DCY721097 DMU721097 DWQ721097 EGM721097 EQI721097 FAE721097 FKA721097 FTW721097 GDS721097 GNO721097 GXK721097 HHG721097 HRC721097 IAY721097 IKU721097 IUQ721097 JEM721097 JOI721097 JYE721097 KIA721097 KRW721097 LBS721097 LLO721097 LVK721097 MFG721097 MPC721097 MYY721097 NIU721097 NSQ721097 OCM721097 OMI721097 OWE721097 PGA721097 PPW721097 PZS721097 QJO721097 QTK721097 RDG721097 RNC721097 RWY721097 SGU721097 SQQ721097 TAM721097 TKI721097 TUE721097 UEA721097 UNW721097 UXS721097 VHO721097 VRK721097 WBG721097 WLC721097 WUY721097 D786633 IM786633 SI786633 ACE786633 AMA786633 AVW786633 BFS786633 BPO786633 BZK786633 CJG786633 CTC786633 DCY786633 DMU786633 DWQ786633 EGM786633 EQI786633 FAE786633 FKA786633 FTW786633 GDS786633 GNO786633 GXK786633 HHG786633 HRC786633 IAY786633 IKU786633 IUQ786633 JEM786633 JOI786633 JYE786633 KIA786633 KRW786633 LBS786633 LLO786633 LVK786633 MFG786633 MPC786633 MYY786633 NIU786633 NSQ786633 OCM786633 OMI786633 OWE786633 PGA786633 PPW786633 PZS786633 QJO786633 QTK786633 RDG786633 RNC786633 RWY786633 SGU786633 SQQ786633 TAM786633 TKI786633 TUE786633 UEA786633 UNW786633 UXS786633 VHO786633 VRK786633 WBG786633 WLC786633 WUY786633 D852169 IM852169 SI852169 ACE852169 AMA852169 AVW852169 BFS852169 BPO852169 BZK852169 CJG852169 CTC852169 DCY852169 DMU852169 DWQ852169 EGM852169 EQI852169 FAE852169 FKA852169 FTW852169 GDS852169 GNO852169 GXK852169 HHG852169 HRC852169 IAY852169 IKU852169 IUQ852169 JEM852169 JOI852169 JYE852169 KIA852169 KRW852169 LBS852169 LLO852169 LVK852169 MFG852169 MPC852169 MYY852169 NIU852169 NSQ852169 OCM852169 OMI852169 OWE852169 PGA852169 PPW852169 PZS852169 QJO852169 QTK852169 RDG852169 RNC852169 RWY852169 SGU852169 SQQ852169 TAM852169 TKI852169 TUE852169 UEA852169 UNW852169 UXS852169 VHO852169 VRK852169 WBG852169 WLC852169 WUY852169 D917705 IM917705 SI917705 ACE917705 AMA917705 AVW917705 BFS917705 BPO917705 BZK917705 CJG917705 CTC917705 DCY917705 DMU917705 DWQ917705 EGM917705 EQI917705 FAE917705 FKA917705 FTW917705 GDS917705 GNO917705 GXK917705 HHG917705 HRC917705 IAY917705 IKU917705 IUQ917705 JEM917705 JOI917705 JYE917705 KIA917705 KRW917705 LBS917705 LLO917705 LVK917705 MFG917705 MPC917705 MYY917705 NIU917705 NSQ917705 OCM917705 OMI917705 OWE917705 PGA917705 PPW917705 PZS917705 QJO917705 QTK917705 RDG917705 RNC917705 RWY917705 SGU917705 SQQ917705 TAM917705 TKI917705 TUE917705 UEA917705 UNW917705 UXS917705 VHO917705 VRK917705 WBG917705 WLC917705 WUY917705 D983241 IM983241 SI983241 ACE983241 AMA983241 AVW983241 BFS983241 BPO983241 BZK983241 CJG983241 CTC983241 DCY983241 DMU983241 DWQ983241 EGM983241 EQI983241 FAE983241 FKA983241 FTW983241 GDS983241 GNO983241 GXK983241 HHG983241 HRC983241 IAY983241 IKU983241 IUQ983241 JEM983241 JOI983241 JYE983241 KIA983241 KRW983241 LBS983241 LLO983241 LVK983241 MFG983241 MPC983241 MYY983241 NIU983241 NSQ983241 OCM983241 OMI983241 OWE983241 PGA983241 PPW983241 PZS983241 QJO983241 QTK983241 RDG983241 RNC983241 RWY983241 SGU983241 SQQ983241 TAM983241 TKI983241 TUE983241 UEA983241 UNW983241 UXS983241 VHO983241 VRK983241 WBG983241 WLC983241" xr:uid="{00000000-0002-0000-0200-000008000000}">
      <formula1>"1.0"</formula1>
    </dataValidation>
    <dataValidation type="list" showInputMessage="1" showErrorMessage="1" sqref="WUZ983225:WUZ983228 E65721:E65724 IN65721:IN65724 SJ65721:SJ65724 ACF65721:ACF65724 AMB65721:AMB65724 AVX65721:AVX65724 BFT65721:BFT65724 BPP65721:BPP65724 BZL65721:BZL65724 CJH65721:CJH65724 CTD65721:CTD65724 DCZ65721:DCZ65724 DMV65721:DMV65724 DWR65721:DWR65724 EGN65721:EGN65724 EQJ65721:EQJ65724 FAF65721:FAF65724 FKB65721:FKB65724 FTX65721:FTX65724 GDT65721:GDT65724 GNP65721:GNP65724 GXL65721:GXL65724 HHH65721:HHH65724 HRD65721:HRD65724 IAZ65721:IAZ65724 IKV65721:IKV65724 IUR65721:IUR65724 JEN65721:JEN65724 JOJ65721:JOJ65724 JYF65721:JYF65724 KIB65721:KIB65724 KRX65721:KRX65724 LBT65721:LBT65724 LLP65721:LLP65724 LVL65721:LVL65724 MFH65721:MFH65724 MPD65721:MPD65724 MYZ65721:MYZ65724 NIV65721:NIV65724 NSR65721:NSR65724 OCN65721:OCN65724 OMJ65721:OMJ65724 OWF65721:OWF65724 PGB65721:PGB65724 PPX65721:PPX65724 PZT65721:PZT65724 QJP65721:QJP65724 QTL65721:QTL65724 RDH65721:RDH65724 RND65721:RND65724 RWZ65721:RWZ65724 SGV65721:SGV65724 SQR65721:SQR65724 TAN65721:TAN65724 TKJ65721:TKJ65724 TUF65721:TUF65724 UEB65721:UEB65724 UNX65721:UNX65724 UXT65721:UXT65724 VHP65721:VHP65724 VRL65721:VRL65724 WBH65721:WBH65724 WLD65721:WLD65724 WUZ65721:WUZ65724 E131257:E131260 IN131257:IN131260 SJ131257:SJ131260 ACF131257:ACF131260 AMB131257:AMB131260 AVX131257:AVX131260 BFT131257:BFT131260 BPP131257:BPP131260 BZL131257:BZL131260 CJH131257:CJH131260 CTD131257:CTD131260 DCZ131257:DCZ131260 DMV131257:DMV131260 DWR131257:DWR131260 EGN131257:EGN131260 EQJ131257:EQJ131260 FAF131257:FAF131260 FKB131257:FKB131260 FTX131257:FTX131260 GDT131257:GDT131260 GNP131257:GNP131260 GXL131257:GXL131260 HHH131257:HHH131260 HRD131257:HRD131260 IAZ131257:IAZ131260 IKV131257:IKV131260 IUR131257:IUR131260 JEN131257:JEN131260 JOJ131257:JOJ131260 JYF131257:JYF131260 KIB131257:KIB131260 KRX131257:KRX131260 LBT131257:LBT131260 LLP131257:LLP131260 LVL131257:LVL131260 MFH131257:MFH131260 MPD131257:MPD131260 MYZ131257:MYZ131260 NIV131257:NIV131260 NSR131257:NSR131260 OCN131257:OCN131260 OMJ131257:OMJ131260 OWF131257:OWF131260 PGB131257:PGB131260 PPX131257:PPX131260 PZT131257:PZT131260 QJP131257:QJP131260 QTL131257:QTL131260 RDH131257:RDH131260 RND131257:RND131260 RWZ131257:RWZ131260 SGV131257:SGV131260 SQR131257:SQR131260 TAN131257:TAN131260 TKJ131257:TKJ131260 TUF131257:TUF131260 UEB131257:UEB131260 UNX131257:UNX131260 UXT131257:UXT131260 VHP131257:VHP131260 VRL131257:VRL131260 WBH131257:WBH131260 WLD131257:WLD131260 WUZ131257:WUZ131260 E196793:E196796 IN196793:IN196796 SJ196793:SJ196796 ACF196793:ACF196796 AMB196793:AMB196796 AVX196793:AVX196796 BFT196793:BFT196796 BPP196793:BPP196796 BZL196793:BZL196796 CJH196793:CJH196796 CTD196793:CTD196796 DCZ196793:DCZ196796 DMV196793:DMV196796 DWR196793:DWR196796 EGN196793:EGN196796 EQJ196793:EQJ196796 FAF196793:FAF196796 FKB196793:FKB196796 FTX196793:FTX196796 GDT196793:GDT196796 GNP196793:GNP196796 GXL196793:GXL196796 HHH196793:HHH196796 HRD196793:HRD196796 IAZ196793:IAZ196796 IKV196793:IKV196796 IUR196793:IUR196796 JEN196793:JEN196796 JOJ196793:JOJ196796 JYF196793:JYF196796 KIB196793:KIB196796 KRX196793:KRX196796 LBT196793:LBT196796 LLP196793:LLP196796 LVL196793:LVL196796 MFH196793:MFH196796 MPD196793:MPD196796 MYZ196793:MYZ196796 NIV196793:NIV196796 NSR196793:NSR196796 OCN196793:OCN196796 OMJ196793:OMJ196796 OWF196793:OWF196796 PGB196793:PGB196796 PPX196793:PPX196796 PZT196793:PZT196796 QJP196793:QJP196796 QTL196793:QTL196796 RDH196793:RDH196796 RND196793:RND196796 RWZ196793:RWZ196796 SGV196793:SGV196796 SQR196793:SQR196796 TAN196793:TAN196796 TKJ196793:TKJ196796 TUF196793:TUF196796 UEB196793:UEB196796 UNX196793:UNX196796 UXT196793:UXT196796 VHP196793:VHP196796 VRL196793:VRL196796 WBH196793:WBH196796 WLD196793:WLD196796 WUZ196793:WUZ196796 E262329:E262332 IN262329:IN262332 SJ262329:SJ262332 ACF262329:ACF262332 AMB262329:AMB262332 AVX262329:AVX262332 BFT262329:BFT262332 BPP262329:BPP262332 BZL262329:BZL262332 CJH262329:CJH262332 CTD262329:CTD262332 DCZ262329:DCZ262332 DMV262329:DMV262332 DWR262329:DWR262332 EGN262329:EGN262332 EQJ262329:EQJ262332 FAF262329:FAF262332 FKB262329:FKB262332 FTX262329:FTX262332 GDT262329:GDT262332 GNP262329:GNP262332 GXL262329:GXL262332 HHH262329:HHH262332 HRD262329:HRD262332 IAZ262329:IAZ262332 IKV262329:IKV262332 IUR262329:IUR262332 JEN262329:JEN262332 JOJ262329:JOJ262332 JYF262329:JYF262332 KIB262329:KIB262332 KRX262329:KRX262332 LBT262329:LBT262332 LLP262329:LLP262332 LVL262329:LVL262332 MFH262329:MFH262332 MPD262329:MPD262332 MYZ262329:MYZ262332 NIV262329:NIV262332 NSR262329:NSR262332 OCN262329:OCN262332 OMJ262329:OMJ262332 OWF262329:OWF262332 PGB262329:PGB262332 PPX262329:PPX262332 PZT262329:PZT262332 QJP262329:QJP262332 QTL262329:QTL262332 RDH262329:RDH262332 RND262329:RND262332 RWZ262329:RWZ262332 SGV262329:SGV262332 SQR262329:SQR262332 TAN262329:TAN262332 TKJ262329:TKJ262332 TUF262329:TUF262332 UEB262329:UEB262332 UNX262329:UNX262332 UXT262329:UXT262332 VHP262329:VHP262332 VRL262329:VRL262332 WBH262329:WBH262332 WLD262329:WLD262332 WUZ262329:WUZ262332 E327865:E327868 IN327865:IN327868 SJ327865:SJ327868 ACF327865:ACF327868 AMB327865:AMB327868 AVX327865:AVX327868 BFT327865:BFT327868 BPP327865:BPP327868 BZL327865:BZL327868 CJH327865:CJH327868 CTD327865:CTD327868 DCZ327865:DCZ327868 DMV327865:DMV327868 DWR327865:DWR327868 EGN327865:EGN327868 EQJ327865:EQJ327868 FAF327865:FAF327868 FKB327865:FKB327868 FTX327865:FTX327868 GDT327865:GDT327868 GNP327865:GNP327868 GXL327865:GXL327868 HHH327865:HHH327868 HRD327865:HRD327868 IAZ327865:IAZ327868 IKV327865:IKV327868 IUR327865:IUR327868 JEN327865:JEN327868 JOJ327865:JOJ327868 JYF327865:JYF327868 KIB327865:KIB327868 KRX327865:KRX327868 LBT327865:LBT327868 LLP327865:LLP327868 LVL327865:LVL327868 MFH327865:MFH327868 MPD327865:MPD327868 MYZ327865:MYZ327868 NIV327865:NIV327868 NSR327865:NSR327868 OCN327865:OCN327868 OMJ327865:OMJ327868 OWF327865:OWF327868 PGB327865:PGB327868 PPX327865:PPX327868 PZT327865:PZT327868 QJP327865:QJP327868 QTL327865:QTL327868 RDH327865:RDH327868 RND327865:RND327868 RWZ327865:RWZ327868 SGV327865:SGV327868 SQR327865:SQR327868 TAN327865:TAN327868 TKJ327865:TKJ327868 TUF327865:TUF327868 UEB327865:UEB327868 UNX327865:UNX327868 UXT327865:UXT327868 VHP327865:VHP327868 VRL327865:VRL327868 WBH327865:WBH327868 WLD327865:WLD327868 WUZ327865:WUZ327868 E393401:E393404 IN393401:IN393404 SJ393401:SJ393404 ACF393401:ACF393404 AMB393401:AMB393404 AVX393401:AVX393404 BFT393401:BFT393404 BPP393401:BPP393404 BZL393401:BZL393404 CJH393401:CJH393404 CTD393401:CTD393404 DCZ393401:DCZ393404 DMV393401:DMV393404 DWR393401:DWR393404 EGN393401:EGN393404 EQJ393401:EQJ393404 FAF393401:FAF393404 FKB393401:FKB393404 FTX393401:FTX393404 GDT393401:GDT393404 GNP393401:GNP393404 GXL393401:GXL393404 HHH393401:HHH393404 HRD393401:HRD393404 IAZ393401:IAZ393404 IKV393401:IKV393404 IUR393401:IUR393404 JEN393401:JEN393404 JOJ393401:JOJ393404 JYF393401:JYF393404 KIB393401:KIB393404 KRX393401:KRX393404 LBT393401:LBT393404 LLP393401:LLP393404 LVL393401:LVL393404 MFH393401:MFH393404 MPD393401:MPD393404 MYZ393401:MYZ393404 NIV393401:NIV393404 NSR393401:NSR393404 OCN393401:OCN393404 OMJ393401:OMJ393404 OWF393401:OWF393404 PGB393401:PGB393404 PPX393401:PPX393404 PZT393401:PZT393404 QJP393401:QJP393404 QTL393401:QTL393404 RDH393401:RDH393404 RND393401:RND393404 RWZ393401:RWZ393404 SGV393401:SGV393404 SQR393401:SQR393404 TAN393401:TAN393404 TKJ393401:TKJ393404 TUF393401:TUF393404 UEB393401:UEB393404 UNX393401:UNX393404 UXT393401:UXT393404 VHP393401:VHP393404 VRL393401:VRL393404 WBH393401:WBH393404 WLD393401:WLD393404 WUZ393401:WUZ393404 E458937:E458940 IN458937:IN458940 SJ458937:SJ458940 ACF458937:ACF458940 AMB458937:AMB458940 AVX458937:AVX458940 BFT458937:BFT458940 BPP458937:BPP458940 BZL458937:BZL458940 CJH458937:CJH458940 CTD458937:CTD458940 DCZ458937:DCZ458940 DMV458937:DMV458940 DWR458937:DWR458940 EGN458937:EGN458940 EQJ458937:EQJ458940 FAF458937:FAF458940 FKB458937:FKB458940 FTX458937:FTX458940 GDT458937:GDT458940 GNP458937:GNP458940 GXL458937:GXL458940 HHH458937:HHH458940 HRD458937:HRD458940 IAZ458937:IAZ458940 IKV458937:IKV458940 IUR458937:IUR458940 JEN458937:JEN458940 JOJ458937:JOJ458940 JYF458937:JYF458940 KIB458937:KIB458940 KRX458937:KRX458940 LBT458937:LBT458940 LLP458937:LLP458940 LVL458937:LVL458940 MFH458937:MFH458940 MPD458937:MPD458940 MYZ458937:MYZ458940 NIV458937:NIV458940 NSR458937:NSR458940 OCN458937:OCN458940 OMJ458937:OMJ458940 OWF458937:OWF458940 PGB458937:PGB458940 PPX458937:PPX458940 PZT458937:PZT458940 QJP458937:QJP458940 QTL458937:QTL458940 RDH458937:RDH458940 RND458937:RND458940 RWZ458937:RWZ458940 SGV458937:SGV458940 SQR458937:SQR458940 TAN458937:TAN458940 TKJ458937:TKJ458940 TUF458937:TUF458940 UEB458937:UEB458940 UNX458937:UNX458940 UXT458937:UXT458940 VHP458937:VHP458940 VRL458937:VRL458940 WBH458937:WBH458940 WLD458937:WLD458940 WUZ458937:WUZ458940 E524473:E524476 IN524473:IN524476 SJ524473:SJ524476 ACF524473:ACF524476 AMB524473:AMB524476 AVX524473:AVX524476 BFT524473:BFT524476 BPP524473:BPP524476 BZL524473:BZL524476 CJH524473:CJH524476 CTD524473:CTD524476 DCZ524473:DCZ524476 DMV524473:DMV524476 DWR524473:DWR524476 EGN524473:EGN524476 EQJ524473:EQJ524476 FAF524473:FAF524476 FKB524473:FKB524476 FTX524473:FTX524476 GDT524473:GDT524476 GNP524473:GNP524476 GXL524473:GXL524476 HHH524473:HHH524476 HRD524473:HRD524476 IAZ524473:IAZ524476 IKV524473:IKV524476 IUR524473:IUR524476 JEN524473:JEN524476 JOJ524473:JOJ524476 JYF524473:JYF524476 KIB524473:KIB524476 KRX524473:KRX524476 LBT524473:LBT524476 LLP524473:LLP524476 LVL524473:LVL524476 MFH524473:MFH524476 MPD524473:MPD524476 MYZ524473:MYZ524476 NIV524473:NIV524476 NSR524473:NSR524476 OCN524473:OCN524476 OMJ524473:OMJ524476 OWF524473:OWF524476 PGB524473:PGB524476 PPX524473:PPX524476 PZT524473:PZT524476 QJP524473:QJP524476 QTL524473:QTL524476 RDH524473:RDH524476 RND524473:RND524476 RWZ524473:RWZ524476 SGV524473:SGV524476 SQR524473:SQR524476 TAN524473:TAN524476 TKJ524473:TKJ524476 TUF524473:TUF524476 UEB524473:UEB524476 UNX524473:UNX524476 UXT524473:UXT524476 VHP524473:VHP524476 VRL524473:VRL524476 WBH524473:WBH524476 WLD524473:WLD524476 WUZ524473:WUZ524476 E590009:E590012 IN590009:IN590012 SJ590009:SJ590012 ACF590009:ACF590012 AMB590009:AMB590012 AVX590009:AVX590012 BFT590009:BFT590012 BPP590009:BPP590012 BZL590009:BZL590012 CJH590009:CJH590012 CTD590009:CTD590012 DCZ590009:DCZ590012 DMV590009:DMV590012 DWR590009:DWR590012 EGN590009:EGN590012 EQJ590009:EQJ590012 FAF590009:FAF590012 FKB590009:FKB590012 FTX590009:FTX590012 GDT590009:GDT590012 GNP590009:GNP590012 GXL590009:GXL590012 HHH590009:HHH590012 HRD590009:HRD590012 IAZ590009:IAZ590012 IKV590009:IKV590012 IUR590009:IUR590012 JEN590009:JEN590012 JOJ590009:JOJ590012 JYF590009:JYF590012 KIB590009:KIB590012 KRX590009:KRX590012 LBT590009:LBT590012 LLP590009:LLP590012 LVL590009:LVL590012 MFH590009:MFH590012 MPD590009:MPD590012 MYZ590009:MYZ590012 NIV590009:NIV590012 NSR590009:NSR590012 OCN590009:OCN590012 OMJ590009:OMJ590012 OWF590009:OWF590012 PGB590009:PGB590012 PPX590009:PPX590012 PZT590009:PZT590012 QJP590009:QJP590012 QTL590009:QTL590012 RDH590009:RDH590012 RND590009:RND590012 RWZ590009:RWZ590012 SGV590009:SGV590012 SQR590009:SQR590012 TAN590009:TAN590012 TKJ590009:TKJ590012 TUF590009:TUF590012 UEB590009:UEB590012 UNX590009:UNX590012 UXT590009:UXT590012 VHP590009:VHP590012 VRL590009:VRL590012 WBH590009:WBH590012 WLD590009:WLD590012 WUZ590009:WUZ590012 E655545:E655548 IN655545:IN655548 SJ655545:SJ655548 ACF655545:ACF655548 AMB655545:AMB655548 AVX655545:AVX655548 BFT655545:BFT655548 BPP655545:BPP655548 BZL655545:BZL655548 CJH655545:CJH655548 CTD655545:CTD655548 DCZ655545:DCZ655548 DMV655545:DMV655548 DWR655545:DWR655548 EGN655545:EGN655548 EQJ655545:EQJ655548 FAF655545:FAF655548 FKB655545:FKB655548 FTX655545:FTX655548 GDT655545:GDT655548 GNP655545:GNP655548 GXL655545:GXL655548 HHH655545:HHH655548 HRD655545:HRD655548 IAZ655545:IAZ655548 IKV655545:IKV655548 IUR655545:IUR655548 JEN655545:JEN655548 JOJ655545:JOJ655548 JYF655545:JYF655548 KIB655545:KIB655548 KRX655545:KRX655548 LBT655545:LBT655548 LLP655545:LLP655548 LVL655545:LVL655548 MFH655545:MFH655548 MPD655545:MPD655548 MYZ655545:MYZ655548 NIV655545:NIV655548 NSR655545:NSR655548 OCN655545:OCN655548 OMJ655545:OMJ655548 OWF655545:OWF655548 PGB655545:PGB655548 PPX655545:PPX655548 PZT655545:PZT655548 QJP655545:QJP655548 QTL655545:QTL655548 RDH655545:RDH655548 RND655545:RND655548 RWZ655545:RWZ655548 SGV655545:SGV655548 SQR655545:SQR655548 TAN655545:TAN655548 TKJ655545:TKJ655548 TUF655545:TUF655548 UEB655545:UEB655548 UNX655545:UNX655548 UXT655545:UXT655548 VHP655545:VHP655548 VRL655545:VRL655548 WBH655545:WBH655548 WLD655545:WLD655548 WUZ655545:WUZ655548 E721081:E721084 IN721081:IN721084 SJ721081:SJ721084 ACF721081:ACF721084 AMB721081:AMB721084 AVX721081:AVX721084 BFT721081:BFT721084 BPP721081:BPP721084 BZL721081:BZL721084 CJH721081:CJH721084 CTD721081:CTD721084 DCZ721081:DCZ721084 DMV721081:DMV721084 DWR721081:DWR721084 EGN721081:EGN721084 EQJ721081:EQJ721084 FAF721081:FAF721084 FKB721081:FKB721084 FTX721081:FTX721084 GDT721081:GDT721084 GNP721081:GNP721084 GXL721081:GXL721084 HHH721081:HHH721084 HRD721081:HRD721084 IAZ721081:IAZ721084 IKV721081:IKV721084 IUR721081:IUR721084 JEN721081:JEN721084 JOJ721081:JOJ721084 JYF721081:JYF721084 KIB721081:KIB721084 KRX721081:KRX721084 LBT721081:LBT721084 LLP721081:LLP721084 LVL721081:LVL721084 MFH721081:MFH721084 MPD721081:MPD721084 MYZ721081:MYZ721084 NIV721081:NIV721084 NSR721081:NSR721084 OCN721081:OCN721084 OMJ721081:OMJ721084 OWF721081:OWF721084 PGB721081:PGB721084 PPX721081:PPX721084 PZT721081:PZT721084 QJP721081:QJP721084 QTL721081:QTL721084 RDH721081:RDH721084 RND721081:RND721084 RWZ721081:RWZ721084 SGV721081:SGV721084 SQR721081:SQR721084 TAN721081:TAN721084 TKJ721081:TKJ721084 TUF721081:TUF721084 UEB721081:UEB721084 UNX721081:UNX721084 UXT721081:UXT721084 VHP721081:VHP721084 VRL721081:VRL721084 WBH721081:WBH721084 WLD721081:WLD721084 WUZ721081:WUZ721084 E786617:E786620 IN786617:IN786620 SJ786617:SJ786620 ACF786617:ACF786620 AMB786617:AMB786620 AVX786617:AVX786620 BFT786617:BFT786620 BPP786617:BPP786620 BZL786617:BZL786620 CJH786617:CJH786620 CTD786617:CTD786620 DCZ786617:DCZ786620 DMV786617:DMV786620 DWR786617:DWR786620 EGN786617:EGN786620 EQJ786617:EQJ786620 FAF786617:FAF786620 FKB786617:FKB786620 FTX786617:FTX786620 GDT786617:GDT786620 GNP786617:GNP786620 GXL786617:GXL786620 HHH786617:HHH786620 HRD786617:HRD786620 IAZ786617:IAZ786620 IKV786617:IKV786620 IUR786617:IUR786620 JEN786617:JEN786620 JOJ786617:JOJ786620 JYF786617:JYF786620 KIB786617:KIB786620 KRX786617:KRX786620 LBT786617:LBT786620 LLP786617:LLP786620 LVL786617:LVL786620 MFH786617:MFH786620 MPD786617:MPD786620 MYZ786617:MYZ786620 NIV786617:NIV786620 NSR786617:NSR786620 OCN786617:OCN786620 OMJ786617:OMJ786620 OWF786617:OWF786620 PGB786617:PGB786620 PPX786617:PPX786620 PZT786617:PZT786620 QJP786617:QJP786620 QTL786617:QTL786620 RDH786617:RDH786620 RND786617:RND786620 RWZ786617:RWZ786620 SGV786617:SGV786620 SQR786617:SQR786620 TAN786617:TAN786620 TKJ786617:TKJ786620 TUF786617:TUF786620 UEB786617:UEB786620 UNX786617:UNX786620 UXT786617:UXT786620 VHP786617:VHP786620 VRL786617:VRL786620 WBH786617:WBH786620 WLD786617:WLD786620 WUZ786617:WUZ786620 E852153:E852156 IN852153:IN852156 SJ852153:SJ852156 ACF852153:ACF852156 AMB852153:AMB852156 AVX852153:AVX852156 BFT852153:BFT852156 BPP852153:BPP852156 BZL852153:BZL852156 CJH852153:CJH852156 CTD852153:CTD852156 DCZ852153:DCZ852156 DMV852153:DMV852156 DWR852153:DWR852156 EGN852153:EGN852156 EQJ852153:EQJ852156 FAF852153:FAF852156 FKB852153:FKB852156 FTX852153:FTX852156 GDT852153:GDT852156 GNP852153:GNP852156 GXL852153:GXL852156 HHH852153:HHH852156 HRD852153:HRD852156 IAZ852153:IAZ852156 IKV852153:IKV852156 IUR852153:IUR852156 JEN852153:JEN852156 JOJ852153:JOJ852156 JYF852153:JYF852156 KIB852153:KIB852156 KRX852153:KRX852156 LBT852153:LBT852156 LLP852153:LLP852156 LVL852153:LVL852156 MFH852153:MFH852156 MPD852153:MPD852156 MYZ852153:MYZ852156 NIV852153:NIV852156 NSR852153:NSR852156 OCN852153:OCN852156 OMJ852153:OMJ852156 OWF852153:OWF852156 PGB852153:PGB852156 PPX852153:PPX852156 PZT852153:PZT852156 QJP852153:QJP852156 QTL852153:QTL852156 RDH852153:RDH852156 RND852153:RND852156 RWZ852153:RWZ852156 SGV852153:SGV852156 SQR852153:SQR852156 TAN852153:TAN852156 TKJ852153:TKJ852156 TUF852153:TUF852156 UEB852153:UEB852156 UNX852153:UNX852156 UXT852153:UXT852156 VHP852153:VHP852156 VRL852153:VRL852156 WBH852153:WBH852156 WLD852153:WLD852156 WUZ852153:WUZ852156 E917689:E917692 IN917689:IN917692 SJ917689:SJ917692 ACF917689:ACF917692 AMB917689:AMB917692 AVX917689:AVX917692 BFT917689:BFT917692 BPP917689:BPP917692 BZL917689:BZL917692 CJH917689:CJH917692 CTD917689:CTD917692 DCZ917689:DCZ917692 DMV917689:DMV917692 DWR917689:DWR917692 EGN917689:EGN917692 EQJ917689:EQJ917692 FAF917689:FAF917692 FKB917689:FKB917692 FTX917689:FTX917692 GDT917689:GDT917692 GNP917689:GNP917692 GXL917689:GXL917692 HHH917689:HHH917692 HRD917689:HRD917692 IAZ917689:IAZ917692 IKV917689:IKV917692 IUR917689:IUR917692 JEN917689:JEN917692 JOJ917689:JOJ917692 JYF917689:JYF917692 KIB917689:KIB917692 KRX917689:KRX917692 LBT917689:LBT917692 LLP917689:LLP917692 LVL917689:LVL917692 MFH917689:MFH917692 MPD917689:MPD917692 MYZ917689:MYZ917692 NIV917689:NIV917692 NSR917689:NSR917692 OCN917689:OCN917692 OMJ917689:OMJ917692 OWF917689:OWF917692 PGB917689:PGB917692 PPX917689:PPX917692 PZT917689:PZT917692 QJP917689:QJP917692 QTL917689:QTL917692 RDH917689:RDH917692 RND917689:RND917692 RWZ917689:RWZ917692 SGV917689:SGV917692 SQR917689:SQR917692 TAN917689:TAN917692 TKJ917689:TKJ917692 TUF917689:TUF917692 UEB917689:UEB917692 UNX917689:UNX917692 UXT917689:UXT917692 VHP917689:VHP917692 VRL917689:VRL917692 WBH917689:WBH917692 WLD917689:WLD917692 WUZ917689:WUZ917692 E983225:E983228 IN983225:IN983228 SJ983225:SJ983228 ACF983225:ACF983228 AMB983225:AMB983228 AVX983225:AVX983228 BFT983225:BFT983228 BPP983225:BPP983228 BZL983225:BZL983228 CJH983225:CJH983228 CTD983225:CTD983228 DCZ983225:DCZ983228 DMV983225:DMV983228 DWR983225:DWR983228 EGN983225:EGN983228 EQJ983225:EQJ983228 FAF983225:FAF983228 FKB983225:FKB983228 FTX983225:FTX983228 GDT983225:GDT983228 GNP983225:GNP983228 GXL983225:GXL983228 HHH983225:HHH983228 HRD983225:HRD983228 IAZ983225:IAZ983228 IKV983225:IKV983228 IUR983225:IUR983228 JEN983225:JEN983228 JOJ983225:JOJ983228 JYF983225:JYF983228 KIB983225:KIB983228 KRX983225:KRX983228 LBT983225:LBT983228 LLP983225:LLP983228 LVL983225:LVL983228 MFH983225:MFH983228 MPD983225:MPD983228 MYZ983225:MYZ983228 NIV983225:NIV983228 NSR983225:NSR983228 OCN983225:OCN983228 OMJ983225:OMJ983228 OWF983225:OWF983228 PGB983225:PGB983228 PPX983225:PPX983228 PZT983225:PZT983228 QJP983225:QJP983228 QTL983225:QTL983228 RDH983225:RDH983228 RND983225:RND983228 RWZ983225:RWZ983228 SGV983225:SGV983228 SQR983225:SQR983228 TAN983225:TAN983228 TKJ983225:TKJ983228 TUF983225:TUF983228 UEB983225:UEB983228 UNX983225:UNX983228 UXT983225:UXT983228 VHP983225:VHP983228 VRL983225:VRL983228 WBH983225:WBH983228 WLD983225:WLD983228 IN27:IN32 WUZ27:WUZ32 WLD27:WLD32 WBH27:WBH32 VRL27:VRL32 VHP27:VHP32 UXT27:UXT32 UNX27:UNX32 UEB27:UEB32 TUF27:TUF32 TKJ27:TKJ32 TAN27:TAN32 SQR27:SQR32 SGV27:SGV32 RWZ27:RWZ32 RND27:RND32 RDH27:RDH32 QTL27:QTL32 QJP27:QJP32 PZT27:PZT32 PPX27:PPX32 PGB27:PGB32 OWF27:OWF32 OMJ27:OMJ32 OCN27:OCN32 NSR27:NSR32 NIV27:NIV32 MYZ27:MYZ32 MPD27:MPD32 MFH27:MFH32 LVL27:LVL32 LLP27:LLP32 LBT27:LBT32 KRX27:KRX32 KIB27:KIB32 JYF27:JYF32 JOJ27:JOJ32 JEN27:JEN32 IUR27:IUR32 IKV27:IKV32 IAZ27:IAZ32 HRD27:HRD32 HHH27:HHH32 GXL27:GXL32 GNP27:GNP32 GDT27:GDT32 FTX27:FTX32 FKB27:FKB32 FAF27:FAF32 EQJ27:EQJ32 EGN27:EGN32 DWR27:DWR32 DMV27:DMV32 DCZ27:DCZ32 CTD27:CTD32 CJH27:CJH32 BZL27:BZL32 BPP27:BPP32 BFT27:BFT32 AVX27:AVX32 AMB27:AMB32 ACF27:ACF32 SJ27:SJ32" xr:uid="{00000000-0002-0000-0200-000009000000}">
      <formula1>"mm"</formula1>
    </dataValidation>
    <dataValidation type="decimal" operator="greaterThanOrEqual" allowBlank="1" showInputMessage="1" showErrorMessage="1" errorTitle="Incorrect value" error="This value cannot be less than 1.0" sqref="WUY983226 IM29:IM31 SI29:SI31 ACE29:ACE31 AMA29:AMA31 AVW29:AVW31 BFS29:BFS31 BPO29:BPO31 BZK29:BZK31 CJG29:CJG31 CTC29:CTC31 DCY29:DCY31 DMU29:DMU31 DWQ29:DWQ31 EGM29:EGM31 EQI29:EQI31 FAE29:FAE31 FKA29:FKA31 FTW29:FTW31 GDS29:GDS31 GNO29:GNO31 GXK29:GXK31 HHG29:HHG31 HRC29:HRC31 IAY29:IAY31 IKU29:IKU31 IUQ29:IUQ31 JEM29:JEM31 JOI29:JOI31 JYE29:JYE31 KIA29:KIA31 KRW29:KRW31 LBS29:LBS31 LLO29:LLO31 LVK29:LVK31 MFG29:MFG31 MPC29:MPC31 MYY29:MYY31 NIU29:NIU31 NSQ29:NSQ31 OCM29:OCM31 OMI29:OMI31 OWE29:OWE31 PGA29:PGA31 PPW29:PPW31 PZS29:PZS31 QJO29:QJO31 QTK29:QTK31 RDG29:RDG31 RNC29:RNC31 RWY29:RWY31 SGU29:SGU31 SQQ29:SQQ31 TAM29:TAM31 TKI29:TKI31 TUE29:TUE31 UEA29:UEA31 UNW29:UNW31 UXS29:UXS31 VHO29:VHO31 VRK29:VRK31 WBG29:WBG31 WLC29:WLC31 WUY29:WUY31 D65722 IM65722 SI65722 ACE65722 AMA65722 AVW65722 BFS65722 BPO65722 BZK65722 CJG65722 CTC65722 DCY65722 DMU65722 DWQ65722 EGM65722 EQI65722 FAE65722 FKA65722 FTW65722 GDS65722 GNO65722 GXK65722 HHG65722 HRC65722 IAY65722 IKU65722 IUQ65722 JEM65722 JOI65722 JYE65722 KIA65722 KRW65722 LBS65722 LLO65722 LVK65722 MFG65722 MPC65722 MYY65722 NIU65722 NSQ65722 OCM65722 OMI65722 OWE65722 PGA65722 PPW65722 PZS65722 QJO65722 QTK65722 RDG65722 RNC65722 RWY65722 SGU65722 SQQ65722 TAM65722 TKI65722 TUE65722 UEA65722 UNW65722 UXS65722 VHO65722 VRK65722 WBG65722 WLC65722 WUY65722 D131258 IM131258 SI131258 ACE131258 AMA131258 AVW131258 BFS131258 BPO131258 BZK131258 CJG131258 CTC131258 DCY131258 DMU131258 DWQ131258 EGM131258 EQI131258 FAE131258 FKA131258 FTW131258 GDS131258 GNO131258 GXK131258 HHG131258 HRC131258 IAY131258 IKU131258 IUQ131258 JEM131258 JOI131258 JYE131258 KIA131258 KRW131258 LBS131258 LLO131258 LVK131258 MFG131258 MPC131258 MYY131258 NIU131258 NSQ131258 OCM131258 OMI131258 OWE131258 PGA131258 PPW131258 PZS131258 QJO131258 QTK131258 RDG131258 RNC131258 RWY131258 SGU131258 SQQ131258 TAM131258 TKI131258 TUE131258 UEA131258 UNW131258 UXS131258 VHO131258 VRK131258 WBG131258 WLC131258 WUY131258 D196794 IM196794 SI196794 ACE196794 AMA196794 AVW196794 BFS196794 BPO196794 BZK196794 CJG196794 CTC196794 DCY196794 DMU196794 DWQ196794 EGM196794 EQI196794 FAE196794 FKA196794 FTW196794 GDS196794 GNO196794 GXK196794 HHG196794 HRC196794 IAY196794 IKU196794 IUQ196794 JEM196794 JOI196794 JYE196794 KIA196794 KRW196794 LBS196794 LLO196794 LVK196794 MFG196794 MPC196794 MYY196794 NIU196794 NSQ196794 OCM196794 OMI196794 OWE196794 PGA196794 PPW196794 PZS196794 QJO196794 QTK196794 RDG196794 RNC196794 RWY196794 SGU196794 SQQ196794 TAM196794 TKI196794 TUE196794 UEA196794 UNW196794 UXS196794 VHO196794 VRK196794 WBG196794 WLC196794 WUY196794 D262330 IM262330 SI262330 ACE262330 AMA262330 AVW262330 BFS262330 BPO262330 BZK262330 CJG262330 CTC262330 DCY262330 DMU262330 DWQ262330 EGM262330 EQI262330 FAE262330 FKA262330 FTW262330 GDS262330 GNO262330 GXK262330 HHG262330 HRC262330 IAY262330 IKU262330 IUQ262330 JEM262330 JOI262330 JYE262330 KIA262330 KRW262330 LBS262330 LLO262330 LVK262330 MFG262330 MPC262330 MYY262330 NIU262330 NSQ262330 OCM262330 OMI262330 OWE262330 PGA262330 PPW262330 PZS262330 QJO262330 QTK262330 RDG262330 RNC262330 RWY262330 SGU262330 SQQ262330 TAM262330 TKI262330 TUE262330 UEA262330 UNW262330 UXS262330 VHO262330 VRK262330 WBG262330 WLC262330 WUY262330 D327866 IM327866 SI327866 ACE327866 AMA327866 AVW327866 BFS327866 BPO327866 BZK327866 CJG327866 CTC327866 DCY327866 DMU327866 DWQ327866 EGM327866 EQI327866 FAE327866 FKA327866 FTW327866 GDS327866 GNO327866 GXK327866 HHG327866 HRC327866 IAY327866 IKU327866 IUQ327866 JEM327866 JOI327866 JYE327866 KIA327866 KRW327866 LBS327866 LLO327866 LVK327866 MFG327866 MPC327866 MYY327866 NIU327866 NSQ327866 OCM327866 OMI327866 OWE327866 PGA327866 PPW327866 PZS327866 QJO327866 QTK327866 RDG327866 RNC327866 RWY327866 SGU327866 SQQ327866 TAM327866 TKI327866 TUE327866 UEA327866 UNW327866 UXS327866 VHO327866 VRK327866 WBG327866 WLC327866 WUY327866 D393402 IM393402 SI393402 ACE393402 AMA393402 AVW393402 BFS393402 BPO393402 BZK393402 CJG393402 CTC393402 DCY393402 DMU393402 DWQ393402 EGM393402 EQI393402 FAE393402 FKA393402 FTW393402 GDS393402 GNO393402 GXK393402 HHG393402 HRC393402 IAY393402 IKU393402 IUQ393402 JEM393402 JOI393402 JYE393402 KIA393402 KRW393402 LBS393402 LLO393402 LVK393402 MFG393402 MPC393402 MYY393402 NIU393402 NSQ393402 OCM393402 OMI393402 OWE393402 PGA393402 PPW393402 PZS393402 QJO393402 QTK393402 RDG393402 RNC393402 RWY393402 SGU393402 SQQ393402 TAM393402 TKI393402 TUE393402 UEA393402 UNW393402 UXS393402 VHO393402 VRK393402 WBG393402 WLC393402 WUY393402 D458938 IM458938 SI458938 ACE458938 AMA458938 AVW458938 BFS458938 BPO458938 BZK458938 CJG458938 CTC458938 DCY458938 DMU458938 DWQ458938 EGM458938 EQI458938 FAE458938 FKA458938 FTW458938 GDS458938 GNO458938 GXK458938 HHG458938 HRC458938 IAY458938 IKU458938 IUQ458938 JEM458938 JOI458938 JYE458938 KIA458938 KRW458938 LBS458938 LLO458938 LVK458938 MFG458938 MPC458938 MYY458938 NIU458938 NSQ458938 OCM458938 OMI458938 OWE458938 PGA458938 PPW458938 PZS458938 QJO458938 QTK458938 RDG458938 RNC458938 RWY458938 SGU458938 SQQ458938 TAM458938 TKI458938 TUE458938 UEA458938 UNW458938 UXS458938 VHO458938 VRK458938 WBG458938 WLC458938 WUY458938 D524474 IM524474 SI524474 ACE524474 AMA524474 AVW524474 BFS524474 BPO524474 BZK524474 CJG524474 CTC524474 DCY524474 DMU524474 DWQ524474 EGM524474 EQI524474 FAE524474 FKA524474 FTW524474 GDS524474 GNO524474 GXK524474 HHG524474 HRC524474 IAY524474 IKU524474 IUQ524474 JEM524474 JOI524474 JYE524474 KIA524474 KRW524474 LBS524474 LLO524474 LVK524474 MFG524474 MPC524474 MYY524474 NIU524474 NSQ524474 OCM524474 OMI524474 OWE524474 PGA524474 PPW524474 PZS524474 QJO524474 QTK524474 RDG524474 RNC524474 RWY524474 SGU524474 SQQ524474 TAM524474 TKI524474 TUE524474 UEA524474 UNW524474 UXS524474 VHO524474 VRK524474 WBG524474 WLC524474 WUY524474 D590010 IM590010 SI590010 ACE590010 AMA590010 AVW590010 BFS590010 BPO590010 BZK590010 CJG590010 CTC590010 DCY590010 DMU590010 DWQ590010 EGM590010 EQI590010 FAE590010 FKA590010 FTW590010 GDS590010 GNO590010 GXK590010 HHG590010 HRC590010 IAY590010 IKU590010 IUQ590010 JEM590010 JOI590010 JYE590010 KIA590010 KRW590010 LBS590010 LLO590010 LVK590010 MFG590010 MPC590010 MYY590010 NIU590010 NSQ590010 OCM590010 OMI590010 OWE590010 PGA590010 PPW590010 PZS590010 QJO590010 QTK590010 RDG590010 RNC590010 RWY590010 SGU590010 SQQ590010 TAM590010 TKI590010 TUE590010 UEA590010 UNW590010 UXS590010 VHO590010 VRK590010 WBG590010 WLC590010 WUY590010 D655546 IM655546 SI655546 ACE655546 AMA655546 AVW655546 BFS655546 BPO655546 BZK655546 CJG655546 CTC655546 DCY655546 DMU655546 DWQ655546 EGM655546 EQI655546 FAE655546 FKA655546 FTW655546 GDS655546 GNO655546 GXK655546 HHG655546 HRC655546 IAY655546 IKU655546 IUQ655546 JEM655546 JOI655546 JYE655546 KIA655546 KRW655546 LBS655546 LLO655546 LVK655546 MFG655546 MPC655546 MYY655546 NIU655546 NSQ655546 OCM655546 OMI655546 OWE655546 PGA655546 PPW655546 PZS655546 QJO655546 QTK655546 RDG655546 RNC655546 RWY655546 SGU655546 SQQ655546 TAM655546 TKI655546 TUE655546 UEA655546 UNW655546 UXS655546 VHO655546 VRK655546 WBG655546 WLC655546 WUY655546 D721082 IM721082 SI721082 ACE721082 AMA721082 AVW721082 BFS721082 BPO721082 BZK721082 CJG721082 CTC721082 DCY721082 DMU721082 DWQ721082 EGM721082 EQI721082 FAE721082 FKA721082 FTW721082 GDS721082 GNO721082 GXK721082 HHG721082 HRC721082 IAY721082 IKU721082 IUQ721082 JEM721082 JOI721082 JYE721082 KIA721082 KRW721082 LBS721082 LLO721082 LVK721082 MFG721082 MPC721082 MYY721082 NIU721082 NSQ721082 OCM721082 OMI721082 OWE721082 PGA721082 PPW721082 PZS721082 QJO721082 QTK721082 RDG721082 RNC721082 RWY721082 SGU721082 SQQ721082 TAM721082 TKI721082 TUE721082 UEA721082 UNW721082 UXS721082 VHO721082 VRK721082 WBG721082 WLC721082 WUY721082 D786618 IM786618 SI786618 ACE786618 AMA786618 AVW786618 BFS786618 BPO786618 BZK786618 CJG786618 CTC786618 DCY786618 DMU786618 DWQ786618 EGM786618 EQI786618 FAE786618 FKA786618 FTW786618 GDS786618 GNO786618 GXK786618 HHG786618 HRC786618 IAY786618 IKU786618 IUQ786618 JEM786618 JOI786618 JYE786618 KIA786618 KRW786618 LBS786618 LLO786618 LVK786618 MFG786618 MPC786618 MYY786618 NIU786618 NSQ786618 OCM786618 OMI786618 OWE786618 PGA786618 PPW786618 PZS786618 QJO786618 QTK786618 RDG786618 RNC786618 RWY786618 SGU786618 SQQ786618 TAM786618 TKI786618 TUE786618 UEA786618 UNW786618 UXS786618 VHO786618 VRK786618 WBG786618 WLC786618 WUY786618 D852154 IM852154 SI852154 ACE852154 AMA852154 AVW852154 BFS852154 BPO852154 BZK852154 CJG852154 CTC852154 DCY852154 DMU852154 DWQ852154 EGM852154 EQI852154 FAE852154 FKA852154 FTW852154 GDS852154 GNO852154 GXK852154 HHG852154 HRC852154 IAY852154 IKU852154 IUQ852154 JEM852154 JOI852154 JYE852154 KIA852154 KRW852154 LBS852154 LLO852154 LVK852154 MFG852154 MPC852154 MYY852154 NIU852154 NSQ852154 OCM852154 OMI852154 OWE852154 PGA852154 PPW852154 PZS852154 QJO852154 QTK852154 RDG852154 RNC852154 RWY852154 SGU852154 SQQ852154 TAM852154 TKI852154 TUE852154 UEA852154 UNW852154 UXS852154 VHO852154 VRK852154 WBG852154 WLC852154 WUY852154 D917690 IM917690 SI917690 ACE917690 AMA917690 AVW917690 BFS917690 BPO917690 BZK917690 CJG917690 CTC917690 DCY917690 DMU917690 DWQ917690 EGM917690 EQI917690 FAE917690 FKA917690 FTW917690 GDS917690 GNO917690 GXK917690 HHG917690 HRC917690 IAY917690 IKU917690 IUQ917690 JEM917690 JOI917690 JYE917690 KIA917690 KRW917690 LBS917690 LLO917690 LVK917690 MFG917690 MPC917690 MYY917690 NIU917690 NSQ917690 OCM917690 OMI917690 OWE917690 PGA917690 PPW917690 PZS917690 QJO917690 QTK917690 RDG917690 RNC917690 RWY917690 SGU917690 SQQ917690 TAM917690 TKI917690 TUE917690 UEA917690 UNW917690 UXS917690 VHO917690 VRK917690 WBG917690 WLC917690 WUY917690 D983226 IM983226 SI983226 ACE983226 AMA983226 AVW983226 BFS983226 BPO983226 BZK983226 CJG983226 CTC983226 DCY983226 DMU983226 DWQ983226 EGM983226 EQI983226 FAE983226 FKA983226 FTW983226 GDS983226 GNO983226 GXK983226 HHG983226 HRC983226 IAY983226 IKU983226 IUQ983226 JEM983226 JOI983226 JYE983226 KIA983226 KRW983226 LBS983226 LLO983226 LVK983226 MFG983226 MPC983226 MYY983226 NIU983226 NSQ983226 OCM983226 OMI983226 OWE983226 PGA983226 PPW983226 PZS983226 QJO983226 QTK983226 RDG983226 RNC983226 RWY983226 SGU983226 SQQ983226 TAM983226 TKI983226 TUE983226 UEA983226 UNW983226 UXS983226 VHO983226 VRK983226 WBG983226 WLC983226 D29" xr:uid="{00000000-0002-0000-0200-00000A000000}">
      <formula1>1</formula1>
    </dataValidation>
    <dataValidation type="list" allowBlank="1" showInputMessage="1" showErrorMessage="1" sqref="D20" xr:uid="{00000000-0002-0000-0200-00000B000000}">
      <formula1>$B$245:$B$251</formula1>
    </dataValidation>
    <dataValidation type="decimal" errorStyle="information" operator="greaterThan" allowBlank="1" showInputMessage="1" showErrorMessage="1" errorTitle="USe appropriate value" error="PCB traces should use 0.393 for copper." sqref="D50" xr:uid="{00000000-0002-0000-0200-00000C000000}">
      <formula1>0.001</formula1>
    </dataValidation>
    <dataValidation errorStyle="information" allowBlank="1" showInputMessage="1" showErrorMessage="1" errorTitle="Set appropriate vale" error="For Copper PCBs, 1.00 is appropriate value." sqref="D51" xr:uid="{00000000-0002-0000-0200-00000D000000}"/>
    <dataValidation errorStyle="information" allowBlank="1" showInputMessage="1" showErrorMessage="1" errorTitle="Capacitor" error="1.68e-8 is appropriate value for copper traces." sqref="D49" xr:uid="{00000000-0002-0000-0200-00000E000000}"/>
    <dataValidation type="decimal" errorStyle="warning" allowBlank="1" showInputMessage="1" showErrorMessage="1" error="This thickness may not be manufacturable. " sqref="D46 D48" xr:uid="{00000000-0002-0000-0200-00000F000000}">
      <formula1>0.001</formula1>
      <formula2>15</formula2>
    </dataValidation>
    <dataValidation errorStyle="warning" allowBlank="1" showInputMessage="1" showErrorMessage="1" error="This thickness may not be manufacturable. " sqref="D47" xr:uid="{00000000-0002-0000-0200-000010000000}"/>
    <dataValidation operator="greaterThanOrEqual" allowBlank="1" showInputMessage="1" showErrorMessage="1" errorTitle="Incorrect value" error="This value cannot be less than 1.0" sqref="D30:D31" xr:uid="{00000000-0002-0000-0200-000011000000}"/>
    <dataValidation type="list" allowBlank="1" showInputMessage="1" showErrorMessage="1" sqref="D28" xr:uid="{00000000-0002-0000-0200-000012000000}">
      <formula1>"Circular,Racetrack"</formula1>
    </dataValidation>
    <dataValidation type="list" allowBlank="1" showInputMessage="1" showErrorMessage="1" sqref="E206" xr:uid="{00000000-0002-0000-0200-000013000000}">
      <formula1>"mm,mil"</formula1>
    </dataValidation>
  </dataValidations>
  <hyperlinks>
    <hyperlink ref="F2" location="Contents!A1" display="Return to Main page" xr:uid="{00000000-0004-0000-0200-000000000000}"/>
    <hyperlink ref="B4" r:id="rId1" xr:uid="{00000000-0004-0000-0200-000001000000}"/>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Acrobat Document" dvAspect="DVASPECT_ICON" shapeId="5" r:id="rId5">
          <objectPr locked="0" defaultSize="0" autoPict="0" r:id="rId6">
            <anchor moveWithCells="1">
              <from>
                <xdr:col>3</xdr:col>
                <xdr:colOff>279400</xdr:colOff>
                <xdr:row>13</xdr:row>
                <xdr:rowOff>165100</xdr:rowOff>
              </from>
              <to>
                <xdr:col>3</xdr:col>
                <xdr:colOff>1174750</xdr:colOff>
                <xdr:row>17</xdr:row>
                <xdr:rowOff>114300</xdr:rowOff>
              </to>
            </anchor>
          </objectPr>
        </oleObject>
      </mc:Choice>
      <mc:Fallback>
        <oleObject progId="Acrobat Document" dvAspect="DVASPECT_ICON" shapeId="2049"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theme="4" tint="0.59999389629810485"/>
  </sheetPr>
  <dimension ref="B2:I128"/>
  <sheetViews>
    <sheetView showGridLines="0" showRowColHeaders="0" workbookViewId="0">
      <selection activeCell="D22" sqref="D22"/>
    </sheetView>
  </sheetViews>
  <sheetFormatPr defaultRowHeight="14.5" x14ac:dyDescent="0.35"/>
  <cols>
    <col min="1" max="1" width="4.453125" customWidth="1"/>
    <col min="2" max="2" width="3.453125" customWidth="1"/>
    <col min="3" max="3" width="21.54296875" customWidth="1"/>
    <col min="4" max="4" width="20.26953125" customWidth="1"/>
    <col min="5" max="5" width="8.54296875" customWidth="1"/>
    <col min="6" max="6" width="11.81640625" customWidth="1"/>
    <col min="9" max="9" width="11.54296875" customWidth="1"/>
  </cols>
  <sheetData>
    <row r="2" spans="2:7" ht="18.5" x14ac:dyDescent="0.45">
      <c r="B2" s="3" t="s">
        <v>103</v>
      </c>
      <c r="G2" s="14" t="s">
        <v>198</v>
      </c>
    </row>
    <row r="3" spans="2:7" ht="18.5" x14ac:dyDescent="0.45">
      <c r="B3" s="3"/>
      <c r="G3" s="14"/>
    </row>
    <row r="4" spans="2:7" x14ac:dyDescent="0.35">
      <c r="C4" t="s">
        <v>168</v>
      </c>
    </row>
    <row r="5" spans="2:7" x14ac:dyDescent="0.35">
      <c r="C5" t="s">
        <v>169</v>
      </c>
    </row>
    <row r="6" spans="2:7" x14ac:dyDescent="0.35">
      <c r="C6" t="s">
        <v>275</v>
      </c>
    </row>
    <row r="7" spans="2:7" x14ac:dyDescent="0.35">
      <c r="C7" t="s">
        <v>274</v>
      </c>
    </row>
    <row r="8" spans="2:7" x14ac:dyDescent="0.35">
      <c r="C8" t="s">
        <v>289</v>
      </c>
    </row>
    <row r="10" spans="2:7" x14ac:dyDescent="0.35">
      <c r="C10" t="s">
        <v>164</v>
      </c>
      <c r="D10" s="41" t="s">
        <v>122</v>
      </c>
    </row>
    <row r="11" spans="2:7" hidden="1" x14ac:dyDescent="0.35">
      <c r="C11" t="s">
        <v>106</v>
      </c>
      <c r="D11" s="42">
        <f>INDEX(F107:F128,MATCH(D10,C107:C128))</f>
        <v>2.65</v>
      </c>
      <c r="E11" s="17" t="s">
        <v>107</v>
      </c>
    </row>
    <row r="12" spans="2:7" x14ac:dyDescent="0.35">
      <c r="C12" t="s">
        <v>1088</v>
      </c>
      <c r="D12" s="80">
        <f>D11/1000000/100</f>
        <v>2.6499999999999999E-8</v>
      </c>
      <c r="E12" s="79" t="s">
        <v>108</v>
      </c>
    </row>
    <row r="13" spans="2:7" x14ac:dyDescent="0.35">
      <c r="C13" t="s">
        <v>109</v>
      </c>
      <c r="D13" s="32">
        <f>IF(D10="Nickel",100,1)</f>
        <v>1</v>
      </c>
      <c r="E13" s="6"/>
    </row>
    <row r="14" spans="2:7" x14ac:dyDescent="0.35">
      <c r="C14" t="s">
        <v>2</v>
      </c>
      <c r="D14" s="36">
        <v>7</v>
      </c>
      <c r="E14" s="6" t="s">
        <v>0</v>
      </c>
    </row>
    <row r="15" spans="2:7" hidden="1" x14ac:dyDescent="0.35">
      <c r="D15" s="60">
        <f>D14*1000000</f>
        <v>7000000</v>
      </c>
      <c r="E15" s="18" t="s">
        <v>1</v>
      </c>
    </row>
    <row r="16" spans="2:7" hidden="1" x14ac:dyDescent="0.35">
      <c r="C16" s="12" t="s">
        <v>110</v>
      </c>
      <c r="D16" s="60">
        <f>4*PI()*0.0000001</f>
        <v>1.2566370614359173E-6</v>
      </c>
      <c r="E16" s="18" t="s">
        <v>111</v>
      </c>
    </row>
    <row r="17" spans="3:8" hidden="1" x14ac:dyDescent="0.35">
      <c r="C17" s="12" t="s">
        <v>112</v>
      </c>
      <c r="D17" s="60">
        <f>SQRT((2*D12)/(2*PI()*D16*D13*D15))</f>
        <v>3.0966637384460988E-5</v>
      </c>
      <c r="E17" s="18" t="s">
        <v>113</v>
      </c>
    </row>
    <row r="18" spans="3:8" x14ac:dyDescent="0.35">
      <c r="C18" t="s">
        <v>112</v>
      </c>
      <c r="D18" s="29">
        <f>D17*1000000</f>
        <v>30.966637384460988</v>
      </c>
      <c r="E18" s="17" t="s">
        <v>114</v>
      </c>
    </row>
    <row r="19" spans="3:8" x14ac:dyDescent="0.35">
      <c r="C19" t="s">
        <v>115</v>
      </c>
      <c r="D19" s="124">
        <v>0.2</v>
      </c>
      <c r="E19" s="201" t="s">
        <v>34</v>
      </c>
    </row>
    <row r="20" spans="3:8" ht="14.25" hidden="1" customHeight="1" x14ac:dyDescent="0.35">
      <c r="D20" s="61">
        <f>IF(E19="mm",D19*0.001,IF(E19="um",D19*0.000001,D19*0.0000254))</f>
        <v>2.0000000000000001E-4</v>
      </c>
      <c r="E20" s="30" t="s">
        <v>116</v>
      </c>
      <c r="G20" s="9"/>
    </row>
    <row r="21" spans="3:8" x14ac:dyDescent="0.35">
      <c r="C21" t="s">
        <v>158</v>
      </c>
      <c r="D21" s="27">
        <f>D20/D17</f>
        <v>6.4585636960492101</v>
      </c>
      <c r="E21" s="6" t="s">
        <v>118</v>
      </c>
    </row>
    <row r="22" spans="3:8" x14ac:dyDescent="0.35">
      <c r="C22" t="s">
        <v>117</v>
      </c>
      <c r="D22" s="20">
        <f>100*(1-EXP(-1*D21))</f>
        <v>99.843295515250915</v>
      </c>
      <c r="E22" s="6" t="s">
        <v>163</v>
      </c>
    </row>
    <row r="23" spans="3:8" ht="15.5" x14ac:dyDescent="0.35">
      <c r="E23" s="6"/>
      <c r="H23" s="19" t="s">
        <v>165</v>
      </c>
    </row>
    <row r="24" spans="3:8" x14ac:dyDescent="0.35">
      <c r="E24" s="6"/>
    </row>
    <row r="25" spans="3:8" ht="15.5" x14ac:dyDescent="0.35">
      <c r="C25" s="16" t="s">
        <v>200</v>
      </c>
    </row>
    <row r="26" spans="3:8" x14ac:dyDescent="0.35">
      <c r="C26" s="21" t="str">
        <f>IF(C28="L","fsensor","L")</f>
        <v>L</v>
      </c>
      <c r="D26" s="36">
        <v>20</v>
      </c>
      <c r="E26" s="48" t="str">
        <f>IF(C26="fsensor","MHz","µH")</f>
        <v>µH</v>
      </c>
    </row>
    <row r="27" spans="3:8" x14ac:dyDescent="0.35">
      <c r="C27" s="21" t="str">
        <f>IF(C28="C","fsensor","C")</f>
        <v>C</v>
      </c>
      <c r="D27" s="36">
        <v>100</v>
      </c>
      <c r="E27" s="49" t="str">
        <f>IF(C27="fsensor","MHz","pF")</f>
        <v>pF</v>
      </c>
    </row>
    <row r="28" spans="3:8" x14ac:dyDescent="0.35">
      <c r="C28" s="35" t="s">
        <v>228</v>
      </c>
      <c r="D28" s="20">
        <f>IF(C28="fsensor",0.000001/(2*PI()*SQRT(D26*0.000001*D27*0.000000000001)),IF(C28="C",1000000000000/((D26*0.000001)*(2*PI()*D27*1000000)^2),1000000/((D27*0.000000000001)*(2*PI()*D26*1000000)^2)))</f>
        <v>3.558812717085885</v>
      </c>
      <c r="E28" s="21" t="str">
        <f>IF(C28="fsensor","MHz",IF(C28="L","µH","pF"))</f>
        <v>MHz</v>
      </c>
    </row>
    <row r="104" spans="3:9" ht="15.5" x14ac:dyDescent="0.35">
      <c r="C104" s="19" t="s">
        <v>119</v>
      </c>
    </row>
    <row r="105" spans="3:9" ht="39" x14ac:dyDescent="0.35">
      <c r="E105" s="54" t="s">
        <v>259</v>
      </c>
      <c r="F105" s="54" t="s">
        <v>120</v>
      </c>
      <c r="G105" s="54" t="s">
        <v>101</v>
      </c>
      <c r="H105" s="54" t="s">
        <v>101</v>
      </c>
      <c r="I105" s="54" t="s">
        <v>256</v>
      </c>
    </row>
    <row r="106" spans="3:9" ht="16.5" x14ac:dyDescent="0.35">
      <c r="C106" s="50" t="s">
        <v>104</v>
      </c>
      <c r="D106" s="50" t="s">
        <v>260</v>
      </c>
      <c r="E106" s="51" t="s">
        <v>258</v>
      </c>
      <c r="F106" s="52" t="s">
        <v>107</v>
      </c>
      <c r="G106" s="51" t="s">
        <v>121</v>
      </c>
      <c r="H106" s="51" t="s">
        <v>102</v>
      </c>
      <c r="I106" s="51" t="s">
        <v>367</v>
      </c>
    </row>
    <row r="107" spans="3:9" x14ac:dyDescent="0.35">
      <c r="C107" s="53" t="s">
        <v>122</v>
      </c>
      <c r="D107" s="53" t="s">
        <v>123</v>
      </c>
      <c r="E107" s="53">
        <v>4200</v>
      </c>
      <c r="F107" s="53">
        <v>2.65</v>
      </c>
      <c r="G107" s="53">
        <v>660</v>
      </c>
      <c r="H107" s="53">
        <v>1221</v>
      </c>
      <c r="I107" s="53">
        <v>1</v>
      </c>
    </row>
    <row r="108" spans="3:9" x14ac:dyDescent="0.35">
      <c r="C108" s="53" t="s">
        <v>1089</v>
      </c>
      <c r="D108" s="53" t="s">
        <v>1090</v>
      </c>
      <c r="E108" s="53"/>
      <c r="F108" s="53">
        <v>13.5</v>
      </c>
      <c r="G108" s="53">
        <v>1040</v>
      </c>
      <c r="H108" s="53">
        <f>9*G108/5+32</f>
        <v>1904</v>
      </c>
      <c r="I108" s="53"/>
    </row>
    <row r="109" spans="3:9" x14ac:dyDescent="0.35">
      <c r="C109" s="53" t="s">
        <v>124</v>
      </c>
      <c r="D109" s="53" t="s">
        <v>26</v>
      </c>
      <c r="E109" s="53">
        <v>-500</v>
      </c>
      <c r="F109" s="53">
        <v>3000</v>
      </c>
      <c r="G109" s="53"/>
      <c r="H109" s="53"/>
      <c r="I109" s="21">
        <v>1</v>
      </c>
    </row>
    <row r="110" spans="3:9" x14ac:dyDescent="0.35">
      <c r="C110" s="53" t="s">
        <v>125</v>
      </c>
      <c r="D110" s="53" t="s">
        <v>126</v>
      </c>
      <c r="E110" s="53">
        <v>5900</v>
      </c>
      <c r="F110" s="53">
        <v>18</v>
      </c>
      <c r="G110" s="53">
        <v>1857</v>
      </c>
      <c r="H110" s="53">
        <v>3374.6</v>
      </c>
      <c r="I110" s="53">
        <v>1</v>
      </c>
    </row>
    <row r="111" spans="3:9" x14ac:dyDescent="0.35">
      <c r="C111" s="53" t="s">
        <v>105</v>
      </c>
      <c r="D111" s="53" t="s">
        <v>127</v>
      </c>
      <c r="E111" s="53">
        <v>4300</v>
      </c>
      <c r="F111" s="53">
        <v>1.673</v>
      </c>
      <c r="G111" s="53">
        <v>1083</v>
      </c>
      <c r="H111" s="53">
        <v>1981.4</v>
      </c>
      <c r="I111" s="53">
        <v>1</v>
      </c>
    </row>
    <row r="112" spans="3:9" x14ac:dyDescent="0.35">
      <c r="C112" s="53" t="s">
        <v>128</v>
      </c>
      <c r="D112" s="53" t="s">
        <v>129</v>
      </c>
      <c r="E112" s="53">
        <v>4000</v>
      </c>
      <c r="F112" s="53">
        <v>2.44</v>
      </c>
      <c r="G112" s="53">
        <v>1064</v>
      </c>
      <c r="H112" s="53">
        <v>1947.2</v>
      </c>
      <c r="I112" s="53">
        <v>1</v>
      </c>
    </row>
    <row r="113" spans="3:9" x14ac:dyDescent="0.35">
      <c r="C113" s="53" t="s">
        <v>130</v>
      </c>
      <c r="D113" s="53" t="s">
        <v>131</v>
      </c>
      <c r="E113" s="53">
        <v>6500</v>
      </c>
      <c r="F113" s="53">
        <v>9.66</v>
      </c>
      <c r="G113" s="53">
        <v>1535</v>
      </c>
      <c r="H113" s="53">
        <v>2795</v>
      </c>
      <c r="I113" s="53">
        <v>5000</v>
      </c>
    </row>
    <row r="114" spans="3:9" x14ac:dyDescent="0.35">
      <c r="C114" s="53" t="s">
        <v>132</v>
      </c>
      <c r="D114" s="53" t="s">
        <v>133</v>
      </c>
      <c r="E114" s="53">
        <v>4200</v>
      </c>
      <c r="F114" s="53">
        <v>20.65</v>
      </c>
      <c r="G114" s="53">
        <v>328</v>
      </c>
      <c r="H114" s="53">
        <v>622.4</v>
      </c>
      <c r="I114" s="53">
        <v>1</v>
      </c>
    </row>
    <row r="115" spans="3:9" x14ac:dyDescent="0.35">
      <c r="C115" s="53" t="s">
        <v>134</v>
      </c>
      <c r="D115" s="53" t="s">
        <v>135</v>
      </c>
      <c r="E115" s="53"/>
      <c r="F115" s="53">
        <v>4.2</v>
      </c>
      <c r="G115" s="53"/>
      <c r="H115" s="53"/>
      <c r="I115" s="53">
        <v>1</v>
      </c>
    </row>
    <row r="116" spans="3:9" x14ac:dyDescent="0.35">
      <c r="C116" s="53" t="s">
        <v>136</v>
      </c>
      <c r="D116" s="53" t="s">
        <v>137</v>
      </c>
      <c r="E116" s="53">
        <v>6800</v>
      </c>
      <c r="F116" s="53">
        <v>8.7070000000000007</v>
      </c>
      <c r="G116" s="53">
        <v>1453</v>
      </c>
      <c r="H116" s="53">
        <v>2647.4</v>
      </c>
      <c r="I116" s="53">
        <v>100</v>
      </c>
    </row>
    <row r="117" spans="3:9" x14ac:dyDescent="0.35">
      <c r="C117" s="53" t="s">
        <v>138</v>
      </c>
      <c r="D117" s="53" t="s">
        <v>139</v>
      </c>
      <c r="E117" s="53" t="s">
        <v>140</v>
      </c>
      <c r="F117" s="53">
        <v>110</v>
      </c>
      <c r="G117" s="53"/>
      <c r="H117" s="53"/>
      <c r="I117" s="53">
        <v>1</v>
      </c>
    </row>
    <row r="118" spans="3:9" x14ac:dyDescent="0.35">
      <c r="C118" s="53" t="s">
        <v>141</v>
      </c>
      <c r="D118" s="53" t="s">
        <v>142</v>
      </c>
      <c r="E118" s="53">
        <v>4100</v>
      </c>
      <c r="F118" s="53">
        <v>1.59</v>
      </c>
      <c r="G118" s="53">
        <v>962</v>
      </c>
      <c r="H118" s="53">
        <v>1763.6</v>
      </c>
      <c r="I118" s="53">
        <v>1</v>
      </c>
    </row>
    <row r="119" spans="3:9" x14ac:dyDescent="0.35">
      <c r="C119" s="53" t="s">
        <v>366</v>
      </c>
      <c r="D119" s="53" t="s">
        <v>368</v>
      </c>
      <c r="E119" s="53">
        <v>8010</v>
      </c>
      <c r="F119" s="53">
        <v>74</v>
      </c>
      <c r="G119" s="53">
        <v>1371</v>
      </c>
      <c r="H119" s="53"/>
      <c r="I119" s="53">
        <v>1.0029999999999999</v>
      </c>
    </row>
    <row r="120" spans="3:9" x14ac:dyDescent="0.35">
      <c r="C120" s="53" t="s">
        <v>373</v>
      </c>
      <c r="D120" s="53"/>
      <c r="E120" s="53"/>
      <c r="F120" s="53">
        <v>23.68</v>
      </c>
      <c r="G120" s="53"/>
      <c r="H120" s="53"/>
      <c r="I120" s="53">
        <v>409</v>
      </c>
    </row>
    <row r="121" spans="3:9" x14ac:dyDescent="0.35">
      <c r="C121" s="53" t="s">
        <v>374</v>
      </c>
      <c r="D121" s="53"/>
      <c r="E121" s="53"/>
      <c r="F121" s="53">
        <v>17.239999999999998</v>
      </c>
      <c r="G121" s="53"/>
      <c r="H121" s="53"/>
      <c r="I121" s="53">
        <v>1404</v>
      </c>
    </row>
    <row r="122" spans="3:9" x14ac:dyDescent="0.35">
      <c r="C122" s="53" t="s">
        <v>143</v>
      </c>
      <c r="D122" s="53" t="s">
        <v>144</v>
      </c>
      <c r="E122" s="53"/>
      <c r="F122" s="53">
        <v>15.52</v>
      </c>
      <c r="G122" s="53">
        <v>2996</v>
      </c>
      <c r="H122" s="53">
        <v>5424.8</v>
      </c>
      <c r="I122" s="53">
        <v>1</v>
      </c>
    </row>
    <row r="123" spans="3:9" x14ac:dyDescent="0.35">
      <c r="C123" s="53" t="s">
        <v>145</v>
      </c>
      <c r="D123" s="53" t="s">
        <v>146</v>
      </c>
      <c r="E123" s="53">
        <v>-100</v>
      </c>
      <c r="F123" s="53">
        <v>252</v>
      </c>
      <c r="G123" s="53"/>
      <c r="H123" s="53"/>
      <c r="I123" s="53">
        <v>1</v>
      </c>
    </row>
    <row r="124" spans="3:9" x14ac:dyDescent="0.35">
      <c r="C124" s="53" t="s">
        <v>147</v>
      </c>
      <c r="D124" s="53" t="s">
        <v>148</v>
      </c>
      <c r="E124" s="53">
        <v>4600</v>
      </c>
      <c r="F124" s="53">
        <v>11.55</v>
      </c>
      <c r="G124" s="53">
        <v>232</v>
      </c>
      <c r="H124" s="53">
        <v>449.6</v>
      </c>
      <c r="I124" s="53">
        <v>1</v>
      </c>
    </row>
    <row r="125" spans="3:9" x14ac:dyDescent="0.35">
      <c r="C125" s="53" t="s">
        <v>149</v>
      </c>
      <c r="D125" s="53" t="s">
        <v>150</v>
      </c>
      <c r="E125" s="53"/>
      <c r="F125" s="53">
        <v>55</v>
      </c>
      <c r="G125" s="53">
        <v>1660</v>
      </c>
      <c r="H125" s="53">
        <v>3020</v>
      </c>
      <c r="I125" s="53">
        <v>1</v>
      </c>
    </row>
    <row r="126" spans="3:9" x14ac:dyDescent="0.35">
      <c r="C126" s="53" t="s">
        <v>151</v>
      </c>
      <c r="D126" s="53" t="s">
        <v>152</v>
      </c>
      <c r="E126" s="53">
        <v>4800</v>
      </c>
      <c r="F126" s="53">
        <v>5.6</v>
      </c>
      <c r="G126" s="53">
        <v>3422</v>
      </c>
      <c r="H126" s="53">
        <v>6192</v>
      </c>
      <c r="I126" s="53">
        <v>1</v>
      </c>
    </row>
    <row r="127" spans="3:9" x14ac:dyDescent="0.35">
      <c r="C127" s="53" t="s">
        <v>153</v>
      </c>
      <c r="D127" s="53" t="s">
        <v>154</v>
      </c>
      <c r="E127" s="53">
        <v>4200</v>
      </c>
      <c r="F127" s="53">
        <v>5.68</v>
      </c>
      <c r="G127" s="53">
        <v>420</v>
      </c>
      <c r="H127" s="53">
        <v>788</v>
      </c>
      <c r="I127" s="53">
        <v>1</v>
      </c>
    </row>
    <row r="128" spans="3:9" x14ac:dyDescent="0.35">
      <c r="C128" s="53" t="s">
        <v>155</v>
      </c>
      <c r="D128" s="53" t="s">
        <v>156</v>
      </c>
      <c r="E128" s="53"/>
      <c r="F128" s="53">
        <v>4.0999999999999996</v>
      </c>
      <c r="G128" s="53">
        <v>1852</v>
      </c>
      <c r="H128" s="53">
        <v>3365.6</v>
      </c>
      <c r="I128" s="53">
        <v>1</v>
      </c>
    </row>
  </sheetData>
  <sheetProtection algorithmName="SHA-512" hashValue="YrCwuqs4Zf+JcvgAFTityXrzyYkCkzNDQkFrXWLYU0eFMdNxZUV7/wBvV0R+S3pZAN1jnwpyT891D9NLe5DasA==" saltValue="Haso/2j4CV88X8/QDG7/QQ==" spinCount="100000" sheet="1" objects="1" scenarios="1"/>
  <dataValidations count="4">
    <dataValidation type="list" allowBlank="1" showInputMessage="1" showErrorMessage="1" sqref="E19" xr:uid="{00000000-0002-0000-0300-000000000000}">
      <formula1>"mm,um,mil"</formula1>
    </dataValidation>
    <dataValidation type="list" allowBlank="1" showInputMessage="1" showErrorMessage="1" sqref="D10" xr:uid="{00000000-0002-0000-0300-000001000000}">
      <formula1>$C$107:$C$128</formula1>
    </dataValidation>
    <dataValidation type="list" allowBlank="1" showInputMessage="1" showErrorMessage="1" sqref="C28" xr:uid="{00000000-0002-0000-0300-000002000000}">
      <formula1>"fsensor,L,C"</formula1>
    </dataValidation>
    <dataValidation type="decimal" operator="greaterThan" allowBlank="1" showInputMessage="1" showErrorMessage="1" sqref="D26:D27" xr:uid="{00000000-0002-0000-0300-000003000000}">
      <formula1>0.0001</formula1>
    </dataValidation>
  </dataValidations>
  <hyperlinks>
    <hyperlink ref="G2" location="Contents!A1" display="Return to Main Page" xr:uid="{00000000-0004-0000-0300-000000000000}"/>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4" tint="0.59999389629810485"/>
  </sheetPr>
  <dimension ref="A2:V278"/>
  <sheetViews>
    <sheetView showGridLines="0" showRowColHeaders="0" zoomScaleNormal="100" workbookViewId="0">
      <selection activeCell="C143" sqref="C143"/>
    </sheetView>
  </sheetViews>
  <sheetFormatPr defaultRowHeight="14.5" x14ac:dyDescent="0.35"/>
  <cols>
    <col min="2" max="2" width="40.26953125" customWidth="1"/>
    <col min="3" max="4" width="15.7265625" customWidth="1"/>
    <col min="5" max="5" width="5.26953125" customWidth="1"/>
    <col min="6" max="6" width="14.54296875" customWidth="1"/>
    <col min="7" max="7" width="4.1796875" customWidth="1"/>
    <col min="8" max="8" width="14.54296875" customWidth="1"/>
    <col min="9" max="9" width="4.453125" customWidth="1"/>
    <col min="10" max="10" width="14.54296875" customWidth="1"/>
    <col min="11" max="11" width="4.26953125" customWidth="1"/>
    <col min="15" max="15" width="12.1796875" customWidth="1"/>
    <col min="16" max="16" width="10.7265625" customWidth="1"/>
    <col min="17" max="17" width="10.54296875" customWidth="1"/>
    <col min="18" max="18" width="10.81640625" customWidth="1"/>
  </cols>
  <sheetData>
    <row r="2" spans="2:16" ht="18.5" x14ac:dyDescent="0.45">
      <c r="B2" s="3" t="s">
        <v>1646</v>
      </c>
      <c r="F2" s="14" t="s">
        <v>198</v>
      </c>
    </row>
    <row r="3" spans="2:16" ht="18.5" x14ac:dyDescent="0.45">
      <c r="C3" s="3"/>
      <c r="H3" s="14"/>
    </row>
    <row r="4" spans="2:16" ht="15.5" x14ac:dyDescent="0.35">
      <c r="C4" s="321" t="s">
        <v>809</v>
      </c>
      <c r="D4" s="35" t="s">
        <v>1647</v>
      </c>
    </row>
    <row r="5" spans="2:16" ht="15.5" x14ac:dyDescent="0.35">
      <c r="B5" s="16" t="s">
        <v>1648</v>
      </c>
      <c r="C5" s="321"/>
      <c r="D5" s="319" t="b">
        <v>1</v>
      </c>
      <c r="F5" s="134" t="str">
        <f>IF($D$5,"Raw","Button")</f>
        <v>Raw</v>
      </c>
    </row>
    <row r="6" spans="2:16" ht="15.5" x14ac:dyDescent="0.35">
      <c r="B6" s="16"/>
      <c r="C6" s="321"/>
      <c r="D6" s="626"/>
    </row>
    <row r="7" spans="2:16" ht="15.5" x14ac:dyDescent="0.35">
      <c r="C7" s="16"/>
      <c r="D7" s="238" t="s">
        <v>715</v>
      </c>
      <c r="F7" s="571" t="s">
        <v>716</v>
      </c>
      <c r="H7" s="238" t="s">
        <v>717</v>
      </c>
      <c r="J7" s="238" t="s">
        <v>718</v>
      </c>
      <c r="K7" s="140"/>
      <c r="L7" s="140"/>
      <c r="M7" s="140"/>
      <c r="N7" s="140"/>
      <c r="O7" s="140"/>
      <c r="P7" s="140"/>
    </row>
    <row r="8" spans="2:16" ht="15.5" x14ac:dyDescent="0.35">
      <c r="B8" s="16" t="s">
        <v>733</v>
      </c>
      <c r="D8" s="319" t="b">
        <v>1</v>
      </c>
      <c r="E8" s="314"/>
      <c r="F8" s="627" t="b">
        <v>1</v>
      </c>
      <c r="G8" s="315"/>
      <c r="H8" s="320" t="b">
        <v>0</v>
      </c>
      <c r="I8" s="315"/>
      <c r="J8" s="320" t="b">
        <v>0</v>
      </c>
      <c r="K8" s="68" t="str">
        <f>IF(AND(D4="LDC2112",OR(H8=TRUE(),J8=TRUE())),"LDC2112 does not have Ch2 or Ch3","")</f>
        <v/>
      </c>
      <c r="L8" s="140"/>
      <c r="M8" s="140"/>
      <c r="N8" s="140"/>
      <c r="O8" s="140"/>
      <c r="P8" s="140"/>
    </row>
    <row r="9" spans="2:16" ht="15.5" x14ac:dyDescent="0.35">
      <c r="B9" s="16" t="s">
        <v>719</v>
      </c>
      <c r="D9" s="319" t="b">
        <v>0</v>
      </c>
      <c r="E9" s="314"/>
      <c r="F9" s="320" t="b">
        <v>0</v>
      </c>
      <c r="G9" s="315"/>
      <c r="H9" s="320" t="b">
        <v>0</v>
      </c>
      <c r="I9" s="315"/>
      <c r="J9" s="320" t="b">
        <v>0</v>
      </c>
      <c r="K9" s="68" t="str">
        <f>IF(SUM(D12,F12,H12,J12)&gt;SUM(D13,F13,H13,J13),"LP Mode requires Enabled Button","")</f>
        <v/>
      </c>
      <c r="L9" s="140"/>
      <c r="M9" s="140"/>
      <c r="N9" s="140"/>
      <c r="O9" s="140"/>
      <c r="P9" s="140"/>
    </row>
    <row r="10" spans="2:16" ht="15.5" hidden="1" x14ac:dyDescent="0.35">
      <c r="B10" s="16"/>
      <c r="D10" s="134"/>
      <c r="L10" s="140"/>
      <c r="M10" s="140"/>
      <c r="N10" s="140"/>
      <c r="O10" s="140"/>
      <c r="P10" s="140"/>
    </row>
    <row r="11" spans="2:16" hidden="1" x14ac:dyDescent="0.35">
      <c r="B11" t="s">
        <v>720</v>
      </c>
      <c r="D11" s="59">
        <f>IF(D8=TRUE(),1,0)</f>
        <v>1</v>
      </c>
      <c r="F11" s="59">
        <f>IF(F8=TRUE(),1,0)</f>
        <v>1</v>
      </c>
      <c r="H11" s="59">
        <f>IF(H8=TRUE(),IF(D4="LDC2114",1,0),0)</f>
        <v>0</v>
      </c>
      <c r="J11" s="59">
        <f>IF(J8=TRUE(),IF(D4="LDC2114",1,0),0)</f>
        <v>0</v>
      </c>
      <c r="L11" s="140"/>
      <c r="M11" s="140"/>
      <c r="N11" s="140"/>
      <c r="O11" s="140"/>
      <c r="P11" s="140"/>
    </row>
    <row r="12" spans="2:16" hidden="1" x14ac:dyDescent="0.35">
      <c r="B12" t="s">
        <v>722</v>
      </c>
      <c r="D12" s="59">
        <f>IF(D9=TRUE(),1,0)</f>
        <v>0</v>
      </c>
      <c r="F12" s="59">
        <f>IF(F9=TRUE(),1,0)</f>
        <v>0</v>
      </c>
      <c r="H12" s="59">
        <f>IF(H9=TRUE(),1,0)</f>
        <v>0</v>
      </c>
      <c r="J12" s="59">
        <f>IF(J9=TRUE(),1,0)</f>
        <v>0</v>
      </c>
      <c r="L12" s="140"/>
      <c r="M12" s="140"/>
      <c r="N12" s="140"/>
      <c r="O12" s="140"/>
      <c r="P12" s="140"/>
    </row>
    <row r="13" spans="2:16" hidden="1" x14ac:dyDescent="0.35">
      <c r="B13" t="s">
        <v>721</v>
      </c>
      <c r="D13" s="59">
        <f>IF(D9=TRUE(),IF(D8=TRUE(),1,0),0)</f>
        <v>0</v>
      </c>
      <c r="F13" s="59">
        <f>IF(F9=TRUE(),IF(F8=TRUE(),1,0),0)</f>
        <v>0</v>
      </c>
      <c r="H13" s="59">
        <f>IF(H9=TRUE(),IF(H8=TRUE(),1,0),0)</f>
        <v>0</v>
      </c>
      <c r="J13" s="59">
        <f>IF(J9=TRUE(),IF(J8=TRUE(),1,0),0)</f>
        <v>0</v>
      </c>
      <c r="L13" s="140"/>
      <c r="M13" s="140"/>
      <c r="N13" s="140"/>
      <c r="O13" s="140"/>
      <c r="P13" s="140"/>
    </row>
    <row r="14" spans="2:16" ht="16.5" x14ac:dyDescent="0.45">
      <c r="B14" s="1" t="s">
        <v>1631</v>
      </c>
      <c r="D14" s="124">
        <v>4</v>
      </c>
      <c r="E14" s="5" t="s">
        <v>243</v>
      </c>
      <c r="F14" s="124">
        <v>2</v>
      </c>
      <c r="G14" s="5" t="s">
        <v>243</v>
      </c>
      <c r="H14" s="124">
        <v>2</v>
      </c>
      <c r="I14" s="5" t="s">
        <v>243</v>
      </c>
      <c r="J14" s="124">
        <v>2</v>
      </c>
      <c r="K14" s="5" t="s">
        <v>243</v>
      </c>
      <c r="L14" s="140"/>
      <c r="M14" s="140"/>
      <c r="N14" s="140"/>
      <c r="O14" s="140"/>
      <c r="P14" s="140"/>
    </row>
    <row r="15" spans="2:16" ht="15" x14ac:dyDescent="0.4">
      <c r="B15" s="1" t="s">
        <v>1630</v>
      </c>
      <c r="D15" s="131" t="str">
        <f>IF(D14&lt;3,"350Ω ≤ RP ≤ 4kΩ","800Ω ≤ RP ≤ 10kΩ")</f>
        <v>800Ω ≤ RP ≤ 10kΩ</v>
      </c>
      <c r="E15" s="5"/>
      <c r="F15" s="131" t="str">
        <f>IF(F14&lt;3,"350Ω ≤ RP ≤ 4kΩ","800Ω ≤ RP ≤ 10kΩ")</f>
        <v>350Ω ≤ RP ≤ 4kΩ</v>
      </c>
      <c r="G15" s="5"/>
      <c r="H15" s="131" t="str">
        <f>IF(H14&lt;3,"350Ω ≤ RP ≤ 4kΩ","800Ω ≤ RP ≤ 10kΩ")</f>
        <v>350Ω ≤ RP ≤ 4kΩ</v>
      </c>
      <c r="I15" s="5"/>
      <c r="J15" s="131" t="str">
        <f>IF(J14&lt;3,"350Ω ≤ RP ≤ 4kΩ","800Ω ≤ RP ≤ 10kΩ")</f>
        <v>350Ω ≤ RP ≤ 4kΩ</v>
      </c>
      <c r="K15" s="5"/>
      <c r="L15" s="140"/>
      <c r="M15" s="140"/>
      <c r="N15" s="140"/>
      <c r="O15" s="140"/>
      <c r="P15" s="140"/>
    </row>
    <row r="16" spans="2:16" ht="16.5" x14ac:dyDescent="0.45">
      <c r="B16" s="1" t="s">
        <v>640</v>
      </c>
      <c r="D16" s="40">
        <v>4</v>
      </c>
      <c r="E16" s="5" t="s">
        <v>0</v>
      </c>
      <c r="F16" s="40">
        <v>20</v>
      </c>
      <c r="G16" s="5" t="s">
        <v>0</v>
      </c>
      <c r="H16" s="40">
        <v>20</v>
      </c>
      <c r="I16" s="5" t="s">
        <v>0</v>
      </c>
      <c r="J16" s="40">
        <v>20</v>
      </c>
      <c r="K16" s="5" t="s">
        <v>0</v>
      </c>
      <c r="L16" s="140"/>
      <c r="M16" s="140"/>
      <c r="N16" s="68" t="str">
        <f>IF(OR(D16&lt;5,F16&lt;5,H16&lt;5,J16&lt;5),"Sensor Frequency less than 5MHz may require a lower Rp value (around 1k)to operate properly", "")</f>
        <v>Sensor Frequency less than 5MHz may require a lower Rp value (around 1k)to operate properly</v>
      </c>
      <c r="O16" s="140"/>
      <c r="P16" s="140"/>
    </row>
    <row r="17" spans="2:16" x14ac:dyDescent="0.35">
      <c r="B17" s="1" t="s">
        <v>638</v>
      </c>
      <c r="D17" s="124">
        <v>1</v>
      </c>
      <c r="E17" s="5" t="s">
        <v>229</v>
      </c>
      <c r="F17" s="124">
        <v>1</v>
      </c>
      <c r="G17" s="5" t="s">
        <v>229</v>
      </c>
      <c r="H17" s="124">
        <v>1</v>
      </c>
      <c r="I17" s="5" t="s">
        <v>229</v>
      </c>
      <c r="J17" s="124">
        <v>1</v>
      </c>
      <c r="K17" s="5" t="s">
        <v>229</v>
      </c>
      <c r="L17" s="140"/>
      <c r="M17" s="140"/>
      <c r="N17" s="140"/>
      <c r="O17" s="140"/>
      <c r="P17" s="140"/>
    </row>
    <row r="18" spans="2:16" hidden="1" x14ac:dyDescent="0.35">
      <c r="B18" t="s">
        <v>616</v>
      </c>
      <c r="D18" s="279">
        <f>IF(D15="800Ω ≤ RP ≤ 10kΩ",1,0)</f>
        <v>1</v>
      </c>
      <c r="E18" s="5"/>
      <c r="F18" s="279">
        <f>IF(F15="800Ω ≤ RP ≤ 10kΩ",1,0)</f>
        <v>0</v>
      </c>
      <c r="G18" s="5"/>
      <c r="H18" s="279">
        <f>IF(H15="800Ω ≤ RP ≤ 10kΩ",1,0)</f>
        <v>0</v>
      </c>
      <c r="I18" s="5"/>
      <c r="J18" s="279">
        <f>IF(J15="800Ω ≤ RP ≤ 10kΩ",1,0)</f>
        <v>0</v>
      </c>
      <c r="K18" s="5"/>
      <c r="L18" s="140"/>
      <c r="M18" s="140"/>
      <c r="N18" s="140"/>
      <c r="O18" s="140"/>
      <c r="P18" s="140"/>
    </row>
    <row r="19" spans="2:16" hidden="1" x14ac:dyDescent="0.35">
      <c r="B19" t="s">
        <v>619</v>
      </c>
      <c r="D19" s="280">
        <f>IF(D16&lt;3.3,0,IF(D16&lt;10,1,2))</f>
        <v>1</v>
      </c>
      <c r="E19" s="5"/>
      <c r="F19" s="280">
        <f>IF(F16&lt;3.3,0,IF(F16&lt;10,1,2))</f>
        <v>2</v>
      </c>
      <c r="G19" s="5"/>
      <c r="H19" s="280">
        <f>IF(H16&lt;3.3,0,IF(H16&lt;10,1,2))</f>
        <v>2</v>
      </c>
      <c r="I19" s="5"/>
      <c r="J19" s="280">
        <f>IF(J16&lt;3.3,0,IF(J16&lt;10,1,2))</f>
        <v>2</v>
      </c>
      <c r="K19" s="5"/>
      <c r="L19" s="140"/>
      <c r="M19" s="140"/>
      <c r="N19" s="140"/>
      <c r="O19" s="140"/>
      <c r="P19" s="140"/>
    </row>
    <row r="20" spans="2:16" hidden="1" x14ac:dyDescent="0.35">
      <c r="B20" t="s">
        <v>620</v>
      </c>
      <c r="D20" s="60">
        <f>CEILING(LOG(D16*D17/4.096,2),1)</f>
        <v>0</v>
      </c>
      <c r="E20" s="5"/>
      <c r="F20" s="60">
        <f>CEILING(LOG(F16*F17/4.096,2),1)</f>
        <v>3</v>
      </c>
      <c r="G20" s="5"/>
      <c r="H20" s="60">
        <f>CEILING(LOG(H16*H17/4.096,2),1)</f>
        <v>3</v>
      </c>
      <c r="I20" s="5"/>
      <c r="J20" s="60">
        <f>CEILING(LOG(J16*J17/4.096,2),1)</f>
        <v>3</v>
      </c>
      <c r="K20" s="5"/>
      <c r="L20" s="140"/>
      <c r="M20" s="140"/>
      <c r="N20" s="140"/>
      <c r="O20" s="140"/>
      <c r="P20" s="140"/>
    </row>
    <row r="21" spans="2:16" x14ac:dyDescent="0.35">
      <c r="B21" s="1" t="s">
        <v>620</v>
      </c>
      <c r="D21" s="130">
        <f>IF(D20&lt;0,0,ROUND(D20,1))</f>
        <v>0</v>
      </c>
      <c r="E21" s="5"/>
      <c r="F21" s="130">
        <f>IF(F20&lt;0,0,ROUND(F20,1))</f>
        <v>3</v>
      </c>
      <c r="G21" s="5"/>
      <c r="H21" s="130">
        <f>IF(H20&lt;0,0,ROUND(H20,1))</f>
        <v>3</v>
      </c>
      <c r="I21" s="5"/>
      <c r="J21" s="130">
        <f>IF(J20&lt;0,0,ROUND(J20,1))</f>
        <v>3</v>
      </c>
      <c r="K21" s="312" t="str">
        <f>IF(K22&lt;L22,"Error - Adjust Sample intervals to match LCDIV","")</f>
        <v>Error - Adjust Sample intervals to match LCDIV</v>
      </c>
      <c r="L21" s="140"/>
      <c r="M21" s="140"/>
      <c r="N21" s="140"/>
      <c r="O21" s="140"/>
      <c r="P21" s="140"/>
    </row>
    <row r="22" spans="2:16" hidden="1" x14ac:dyDescent="0.35">
      <c r="B22" s="1" t="s">
        <v>811</v>
      </c>
      <c r="D22" s="367">
        <f>IF(D8,D21,)</f>
        <v>0</v>
      </c>
      <c r="E22" s="5"/>
      <c r="F22" s="367">
        <f>IF(F8,F21,FALSE)</f>
        <v>3</v>
      </c>
      <c r="G22" s="5"/>
      <c r="H22" s="367" t="str">
        <f>IF(H8,H21,"")</f>
        <v/>
      </c>
      <c r="I22" s="5"/>
      <c r="J22" s="367" t="str">
        <f>IF(J8,J21,"")</f>
        <v/>
      </c>
      <c r="K22" s="605">
        <f>MIN(D22,F22,H22,J22)</f>
        <v>0</v>
      </c>
      <c r="L22" s="610">
        <f>MAX(D22,F22,H22,J22)</f>
        <v>3</v>
      </c>
      <c r="M22" s="140"/>
      <c r="N22" s="140"/>
      <c r="O22" s="140"/>
      <c r="P22" s="140"/>
    </row>
    <row r="23" spans="2:16" hidden="1" x14ac:dyDescent="0.35">
      <c r="B23" t="s">
        <v>621</v>
      </c>
      <c r="D23" s="316">
        <f>D16*1000*D17*2^(-7-D20)-1</f>
        <v>30.25</v>
      </c>
      <c r="E23" s="5"/>
      <c r="F23" s="316">
        <f>F16*1000*F17*2^(-7-F20)-1</f>
        <v>18.53125</v>
      </c>
      <c r="G23" s="5"/>
      <c r="H23" s="316">
        <f>H16*1000*H17*2^(-7-H20)-1</f>
        <v>18.53125</v>
      </c>
      <c r="I23" s="5"/>
      <c r="J23" s="316">
        <f>J16*1000*J17*2^(-7-J20)-1</f>
        <v>18.53125</v>
      </c>
      <c r="K23" s="5"/>
      <c r="L23" s="140"/>
      <c r="M23" s="140"/>
      <c r="N23" s="140"/>
      <c r="O23" s="140"/>
      <c r="P23" s="140"/>
    </row>
    <row r="24" spans="2:16" x14ac:dyDescent="0.35">
      <c r="B24" s="1" t="s">
        <v>617</v>
      </c>
      <c r="D24" s="317">
        <f>IF(D23&lt;0,0,IF(D23&gt;31,31,ROUND(D23,0)))</f>
        <v>30</v>
      </c>
      <c r="E24" s="5"/>
      <c r="F24" s="317">
        <f>IF(F23&lt;0,0,IF(F23&gt;31,31,ROUND(F23,0)))</f>
        <v>19</v>
      </c>
      <c r="G24" s="5"/>
      <c r="H24" s="317">
        <f>IF(H23&lt;0,0,IF(H23&gt;31,31,ROUND(H23,0)))</f>
        <v>19</v>
      </c>
      <c r="I24" s="5"/>
      <c r="J24" s="317">
        <f>IF(J23&lt;0,0,IF(J23&gt;31,31,ROUND(J23,0)))</f>
        <v>19</v>
      </c>
      <c r="K24" s="5"/>
      <c r="L24" s="140"/>
      <c r="M24" s="140"/>
      <c r="N24" s="140"/>
      <c r="O24" s="140"/>
      <c r="P24" s="140"/>
    </row>
    <row r="25" spans="2:16" x14ac:dyDescent="0.35">
      <c r="B25" s="1" t="s">
        <v>639</v>
      </c>
      <c r="D25" s="20">
        <f>0.6/D16+(2^(7+D21))*(D24+1)/D16/1000</f>
        <v>1.1419999999999999</v>
      </c>
      <c r="E25" s="5" t="s">
        <v>229</v>
      </c>
      <c r="F25" s="20">
        <f>0.6/F16+(2^(7+F21))*(F24+1)/F16/1000</f>
        <v>1.054</v>
      </c>
      <c r="G25" s="5" t="s">
        <v>229</v>
      </c>
      <c r="H25" s="20">
        <f>0.6/H16+(2^(7+H21))*(H24+1)/H16/1000</f>
        <v>1.054</v>
      </c>
      <c r="I25" s="5" t="s">
        <v>229</v>
      </c>
      <c r="J25" s="20">
        <f>0.6/J16+(2^(7+J21))*(J24+1)/J16/1000</f>
        <v>1.054</v>
      </c>
      <c r="K25" s="5" t="s">
        <v>229</v>
      </c>
      <c r="L25" s="68" t="str">
        <f>IF(D35&lt;0,"The total active time exceeds the time available in the scan interval","")</f>
        <v/>
      </c>
      <c r="M25" s="140"/>
      <c r="N25" s="140"/>
      <c r="O25" s="140"/>
      <c r="P25" s="140"/>
    </row>
    <row r="26" spans="2:16" hidden="1" x14ac:dyDescent="0.35">
      <c r="B26" t="s">
        <v>1570</v>
      </c>
      <c r="D26" s="282">
        <f>CEILING(LOG(30*(1+D24)*2^(14+D21)*47/D16,2),1)-28</f>
        <v>0</v>
      </c>
      <c r="E26" s="5"/>
      <c r="F26" s="282">
        <f>CEILING(LOG(30*(1+F24)*2^(14+F21)*47/F16,2),1)-28</f>
        <v>0</v>
      </c>
      <c r="G26" s="5"/>
      <c r="H26" s="282">
        <f>CEILING(LOG(30*(1+H24)*2^(14+H21)*47/H16,2),1)-28</f>
        <v>0</v>
      </c>
      <c r="I26" s="5"/>
      <c r="J26" s="282">
        <f>CEILING(LOG(30*(1+J24)*2^(14+J21)*47/J16,2),1)-28</f>
        <v>0</v>
      </c>
      <c r="K26" s="5"/>
      <c r="L26" s="140"/>
      <c r="M26" s="140"/>
      <c r="N26" s="140"/>
      <c r="O26" s="140"/>
      <c r="P26" s="140"/>
    </row>
    <row r="27" spans="2:16" x14ac:dyDescent="0.35">
      <c r="B27" s="1" t="s">
        <v>618</v>
      </c>
      <c r="D27" s="318">
        <f>IF(D26&lt;0,0,IF(D26&gt;3,3,ROUND(D26,1)))</f>
        <v>0</v>
      </c>
      <c r="E27" s="5"/>
      <c r="F27" s="318">
        <f>IF(F26&lt;0,0,IF(F26&gt;3,3,ROUND(F26,1)))</f>
        <v>0</v>
      </c>
      <c r="G27" s="5"/>
      <c r="H27" s="318">
        <f>IF(H26&lt;0,0,IF(H26&gt;3,3,ROUND(H26,1)))</f>
        <v>0</v>
      </c>
      <c r="I27" s="5"/>
      <c r="J27" s="318">
        <f>IF(J26&lt;0,0,IF(J26&gt;3,3,ROUND(J26,1)))</f>
        <v>0</v>
      </c>
      <c r="K27" s="5"/>
      <c r="L27" s="140"/>
      <c r="M27" s="140"/>
      <c r="N27" s="140"/>
      <c r="O27" s="140"/>
      <c r="P27" s="140"/>
    </row>
    <row r="28" spans="2:16" hidden="1" x14ac:dyDescent="0.35">
      <c r="B28" t="s">
        <v>723</v>
      </c>
      <c r="D28" s="64">
        <f xml:space="preserve"> 1.630124 + (13.25536 - 1.630124)/(1 + (D14/0.08957141)^1.210902)+(10.23*D16+19)/1000</f>
        <v>1.8057093613388613</v>
      </c>
      <c r="E28" s="313"/>
      <c r="F28" s="64">
        <f xml:space="preserve"> 1.630124 + (13.25536 - 1.630124)/(1 + (F14/0.08957141)^1.210902)+(10.23*F16+19)/1000</f>
        <v>2.1180114930942393</v>
      </c>
      <c r="G28" s="313"/>
      <c r="H28" s="64">
        <f xml:space="preserve"> 1.630124 + (13.25536 - 1.630124)/(1 + (H14/0.08957141)^1.210902)+(10.23*H16+19)/1000</f>
        <v>2.1180114930942393</v>
      </c>
      <c r="I28" s="313"/>
      <c r="J28" s="64">
        <f xml:space="preserve"> 1.630124 + (13.25536 - 1.630124)/(1 + (J14/0.08957141)^1.210902)+(10.23*J16+19)/1000</f>
        <v>2.1180114930942393</v>
      </c>
      <c r="K28" s="5"/>
      <c r="L28" s="140"/>
      <c r="M28" s="140"/>
      <c r="N28" s="140"/>
      <c r="O28" s="140"/>
      <c r="P28" s="140"/>
    </row>
    <row r="29" spans="2:16" hidden="1" x14ac:dyDescent="0.35">
      <c r="B29" t="s">
        <v>728</v>
      </c>
      <c r="D29" s="64">
        <f>(D25+0.01)*D28</f>
        <v>2.080177184262368</v>
      </c>
      <c r="E29" s="313"/>
      <c r="F29" s="64">
        <f>F28*(F25+0.01)</f>
        <v>2.2535642286522708</v>
      </c>
      <c r="G29" s="313"/>
      <c r="H29" s="64">
        <f>(H25+0.01)*H28</f>
        <v>2.2535642286522708</v>
      </c>
      <c r="I29" s="313"/>
      <c r="J29" s="64">
        <f>(J25+0.01)*J28</f>
        <v>2.2535642286522708</v>
      </c>
      <c r="K29" s="5"/>
      <c r="L29" s="140"/>
      <c r="M29" s="140"/>
      <c r="N29" s="140"/>
      <c r="O29" s="140"/>
      <c r="P29" s="140"/>
    </row>
    <row r="30" spans="2:16" hidden="1" x14ac:dyDescent="0.35">
      <c r="B30" t="s">
        <v>729</v>
      </c>
      <c r="D30" s="64">
        <f>D29*D13</f>
        <v>0</v>
      </c>
      <c r="E30" s="313"/>
      <c r="F30" s="64">
        <f>F29*F13</f>
        <v>0</v>
      </c>
      <c r="G30" s="313"/>
      <c r="H30" s="64">
        <f>H29*H13</f>
        <v>0</v>
      </c>
      <c r="I30" s="313"/>
      <c r="J30" s="64">
        <f>J29*J13</f>
        <v>0</v>
      </c>
      <c r="K30" s="5"/>
      <c r="L30" s="140"/>
      <c r="M30" s="140"/>
      <c r="N30" s="140"/>
      <c r="O30" s="140"/>
      <c r="P30" s="140"/>
    </row>
    <row r="31" spans="2:16" hidden="1" x14ac:dyDescent="0.35">
      <c r="B31" t="s">
        <v>810</v>
      </c>
      <c r="D31" s="64">
        <f>D29*D11</f>
        <v>2.080177184262368</v>
      </c>
      <c r="E31" s="313"/>
      <c r="F31" s="64">
        <f>F29*F11</f>
        <v>2.2535642286522708</v>
      </c>
      <c r="G31" s="313"/>
      <c r="H31" s="64">
        <f>H29*H11</f>
        <v>0</v>
      </c>
      <c r="I31" s="313"/>
      <c r="J31" s="64">
        <f>J29*J11</f>
        <v>0</v>
      </c>
      <c r="K31" s="5"/>
      <c r="L31" s="140"/>
      <c r="M31" s="140"/>
      <c r="N31" s="140"/>
      <c r="O31" s="140"/>
      <c r="P31" s="140"/>
    </row>
    <row r="32" spans="2:16" hidden="1" x14ac:dyDescent="0.35">
      <c r="B32" t="s">
        <v>724</v>
      </c>
      <c r="D32" s="64">
        <f>(1000/$D$45)-(D25*D13+F25*F13+H25*H13+J25*J13)</f>
        <v>800</v>
      </c>
      <c r="E32" s="313"/>
      <c r="F32" s="64"/>
      <c r="G32" s="313"/>
      <c r="H32" s="64"/>
      <c r="I32" s="313"/>
      <c r="J32" s="64"/>
      <c r="K32" s="5"/>
      <c r="L32" s="140"/>
      <c r="M32" s="140"/>
      <c r="N32" s="140"/>
      <c r="O32" s="140"/>
      <c r="P32" s="140"/>
    </row>
    <row r="33" spans="2:16" hidden="1" x14ac:dyDescent="0.35">
      <c r="B33" t="s">
        <v>727</v>
      </c>
      <c r="D33" s="64">
        <f>D32*0.00483</f>
        <v>3.8639999999999999</v>
      </c>
      <c r="E33" s="313"/>
      <c r="F33" s="64"/>
      <c r="G33" s="313"/>
      <c r="H33" s="64"/>
      <c r="I33" s="313"/>
      <c r="J33" s="64"/>
      <c r="K33" s="5"/>
      <c r="L33" s="140"/>
      <c r="M33" s="140"/>
      <c r="N33" s="140"/>
      <c r="O33" s="140"/>
      <c r="P33" s="140"/>
    </row>
    <row r="34" spans="2:16" hidden="1" x14ac:dyDescent="0.35">
      <c r="B34" t="s">
        <v>730</v>
      </c>
      <c r="D34" s="64">
        <f>D33+D30+F30+H30+J30</f>
        <v>3.8639999999999999</v>
      </c>
      <c r="E34" s="313"/>
      <c r="F34" s="64"/>
      <c r="G34" s="313"/>
      <c r="H34" s="64"/>
      <c r="I34" s="313"/>
      <c r="J34" s="64"/>
      <c r="K34" s="5"/>
      <c r="L34" s="140"/>
      <c r="M34" s="140"/>
      <c r="N34" s="140"/>
      <c r="O34" s="140"/>
      <c r="P34" s="140"/>
    </row>
    <row r="35" spans="2:16" hidden="1" x14ac:dyDescent="0.35">
      <c r="B35" t="s">
        <v>725</v>
      </c>
      <c r="D35" s="64">
        <f>(1000/$D$48)-(D25*D11+F25*F11+H25*H11+J25*J11)</f>
        <v>97.804000000000002</v>
      </c>
      <c r="E35" s="313"/>
      <c r="F35" s="64"/>
      <c r="G35" s="313"/>
      <c r="H35" s="64"/>
      <c r="I35" s="313"/>
      <c r="J35" s="64"/>
      <c r="K35" s="5"/>
      <c r="L35" s="140"/>
      <c r="M35" s="140"/>
      <c r="N35" s="140"/>
      <c r="O35" s="140"/>
      <c r="P35" s="140"/>
    </row>
    <row r="36" spans="2:16" hidden="1" x14ac:dyDescent="0.35">
      <c r="B36" t="s">
        <v>726</v>
      </c>
      <c r="D36" s="64">
        <f>0.00483*D35</f>
        <v>0.47239332000000001</v>
      </c>
      <c r="E36" s="313"/>
      <c r="F36" s="64"/>
      <c r="G36" s="313"/>
      <c r="H36" s="64"/>
      <c r="I36" s="313"/>
      <c r="J36" s="64"/>
      <c r="K36" s="5"/>
      <c r="L36" s="140"/>
      <c r="M36" s="140"/>
      <c r="N36" s="140"/>
      <c r="O36" s="140"/>
      <c r="P36" s="140"/>
    </row>
    <row r="37" spans="2:16" hidden="1" x14ac:dyDescent="0.35">
      <c r="B37" t="s">
        <v>731</v>
      </c>
      <c r="D37" s="64">
        <f>D36+D31+F31+H31+J31</f>
        <v>4.8061347329146393</v>
      </c>
      <c r="E37" s="5"/>
      <c r="G37" s="1"/>
      <c r="L37" s="140"/>
      <c r="M37" s="140"/>
      <c r="N37" s="140"/>
      <c r="O37" s="140"/>
      <c r="P37" s="140"/>
    </row>
    <row r="38" spans="2:16" x14ac:dyDescent="0.35">
      <c r="B38" s="1" t="s">
        <v>1588</v>
      </c>
      <c r="D38" s="608">
        <v>40</v>
      </c>
      <c r="E38" s="5"/>
      <c r="F38" s="35">
        <v>40</v>
      </c>
      <c r="G38" s="1"/>
      <c r="H38" s="35">
        <v>40</v>
      </c>
      <c r="J38" s="35">
        <v>40</v>
      </c>
      <c r="L38" s="140"/>
      <c r="M38" s="140"/>
      <c r="N38" s="140"/>
      <c r="O38" s="140"/>
      <c r="P38" s="140"/>
    </row>
    <row r="39" spans="2:16" x14ac:dyDescent="0.35">
      <c r="B39" s="1" t="s">
        <v>1575</v>
      </c>
      <c r="D39" s="273">
        <f ca="1">OFFSET(D215,D38,0)</f>
        <v>32</v>
      </c>
      <c r="E39" s="5"/>
      <c r="F39" s="29">
        <f ca="1">OFFSET(D215,F38,0)</f>
        <v>32</v>
      </c>
      <c r="G39" s="1"/>
      <c r="H39" s="617">
        <f ca="1">OFFSET(D215,H38,0)</f>
        <v>32</v>
      </c>
      <c r="J39" s="29">
        <f ca="1">OFFSET(D215,J38,0)</f>
        <v>32</v>
      </c>
      <c r="L39" s="140"/>
      <c r="M39" s="140"/>
      <c r="N39" s="140"/>
      <c r="O39" s="140"/>
      <c r="P39" s="140"/>
    </row>
    <row r="40" spans="2:16" x14ac:dyDescent="0.35">
      <c r="B40" s="1" t="s">
        <v>1607</v>
      </c>
      <c r="D40" s="122">
        <v>500</v>
      </c>
      <c r="E40" s="5"/>
      <c r="F40" s="199">
        <v>500</v>
      </c>
      <c r="G40" s="1"/>
      <c r="H40" s="609">
        <v>400</v>
      </c>
      <c r="J40" s="199">
        <v>400</v>
      </c>
      <c r="L40" s="140"/>
      <c r="M40" s="140"/>
      <c r="N40" s="140"/>
      <c r="O40" s="140"/>
      <c r="P40" s="140"/>
    </row>
    <row r="41" spans="2:16" x14ac:dyDescent="0.35">
      <c r="B41" s="1" t="s">
        <v>1569</v>
      </c>
      <c r="D41" s="130">
        <f ca="1">D40*0.013*D39</f>
        <v>208</v>
      </c>
      <c r="E41" s="606"/>
      <c r="F41" s="130">
        <f ca="1">F40*0.013*F39</f>
        <v>208</v>
      </c>
      <c r="G41" s="606"/>
      <c r="H41" s="130">
        <f ca="1">H40*0.013*F39</f>
        <v>166.4</v>
      </c>
      <c r="I41" s="606"/>
      <c r="J41" s="130">
        <f ca="1">J40*0.013*F39</f>
        <v>166.4</v>
      </c>
      <c r="L41" s="140"/>
      <c r="M41" s="140"/>
      <c r="N41" s="140"/>
      <c r="O41" s="140"/>
      <c r="P41" s="140"/>
    </row>
    <row r="42" spans="2:16" x14ac:dyDescent="0.35">
      <c r="B42" s="1" t="s">
        <v>1587</v>
      </c>
      <c r="D42" s="324">
        <f ca="1">D39*1.8268/2^(7-$D$56)</f>
        <v>3.6536</v>
      </c>
      <c r="E42" s="606"/>
      <c r="F42" s="324">
        <f ca="1">F39*1.8268/2^(7-$D$56)</f>
        <v>3.6536</v>
      </c>
      <c r="G42" s="606"/>
      <c r="H42" s="324">
        <f ca="1">H39*1.8268/2^(7-D56)</f>
        <v>3.6536</v>
      </c>
      <c r="I42" s="606"/>
      <c r="J42" s="324">
        <f ca="1">J39*1.8268/2^(7-D56)</f>
        <v>3.6536</v>
      </c>
      <c r="L42" s="140"/>
      <c r="M42" s="140"/>
      <c r="N42" s="140"/>
      <c r="O42" s="140"/>
      <c r="P42" s="140"/>
    </row>
    <row r="43" spans="2:16" x14ac:dyDescent="0.35">
      <c r="B43" s="1" t="s">
        <v>1586</v>
      </c>
      <c r="D43" s="324">
        <f ca="1">D39*1.8268/2^(4-D55)</f>
        <v>29.2288</v>
      </c>
      <c r="E43" s="606"/>
      <c r="F43" s="324">
        <f ca="1">F39*1.8268/2^(4-D55)</f>
        <v>29.2288</v>
      </c>
      <c r="G43" s="606"/>
      <c r="H43" s="324">
        <f ca="1">H39*1.8268/2^(4-D55)</f>
        <v>29.2288</v>
      </c>
      <c r="I43" s="606"/>
      <c r="J43" s="324">
        <f ca="1">J39*1.8268/2^(4-D55)</f>
        <v>29.2288</v>
      </c>
      <c r="L43" s="140"/>
      <c r="M43" s="140"/>
      <c r="N43" s="140"/>
      <c r="O43" s="140"/>
      <c r="P43" s="140"/>
    </row>
    <row r="44" spans="2:16" ht="9.65" customHeight="1" x14ac:dyDescent="0.35">
      <c r="D44" s="313"/>
      <c r="E44" s="5"/>
      <c r="G44" s="1"/>
      <c r="L44" s="140"/>
      <c r="M44" s="140"/>
      <c r="N44" s="140"/>
      <c r="O44" s="140"/>
      <c r="P44" s="140"/>
    </row>
    <row r="45" spans="2:16" x14ac:dyDescent="0.35">
      <c r="B45" s="1" t="s">
        <v>629</v>
      </c>
      <c r="D45" s="35">
        <v>1.25</v>
      </c>
      <c r="E45" s="6" t="s">
        <v>628</v>
      </c>
      <c r="G45" s="1"/>
      <c r="H45" s="1"/>
      <c r="I45" s="1"/>
      <c r="J45" s="1"/>
    </row>
    <row r="46" spans="2:16" hidden="1" x14ac:dyDescent="0.35">
      <c r="B46" t="s">
        <v>636</v>
      </c>
      <c r="D46" s="96">
        <f>8*J13+4*H13+2*F13+D13</f>
        <v>0</v>
      </c>
      <c r="E46" s="6"/>
    </row>
    <row r="47" spans="2:16" hidden="1" x14ac:dyDescent="0.35">
      <c r="B47" t="s">
        <v>634</v>
      </c>
      <c r="D47" s="62">
        <f>D11+F11+H11+J11</f>
        <v>2</v>
      </c>
      <c r="E47" s="6"/>
      <c r="G47" s="310"/>
      <c r="H47" s="310"/>
      <c r="I47" s="310"/>
      <c r="J47" s="310"/>
      <c r="K47" s="311"/>
    </row>
    <row r="48" spans="2:16" x14ac:dyDescent="0.35">
      <c r="B48" s="1" t="s">
        <v>627</v>
      </c>
      <c r="D48" s="35">
        <v>10</v>
      </c>
      <c r="E48" s="6" t="s">
        <v>628</v>
      </c>
    </row>
    <row r="49" spans="2:10" hidden="1" x14ac:dyDescent="0.35">
      <c r="B49" t="s">
        <v>637</v>
      </c>
      <c r="D49" s="96">
        <f>8*J11+4*H11+2*F11+D11</f>
        <v>3</v>
      </c>
      <c r="E49" s="6"/>
    </row>
    <row r="50" spans="2:10" hidden="1" x14ac:dyDescent="0.35">
      <c r="B50" t="s">
        <v>635</v>
      </c>
      <c r="D50" s="607">
        <f>D13+F13+H13+J13</f>
        <v>0</v>
      </c>
      <c r="G50" s="310"/>
      <c r="H50" s="310"/>
      <c r="I50" s="310"/>
      <c r="J50" s="310"/>
    </row>
    <row r="51" spans="2:10" ht="4" customHeight="1" x14ac:dyDescent="0.35">
      <c r="B51" s="1"/>
    </row>
    <row r="52" spans="2:10" x14ac:dyDescent="0.35">
      <c r="B52" s="1" t="s">
        <v>631</v>
      </c>
      <c r="D52" s="284">
        <f>D34*D45</f>
        <v>4.83</v>
      </c>
      <c r="E52" s="13" t="s">
        <v>633</v>
      </c>
    </row>
    <row r="53" spans="2:10" x14ac:dyDescent="0.35">
      <c r="B53" s="1" t="s">
        <v>632</v>
      </c>
      <c r="D53" s="27">
        <f>D37*D48</f>
        <v>48.061347329146393</v>
      </c>
      <c r="E53" s="13" t="s">
        <v>633</v>
      </c>
    </row>
    <row r="55" spans="2:10" x14ac:dyDescent="0.35">
      <c r="B55" s="1" t="s">
        <v>1571</v>
      </c>
      <c r="D55" s="200">
        <v>3</v>
      </c>
    </row>
    <row r="56" spans="2:10" x14ac:dyDescent="0.35">
      <c r="B56" s="1" t="s">
        <v>1572</v>
      </c>
      <c r="D56" s="200">
        <v>3</v>
      </c>
    </row>
    <row r="57" spans="2:10" x14ac:dyDescent="0.35">
      <c r="B57" s="1" t="s">
        <v>1573</v>
      </c>
      <c r="D57" s="380" t="s">
        <v>1574</v>
      </c>
    </row>
    <row r="58" spans="2:10" x14ac:dyDescent="0.35">
      <c r="B58" s="1" t="s">
        <v>1638</v>
      </c>
      <c r="D58" s="41">
        <v>8</v>
      </c>
    </row>
    <row r="59" spans="2:10" x14ac:dyDescent="0.35">
      <c r="B59" s="1" t="s">
        <v>1632</v>
      </c>
      <c r="D59" s="42">
        <f>D58*4</f>
        <v>32</v>
      </c>
      <c r="E59" t="s">
        <v>1166</v>
      </c>
    </row>
    <row r="60" spans="2:10" x14ac:dyDescent="0.35">
      <c r="B60" s="1" t="s">
        <v>1634</v>
      </c>
      <c r="D60" s="42">
        <f>128-D59</f>
        <v>96</v>
      </c>
      <c r="E60" t="s">
        <v>1166</v>
      </c>
    </row>
    <row r="61" spans="2:10" x14ac:dyDescent="0.35">
      <c r="B61" s="1" t="s">
        <v>1633</v>
      </c>
      <c r="D61" s="42">
        <f>D59+128</f>
        <v>160</v>
      </c>
      <c r="E61" t="s">
        <v>1166</v>
      </c>
    </row>
    <row r="63" spans="2:10" ht="15.5" x14ac:dyDescent="0.35">
      <c r="B63" s="16" t="s">
        <v>630</v>
      </c>
    </row>
    <row r="64" spans="2:10" x14ac:dyDescent="0.35">
      <c r="B64" s="330" t="s">
        <v>1608</v>
      </c>
      <c r="C64" s="330" t="s">
        <v>1609</v>
      </c>
      <c r="D64" s="330" t="s">
        <v>768</v>
      </c>
    </row>
    <row r="65" spans="2:10" x14ac:dyDescent="0.35">
      <c r="B65" s="167" t="s">
        <v>1592</v>
      </c>
      <c r="C65" s="618" t="s">
        <v>1009</v>
      </c>
      <c r="D65" s="619" t="str">
        <f>"0x" &amp; DEC2HEX((D49+D46*16),2)</f>
        <v>0x03</v>
      </c>
    </row>
    <row r="66" spans="2:10" x14ac:dyDescent="0.35">
      <c r="B66" s="167" t="s">
        <v>1593</v>
      </c>
      <c r="C66" s="618" t="s">
        <v>1010</v>
      </c>
      <c r="D66" s="619" t="str">
        <f>"0x" &amp; DEC2HEX(3-LOG((D48/10),2),2)</f>
        <v>0x03</v>
      </c>
    </row>
    <row r="67" spans="2:10" x14ac:dyDescent="0.35">
      <c r="B67" s="167" t="s">
        <v>1594</v>
      </c>
      <c r="C67" s="618" t="s">
        <v>1011</v>
      </c>
      <c r="D67" s="619" t="str">
        <f>"0x"&amp;DEC2HEX(D38)</f>
        <v>0x28</v>
      </c>
    </row>
    <row r="68" spans="2:10" x14ac:dyDescent="0.35">
      <c r="B68" s="167" t="s">
        <v>1595</v>
      </c>
      <c r="C68" s="618" t="s">
        <v>1012</v>
      </c>
      <c r="D68" s="619" t="str">
        <f>"0x" &amp; DEC2HEX(3-LOG((D45/0.625),2),2)</f>
        <v>0x02</v>
      </c>
    </row>
    <row r="69" spans="2:10" x14ac:dyDescent="0.35">
      <c r="B69" s="167" t="s">
        <v>1596</v>
      </c>
      <c r="C69" s="618" t="s">
        <v>897</v>
      </c>
      <c r="D69" s="619" t="str">
        <f>"0x"&amp;DEC2HEX(F38)</f>
        <v>0x28</v>
      </c>
    </row>
    <row r="70" spans="2:10" x14ac:dyDescent="0.35">
      <c r="B70" s="167" t="s">
        <v>1597</v>
      </c>
      <c r="C70" s="618" t="s">
        <v>898</v>
      </c>
      <c r="D70" s="619" t="str">
        <f>IF(D57="Active Low","0x01","0x05")</f>
        <v>0x01</v>
      </c>
    </row>
    <row r="71" spans="2:10" x14ac:dyDescent="0.35">
      <c r="B71" s="167" t="s">
        <v>1598</v>
      </c>
      <c r="C71" s="618" t="s">
        <v>899</v>
      </c>
      <c r="D71" s="619" t="str">
        <f>"0x"&amp;DEC2HEX(H38)</f>
        <v>0x28</v>
      </c>
    </row>
    <row r="72" spans="2:10" x14ac:dyDescent="0.35">
      <c r="B72" s="167" t="s">
        <v>1599</v>
      </c>
      <c r="C72" s="618" t="s">
        <v>900</v>
      </c>
      <c r="D72" s="619" t="str">
        <f>"0x"&amp;DEC2HEX(D55,2)</f>
        <v>0x03</v>
      </c>
    </row>
    <row r="73" spans="2:10" x14ac:dyDescent="0.35">
      <c r="B73" s="167" t="s">
        <v>1600</v>
      </c>
      <c r="C73" s="618" t="s">
        <v>905</v>
      </c>
      <c r="D73" s="619" t="str">
        <f>"0x"&amp;DEC2HEX(J38)</f>
        <v>0x28</v>
      </c>
    </row>
    <row r="74" spans="2:10" x14ac:dyDescent="0.35">
      <c r="B74" s="167" t="s">
        <v>1601</v>
      </c>
      <c r="C74" s="618" t="s">
        <v>906</v>
      </c>
      <c r="D74" s="619" t="str">
        <f>"0x"&amp;DEC2HEX(D56,2)</f>
        <v>0x03</v>
      </c>
    </row>
    <row r="75" spans="2:10" x14ac:dyDescent="0.35">
      <c r="B75" s="167" t="s">
        <v>1602</v>
      </c>
      <c r="C75" s="618" t="s">
        <v>908</v>
      </c>
      <c r="D75" s="619" t="str">
        <f>"0x" &amp; DEC2HEX(D21,2)</f>
        <v>0x00</v>
      </c>
    </row>
    <row r="76" spans="2:10" x14ac:dyDescent="0.35">
      <c r="B76" s="167" t="s">
        <v>1635</v>
      </c>
      <c r="C76" s="618" t="s">
        <v>1636</v>
      </c>
      <c r="D76" s="619" t="str">
        <f>"0x"&amp;DEC2HEX(D58,2)</f>
        <v>0x08</v>
      </c>
    </row>
    <row r="77" spans="2:10" x14ac:dyDescent="0.35">
      <c r="B77" s="167" t="s">
        <v>618</v>
      </c>
      <c r="C77" s="618" t="s">
        <v>917</v>
      </c>
      <c r="D77" s="619" t="str">
        <f>"0x"&amp;DEC2HEX(J27*2^6+H27*2^4+F27*2^2+D27,2)</f>
        <v>0x00</v>
      </c>
    </row>
    <row r="78" spans="2:10" hidden="1" x14ac:dyDescent="0.35">
      <c r="B78" s="8" t="s">
        <v>732</v>
      </c>
      <c r="C78" s="618"/>
      <c r="D78" s="620">
        <f>D18*128+32*D19+D24</f>
        <v>190</v>
      </c>
      <c r="E78" s="281"/>
      <c r="F78" s="281">
        <f>F18*128+32*F19+F24</f>
        <v>83</v>
      </c>
      <c r="G78" s="281"/>
      <c r="H78" s="281">
        <f>H18*128+32*H19+H24</f>
        <v>83</v>
      </c>
      <c r="I78" s="281"/>
      <c r="J78" s="281">
        <f>J18*128+32*J19+J24</f>
        <v>83</v>
      </c>
    </row>
    <row r="79" spans="2:10" x14ac:dyDescent="0.35">
      <c r="B79" s="167" t="s">
        <v>1603</v>
      </c>
      <c r="C79" s="618" t="s">
        <v>919</v>
      </c>
      <c r="D79" s="619" t="str">
        <f>"0x" &amp; DEC2HEX(D78)</f>
        <v>0xBE</v>
      </c>
    </row>
    <row r="80" spans="2:10" x14ac:dyDescent="0.35">
      <c r="B80" s="167" t="s">
        <v>1604</v>
      </c>
      <c r="C80" s="618" t="s">
        <v>1589</v>
      </c>
      <c r="D80" s="619" t="str">
        <f>"0x" &amp; DEC2HEX(F78)</f>
        <v>0x53</v>
      </c>
    </row>
    <row r="81" spans="2:6" x14ac:dyDescent="0.35">
      <c r="B81" s="167" t="s">
        <v>1605</v>
      </c>
      <c r="C81" s="618" t="s">
        <v>1590</v>
      </c>
      <c r="D81" s="619" t="str">
        <f>"0x" &amp; DEC2HEX(H78)</f>
        <v>0x53</v>
      </c>
      <c r="E81" s="140"/>
      <c r="F81" s="140"/>
    </row>
    <row r="82" spans="2:6" x14ac:dyDescent="0.35">
      <c r="B82" s="167" t="s">
        <v>1606</v>
      </c>
      <c r="C82" s="618" t="s">
        <v>1591</v>
      </c>
      <c r="D82" s="619" t="str">
        <f>"0x" &amp; DEC2HEX(J78)</f>
        <v>0x53</v>
      </c>
      <c r="E82" s="140"/>
      <c r="F82" s="140"/>
    </row>
    <row r="83" spans="2:6" x14ac:dyDescent="0.35">
      <c r="C83" s="285"/>
      <c r="D83" s="140"/>
      <c r="E83" s="140"/>
      <c r="F83" s="140"/>
    </row>
    <row r="84" spans="2:6" ht="15.5" x14ac:dyDescent="0.35">
      <c r="B84" s="16" t="s">
        <v>277</v>
      </c>
      <c r="F84" s="140"/>
    </row>
    <row r="85" spans="2:6" x14ac:dyDescent="0.35">
      <c r="B85" s="21" t="s">
        <v>69</v>
      </c>
      <c r="C85" s="124">
        <v>10</v>
      </c>
      <c r="D85" s="194" t="s">
        <v>96</v>
      </c>
      <c r="F85" s="140"/>
    </row>
    <row r="86" spans="2:6" x14ac:dyDescent="0.35">
      <c r="B86" s="21" t="s">
        <v>26</v>
      </c>
      <c r="C86" s="124">
        <v>100</v>
      </c>
      <c r="D86" s="21" t="s">
        <v>27</v>
      </c>
      <c r="F86" s="140"/>
    </row>
    <row r="87" spans="2:6" x14ac:dyDescent="0.35">
      <c r="B87" s="21" t="str">
        <f>IF(B88="Rp","Rs","Rp")</f>
        <v>Rs</v>
      </c>
      <c r="C87" s="124">
        <v>50</v>
      </c>
      <c r="D87" s="194" t="str">
        <f>IF(B88="Rp","Ω","kΩ")</f>
        <v>Ω</v>
      </c>
      <c r="F87" s="140"/>
    </row>
    <row r="88" spans="2:6" x14ac:dyDescent="0.35">
      <c r="B88" s="35" t="s">
        <v>81</v>
      </c>
      <c r="C88" s="27">
        <f>1000/C87*C85/C86</f>
        <v>2</v>
      </c>
      <c r="D88" s="21" t="str">
        <f>IF(B88="Rp","kΩ","Ω")</f>
        <v>kΩ</v>
      </c>
      <c r="F88" s="140"/>
    </row>
    <row r="89" spans="2:6" x14ac:dyDescent="0.35">
      <c r="B89" s="21" t="s">
        <v>228</v>
      </c>
      <c r="C89" s="131">
        <f>(0.000001/(2*PI()*SQRT(C85*0.000001*C86*0.000000000001)))</f>
        <v>5.0329212104487038</v>
      </c>
      <c r="D89" s="21" t="s">
        <v>0</v>
      </c>
      <c r="F89" s="140"/>
    </row>
    <row r="90" spans="2:6" x14ac:dyDescent="0.35">
      <c r="B90" s="21" t="s">
        <v>83</v>
      </c>
      <c r="C90" s="32">
        <f>IF(B88="Rs",(1000/C88)*SQRT(C85/C86),(1000/C87)*SQRT(C85/C86))</f>
        <v>6.324555320336759</v>
      </c>
      <c r="D90" s="195"/>
    </row>
    <row r="91" spans="2:6" x14ac:dyDescent="0.35">
      <c r="B91" s="21" t="s">
        <v>1581</v>
      </c>
      <c r="C91" s="29">
        <f>100*C86/C90</f>
        <v>1581.1388300841895</v>
      </c>
      <c r="D91" s="21" t="s">
        <v>27</v>
      </c>
    </row>
    <row r="92" spans="2:6" x14ac:dyDescent="0.35">
      <c r="B92" s="21" t="s">
        <v>1582</v>
      </c>
      <c r="C92" s="29">
        <f>1250*C86/C90</f>
        <v>19764.235376052369</v>
      </c>
      <c r="D92" s="21" t="s">
        <v>27</v>
      </c>
    </row>
    <row r="96" spans="2:6" ht="15.5" x14ac:dyDescent="0.35">
      <c r="B96" s="16" t="s">
        <v>1057</v>
      </c>
      <c r="C96" s="400"/>
      <c r="D96" s="5"/>
    </row>
    <row r="97" spans="1:6" hidden="1" x14ac:dyDescent="0.35">
      <c r="B97" s="5" t="s">
        <v>1043</v>
      </c>
      <c r="C97" s="470" t="b">
        <f>(Spiral_Inductor_Designer!$D$20=Spiral_Inductor_Designer!B251)</f>
        <v>0</v>
      </c>
      <c r="D97" s="5"/>
    </row>
    <row r="98" spans="1:6" hidden="1" x14ac:dyDescent="0.35">
      <c r="B98" s="5" t="s">
        <v>1044</v>
      </c>
      <c r="C98" s="468" t="b">
        <v>0</v>
      </c>
      <c r="D98" s="5"/>
    </row>
    <row r="99" spans="1:6" ht="15.5" x14ac:dyDescent="0.35">
      <c r="A99" s="1"/>
      <c r="B99" t="s">
        <v>278</v>
      </c>
      <c r="C99" s="207">
        <v>18</v>
      </c>
      <c r="D99" s="71" t="s">
        <v>96</v>
      </c>
      <c r="F99" s="14" t="s">
        <v>704</v>
      </c>
    </row>
    <row r="100" spans="1:6" ht="15.5" x14ac:dyDescent="0.35">
      <c r="A100" s="1"/>
      <c r="B100" t="s">
        <v>264</v>
      </c>
      <c r="C100" s="207">
        <v>390</v>
      </c>
      <c r="D100" s="69" t="s">
        <v>27</v>
      </c>
      <c r="E100" s="55" t="str">
        <f>IF(AND(NOT(C97),C98), "Spiral Inductor Designer is not set to LDC1612/4 or LDC1312/4","")</f>
        <v/>
      </c>
    </row>
    <row r="101" spans="1:6" hidden="1" x14ac:dyDescent="0.35">
      <c r="A101" s="1"/>
      <c r="B101" s="5" t="s">
        <v>1035</v>
      </c>
      <c r="C101" s="469">
        <f>IF(C98,Spiral_Inductor_Designer!$D$195,C99)</f>
        <v>18</v>
      </c>
      <c r="D101" s="71" t="s">
        <v>96</v>
      </c>
      <c r="E101" s="5" t="s">
        <v>1041</v>
      </c>
    </row>
    <row r="102" spans="1:6" hidden="1" x14ac:dyDescent="0.35">
      <c r="A102" s="1"/>
      <c r="B102" s="5" t="s">
        <v>1036</v>
      </c>
      <c r="C102" s="469">
        <f>IF(C98,Spiral_Inductor_Designer!D22,C100)</f>
        <v>390</v>
      </c>
      <c r="D102" s="69" t="s">
        <v>27</v>
      </c>
      <c r="E102" s="5" t="s">
        <v>1041</v>
      </c>
    </row>
    <row r="103" spans="1:6" hidden="1" x14ac:dyDescent="0.35">
      <c r="A103" s="1"/>
      <c r="B103" s="412" t="s">
        <v>933</v>
      </c>
      <c r="C103" s="413">
        <v>1</v>
      </c>
      <c r="D103" s="412" t="s">
        <v>0</v>
      </c>
    </row>
    <row r="104" spans="1:6" hidden="1" x14ac:dyDescent="0.35">
      <c r="A104" s="1"/>
      <c r="B104" s="412" t="s">
        <v>934</v>
      </c>
      <c r="C104" s="414">
        <v>30</v>
      </c>
      <c r="D104" s="412" t="s">
        <v>0</v>
      </c>
    </row>
    <row r="105" spans="1:6" ht="15.5" x14ac:dyDescent="0.35">
      <c r="A105" s="1"/>
      <c r="B105" t="s">
        <v>940</v>
      </c>
      <c r="C105" s="43">
        <f>1000/(2*PI()*SQRT(C102*C101))</f>
        <v>1.8995537004167624</v>
      </c>
      <c r="D105" s="69" t="s">
        <v>0</v>
      </c>
      <c r="E105" s="55" t="str">
        <f>IF(C105&lt;C103,"Below minimum of "&amp;C103&amp;"MHz, reduce C or L",IF(C105&gt;C104,"Exceeds maximum of "&amp;C104&amp;"MHz, increase L or C",""))</f>
        <v/>
      </c>
    </row>
    <row r="106" spans="1:6" ht="15.5" x14ac:dyDescent="0.35">
      <c r="A106" s="1"/>
      <c r="B106" s="203" t="s">
        <v>242</v>
      </c>
      <c r="C106" s="206">
        <v>8.82</v>
      </c>
      <c r="D106" s="5" t="str">
        <f>IF(B106="Sensor Q","","kΩ")</f>
        <v>kΩ</v>
      </c>
      <c r="E106" t="s">
        <v>955</v>
      </c>
    </row>
    <row r="107" spans="1:6" ht="15.5" x14ac:dyDescent="0.35">
      <c r="A107" s="1"/>
      <c r="B107" s="46" t="str">
        <f>IF(B106="Sensor Q","Sensor RP","Sensor Q")</f>
        <v>Sensor Q</v>
      </c>
      <c r="C107" s="77">
        <f>IF(B107="Sensor Q",C106*SQRT(C102/C101),C106*SQRT(C102/C100))</f>
        <v>41.054865728680689</v>
      </c>
      <c r="D107" s="5" t="str">
        <f>IF(B107="Sensor Q","","kΩ")</f>
        <v/>
      </c>
    </row>
    <row r="108" spans="1:6" hidden="1" x14ac:dyDescent="0.35">
      <c r="A108" s="1"/>
      <c r="B108" s="69" t="s">
        <v>1037</v>
      </c>
      <c r="C108" s="447">
        <f>IF(B107="Sensor RP",C107,C106)</f>
        <v>8.82</v>
      </c>
      <c r="D108" s="5" t="s">
        <v>243</v>
      </c>
      <c r="E108" s="5" t="s">
        <v>1048</v>
      </c>
    </row>
    <row r="109" spans="1:6" hidden="1" x14ac:dyDescent="0.35">
      <c r="A109" s="1"/>
      <c r="B109" s="69" t="s">
        <v>1038</v>
      </c>
      <c r="C109" s="447">
        <f>IF(B107="Sensor Q",C107,C106)</f>
        <v>41.054865728680689</v>
      </c>
      <c r="E109" s="5" t="s">
        <v>1048</v>
      </c>
    </row>
    <row r="110" spans="1:6" hidden="1" x14ac:dyDescent="0.35">
      <c r="A110" s="1"/>
      <c r="B110" s="69" t="s">
        <v>1039</v>
      </c>
      <c r="C110" s="447">
        <f>IF(C98,Spiral_Inductor_Designer!D203,C108)</f>
        <v>8.82</v>
      </c>
      <c r="D110" s="5" t="s">
        <v>243</v>
      </c>
      <c r="E110" s="5" t="s">
        <v>1041</v>
      </c>
    </row>
    <row r="111" spans="1:6" hidden="1" x14ac:dyDescent="0.35">
      <c r="A111" s="1"/>
      <c r="B111" s="69" t="s">
        <v>1040</v>
      </c>
      <c r="C111" s="447">
        <f>IF(C98,Spiral_Inductor_Designer!D204,C109)</f>
        <v>41.054865728680689</v>
      </c>
      <c r="E111" s="5" t="s">
        <v>1041</v>
      </c>
    </row>
    <row r="112" spans="1:6" ht="15.5" x14ac:dyDescent="0.35">
      <c r="A112" s="1"/>
      <c r="B112" s="46" t="s">
        <v>403</v>
      </c>
      <c r="C112" s="207">
        <v>14</v>
      </c>
      <c r="D112" t="s">
        <v>34</v>
      </c>
    </row>
    <row r="113" spans="1:15" hidden="1" x14ac:dyDescent="0.35">
      <c r="A113" s="1"/>
      <c r="B113" s="69" t="s">
        <v>1045</v>
      </c>
      <c r="C113" s="472">
        <f>IF(C98,Spiral_Inductor_Designer!D27,C112)</f>
        <v>14</v>
      </c>
      <c r="D113" s="5" t="s">
        <v>34</v>
      </c>
      <c r="E113" s="5" t="s">
        <v>1041</v>
      </c>
    </row>
    <row r="114" spans="1:15" ht="15.5" x14ac:dyDescent="0.35">
      <c r="A114" s="1"/>
      <c r="B114" s="46"/>
      <c r="C114" s="455"/>
    </row>
    <row r="115" spans="1:15" ht="15.5" x14ac:dyDescent="0.35">
      <c r="A115" s="1"/>
      <c r="B115" s="16" t="s">
        <v>1034</v>
      </c>
      <c r="C115" s="455"/>
    </row>
    <row r="116" spans="1:15" ht="15.5" x14ac:dyDescent="0.35">
      <c r="A116" s="1"/>
      <c r="B116" s="46" t="s">
        <v>974</v>
      </c>
      <c r="C116" s="207">
        <v>14</v>
      </c>
      <c r="D116" t="s">
        <v>34</v>
      </c>
      <c r="E116" s="641" t="str">
        <f>("Assumes Aluminum target at least "&amp;TEXT(3*MAX(C121,C127),"0.000")&amp; "mm thick")</f>
        <v>Assumes Aluminum target at least 0.178mm thick</v>
      </c>
      <c r="F116" s="642"/>
      <c r="G116" s="642"/>
    </row>
    <row r="117" spans="1:15" ht="15.5" x14ac:dyDescent="0.35">
      <c r="A117" s="1"/>
      <c r="B117" s="46" t="s">
        <v>433</v>
      </c>
      <c r="C117" s="207">
        <v>1.5</v>
      </c>
      <c r="D117" t="s">
        <v>34</v>
      </c>
      <c r="E117" s="643"/>
      <c r="F117" s="642"/>
      <c r="G117" s="642"/>
    </row>
    <row r="118" spans="1:15" ht="15.5" hidden="1" x14ac:dyDescent="0.35">
      <c r="A118" s="1"/>
      <c r="B118" s="46" t="s">
        <v>860</v>
      </c>
      <c r="C118" s="121">
        <f>C116/C113</f>
        <v>1</v>
      </c>
    </row>
    <row r="119" spans="1:15" ht="15.5" hidden="1" x14ac:dyDescent="0.35">
      <c r="A119" s="1"/>
      <c r="B119" s="46" t="s">
        <v>861</v>
      </c>
      <c r="C119" s="406">
        <f>(0.00406832344757895+15.5588911/(1+(C113/0.0358077078721068)^0.865185989584669))+(0.973523646945684-1.1322846019223/(1+(C113/1.1356393338887)^1.06847511981245))*(1-EXP(-(10.3324121181807-56.0213701830392/(1+(C113/0.0139455036722347)^0.572123422421793))*C118))</f>
        <v>0.99359076004379887</v>
      </c>
    </row>
    <row r="120" spans="1:15" ht="16.5" x14ac:dyDescent="0.45">
      <c r="A120" s="1"/>
      <c r="B120" s="46" t="s">
        <v>987</v>
      </c>
      <c r="C120" s="411">
        <f>1000/(2*PI()*SQRT(C119*C102*C101))</f>
        <v>1.9056704667768087</v>
      </c>
      <c r="D120" t="s">
        <v>0</v>
      </c>
      <c r="E120" s="55" t="str">
        <f>IF(C120&lt;C103,"Below minimum of "&amp;C103&amp;"MHz, reduce C or L",IF(C120&gt;C104,"Exceeds maximum of "&amp;C104&amp;"MHz, increase L or C",""))</f>
        <v/>
      </c>
    </row>
    <row r="121" spans="1:15" ht="15.5" hidden="1" x14ac:dyDescent="0.35">
      <c r="A121" s="1"/>
      <c r="B121" s="46" t="s">
        <v>937</v>
      </c>
      <c r="C121" s="406">
        <f>0.0819/SQRT(C120)</f>
        <v>5.9328039871660083E-2</v>
      </c>
      <c r="D121" t="s">
        <v>34</v>
      </c>
      <c r="E121" s="55"/>
      <c r="O121">
        <f>(0.00406832344757895+15.5588911/(1+(C113/0.0358077078721068)^0.865185989584669))+(0.973523646945684-1.1322846019223/(1+(C113/1.1356393338887)^1.06847511981245))*(1-EXP(-(10.3324121181807-56.0213701830392/(1+(C113/0.0139455036722347)^0.572123422421793))*C141))</f>
        <v>0.98990958479561286</v>
      </c>
    </row>
    <row r="122" spans="1:15" ht="16.5" hidden="1" x14ac:dyDescent="0.45">
      <c r="A122" s="1"/>
      <c r="B122" s="46" t="s">
        <v>936</v>
      </c>
      <c r="C122" s="406">
        <f>C119*C110</f>
        <v>8.7634705035863067</v>
      </c>
      <c r="D122" t="s">
        <v>243</v>
      </c>
      <c r="E122" s="69" t="s">
        <v>1049</v>
      </c>
    </row>
    <row r="123" spans="1:15" ht="15.5" hidden="1" x14ac:dyDescent="0.35">
      <c r="A123" s="1"/>
      <c r="B123" s="46" t="s">
        <v>862</v>
      </c>
      <c r="C123" s="121">
        <f>C117/C113</f>
        <v>0.10714285714285714</v>
      </c>
    </row>
    <row r="124" spans="1:15" ht="15.5" hidden="1" x14ac:dyDescent="0.35">
      <c r="A124" s="1"/>
      <c r="B124" s="46" t="s">
        <v>863</v>
      </c>
      <c r="C124" s="404">
        <f>(0.00406832344757895+15.5588911/(1+(C113/0.0358077078721068)^0.865185989584669))+(0.973523646945684-1.1322846019223/(1+(C113/1.1356393338887)^1.06847511981245))*(1-EXP(-(10.3324121181807-56.0213701830392/(1+(C113/0.0139455036722347)^0.572123422421793))*C123))</f>
        <v>0.66021615624383179</v>
      </c>
    </row>
    <row r="125" spans="1:15" ht="16.5" x14ac:dyDescent="0.45">
      <c r="A125" s="1"/>
      <c r="B125" s="46" t="s">
        <v>988</v>
      </c>
      <c r="C125" s="411">
        <f>1000/(2*PI()*SQRT(C124*C102*C101))</f>
        <v>2.3378061763161946</v>
      </c>
      <c r="D125" t="s">
        <v>0</v>
      </c>
      <c r="E125" s="55" t="str">
        <f>IF(C125&lt;C103,"Below minimum of "&amp;C103&amp;"MHz, reduce C or L",IF(C125&gt;C104,"Exceeds maximum of "&amp;C104&amp;"MHz, increase L or C",""))</f>
        <v/>
      </c>
    </row>
    <row r="126" spans="1:15" ht="15.5" x14ac:dyDescent="0.35">
      <c r="A126" s="1"/>
      <c r="B126" s="46" t="s">
        <v>965</v>
      </c>
      <c r="C126" s="436">
        <f>ABS(C125-C120)*1000</f>
        <v>432.13570953938586</v>
      </c>
      <c r="D126" t="s">
        <v>72</v>
      </c>
      <c r="E126" s="55"/>
    </row>
    <row r="127" spans="1:15" ht="15.5" hidden="1" x14ac:dyDescent="0.35">
      <c r="A127" s="1"/>
      <c r="B127" s="46" t="s">
        <v>938</v>
      </c>
      <c r="C127" s="406">
        <f>0.0819/SQRT(C125)</f>
        <v>5.3564820133470539E-2</v>
      </c>
      <c r="D127" t="s">
        <v>34</v>
      </c>
      <c r="E127" s="55"/>
    </row>
    <row r="128" spans="1:15" ht="16.5" hidden="1" x14ac:dyDescent="0.45">
      <c r="A128" s="1"/>
      <c r="B128" s="46" t="s">
        <v>935</v>
      </c>
      <c r="C128" s="406">
        <f>C124*C110</f>
        <v>5.8231064980705964</v>
      </c>
      <c r="D128" t="s">
        <v>243</v>
      </c>
      <c r="E128" s="69" t="s">
        <v>1049</v>
      </c>
    </row>
    <row r="129" spans="1:6" ht="15.5" hidden="1" x14ac:dyDescent="0.35">
      <c r="A129" s="1"/>
      <c r="B129" s="46"/>
      <c r="C129" s="404"/>
      <c r="E129" s="69"/>
    </row>
    <row r="130" spans="1:6" hidden="1" x14ac:dyDescent="0.35">
      <c r="A130" s="1"/>
      <c r="B130" t="s">
        <v>206</v>
      </c>
      <c r="C130" s="123">
        <v>0.7</v>
      </c>
      <c r="D130" t="s">
        <v>16</v>
      </c>
      <c r="E130" s="69"/>
    </row>
    <row r="131" spans="1:6" hidden="1" x14ac:dyDescent="0.35">
      <c r="A131" s="1"/>
      <c r="B131" s="2"/>
      <c r="C131" s="271">
        <v>299790000</v>
      </c>
      <c r="D131" s="2"/>
      <c r="E131" s="69"/>
    </row>
    <row r="132" spans="1:6" hidden="1" x14ac:dyDescent="0.35">
      <c r="A132" s="1"/>
      <c r="B132" t="s">
        <v>207</v>
      </c>
      <c r="C132" s="92">
        <f>MAX(C125,C120,C105)</f>
        <v>2.3378061763161946</v>
      </c>
      <c r="D132" t="s">
        <v>0</v>
      </c>
      <c r="E132" s="69"/>
    </row>
    <row r="133" spans="1:6" hidden="1" x14ac:dyDescent="0.35">
      <c r="A133" s="1"/>
      <c r="B133" s="2"/>
      <c r="C133" s="61">
        <v>6</v>
      </c>
      <c r="D133" s="101"/>
      <c r="E133" s="69"/>
    </row>
    <row r="134" spans="1:6" hidden="1" x14ac:dyDescent="0.35">
      <c r="A134" s="1"/>
      <c r="B134" s="2"/>
      <c r="C134" s="61">
        <v>14</v>
      </c>
      <c r="D134" s="101"/>
      <c r="E134" s="69"/>
    </row>
    <row r="135" spans="1:6" hidden="1" x14ac:dyDescent="0.35">
      <c r="A135" s="1"/>
      <c r="B135" s="2"/>
      <c r="C135" s="61">
        <f>C134/360/(C132*1000000)</f>
        <v>1.6634778914891984E-8</v>
      </c>
      <c r="D135" s="101"/>
      <c r="E135" s="69"/>
    </row>
    <row r="136" spans="1:6" hidden="1" x14ac:dyDescent="0.35">
      <c r="A136" s="1"/>
      <c r="B136" s="2"/>
      <c r="C136" s="61">
        <f>(C135-(C133*0.000000001))/2</f>
        <v>5.3173894574459918E-9</v>
      </c>
      <c r="D136" s="2"/>
      <c r="E136" s="69"/>
    </row>
    <row r="137" spans="1:6" ht="15.5" x14ac:dyDescent="0.35">
      <c r="A137" s="1"/>
      <c r="B137" t="s">
        <v>959</v>
      </c>
      <c r="C137" s="435">
        <f>MAX(50*C136*C130*C131,1)</f>
        <v>55.79350649067068</v>
      </c>
      <c r="D137" t="s">
        <v>3</v>
      </c>
      <c r="E137" s="69" t="s">
        <v>960</v>
      </c>
    </row>
    <row r="139" spans="1:6" ht="15.75" customHeight="1" x14ac:dyDescent="0.35"/>
    <row r="140" spans="1:6" ht="15.5" x14ac:dyDescent="0.35">
      <c r="B140" t="s">
        <v>1223</v>
      </c>
      <c r="C140" s="633">
        <v>8.2652000000000001</v>
      </c>
      <c r="D140" t="s">
        <v>34</v>
      </c>
      <c r="E140" t="s">
        <v>1668</v>
      </c>
    </row>
    <row r="141" spans="1:6" ht="15.5" hidden="1" x14ac:dyDescent="0.35">
      <c r="B141" t="s">
        <v>1649</v>
      </c>
      <c r="C141" s="406">
        <f>C140/C113</f>
        <v>0.59037142857142855</v>
      </c>
      <c r="F141" t="b">
        <f>IF(AND(C140&gt;=C117,C140&lt;=C116),TRUE,FALSE)</f>
        <v>1</v>
      </c>
    </row>
    <row r="142" spans="1:6" hidden="1" x14ac:dyDescent="0.35">
      <c r="B142" t="s">
        <v>1650</v>
      </c>
      <c r="C142" s="437">
        <f>(0.00406832344757895+15.5588911/(1+(C113/0.0358077078721068)^0.865185989584669))+(0.973523646945684-1.1322846019223/(1+(C113/1.1356393338887)^1.06847511981245))*(1-EXP(-(10.3324121181807-56.0213701830392/(1+(C113/0.0139455036722347)^0.572123422421793))*C141))</f>
        <v>0.98990958479561286</v>
      </c>
    </row>
    <row r="143" spans="1:6" ht="15.5" x14ac:dyDescent="0.35">
      <c r="B143" t="s">
        <v>1652</v>
      </c>
      <c r="C143" s="411">
        <f>C142*C101</f>
        <v>17.818372526321031</v>
      </c>
      <c r="D143" t="s">
        <v>96</v>
      </c>
    </row>
    <row r="144" spans="1:6" ht="15.5" x14ac:dyDescent="0.35">
      <c r="B144" t="s">
        <v>1651</v>
      </c>
      <c r="C144" s="411">
        <f>1000/(2*PI()*SQRT(C143*C102))</f>
        <v>1.9092104856797578</v>
      </c>
      <c r="D144" t="s">
        <v>0</v>
      </c>
    </row>
    <row r="145" spans="2:6" hidden="1" x14ac:dyDescent="0.35">
      <c r="B145" t="s">
        <v>152</v>
      </c>
      <c r="C145" s="437">
        <f>128*(1+D24)*POWER(2,D21)</f>
        <v>3968</v>
      </c>
    </row>
    <row r="146" spans="2:6" ht="15.5" hidden="1" x14ac:dyDescent="0.35">
      <c r="B146" t="s">
        <v>1169</v>
      </c>
      <c r="C146" s="631">
        <v>44</v>
      </c>
      <c r="D146" t="s">
        <v>0</v>
      </c>
    </row>
    <row r="147" spans="2:6" hidden="1" x14ac:dyDescent="0.35">
      <c r="B147" t="s">
        <v>1653</v>
      </c>
      <c r="C147" s="437">
        <f>(C146/C144)*30*C145</f>
        <v>2743416.736544447</v>
      </c>
    </row>
    <row r="148" spans="2:6" ht="15.5" x14ac:dyDescent="0.35">
      <c r="B148" t="s">
        <v>1653</v>
      </c>
      <c r="C148" s="628">
        <f>ROUND(C147,0)</f>
        <v>2743417</v>
      </c>
    </row>
    <row r="149" spans="2:6" ht="15.5" x14ac:dyDescent="0.35">
      <c r="B149" t="s">
        <v>1654</v>
      </c>
      <c r="C149" s="629" t="str">
        <f xml:space="preserve"> "0x" &amp; DEC2HEX(C148,6)</f>
        <v>0x29DC79</v>
      </c>
      <c r="D149" t="s">
        <v>1655</v>
      </c>
    </row>
    <row r="152" spans="2:6" ht="15.5" x14ac:dyDescent="0.35">
      <c r="B152" s="4" t="s">
        <v>1653</v>
      </c>
      <c r="C152" s="634">
        <v>3993994</v>
      </c>
      <c r="D152" s="4" t="s">
        <v>1656</v>
      </c>
      <c r="E152" s="134" t="b">
        <f>IF(D152="Hex",IF(C153&gt;16777215,FALSE,TRUE),IF(HEX2DEC(C153)&gt;16777215,FALSE,TRUE))</f>
        <v>1</v>
      </c>
    </row>
    <row r="153" spans="2:6" ht="15.5" x14ac:dyDescent="0.35">
      <c r="B153" s="4" t="s">
        <v>1653</v>
      </c>
      <c r="C153" s="629" t="str">
        <f>IF(D152="Hex",HEX2DEC(C152),DEC2HEX(C152))</f>
        <v>3CF18A</v>
      </c>
      <c r="D153" s="4" t="str">
        <f>IF(D152="Dec","Hex","Dec")</f>
        <v>Hex</v>
      </c>
      <c r="E153" s="68" t="s">
        <v>1659</v>
      </c>
    </row>
    <row r="154" spans="2:6" ht="15.5" hidden="1" x14ac:dyDescent="0.35">
      <c r="B154" s="4" t="s">
        <v>1660</v>
      </c>
      <c r="C154" s="630"/>
      <c r="D154" s="4"/>
      <c r="E154" s="68"/>
    </row>
    <row r="155" spans="2:6" ht="15.5" hidden="1" x14ac:dyDescent="0.35">
      <c r="B155" s="4" t="s">
        <v>1169</v>
      </c>
      <c r="C155" s="631">
        <v>44</v>
      </c>
      <c r="D155" t="s">
        <v>0</v>
      </c>
    </row>
    <row r="156" spans="2:6" ht="15.5" x14ac:dyDescent="0.35">
      <c r="B156" s="4" t="s">
        <v>1670</v>
      </c>
      <c r="C156" s="635">
        <f>IF(D152="Hex",C155*C145*30/C153,C155*C145*30/C152)</f>
        <v>1.3114090807347232</v>
      </c>
      <c r="D156" t="s">
        <v>0</v>
      </c>
      <c r="F156" s="134" t="b">
        <f>IF(C157&gt;C101,TRUE, FALSE)</f>
        <v>1</v>
      </c>
    </row>
    <row r="157" spans="2:6" ht="15.5" x14ac:dyDescent="0.35">
      <c r="B157" s="4" t="s">
        <v>1669</v>
      </c>
      <c r="C157" s="629">
        <f>((1000/(2*PI()*C156))^2)/C102</f>
        <v>37.765851674285607</v>
      </c>
      <c r="D157" t="s">
        <v>96</v>
      </c>
      <c r="E157" s="68" t="s">
        <v>1665</v>
      </c>
    </row>
    <row r="158" spans="2:6" ht="15.5" hidden="1" x14ac:dyDescent="0.35">
      <c r="B158" s="4" t="s">
        <v>1650</v>
      </c>
      <c r="C158" s="59">
        <f>C157/C101</f>
        <v>2.0981028707936447</v>
      </c>
    </row>
    <row r="159" spans="2:6" ht="15.5" hidden="1" x14ac:dyDescent="0.35">
      <c r="B159" s="4" t="s">
        <v>1657</v>
      </c>
      <c r="C159" s="59" t="e">
        <f>-(LN(1-((C158-(0.00406832344757895+15.5588911/(1+(C113/0.0358077078721068)^0.865185989584669)))/(0.973523646945684-1.1322846019223/(1+(C113/1.1356393338887)^1.06847511981245)))))/(10.3324121181807-56.0213701830392/(1+(C113/0.0139455036722347)^0.572123422421793))</f>
        <v>#NUM!</v>
      </c>
    </row>
    <row r="160" spans="2:6" ht="15.5" x14ac:dyDescent="0.35">
      <c r="B160" s="4" t="s">
        <v>1658</v>
      </c>
      <c r="C160" s="632" t="e">
        <f>C159*C113</f>
        <v>#NUM!</v>
      </c>
      <c r="D160" t="s">
        <v>34</v>
      </c>
      <c r="E160" s="68" t="s">
        <v>1666</v>
      </c>
    </row>
    <row r="161" spans="3:22" x14ac:dyDescent="0.35">
      <c r="E161" s="68" t="s">
        <v>1667</v>
      </c>
    </row>
    <row r="162" spans="3:22" hidden="1" x14ac:dyDescent="0.35"/>
    <row r="163" spans="3:22" hidden="1" x14ac:dyDescent="0.35"/>
    <row r="164" spans="3:22" hidden="1" x14ac:dyDescent="0.35">
      <c r="D164" t="s">
        <v>347</v>
      </c>
    </row>
    <row r="165" spans="3:22" hidden="1" x14ac:dyDescent="0.35">
      <c r="C165">
        <f>(C158-(0.00406832344757895+15.5588911/(1+(C113/0.0358077078721068)^0.865185989584669)))/(0.973523646945684-1.1322846019223/(1+(C113/1.1356393338887)^1.06847511981245))</f>
        <v>2.2255979255472504</v>
      </c>
      <c r="D165" t="s">
        <v>1656</v>
      </c>
    </row>
    <row r="166" spans="3:22" hidden="1" x14ac:dyDescent="0.35">
      <c r="C166">
        <f>(1-C165)</f>
        <v>-1.2255979255472504</v>
      </c>
    </row>
    <row r="167" spans="3:22" ht="13.5" hidden="1" customHeight="1" x14ac:dyDescent="0.35">
      <c r="C167">
        <f>-(LN(ABS(C166)))/(10.3324121181807-56.0213701830392/(1+(C113/0.0139455036722347)^0.572123422421793))</f>
        <v>-2.192453941078315E-2</v>
      </c>
      <c r="D167">
        <f>-(LN(ABS(C165)))/(10.3324121181807-56.0213701830392/(1+(C113/0.0139455036722347)^0.572123422421793))</f>
        <v>-8.6222750444766738E-2</v>
      </c>
    </row>
    <row r="168" spans="3:22" hidden="1" x14ac:dyDescent="0.35">
      <c r="C168">
        <f>C167*C113</f>
        <v>-0.30694355175096411</v>
      </c>
    </row>
    <row r="169" spans="3:22" hidden="1" x14ac:dyDescent="0.35"/>
    <row r="170" spans="3:22" hidden="1" x14ac:dyDescent="0.35"/>
    <row r="171" spans="3:22" hidden="1" x14ac:dyDescent="0.35"/>
    <row r="172" spans="3:22" hidden="1" x14ac:dyDescent="0.35"/>
    <row r="173" spans="3:22" hidden="1" x14ac:dyDescent="0.35">
      <c r="C173" s="225" t="s">
        <v>1578</v>
      </c>
    </row>
    <row r="174" spans="3:22" hidden="1" x14ac:dyDescent="0.35">
      <c r="C174" s="225" t="s">
        <v>743</v>
      </c>
      <c r="D174" s="225" t="s">
        <v>744</v>
      </c>
      <c r="E174" s="225"/>
      <c r="F174" s="225" t="s">
        <v>745</v>
      </c>
      <c r="G174" s="225" t="s">
        <v>746</v>
      </c>
      <c r="H174" s="225" t="s">
        <v>747</v>
      </c>
      <c r="I174" s="225" t="s">
        <v>748</v>
      </c>
      <c r="J174" s="225" t="s">
        <v>749</v>
      </c>
      <c r="K174" s="225" t="s">
        <v>750</v>
      </c>
      <c r="L174" s="225" t="s">
        <v>751</v>
      </c>
      <c r="M174" s="225" t="s">
        <v>752</v>
      </c>
      <c r="N174" s="225" t="s">
        <v>753</v>
      </c>
      <c r="O174" s="225" t="s">
        <v>754</v>
      </c>
      <c r="P174" s="225" t="s">
        <v>758</v>
      </c>
      <c r="Q174" s="225" t="s">
        <v>755</v>
      </c>
      <c r="R174" s="225" t="s">
        <v>759</v>
      </c>
      <c r="S174" s="225" t="s">
        <v>756</v>
      </c>
      <c r="T174" s="225" t="s">
        <v>760</v>
      </c>
      <c r="U174" s="225" t="s">
        <v>757</v>
      </c>
      <c r="V174" s="225" t="s">
        <v>761</v>
      </c>
    </row>
    <row r="175" spans="3:22" hidden="1" x14ac:dyDescent="0.35">
      <c r="C175" s="59">
        <v>5</v>
      </c>
      <c r="D175" s="59">
        <v>30</v>
      </c>
      <c r="E175" s="59"/>
      <c r="F175" s="59">
        <v>0.01</v>
      </c>
      <c r="G175" s="59">
        <v>30</v>
      </c>
      <c r="H175" s="59">
        <v>30</v>
      </c>
      <c r="I175" s="59">
        <v>30</v>
      </c>
      <c r="J175" s="59">
        <v>30</v>
      </c>
      <c r="K175" s="59">
        <v>30</v>
      </c>
      <c r="L175" s="59">
        <v>30</v>
      </c>
      <c r="M175" s="59">
        <v>30</v>
      </c>
      <c r="N175" s="59">
        <v>30</v>
      </c>
      <c r="O175" s="64">
        <f>D25</f>
        <v>1.1419999999999999</v>
      </c>
      <c r="P175" s="316">
        <f>IF(D8=TRUE(),D16,-100)</f>
        <v>4</v>
      </c>
      <c r="Q175" s="64">
        <f>F25</f>
        <v>1.054</v>
      </c>
      <c r="R175" s="316">
        <f>IF(F8=TRUE(),F16,-100)</f>
        <v>20</v>
      </c>
      <c r="S175" s="64">
        <f>IF(H8=TRUE(),H25,-100)</f>
        <v>-100</v>
      </c>
      <c r="T175" s="316">
        <f>H16</f>
        <v>20</v>
      </c>
      <c r="U175" s="64">
        <f>J17</f>
        <v>1</v>
      </c>
      <c r="V175" s="316">
        <f>IF(J8=TRUE(),J16,-100)</f>
        <v>-100</v>
      </c>
    </row>
    <row r="176" spans="3:22" hidden="1" x14ac:dyDescent="0.35">
      <c r="C176" s="59">
        <v>5</v>
      </c>
      <c r="D176" s="59">
        <v>30</v>
      </c>
      <c r="E176" s="59"/>
      <c r="F176" s="59">
        <v>0.1</v>
      </c>
      <c r="G176" s="59">
        <v>30</v>
      </c>
      <c r="H176" s="59">
        <v>30</v>
      </c>
      <c r="I176" s="59">
        <v>30</v>
      </c>
      <c r="J176" s="59">
        <v>30</v>
      </c>
      <c r="K176" s="59">
        <v>30</v>
      </c>
      <c r="L176" s="59">
        <v>30</v>
      </c>
      <c r="M176" s="59">
        <v>30</v>
      </c>
      <c r="N176" s="59">
        <v>30</v>
      </c>
      <c r="O176" s="59">
        <f>O175*1.001</f>
        <v>1.1431419999999999</v>
      </c>
      <c r="P176" s="316">
        <f>IF(D8=TRUE(),0.9999*D16,-100)</f>
        <v>3.9996</v>
      </c>
      <c r="Q176" s="59">
        <f t="shared" ref="Q176:V176" si="0">Q175*1.001</f>
        <v>1.0550539999999999</v>
      </c>
      <c r="R176" s="59">
        <f>IF(F8=TRUE(),F16,-100)</f>
        <v>20</v>
      </c>
      <c r="S176" s="59">
        <f t="shared" si="0"/>
        <v>-100.1</v>
      </c>
      <c r="T176" s="59">
        <f t="shared" si="0"/>
        <v>20.019999999999996</v>
      </c>
      <c r="U176" s="59">
        <f t="shared" si="0"/>
        <v>1.0009999999999999</v>
      </c>
      <c r="V176" s="59">
        <f t="shared" si="0"/>
        <v>-100.1</v>
      </c>
    </row>
    <row r="177" spans="3:14" hidden="1" x14ac:dyDescent="0.35">
      <c r="C177" s="59">
        <v>5</v>
      </c>
      <c r="D177" s="59">
        <v>30</v>
      </c>
      <c r="E177" s="59"/>
      <c r="F177" s="59">
        <v>0.25</v>
      </c>
      <c r="G177" s="59">
        <v>16.384</v>
      </c>
      <c r="H177" s="59">
        <v>30</v>
      </c>
      <c r="I177" s="59">
        <v>30</v>
      </c>
      <c r="J177" s="59">
        <v>30</v>
      </c>
      <c r="K177" s="59">
        <v>30</v>
      </c>
      <c r="L177" s="59">
        <v>30</v>
      </c>
      <c r="M177" s="59">
        <v>30</v>
      </c>
      <c r="N177" s="59">
        <v>30</v>
      </c>
    </row>
    <row r="178" spans="3:14" hidden="1" x14ac:dyDescent="0.35">
      <c r="C178" s="59">
        <v>5</v>
      </c>
      <c r="D178" s="59">
        <v>30</v>
      </c>
      <c r="E178" s="59"/>
      <c r="F178" s="59">
        <v>0.5</v>
      </c>
      <c r="G178" s="59">
        <v>8.1920000000000002</v>
      </c>
      <c r="H178" s="59">
        <v>16.384</v>
      </c>
      <c r="I178" s="59">
        <v>30</v>
      </c>
      <c r="J178" s="59">
        <v>30</v>
      </c>
      <c r="K178" s="59">
        <v>30</v>
      </c>
      <c r="L178" s="59">
        <v>30</v>
      </c>
      <c r="M178" s="59">
        <v>30</v>
      </c>
      <c r="N178" s="59">
        <v>30</v>
      </c>
    </row>
    <row r="179" spans="3:14" hidden="1" x14ac:dyDescent="0.35">
      <c r="C179" s="59">
        <v>5</v>
      </c>
      <c r="D179" s="59">
        <v>30</v>
      </c>
      <c r="E179" s="59"/>
      <c r="F179" s="59">
        <v>0.75</v>
      </c>
      <c r="G179" s="59">
        <v>5.4613333333333332</v>
      </c>
      <c r="H179" s="59">
        <v>10.922666666666666</v>
      </c>
      <c r="I179" s="59">
        <v>21.845333333333333</v>
      </c>
      <c r="J179" s="59">
        <v>30</v>
      </c>
      <c r="K179" s="59">
        <v>30</v>
      </c>
      <c r="L179" s="59">
        <v>30</v>
      </c>
      <c r="M179" s="59">
        <v>30</v>
      </c>
      <c r="N179" s="59">
        <v>30</v>
      </c>
    </row>
    <row r="180" spans="3:14" hidden="1" x14ac:dyDescent="0.35">
      <c r="C180" s="59">
        <v>5</v>
      </c>
      <c r="D180" s="59">
        <v>30</v>
      </c>
      <c r="E180" s="59"/>
      <c r="F180" s="59">
        <v>1</v>
      </c>
      <c r="G180" s="59">
        <v>4.0960000000000001</v>
      </c>
      <c r="H180" s="59">
        <v>8.1920000000000002</v>
      </c>
      <c r="I180" s="59">
        <v>16.384</v>
      </c>
      <c r="J180" s="59">
        <v>30</v>
      </c>
      <c r="K180" s="59">
        <v>30</v>
      </c>
      <c r="L180" s="59">
        <v>30</v>
      </c>
      <c r="M180" s="59">
        <v>30</v>
      </c>
      <c r="N180" s="59">
        <v>30</v>
      </c>
    </row>
    <row r="181" spans="3:14" hidden="1" x14ac:dyDescent="0.35">
      <c r="C181" s="59">
        <v>5</v>
      </c>
      <c r="D181" s="59">
        <v>30</v>
      </c>
      <c r="E181" s="59"/>
      <c r="F181" s="59">
        <v>1.25</v>
      </c>
      <c r="G181" s="59">
        <v>3.2767999999999997</v>
      </c>
      <c r="H181" s="59">
        <v>6.5535999999999994</v>
      </c>
      <c r="I181" s="59">
        <v>13.107199999999999</v>
      </c>
      <c r="J181" s="59">
        <v>26.214399999999998</v>
      </c>
      <c r="K181" s="59">
        <v>30</v>
      </c>
      <c r="L181" s="59">
        <v>30</v>
      </c>
      <c r="M181" s="59">
        <v>30</v>
      </c>
      <c r="N181" s="59">
        <v>30</v>
      </c>
    </row>
    <row r="182" spans="3:14" hidden="1" x14ac:dyDescent="0.35">
      <c r="C182" s="59">
        <v>5</v>
      </c>
      <c r="D182" s="59">
        <v>30</v>
      </c>
      <c r="E182" s="59"/>
      <c r="F182" s="59">
        <v>1.5</v>
      </c>
      <c r="G182" s="59">
        <v>2.7306666666666666</v>
      </c>
      <c r="H182" s="59">
        <v>5.4613333333333332</v>
      </c>
      <c r="I182" s="59">
        <v>10.922666666666666</v>
      </c>
      <c r="J182" s="59">
        <v>21.845333333333333</v>
      </c>
      <c r="K182" s="59">
        <v>30</v>
      </c>
      <c r="L182" s="59">
        <v>30</v>
      </c>
      <c r="M182" s="59">
        <v>30</v>
      </c>
      <c r="N182" s="59">
        <v>30</v>
      </c>
    </row>
    <row r="183" spans="3:14" hidden="1" x14ac:dyDescent="0.35">
      <c r="C183" s="59">
        <v>5</v>
      </c>
      <c r="D183" s="59">
        <v>30</v>
      </c>
      <c r="E183" s="59"/>
      <c r="F183" s="59">
        <v>1.75</v>
      </c>
      <c r="G183" s="59">
        <v>2.3405714285714283</v>
      </c>
      <c r="H183" s="59">
        <v>4.6811428571428566</v>
      </c>
      <c r="I183" s="59">
        <v>9.3622857142857132</v>
      </c>
      <c r="J183" s="59">
        <v>18.724571428571426</v>
      </c>
      <c r="K183" s="59">
        <v>30</v>
      </c>
      <c r="L183" s="59">
        <v>30</v>
      </c>
      <c r="M183" s="59">
        <v>30</v>
      </c>
      <c r="N183" s="59">
        <v>30</v>
      </c>
    </row>
    <row r="184" spans="3:14" hidden="1" x14ac:dyDescent="0.35">
      <c r="C184" s="59">
        <v>5</v>
      </c>
      <c r="D184" s="59">
        <v>30</v>
      </c>
      <c r="E184" s="59"/>
      <c r="F184" s="59">
        <v>2.1</v>
      </c>
      <c r="G184" s="59">
        <v>1.95047619047619</v>
      </c>
      <c r="H184" s="59">
        <v>3.9009523809523801</v>
      </c>
      <c r="I184" s="59">
        <v>7.8019047619047601</v>
      </c>
      <c r="J184" s="59">
        <v>15.60380952380952</v>
      </c>
      <c r="K184" s="59">
        <v>30</v>
      </c>
      <c r="L184" s="59">
        <v>30</v>
      </c>
      <c r="M184" s="59">
        <v>30</v>
      </c>
      <c r="N184" s="59">
        <v>30</v>
      </c>
    </row>
    <row r="185" spans="3:14" hidden="1" x14ac:dyDescent="0.35">
      <c r="C185" s="59">
        <v>5</v>
      </c>
      <c r="D185" s="59">
        <v>30</v>
      </c>
      <c r="E185" s="59"/>
      <c r="F185" s="59">
        <v>2.5</v>
      </c>
      <c r="G185" s="59">
        <v>1.6383999999999999</v>
      </c>
      <c r="H185" s="59">
        <v>3.2767999999999997</v>
      </c>
      <c r="I185" s="59">
        <v>6.5535999999999994</v>
      </c>
      <c r="J185" s="59">
        <v>13.107199999999999</v>
      </c>
      <c r="K185" s="59">
        <v>26.214399999999998</v>
      </c>
      <c r="L185" s="59">
        <v>30</v>
      </c>
      <c r="M185" s="59">
        <v>30</v>
      </c>
      <c r="N185" s="59">
        <v>30</v>
      </c>
    </row>
    <row r="186" spans="3:14" hidden="1" x14ac:dyDescent="0.35">
      <c r="C186" s="59">
        <v>5</v>
      </c>
      <c r="D186" s="59">
        <v>30</v>
      </c>
      <c r="E186" s="59"/>
      <c r="F186" s="59">
        <v>2.75</v>
      </c>
      <c r="G186" s="59">
        <v>1.4894545454545454</v>
      </c>
      <c r="H186" s="59">
        <v>2.9789090909090907</v>
      </c>
      <c r="I186" s="59">
        <v>5.9578181818181815</v>
      </c>
      <c r="J186" s="59">
        <v>11.915636363636363</v>
      </c>
      <c r="K186" s="59">
        <v>23.831272727272726</v>
      </c>
      <c r="L186" s="59">
        <v>30</v>
      </c>
      <c r="M186" s="59">
        <v>30</v>
      </c>
      <c r="N186" s="59">
        <v>30</v>
      </c>
    </row>
    <row r="187" spans="3:14" hidden="1" x14ac:dyDescent="0.35">
      <c r="C187" s="59">
        <v>5</v>
      </c>
      <c r="D187" s="59">
        <v>30</v>
      </c>
      <c r="E187" s="59"/>
      <c r="F187" s="59">
        <v>3</v>
      </c>
      <c r="G187" s="59">
        <v>1.3653333333333333</v>
      </c>
      <c r="H187" s="59">
        <v>2.7306666666666666</v>
      </c>
      <c r="I187" s="59">
        <v>5.4613333333333332</v>
      </c>
      <c r="J187" s="59">
        <v>10.922666666666666</v>
      </c>
      <c r="K187" s="59">
        <v>21.845333333333333</v>
      </c>
      <c r="L187" s="59">
        <v>30</v>
      </c>
      <c r="M187" s="59">
        <v>30</v>
      </c>
      <c r="N187" s="59">
        <v>30</v>
      </c>
    </row>
    <row r="188" spans="3:14" hidden="1" x14ac:dyDescent="0.35">
      <c r="C188" s="59">
        <v>5</v>
      </c>
      <c r="D188" s="59">
        <v>30</v>
      </c>
      <c r="E188" s="59"/>
      <c r="F188" s="59">
        <v>3.25</v>
      </c>
      <c r="G188" s="59">
        <v>1.2603076923076924</v>
      </c>
      <c r="H188" s="59">
        <v>2.5206153846153847</v>
      </c>
      <c r="I188" s="59">
        <v>5.0412307692307694</v>
      </c>
      <c r="J188" s="59">
        <v>10.082461538461539</v>
      </c>
      <c r="K188" s="59">
        <v>20.164923076923078</v>
      </c>
      <c r="L188" s="59">
        <v>30</v>
      </c>
      <c r="M188" s="59">
        <v>30</v>
      </c>
      <c r="N188" s="59">
        <v>30</v>
      </c>
    </row>
    <row r="189" spans="3:14" hidden="1" x14ac:dyDescent="0.35">
      <c r="C189" s="59">
        <v>5</v>
      </c>
      <c r="D189" s="59">
        <v>30</v>
      </c>
      <c r="E189" s="59"/>
      <c r="F189" s="59">
        <v>3.5</v>
      </c>
      <c r="G189" s="59">
        <v>1.1702857142857142</v>
      </c>
      <c r="H189" s="59">
        <v>2.3405714285714283</v>
      </c>
      <c r="I189" s="59">
        <v>4.6811428571428566</v>
      </c>
      <c r="J189" s="59">
        <v>9.3622857142857132</v>
      </c>
      <c r="K189" s="59">
        <v>18.724571428571426</v>
      </c>
      <c r="L189" s="59">
        <v>30</v>
      </c>
      <c r="M189" s="59">
        <v>30</v>
      </c>
      <c r="N189" s="59">
        <v>30</v>
      </c>
    </row>
    <row r="190" spans="3:14" hidden="1" x14ac:dyDescent="0.35">
      <c r="C190" s="59">
        <v>5</v>
      </c>
      <c r="D190" s="59">
        <v>30</v>
      </c>
      <c r="E190" s="59"/>
      <c r="F190" s="59">
        <v>3.75</v>
      </c>
      <c r="G190" s="59">
        <v>1.0922666666666667</v>
      </c>
      <c r="H190" s="59">
        <v>2.1845333333333334</v>
      </c>
      <c r="I190" s="59">
        <v>4.3690666666666669</v>
      </c>
      <c r="J190" s="59">
        <v>8.7381333333333338</v>
      </c>
      <c r="K190" s="59">
        <v>17.476266666666668</v>
      </c>
      <c r="L190" s="59">
        <v>30</v>
      </c>
      <c r="M190" s="59">
        <v>30</v>
      </c>
      <c r="N190" s="59">
        <v>30</v>
      </c>
    </row>
    <row r="191" spans="3:14" hidden="1" x14ac:dyDescent="0.35">
      <c r="C191" s="59">
        <v>5</v>
      </c>
      <c r="D191" s="59">
        <v>30</v>
      </c>
      <c r="E191" s="59"/>
      <c r="F191" s="59">
        <v>4</v>
      </c>
      <c r="G191" s="59">
        <v>1.024</v>
      </c>
      <c r="H191" s="59">
        <v>2.048</v>
      </c>
      <c r="I191" s="59">
        <v>4.0960000000000001</v>
      </c>
      <c r="J191" s="59">
        <v>8.1920000000000002</v>
      </c>
      <c r="K191" s="59">
        <v>16.384</v>
      </c>
      <c r="L191" s="59">
        <v>30</v>
      </c>
      <c r="M191" s="59">
        <v>30</v>
      </c>
      <c r="N191" s="59">
        <v>30</v>
      </c>
    </row>
    <row r="192" spans="3:14" hidden="1" x14ac:dyDescent="0.35">
      <c r="C192" s="59">
        <v>5</v>
      </c>
      <c r="D192" s="59">
        <v>30</v>
      </c>
      <c r="E192" s="59"/>
      <c r="F192" s="59">
        <v>4.33</v>
      </c>
      <c r="G192" s="59">
        <v>1</v>
      </c>
      <c r="H192" s="59">
        <v>1.8919168591224018</v>
      </c>
      <c r="I192" s="59">
        <v>3.7838337182448036</v>
      </c>
      <c r="J192" s="59">
        <v>7.5676674364896073</v>
      </c>
      <c r="K192" s="59">
        <v>15.135334872979215</v>
      </c>
      <c r="L192" s="59">
        <v>30</v>
      </c>
      <c r="M192" s="59">
        <v>30</v>
      </c>
      <c r="N192" s="59">
        <v>30</v>
      </c>
    </row>
    <row r="193" spans="3:14" hidden="1" x14ac:dyDescent="0.35">
      <c r="C193" s="59">
        <v>5</v>
      </c>
      <c r="D193" s="59">
        <v>30</v>
      </c>
      <c r="E193" s="59"/>
      <c r="F193" s="59">
        <v>4.5</v>
      </c>
      <c r="G193" s="59">
        <v>1</v>
      </c>
      <c r="H193" s="59">
        <v>1.8204444444444445</v>
      </c>
      <c r="I193" s="59">
        <v>3.6408888888888891</v>
      </c>
      <c r="J193" s="59">
        <v>7.2817777777777781</v>
      </c>
      <c r="K193" s="59">
        <v>14.563555555555556</v>
      </c>
      <c r="L193" s="59">
        <v>29.127111111111113</v>
      </c>
      <c r="M193" s="59">
        <v>30</v>
      </c>
      <c r="N193" s="59">
        <v>30</v>
      </c>
    </row>
    <row r="194" spans="3:14" hidden="1" x14ac:dyDescent="0.35">
      <c r="C194" s="59">
        <v>5</v>
      </c>
      <c r="D194" s="59">
        <v>30</v>
      </c>
      <c r="E194" s="59"/>
      <c r="F194" s="59">
        <v>4.75</v>
      </c>
      <c r="G194" s="59">
        <v>1</v>
      </c>
      <c r="H194" s="59">
        <v>1.7246315789473683</v>
      </c>
      <c r="I194" s="59">
        <v>3.4492631578947366</v>
      </c>
      <c r="J194" s="59">
        <v>6.8985263157894732</v>
      </c>
      <c r="K194" s="59">
        <v>13.797052631578946</v>
      </c>
      <c r="L194" s="59">
        <v>27.594105263157893</v>
      </c>
      <c r="M194" s="59">
        <v>30</v>
      </c>
      <c r="N194" s="59">
        <v>30</v>
      </c>
    </row>
    <row r="195" spans="3:14" hidden="1" x14ac:dyDescent="0.35">
      <c r="C195" s="59">
        <v>5</v>
      </c>
      <c r="D195" s="59">
        <v>30</v>
      </c>
      <c r="E195" s="59"/>
      <c r="F195" s="59">
        <v>5</v>
      </c>
      <c r="G195" s="59">
        <v>1</v>
      </c>
      <c r="H195" s="59">
        <v>1.6383999999999999</v>
      </c>
      <c r="I195" s="59">
        <v>3.2767999999999997</v>
      </c>
      <c r="J195" s="59">
        <v>6.5535999999999994</v>
      </c>
      <c r="K195" s="59">
        <v>13.107199999999999</v>
      </c>
      <c r="L195" s="59">
        <v>26.214399999999998</v>
      </c>
      <c r="M195" s="59">
        <v>30</v>
      </c>
      <c r="N195" s="59">
        <v>30</v>
      </c>
    </row>
    <row r="196" spans="3:14" hidden="1" x14ac:dyDescent="0.35">
      <c r="C196" s="59">
        <v>5</v>
      </c>
      <c r="D196" s="59">
        <v>30</v>
      </c>
      <c r="E196" s="59"/>
      <c r="F196" s="59">
        <v>5.25</v>
      </c>
      <c r="G196" s="59">
        <v>1</v>
      </c>
      <c r="H196" s="59">
        <v>1.5603809523809522</v>
      </c>
      <c r="I196" s="59">
        <v>3.1207619047619044</v>
      </c>
      <c r="J196" s="59">
        <v>6.2415238095238088</v>
      </c>
      <c r="K196" s="59">
        <v>12.483047619047618</v>
      </c>
      <c r="L196" s="59">
        <v>24.966095238095235</v>
      </c>
      <c r="M196" s="59">
        <v>30</v>
      </c>
      <c r="N196" s="59">
        <v>30</v>
      </c>
    </row>
    <row r="197" spans="3:14" hidden="1" x14ac:dyDescent="0.35">
      <c r="C197" s="59">
        <v>5</v>
      </c>
      <c r="D197" s="59">
        <v>30</v>
      </c>
      <c r="E197" s="59"/>
      <c r="F197" s="59">
        <v>5.5</v>
      </c>
      <c r="G197" s="59">
        <v>1</v>
      </c>
      <c r="H197" s="59">
        <v>1.4894545454545454</v>
      </c>
      <c r="I197" s="59">
        <v>2.9789090909090907</v>
      </c>
      <c r="J197" s="59">
        <v>5.9578181818181815</v>
      </c>
      <c r="K197" s="59">
        <v>11.915636363636363</v>
      </c>
      <c r="L197" s="59">
        <v>23.831272727272726</v>
      </c>
      <c r="M197" s="59">
        <v>30</v>
      </c>
      <c r="N197" s="59">
        <v>30</v>
      </c>
    </row>
    <row r="198" spans="3:14" hidden="1" x14ac:dyDescent="0.35">
      <c r="C198" s="59">
        <v>5</v>
      </c>
      <c r="D198" s="59">
        <v>30</v>
      </c>
      <c r="E198" s="59"/>
      <c r="F198" s="59">
        <v>5.75</v>
      </c>
      <c r="G198" s="59">
        <v>1</v>
      </c>
      <c r="H198" s="59">
        <v>1.4246956521739129</v>
      </c>
      <c r="I198" s="59">
        <v>2.8493913043478258</v>
      </c>
      <c r="J198" s="59">
        <v>5.6987826086956517</v>
      </c>
      <c r="K198" s="59">
        <v>11.397565217391303</v>
      </c>
      <c r="L198" s="59">
        <v>22.795130434782607</v>
      </c>
      <c r="M198" s="59">
        <v>30</v>
      </c>
      <c r="N198" s="59">
        <v>30</v>
      </c>
    </row>
    <row r="199" spans="3:14" hidden="1" x14ac:dyDescent="0.35">
      <c r="C199" s="59">
        <v>5</v>
      </c>
      <c r="D199" s="59">
        <v>30</v>
      </c>
      <c r="E199" s="59"/>
      <c r="F199" s="59">
        <v>6</v>
      </c>
      <c r="G199" s="59">
        <v>1</v>
      </c>
      <c r="H199" s="59">
        <v>1.3653333333333333</v>
      </c>
      <c r="I199" s="59">
        <v>2.7306666666666666</v>
      </c>
      <c r="J199" s="59">
        <v>5.4613333333333332</v>
      </c>
      <c r="K199" s="59">
        <v>10.922666666666666</v>
      </c>
      <c r="L199" s="59">
        <v>21.845333333333333</v>
      </c>
      <c r="M199" s="59">
        <v>30</v>
      </c>
      <c r="N199" s="59">
        <v>30</v>
      </c>
    </row>
    <row r="200" spans="3:14" hidden="1" x14ac:dyDescent="0.35">
      <c r="C200" s="59">
        <v>5</v>
      </c>
      <c r="D200" s="59">
        <v>30</v>
      </c>
      <c r="E200" s="59"/>
      <c r="F200" s="59">
        <v>6.25</v>
      </c>
      <c r="G200" s="59">
        <v>1</v>
      </c>
      <c r="H200" s="59">
        <v>1.3107199999999999</v>
      </c>
      <c r="I200" s="59">
        <v>2.6214399999999998</v>
      </c>
      <c r="J200" s="59">
        <v>5.2428799999999995</v>
      </c>
      <c r="K200" s="59">
        <v>10.485759999999999</v>
      </c>
      <c r="L200" s="59">
        <v>20.971519999999998</v>
      </c>
      <c r="M200" s="59">
        <v>30</v>
      </c>
      <c r="N200" s="59">
        <v>30</v>
      </c>
    </row>
    <row r="201" spans="3:14" hidden="1" x14ac:dyDescent="0.35">
      <c r="C201" s="59">
        <v>5</v>
      </c>
      <c r="D201" s="59">
        <v>30</v>
      </c>
      <c r="E201" s="59"/>
      <c r="F201" s="59">
        <v>6.5</v>
      </c>
      <c r="G201" s="59">
        <v>1</v>
      </c>
      <c r="H201" s="59">
        <v>1.2603076923076924</v>
      </c>
      <c r="I201" s="59">
        <v>2.5206153846153847</v>
      </c>
      <c r="J201" s="59">
        <v>5.0412307692307694</v>
      </c>
      <c r="K201" s="59">
        <v>10.082461538461539</v>
      </c>
      <c r="L201" s="59">
        <v>20.164923076923078</v>
      </c>
      <c r="M201" s="59">
        <v>30</v>
      </c>
      <c r="N201" s="59">
        <v>30</v>
      </c>
    </row>
    <row r="202" spans="3:14" hidden="1" x14ac:dyDescent="0.35">
      <c r="C202" s="59">
        <v>5</v>
      </c>
      <c r="D202" s="59">
        <v>30</v>
      </c>
      <c r="E202" s="59"/>
      <c r="F202" s="59">
        <v>6.75</v>
      </c>
      <c r="G202" s="59">
        <v>1</v>
      </c>
      <c r="H202" s="59">
        <v>1.2136296296296296</v>
      </c>
      <c r="I202" s="59">
        <v>2.4272592592592592</v>
      </c>
      <c r="J202" s="59">
        <v>4.8545185185185185</v>
      </c>
      <c r="K202" s="59">
        <v>9.7090370370370369</v>
      </c>
      <c r="L202" s="59">
        <v>19.418074074074074</v>
      </c>
      <c r="M202" s="59">
        <v>30</v>
      </c>
      <c r="N202" s="59">
        <v>30</v>
      </c>
    </row>
    <row r="203" spans="3:14" hidden="1" x14ac:dyDescent="0.35">
      <c r="C203" s="59">
        <v>5</v>
      </c>
      <c r="D203" s="59">
        <v>30</v>
      </c>
      <c r="E203" s="59"/>
      <c r="F203" s="59">
        <v>7</v>
      </c>
      <c r="G203" s="59">
        <v>1</v>
      </c>
      <c r="H203" s="59">
        <v>1.1702857142857142</v>
      </c>
      <c r="I203" s="59">
        <v>2.3405714285714283</v>
      </c>
      <c r="J203" s="59">
        <v>4.6811428571428566</v>
      </c>
      <c r="K203" s="59">
        <v>9.3622857142857132</v>
      </c>
      <c r="L203" s="59">
        <v>18.724571428571426</v>
      </c>
      <c r="M203" s="59">
        <v>30</v>
      </c>
      <c r="N203" s="59">
        <v>30</v>
      </c>
    </row>
    <row r="204" spans="3:14" hidden="1" x14ac:dyDescent="0.35">
      <c r="C204" s="59">
        <v>5</v>
      </c>
      <c r="D204" s="59">
        <v>30</v>
      </c>
      <c r="E204" s="59"/>
      <c r="F204" s="59">
        <v>7.25</v>
      </c>
      <c r="G204" s="59">
        <v>1</v>
      </c>
      <c r="H204" s="59">
        <v>1.1299310344827584</v>
      </c>
      <c r="I204" s="59">
        <v>2.2598620689655169</v>
      </c>
      <c r="J204" s="59">
        <v>4.5197241379310338</v>
      </c>
      <c r="K204" s="59">
        <v>9.0394482758620676</v>
      </c>
      <c r="L204" s="59">
        <v>18.078896551724135</v>
      </c>
      <c r="M204" s="59">
        <v>30</v>
      </c>
      <c r="N204" s="59">
        <v>30</v>
      </c>
    </row>
    <row r="205" spans="3:14" hidden="1" x14ac:dyDescent="0.35">
      <c r="C205" s="59">
        <v>5</v>
      </c>
      <c r="D205" s="59">
        <v>30</v>
      </c>
      <c r="E205" s="59"/>
      <c r="F205" s="59">
        <v>7.5</v>
      </c>
      <c r="G205" s="59">
        <v>1</v>
      </c>
      <c r="H205" s="59">
        <v>1.0922666666666667</v>
      </c>
      <c r="I205" s="59">
        <v>2.1845333333333334</v>
      </c>
      <c r="J205" s="59">
        <v>4.3690666666666669</v>
      </c>
      <c r="K205" s="59">
        <v>8.7381333333333338</v>
      </c>
      <c r="L205" s="59">
        <v>17.476266666666668</v>
      </c>
      <c r="M205" s="59">
        <v>30</v>
      </c>
      <c r="N205" s="59">
        <v>30</v>
      </c>
    </row>
    <row r="206" spans="3:14" hidden="1" x14ac:dyDescent="0.35">
      <c r="C206" s="59">
        <v>5</v>
      </c>
      <c r="D206" s="59">
        <v>30</v>
      </c>
      <c r="E206" s="59"/>
      <c r="F206" s="59">
        <v>7.75</v>
      </c>
      <c r="G206" s="59">
        <v>1</v>
      </c>
      <c r="H206" s="59">
        <v>1.0570322580645162</v>
      </c>
      <c r="I206" s="59">
        <v>2.1140645161290323</v>
      </c>
      <c r="J206" s="59">
        <v>4.2281290322580647</v>
      </c>
      <c r="K206" s="59">
        <v>8.4562580645161294</v>
      </c>
      <c r="L206" s="59">
        <v>16.912516129032259</v>
      </c>
      <c r="M206" s="59">
        <v>30</v>
      </c>
      <c r="N206" s="59">
        <v>30</v>
      </c>
    </row>
    <row r="207" spans="3:14" hidden="1" x14ac:dyDescent="0.35">
      <c r="C207" s="59">
        <v>5</v>
      </c>
      <c r="D207" s="59">
        <v>30</v>
      </c>
      <c r="E207" s="59"/>
      <c r="F207" s="59">
        <v>8</v>
      </c>
      <c r="G207" s="59">
        <v>1</v>
      </c>
      <c r="H207" s="59">
        <v>1.024</v>
      </c>
      <c r="I207" s="59">
        <v>2.048</v>
      </c>
      <c r="J207" s="59">
        <v>4.0960000000000001</v>
      </c>
      <c r="K207" s="59">
        <v>8.1920000000000002</v>
      </c>
      <c r="L207" s="59">
        <v>16.384</v>
      </c>
      <c r="M207" s="59">
        <v>30</v>
      </c>
      <c r="N207" s="59">
        <v>30</v>
      </c>
    </row>
    <row r="208" spans="3:14" hidden="1" x14ac:dyDescent="0.35">
      <c r="C208" s="59">
        <v>5</v>
      </c>
      <c r="D208" s="59">
        <v>30</v>
      </c>
      <c r="E208" s="59"/>
      <c r="F208" s="59">
        <v>8.25</v>
      </c>
      <c r="G208" s="59">
        <v>1</v>
      </c>
      <c r="H208" s="59">
        <v>1</v>
      </c>
      <c r="I208" s="59">
        <v>1.9859393939393937</v>
      </c>
      <c r="J208" s="59">
        <v>3.9718787878787873</v>
      </c>
      <c r="K208" s="59">
        <v>7.9437575757575747</v>
      </c>
      <c r="L208" s="59">
        <v>15.887515151515149</v>
      </c>
      <c r="M208" s="59">
        <v>30</v>
      </c>
      <c r="N208" s="59">
        <v>30</v>
      </c>
    </row>
    <row r="209" spans="3:19" hidden="1" x14ac:dyDescent="0.35">
      <c r="C209" s="59">
        <v>5</v>
      </c>
      <c r="D209" s="59">
        <v>30</v>
      </c>
      <c r="E209" s="59"/>
      <c r="F209" s="59">
        <v>8.5</v>
      </c>
      <c r="G209" s="59">
        <v>1</v>
      </c>
      <c r="H209" s="59">
        <v>1</v>
      </c>
      <c r="I209" s="59">
        <v>1.9275294117647057</v>
      </c>
      <c r="J209" s="59">
        <v>3.8550588235294114</v>
      </c>
      <c r="K209" s="59">
        <v>7.7101176470588229</v>
      </c>
      <c r="L209" s="59">
        <v>15.420235294117646</v>
      </c>
      <c r="M209" s="59">
        <v>30</v>
      </c>
      <c r="N209" s="59">
        <v>30</v>
      </c>
    </row>
    <row r="210" spans="3:19" hidden="1" x14ac:dyDescent="0.35">
      <c r="C210" s="59">
        <v>5</v>
      </c>
      <c r="D210" s="59">
        <v>30</v>
      </c>
      <c r="E210" s="59"/>
      <c r="F210" s="59">
        <v>9</v>
      </c>
      <c r="G210" s="59">
        <v>1</v>
      </c>
      <c r="H210" s="59">
        <v>1</v>
      </c>
      <c r="I210" s="59">
        <v>1.8204444444444445</v>
      </c>
      <c r="J210" s="59">
        <v>3.6408888888888891</v>
      </c>
      <c r="K210" s="59">
        <v>7.2817777777777781</v>
      </c>
      <c r="L210" s="59">
        <v>14.563555555555556</v>
      </c>
      <c r="M210" s="59">
        <v>29.127111111111113</v>
      </c>
      <c r="N210" s="59">
        <v>30</v>
      </c>
    </row>
    <row r="211" spans="3:19" hidden="1" x14ac:dyDescent="0.35"/>
    <row r="212" spans="3:19" hidden="1" x14ac:dyDescent="0.35"/>
    <row r="213" spans="3:19" hidden="1" x14ac:dyDescent="0.35">
      <c r="C213" s="225" t="s">
        <v>1579</v>
      </c>
    </row>
    <row r="214" spans="3:19" hidden="1" x14ac:dyDescent="0.35">
      <c r="C214" s="238" t="s">
        <v>1576</v>
      </c>
      <c r="D214" s="238" t="s">
        <v>1577</v>
      </c>
      <c r="M214" s="59" t="s">
        <v>1046</v>
      </c>
      <c r="N214" s="316">
        <f>C101</f>
        <v>18</v>
      </c>
      <c r="O214" s="471" t="s">
        <v>96</v>
      </c>
      <c r="P214" s="59"/>
    </row>
    <row r="215" spans="3:19" hidden="1" x14ac:dyDescent="0.35">
      <c r="C215" s="96">
        <v>0</v>
      </c>
      <c r="D215" s="274">
        <v>1</v>
      </c>
      <c r="M215" s="59" t="s">
        <v>1047</v>
      </c>
      <c r="N215" s="316">
        <f>C113</f>
        <v>14</v>
      </c>
      <c r="O215" s="59" t="s">
        <v>34</v>
      </c>
      <c r="P215" s="59"/>
    </row>
    <row r="216" spans="3:19" hidden="1" x14ac:dyDescent="0.35">
      <c r="C216" s="96">
        <v>1</v>
      </c>
      <c r="D216" s="274">
        <v>1.0625</v>
      </c>
      <c r="M216" s="59"/>
      <c r="N216" s="59"/>
      <c r="O216" s="59"/>
      <c r="P216" s="59"/>
    </row>
    <row r="217" spans="3:19" hidden="1" x14ac:dyDescent="0.35">
      <c r="C217" s="96">
        <v>2</v>
      </c>
      <c r="D217" s="274">
        <v>1.1875</v>
      </c>
      <c r="M217" s="225" t="s">
        <v>967</v>
      </c>
      <c r="N217" s="225" t="s">
        <v>968</v>
      </c>
      <c r="O217" s="225" t="s">
        <v>966</v>
      </c>
      <c r="P217" s="225" t="s">
        <v>969</v>
      </c>
      <c r="R217" s="225" t="s">
        <v>971</v>
      </c>
      <c r="S217" s="225" t="s">
        <v>970</v>
      </c>
    </row>
    <row r="218" spans="3:19" hidden="1" x14ac:dyDescent="0.35">
      <c r="C218" s="96">
        <v>3</v>
      </c>
      <c r="D218" s="274">
        <v>1.3125</v>
      </c>
      <c r="M218" s="437">
        <v>3.0000000000000001E-3</v>
      </c>
      <c r="N218" s="437">
        <f>M218*N$215</f>
        <v>4.2000000000000003E-2</v>
      </c>
      <c r="O218" s="437">
        <f>(0.00406832344757895+15.5588911/(1+(N$215/0.0358077078721068)^0.865185989584669))+(0.973523646945684-1.1322846019223/(1+(N$215/1.1356393338887)^1.06847511981245))*(1-EXP(-(10.3324121181807-56.0213701830392/(1+(N$215/0.0139455036722347)^0.572123422421793))*M218))</f>
        <v>0.11727880770401153</v>
      </c>
      <c r="P218" s="64">
        <f>O218*N$214</f>
        <v>2.1110185386722073</v>
      </c>
      <c r="R218" s="316">
        <f>C116</f>
        <v>14</v>
      </c>
      <c r="S218" s="437">
        <v>0</v>
      </c>
    </row>
    <row r="219" spans="3:19" hidden="1" x14ac:dyDescent="0.35">
      <c r="C219" s="96">
        <v>4</v>
      </c>
      <c r="D219" s="274">
        <v>1.4375</v>
      </c>
      <c r="M219" s="437">
        <f>M218*1.223</f>
        <v>3.6690000000000004E-3</v>
      </c>
      <c r="N219" s="437">
        <f t="shared" ref="N219:N247" si="1">M219*N$215</f>
        <v>5.1366000000000009E-2</v>
      </c>
      <c r="O219" s="437">
        <f t="shared" ref="O219:O247" si="2">(0.00406832344757895+15.5588911/(1+(N$215/0.0358077078721068)^0.865185989584669))+(0.973523646945684-1.1322846019223/(1+(N$215/1.1356393338887)^1.06847511981245))*(1-EXP(-(10.3324121181807-56.0213701830392/(1+(N$215/0.0139455036722347)^0.572123422421793))*M219))</f>
        <v>0.12270207941999556</v>
      </c>
      <c r="P219" s="64">
        <f t="shared" ref="P219:P247" si="3">O219*N$214</f>
        <v>2.20863742955992</v>
      </c>
      <c r="R219" s="316">
        <f>R218</f>
        <v>14</v>
      </c>
      <c r="S219" s="437">
        <f>C119*N214</f>
        <v>17.884633680788379</v>
      </c>
    </row>
    <row r="220" spans="3:19" hidden="1" x14ac:dyDescent="0.35">
      <c r="C220" s="96">
        <v>5</v>
      </c>
      <c r="D220" s="274">
        <v>1.5625</v>
      </c>
      <c r="M220" s="437">
        <f t="shared" ref="M220:M247" si="4">M219*1.223</f>
        <v>4.487187000000001E-3</v>
      </c>
      <c r="N220" s="437">
        <f t="shared" si="1"/>
        <v>6.2820618000000009E-2</v>
      </c>
      <c r="O220" s="437">
        <f t="shared" si="2"/>
        <v>0.12928914143141942</v>
      </c>
      <c r="P220" s="64">
        <f t="shared" si="3"/>
        <v>2.3272045457655497</v>
      </c>
      <c r="R220" s="59">
        <v>0</v>
      </c>
      <c r="S220" s="437">
        <f>S219</f>
        <v>17.884633680788379</v>
      </c>
    </row>
    <row r="221" spans="3:19" hidden="1" x14ac:dyDescent="0.35">
      <c r="C221" s="96">
        <v>6</v>
      </c>
      <c r="D221" s="274">
        <v>1.6875</v>
      </c>
      <c r="M221" s="437">
        <f t="shared" si="4"/>
        <v>5.4878297010000016E-3</v>
      </c>
      <c r="N221" s="437">
        <f t="shared" si="1"/>
        <v>7.6829615814000024E-2</v>
      </c>
      <c r="O221" s="437">
        <f t="shared" si="2"/>
        <v>0.13727743673112888</v>
      </c>
      <c r="P221" s="64">
        <f t="shared" si="3"/>
        <v>2.4709938611603199</v>
      </c>
    </row>
    <row r="222" spans="3:19" hidden="1" x14ac:dyDescent="0.35">
      <c r="C222" s="96">
        <v>7</v>
      </c>
      <c r="D222" s="274">
        <v>1.8125</v>
      </c>
      <c r="M222" s="437">
        <f t="shared" si="4"/>
        <v>6.7116157243230024E-3</v>
      </c>
      <c r="N222" s="437">
        <f t="shared" si="1"/>
        <v>9.3962620140522035E-2</v>
      </c>
      <c r="O222" s="437">
        <f t="shared" si="2"/>
        <v>0.14694683652070553</v>
      </c>
      <c r="P222" s="64">
        <f t="shared" si="3"/>
        <v>2.6450430573726997</v>
      </c>
      <c r="R222" s="225" t="s">
        <v>972</v>
      </c>
      <c r="S222" s="225" t="s">
        <v>973</v>
      </c>
    </row>
    <row r="223" spans="3:19" hidden="1" x14ac:dyDescent="0.35">
      <c r="C223" s="96">
        <v>8</v>
      </c>
      <c r="D223" s="274">
        <v>2</v>
      </c>
      <c r="M223" s="437">
        <f t="shared" si="4"/>
        <v>8.2083060308470318E-3</v>
      </c>
      <c r="N223" s="437">
        <f t="shared" si="1"/>
        <v>0.11491628443185845</v>
      </c>
      <c r="O223" s="437">
        <f t="shared" si="2"/>
        <v>0.15862422852250946</v>
      </c>
      <c r="P223" s="64">
        <f t="shared" si="3"/>
        <v>2.8552361134051703</v>
      </c>
      <c r="R223" s="316">
        <f>C117</f>
        <v>1.5</v>
      </c>
      <c r="S223" s="437">
        <v>0</v>
      </c>
    </row>
    <row r="224" spans="3:19" hidden="1" x14ac:dyDescent="0.35">
      <c r="C224" s="96">
        <v>9</v>
      </c>
      <c r="D224" s="274">
        <v>2.125</v>
      </c>
      <c r="M224" s="437">
        <f t="shared" si="4"/>
        <v>1.0038758275725921E-2</v>
      </c>
      <c r="N224" s="437">
        <f t="shared" si="1"/>
        <v>0.14054261586016289</v>
      </c>
      <c r="O224" s="437">
        <f t="shared" si="2"/>
        <v>0.17268698485860962</v>
      </c>
      <c r="P224" s="64">
        <f t="shared" si="3"/>
        <v>3.1083657274549732</v>
      </c>
      <c r="R224" s="316">
        <f>R223</f>
        <v>1.5</v>
      </c>
      <c r="S224" s="437">
        <f>C124*N214</f>
        <v>11.883890812388973</v>
      </c>
    </row>
    <row r="225" spans="3:19" hidden="1" x14ac:dyDescent="0.35">
      <c r="C225" s="96">
        <v>10</v>
      </c>
      <c r="D225" s="274">
        <v>2.375</v>
      </c>
      <c r="M225" s="437">
        <f t="shared" si="4"/>
        <v>1.2277401371212802E-2</v>
      </c>
      <c r="N225" s="437">
        <f t="shared" si="1"/>
        <v>0.17188361919697923</v>
      </c>
      <c r="O225" s="437">
        <f t="shared" si="2"/>
        <v>0.18956420830580498</v>
      </c>
      <c r="P225" s="64">
        <f t="shared" si="3"/>
        <v>3.4121557495044894</v>
      </c>
      <c r="R225" s="59">
        <v>0</v>
      </c>
      <c r="S225" s="437">
        <f>S224</f>
        <v>11.883890812388973</v>
      </c>
    </row>
    <row r="226" spans="3:19" hidden="1" x14ac:dyDescent="0.35">
      <c r="C226" s="96">
        <v>11</v>
      </c>
      <c r="D226" s="274">
        <v>2.625</v>
      </c>
      <c r="M226" s="437">
        <f t="shared" si="4"/>
        <v>1.5015261876993258E-2</v>
      </c>
      <c r="N226" s="437">
        <f t="shared" si="1"/>
        <v>0.21021366627790561</v>
      </c>
      <c r="O226" s="437">
        <f t="shared" si="2"/>
        <v>0.20973414647260347</v>
      </c>
      <c r="P226" s="64">
        <f t="shared" si="3"/>
        <v>3.7752146365068624</v>
      </c>
    </row>
    <row r="227" spans="3:19" hidden="1" x14ac:dyDescent="0.35">
      <c r="C227" s="96">
        <v>12</v>
      </c>
      <c r="D227" s="274">
        <v>2.875</v>
      </c>
      <c r="M227" s="437">
        <f t="shared" si="4"/>
        <v>1.8363665275562754E-2</v>
      </c>
      <c r="N227" s="437">
        <f t="shared" si="1"/>
        <v>0.25709131385787853</v>
      </c>
      <c r="O227" s="437">
        <f t="shared" si="2"/>
        <v>0.23371552169662285</v>
      </c>
      <c r="P227" s="64">
        <f t="shared" si="3"/>
        <v>4.2068793905392114</v>
      </c>
    </row>
    <row r="228" spans="3:19" hidden="1" x14ac:dyDescent="0.35">
      <c r="C228" s="96">
        <v>13</v>
      </c>
      <c r="D228" s="274">
        <v>3.125</v>
      </c>
      <c r="M228" s="437">
        <f t="shared" si="4"/>
        <v>2.2458762632013251E-2</v>
      </c>
      <c r="N228" s="437">
        <f t="shared" si="1"/>
        <v>0.31442267684818553</v>
      </c>
      <c r="O228" s="437">
        <f t="shared" si="2"/>
        <v>0.26204978223623449</v>
      </c>
      <c r="P228" s="64">
        <f t="shared" si="3"/>
        <v>4.7168960802522211</v>
      </c>
    </row>
    <row r="229" spans="3:19" hidden="1" x14ac:dyDescent="0.35">
      <c r="C229" s="96">
        <v>14</v>
      </c>
      <c r="D229" s="274">
        <v>3.375</v>
      </c>
      <c r="M229" s="437">
        <f t="shared" si="4"/>
        <v>2.7467066698952207E-2</v>
      </c>
      <c r="N229" s="437">
        <f t="shared" si="1"/>
        <v>0.38453893378533088</v>
      </c>
      <c r="O229" s="437">
        <f t="shared" si="2"/>
        <v>0.29527054288973031</v>
      </c>
      <c r="P229" s="64">
        <f t="shared" si="3"/>
        <v>5.3148697720151459</v>
      </c>
    </row>
    <row r="230" spans="3:19" hidden="1" x14ac:dyDescent="0.35">
      <c r="C230" s="96">
        <v>15</v>
      </c>
      <c r="D230" s="274">
        <v>3.625</v>
      </c>
      <c r="M230" s="437">
        <f t="shared" si="4"/>
        <v>3.3592222572818554E-2</v>
      </c>
      <c r="N230" s="437">
        <f t="shared" si="1"/>
        <v>0.47029111601945978</v>
      </c>
      <c r="O230" s="437">
        <f t="shared" si="2"/>
        <v>0.33385598475764633</v>
      </c>
      <c r="P230" s="64">
        <f t="shared" si="3"/>
        <v>6.0094077256376339</v>
      </c>
    </row>
    <row r="231" spans="3:19" hidden="1" x14ac:dyDescent="0.35">
      <c r="C231" s="96">
        <v>16</v>
      </c>
      <c r="D231" s="274">
        <v>4</v>
      </c>
      <c r="M231" s="437">
        <f t="shared" si="4"/>
        <v>4.1083288206557093E-2</v>
      </c>
      <c r="N231" s="437">
        <f t="shared" si="1"/>
        <v>0.57516603489179929</v>
      </c>
      <c r="O231" s="437">
        <f t="shared" si="2"/>
        <v>0.37816016111274531</v>
      </c>
      <c r="P231" s="64">
        <f t="shared" si="3"/>
        <v>6.8068829000294153</v>
      </c>
    </row>
    <row r="232" spans="3:19" hidden="1" x14ac:dyDescent="0.35">
      <c r="C232" s="96">
        <v>17</v>
      </c>
      <c r="D232" s="274">
        <v>4.25</v>
      </c>
      <c r="M232" s="437">
        <f t="shared" si="4"/>
        <v>5.0244861476619329E-2</v>
      </c>
      <c r="N232" s="437">
        <f t="shared" si="1"/>
        <v>0.70342806067267061</v>
      </c>
      <c r="O232" s="437">
        <f t="shared" si="2"/>
        <v>0.42832072173021385</v>
      </c>
      <c r="P232" s="64">
        <f t="shared" si="3"/>
        <v>7.7097729911438488</v>
      </c>
    </row>
    <row r="233" spans="3:19" hidden="1" x14ac:dyDescent="0.35">
      <c r="C233" s="96">
        <v>18</v>
      </c>
      <c r="D233" s="274">
        <v>4.75</v>
      </c>
      <c r="M233" s="437">
        <f t="shared" si="4"/>
        <v>6.1449465585905444E-2</v>
      </c>
      <c r="N233" s="437">
        <f t="shared" si="1"/>
        <v>0.86029251820267616</v>
      </c>
      <c r="O233" s="437">
        <f t="shared" si="2"/>
        <v>0.48414453017452974</v>
      </c>
      <c r="P233" s="64">
        <f t="shared" si="3"/>
        <v>8.7146015431415353</v>
      </c>
    </row>
    <row r="234" spans="3:19" hidden="1" x14ac:dyDescent="0.35">
      <c r="C234" s="96">
        <v>19</v>
      </c>
      <c r="D234" s="274">
        <v>5.25</v>
      </c>
      <c r="M234" s="437">
        <f t="shared" si="4"/>
        <v>7.5152696411562359E-2</v>
      </c>
      <c r="N234" s="437">
        <f t="shared" si="1"/>
        <v>1.0521377497618731</v>
      </c>
      <c r="O234" s="437">
        <f t="shared" si="2"/>
        <v>0.5449801643760287</v>
      </c>
      <c r="P234" s="64">
        <f t="shared" si="3"/>
        <v>9.8096429587685172</v>
      </c>
    </row>
    <row r="235" spans="3:19" hidden="1" x14ac:dyDescent="0.35">
      <c r="C235" s="96">
        <v>20</v>
      </c>
      <c r="D235" s="274">
        <v>5.75</v>
      </c>
      <c r="M235" s="437">
        <f t="shared" si="4"/>
        <v>9.1911747711340766E-2</v>
      </c>
      <c r="N235" s="437">
        <f t="shared" si="1"/>
        <v>1.2867644679587706</v>
      </c>
      <c r="O235" s="437">
        <f t="shared" si="2"/>
        <v>0.60959815388185534</v>
      </c>
      <c r="P235" s="64">
        <f t="shared" si="3"/>
        <v>10.972766769873395</v>
      </c>
    </row>
    <row r="236" spans="3:19" hidden="1" x14ac:dyDescent="0.35">
      <c r="C236" s="96">
        <v>21</v>
      </c>
      <c r="D236" s="274">
        <v>6.25</v>
      </c>
      <c r="M236" s="437">
        <f t="shared" si="4"/>
        <v>0.11240806745096976</v>
      </c>
      <c r="N236" s="437">
        <f t="shared" si="1"/>
        <v>1.5737129443135767</v>
      </c>
      <c r="O236" s="437">
        <f t="shared" si="2"/>
        <v>0.67611533241136035</v>
      </c>
      <c r="P236" s="64">
        <f t="shared" si="3"/>
        <v>12.170075983404486</v>
      </c>
    </row>
    <row r="237" spans="3:19" hidden="1" x14ac:dyDescent="0.35">
      <c r="C237" s="96">
        <v>22</v>
      </c>
      <c r="D237" s="274">
        <v>6.75</v>
      </c>
      <c r="M237" s="437">
        <f t="shared" si="4"/>
        <v>0.13747506649253602</v>
      </c>
      <c r="N237" s="437">
        <f t="shared" si="1"/>
        <v>1.9246509308955042</v>
      </c>
      <c r="O237" s="437">
        <f t="shared" si="2"/>
        <v>0.74201490061789832</v>
      </c>
      <c r="P237" s="64">
        <f t="shared" si="3"/>
        <v>13.35626821112217</v>
      </c>
    </row>
    <row r="238" spans="3:19" hidden="1" x14ac:dyDescent="0.35">
      <c r="C238" s="96">
        <v>23</v>
      </c>
      <c r="D238" s="274">
        <v>7.25</v>
      </c>
      <c r="M238" s="437">
        <f t="shared" si="4"/>
        <v>0.16813200632037156</v>
      </c>
      <c r="N238" s="437">
        <f t="shared" si="1"/>
        <v>2.353848088485202</v>
      </c>
      <c r="O238" s="437">
        <f t="shared" si="2"/>
        <v>0.80431948837251233</v>
      </c>
      <c r="P238" s="64">
        <f t="shared" si="3"/>
        <v>14.477750790705223</v>
      </c>
    </row>
    <row r="239" spans="3:19" hidden="1" x14ac:dyDescent="0.35">
      <c r="C239" s="96">
        <v>24</v>
      </c>
      <c r="D239" s="274">
        <v>8</v>
      </c>
      <c r="M239" s="437">
        <f t="shared" si="4"/>
        <v>0.20562544372981445</v>
      </c>
      <c r="N239" s="437">
        <f t="shared" si="1"/>
        <v>2.8787562122174024</v>
      </c>
      <c r="O239" s="437">
        <f t="shared" si="2"/>
        <v>0.85995605659618435</v>
      </c>
      <c r="P239" s="64">
        <f t="shared" si="3"/>
        <v>15.479209018731318</v>
      </c>
    </row>
    <row r="240" spans="3:19" hidden="1" x14ac:dyDescent="0.35">
      <c r="C240" s="96">
        <v>25</v>
      </c>
      <c r="D240" s="274">
        <v>8.5</v>
      </c>
      <c r="M240" s="437">
        <f t="shared" si="4"/>
        <v>0.25147991768156308</v>
      </c>
      <c r="N240" s="437">
        <f t="shared" si="1"/>
        <v>3.5207188475418834</v>
      </c>
      <c r="O240" s="437">
        <f t="shared" si="2"/>
        <v>0.90629420264007132</v>
      </c>
      <c r="P240" s="64">
        <f t="shared" si="3"/>
        <v>16.313295647521283</v>
      </c>
    </row>
    <row r="241" spans="3:16" hidden="1" x14ac:dyDescent="0.35">
      <c r="C241" s="96">
        <v>26</v>
      </c>
      <c r="D241" s="274">
        <v>9.5</v>
      </c>
      <c r="M241" s="437">
        <f t="shared" si="4"/>
        <v>0.30755993932455167</v>
      </c>
      <c r="N241" s="437">
        <f t="shared" si="1"/>
        <v>4.305839150543723</v>
      </c>
      <c r="O241" s="437">
        <f t="shared" si="2"/>
        <v>0.94174313654125708</v>
      </c>
      <c r="P241" s="64">
        <f t="shared" si="3"/>
        <v>16.951376457742626</v>
      </c>
    </row>
    <row r="242" spans="3:16" hidden="1" x14ac:dyDescent="0.35">
      <c r="C242" s="96">
        <v>27</v>
      </c>
      <c r="D242" s="274">
        <v>10.5</v>
      </c>
      <c r="M242" s="437">
        <f t="shared" si="4"/>
        <v>0.3761458057939267</v>
      </c>
      <c r="N242" s="437">
        <f t="shared" si="1"/>
        <v>5.2660412811149735</v>
      </c>
      <c r="O242" s="437">
        <f t="shared" si="2"/>
        <v>0.96619238601514001</v>
      </c>
      <c r="P242" s="64">
        <f t="shared" si="3"/>
        <v>17.391462948272519</v>
      </c>
    </row>
    <row r="243" spans="3:16" hidden="1" x14ac:dyDescent="0.35">
      <c r="C243" s="96">
        <v>28</v>
      </c>
      <c r="D243" s="274">
        <v>11.5</v>
      </c>
      <c r="M243" s="437">
        <f t="shared" si="4"/>
        <v>0.46002632048597236</v>
      </c>
      <c r="N243" s="437">
        <f t="shared" si="1"/>
        <v>6.4403684868036128</v>
      </c>
      <c r="O243" s="437">
        <f t="shared" si="2"/>
        <v>0.9810552418495827</v>
      </c>
      <c r="P243" s="64">
        <f t="shared" si="3"/>
        <v>17.658994353292488</v>
      </c>
    </row>
    <row r="244" spans="3:16" hidden="1" x14ac:dyDescent="0.35">
      <c r="C244" s="96">
        <v>29</v>
      </c>
      <c r="D244" s="274">
        <v>12.5</v>
      </c>
      <c r="M244" s="437">
        <f t="shared" si="4"/>
        <v>0.56261218995434426</v>
      </c>
      <c r="N244" s="437">
        <f t="shared" si="1"/>
        <v>7.8765706593608193</v>
      </c>
      <c r="O244" s="437">
        <f t="shared" si="2"/>
        <v>0.98880340972927294</v>
      </c>
      <c r="P244" s="64">
        <f t="shared" si="3"/>
        <v>17.798461375126912</v>
      </c>
    </row>
    <row r="245" spans="3:16" hidden="1" x14ac:dyDescent="0.35">
      <c r="C245" s="96">
        <v>30</v>
      </c>
      <c r="D245" s="274">
        <v>13.5</v>
      </c>
      <c r="M245" s="437">
        <f t="shared" si="4"/>
        <v>0.68807470831416306</v>
      </c>
      <c r="N245" s="437">
        <f t="shared" si="1"/>
        <v>9.6330459163982827</v>
      </c>
      <c r="O245" s="437">
        <f t="shared" si="2"/>
        <v>0.9921540464545584</v>
      </c>
      <c r="P245" s="64">
        <f t="shared" si="3"/>
        <v>17.858772836182052</v>
      </c>
    </row>
    <row r="246" spans="3:16" hidden="1" x14ac:dyDescent="0.35">
      <c r="C246" s="96">
        <v>31</v>
      </c>
      <c r="D246" s="274">
        <v>14.5</v>
      </c>
      <c r="M246" s="437">
        <f t="shared" si="4"/>
        <v>0.84151536826822149</v>
      </c>
      <c r="N246" s="437">
        <f t="shared" si="1"/>
        <v>11.781215155755101</v>
      </c>
      <c r="O246" s="437">
        <f t="shared" si="2"/>
        <v>0.99330867234971176</v>
      </c>
      <c r="P246" s="64">
        <f t="shared" si="3"/>
        <v>17.879556102294814</v>
      </c>
    </row>
    <row r="247" spans="3:16" hidden="1" x14ac:dyDescent="0.35">
      <c r="C247" s="96">
        <v>32</v>
      </c>
      <c r="D247" s="274">
        <v>16</v>
      </c>
      <c r="M247" s="437">
        <f t="shared" si="4"/>
        <v>1.0291732953920349</v>
      </c>
      <c r="N247" s="437">
        <f t="shared" si="1"/>
        <v>14.40842613548849</v>
      </c>
      <c r="O247" s="437">
        <f t="shared" si="2"/>
        <v>0.99361072012342411</v>
      </c>
      <c r="P247" s="64">
        <f t="shared" si="3"/>
        <v>17.884992962221634</v>
      </c>
    </row>
    <row r="248" spans="3:16" hidden="1" x14ac:dyDescent="0.35">
      <c r="C248" s="96">
        <v>33</v>
      </c>
      <c r="D248" s="274">
        <v>17</v>
      </c>
      <c r="M248" s="437"/>
      <c r="N248" s="437"/>
      <c r="O248" s="437"/>
      <c r="P248" s="64"/>
    </row>
    <row r="249" spans="3:16" hidden="1" x14ac:dyDescent="0.35">
      <c r="C249" s="96">
        <v>34</v>
      </c>
      <c r="D249" s="274">
        <v>19</v>
      </c>
      <c r="M249" s="437"/>
      <c r="N249" s="437"/>
      <c r="O249" s="437"/>
      <c r="P249" s="64"/>
    </row>
    <row r="250" spans="3:16" hidden="1" x14ac:dyDescent="0.35">
      <c r="C250" s="96">
        <v>35</v>
      </c>
      <c r="D250" s="274">
        <v>21</v>
      </c>
      <c r="M250" s="437"/>
      <c r="N250" s="437"/>
      <c r="O250" s="437"/>
      <c r="P250" s="64"/>
    </row>
    <row r="251" spans="3:16" hidden="1" x14ac:dyDescent="0.35">
      <c r="C251" s="96">
        <v>36</v>
      </c>
      <c r="D251" s="274">
        <v>23</v>
      </c>
      <c r="M251" s="437"/>
      <c r="N251" s="437"/>
      <c r="O251" s="437"/>
      <c r="P251" s="64"/>
    </row>
    <row r="252" spans="3:16" hidden="1" x14ac:dyDescent="0.35">
      <c r="C252" s="96">
        <v>37</v>
      </c>
      <c r="D252" s="274">
        <v>25</v>
      </c>
    </row>
    <row r="253" spans="3:16" hidden="1" x14ac:dyDescent="0.35">
      <c r="C253" s="96">
        <v>38</v>
      </c>
      <c r="D253" s="274">
        <v>27</v>
      </c>
    </row>
    <row r="254" spans="3:16" hidden="1" x14ac:dyDescent="0.35">
      <c r="C254" s="96">
        <v>39</v>
      </c>
      <c r="D254" s="274">
        <v>29</v>
      </c>
    </row>
    <row r="255" spans="3:16" hidden="1" x14ac:dyDescent="0.35">
      <c r="C255" s="96">
        <v>40</v>
      </c>
      <c r="D255" s="274">
        <v>32</v>
      </c>
    </row>
    <row r="256" spans="3:16" hidden="1" x14ac:dyDescent="0.35">
      <c r="C256" s="96">
        <v>41</v>
      </c>
      <c r="D256" s="274">
        <v>34</v>
      </c>
    </row>
    <row r="257" spans="3:4" hidden="1" x14ac:dyDescent="0.35">
      <c r="C257" s="96">
        <v>42</v>
      </c>
      <c r="D257" s="274">
        <v>38</v>
      </c>
    </row>
    <row r="258" spans="3:4" hidden="1" x14ac:dyDescent="0.35">
      <c r="C258" s="96">
        <v>43</v>
      </c>
      <c r="D258" s="274">
        <v>42</v>
      </c>
    </row>
    <row r="259" spans="3:4" hidden="1" x14ac:dyDescent="0.35">
      <c r="C259" s="96">
        <v>44</v>
      </c>
      <c r="D259" s="274">
        <v>46</v>
      </c>
    </row>
    <row r="260" spans="3:4" hidden="1" x14ac:dyDescent="0.35">
      <c r="C260" s="96">
        <v>45</v>
      </c>
      <c r="D260" s="274">
        <v>50</v>
      </c>
    </row>
    <row r="261" spans="3:4" hidden="1" x14ac:dyDescent="0.35">
      <c r="C261" s="96">
        <v>46</v>
      </c>
      <c r="D261" s="274">
        <v>54</v>
      </c>
    </row>
    <row r="262" spans="3:4" hidden="1" x14ac:dyDescent="0.35">
      <c r="C262" s="96">
        <v>47</v>
      </c>
      <c r="D262" s="274">
        <v>58</v>
      </c>
    </row>
    <row r="263" spans="3:4" hidden="1" x14ac:dyDescent="0.35">
      <c r="C263" s="96">
        <v>48</v>
      </c>
      <c r="D263" s="274">
        <v>64</v>
      </c>
    </row>
    <row r="264" spans="3:4" hidden="1" x14ac:dyDescent="0.35">
      <c r="C264" s="96">
        <v>49</v>
      </c>
      <c r="D264" s="274">
        <v>68</v>
      </c>
    </row>
    <row r="265" spans="3:4" hidden="1" x14ac:dyDescent="0.35">
      <c r="C265" s="96">
        <v>50</v>
      </c>
      <c r="D265" s="274">
        <v>76</v>
      </c>
    </row>
    <row r="266" spans="3:4" hidden="1" x14ac:dyDescent="0.35">
      <c r="C266" s="96">
        <v>51</v>
      </c>
      <c r="D266" s="274">
        <v>84</v>
      </c>
    </row>
    <row r="267" spans="3:4" hidden="1" x14ac:dyDescent="0.35">
      <c r="C267" s="96">
        <v>52</v>
      </c>
      <c r="D267" s="274">
        <v>92</v>
      </c>
    </row>
    <row r="268" spans="3:4" hidden="1" x14ac:dyDescent="0.35">
      <c r="C268" s="96">
        <v>53</v>
      </c>
      <c r="D268" s="274">
        <v>100</v>
      </c>
    </row>
    <row r="269" spans="3:4" hidden="1" x14ac:dyDescent="0.35">
      <c r="C269" s="96">
        <v>54</v>
      </c>
      <c r="D269" s="274">
        <v>108</v>
      </c>
    </row>
    <row r="270" spans="3:4" hidden="1" x14ac:dyDescent="0.35">
      <c r="C270" s="96">
        <v>55</v>
      </c>
      <c r="D270" s="274">
        <v>116</v>
      </c>
    </row>
    <row r="271" spans="3:4" hidden="1" x14ac:dyDescent="0.35">
      <c r="C271" s="96">
        <v>56</v>
      </c>
      <c r="D271" s="274">
        <v>128</v>
      </c>
    </row>
    <row r="272" spans="3:4" hidden="1" x14ac:dyDescent="0.35">
      <c r="C272" s="96">
        <v>57</v>
      </c>
      <c r="D272" s="274">
        <v>136</v>
      </c>
    </row>
    <row r="273" spans="3:4" hidden="1" x14ac:dyDescent="0.35">
      <c r="C273" s="96">
        <v>58</v>
      </c>
      <c r="D273" s="274">
        <v>152</v>
      </c>
    </row>
    <row r="274" spans="3:4" hidden="1" x14ac:dyDescent="0.35">
      <c r="C274" s="96">
        <v>59</v>
      </c>
      <c r="D274" s="274">
        <v>168</v>
      </c>
    </row>
    <row r="275" spans="3:4" hidden="1" x14ac:dyDescent="0.35">
      <c r="C275" s="96">
        <v>60</v>
      </c>
      <c r="D275" s="274">
        <v>184</v>
      </c>
    </row>
    <row r="276" spans="3:4" hidden="1" x14ac:dyDescent="0.35">
      <c r="C276" s="96">
        <v>61</v>
      </c>
      <c r="D276" s="274">
        <v>200</v>
      </c>
    </row>
    <row r="277" spans="3:4" hidden="1" x14ac:dyDescent="0.35">
      <c r="C277" s="96">
        <v>62</v>
      </c>
      <c r="D277" s="274">
        <v>216</v>
      </c>
    </row>
    <row r="278" spans="3:4" hidden="1" x14ac:dyDescent="0.35">
      <c r="C278" s="96">
        <v>63</v>
      </c>
      <c r="D278" s="274">
        <v>232</v>
      </c>
    </row>
  </sheetData>
  <sheetProtection algorithmName="SHA-512" hashValue="0hBeAesdN+EMsowT6d/3fn/7xsOVr84kOcRYsXsBHZH3i2L03ZpcOLjR25U1DHp0qbC+Z9oHdstgxM4rsXr9/w==" saltValue="4kCeSRkdMLkB1HUYjhNTiQ==" spinCount="100000" sheet="1" objects="1" scenarios="1"/>
  <mergeCells count="1">
    <mergeCell ref="E116:G117"/>
  </mergeCells>
  <conditionalFormatting sqref="B99:D100">
    <cfRule type="expression" dxfId="97" priority="9">
      <formula>$C$98</formula>
    </cfRule>
  </conditionalFormatting>
  <conditionalFormatting sqref="B112:D112 D113">
    <cfRule type="expression" dxfId="96" priority="7">
      <formula>$C$98</formula>
    </cfRule>
  </conditionalFormatting>
  <conditionalFormatting sqref="B106:E107">
    <cfRule type="expression" dxfId="95" priority="8" stopIfTrue="1">
      <formula>$C$98</formula>
    </cfRule>
  </conditionalFormatting>
  <conditionalFormatting sqref="C106">
    <cfRule type="cellIs" dxfId="94" priority="10" operator="lessThan">
      <formula>0.8</formula>
    </cfRule>
  </conditionalFormatting>
  <conditionalFormatting sqref="D9">
    <cfRule type="expression" dxfId="93" priority="49">
      <formula>AND($D$8=FALSE(),$D$9=TRUE())</formula>
    </cfRule>
  </conditionalFormatting>
  <conditionalFormatting sqref="D14">
    <cfRule type="expression" dxfId="92" priority="41">
      <formula>D14&lt;0.35</formula>
    </cfRule>
    <cfRule type="expression" dxfId="91" priority="36">
      <formula>D14&gt;10</formula>
    </cfRule>
  </conditionalFormatting>
  <conditionalFormatting sqref="D14:D40 D43">
    <cfRule type="expression" dxfId="90" priority="35" stopIfTrue="1">
      <formula>NOT($D$8)</formula>
    </cfRule>
  </conditionalFormatting>
  <conditionalFormatting sqref="D38 F38 H38 J38">
    <cfRule type="expression" dxfId="89" priority="1">
      <formula>$D$5</formula>
    </cfRule>
  </conditionalFormatting>
  <conditionalFormatting sqref="D41:D42">
    <cfRule type="expression" dxfId="88" priority="6">
      <formula>NOT($F$8)</formula>
    </cfRule>
  </conditionalFormatting>
  <conditionalFormatting sqref="D81">
    <cfRule type="expression" dxfId="87" priority="43">
      <formula>(D4="LDC2112")</formula>
    </cfRule>
  </conditionalFormatting>
  <conditionalFormatting sqref="D82">
    <cfRule type="expression" dxfId="86" priority="42">
      <formula>$D$4="LDC2112"</formula>
    </cfRule>
  </conditionalFormatting>
  <conditionalFormatting sqref="E153:E154">
    <cfRule type="expression" dxfId="85" priority="5">
      <formula>$E$152</formula>
    </cfRule>
  </conditionalFormatting>
  <conditionalFormatting sqref="E157">
    <cfRule type="expression" dxfId="84" priority="4">
      <formula>NOT($F$156)</formula>
    </cfRule>
  </conditionalFormatting>
  <conditionalFormatting sqref="E160">
    <cfRule type="expression" dxfId="83" priority="3">
      <formula>NOT($F$156)</formula>
    </cfRule>
  </conditionalFormatting>
  <conditionalFormatting sqref="E161">
    <cfRule type="expression" dxfId="82" priority="2">
      <formula>OR(NOT($F$156),NOT($C$98))</formula>
    </cfRule>
  </conditionalFormatting>
  <conditionalFormatting sqref="F5">
    <cfRule type="cellIs" dxfId="81" priority="25" operator="equal">
      <formula>$D$5</formula>
    </cfRule>
  </conditionalFormatting>
  <conditionalFormatting sqref="F9">
    <cfRule type="expression" dxfId="80" priority="48">
      <formula>AND($F$9=TRUE(),$F$8=FALSE())</formula>
    </cfRule>
  </conditionalFormatting>
  <conditionalFormatting sqref="F14">
    <cfRule type="expression" dxfId="79" priority="33">
      <formula>F14&gt;10</formula>
    </cfRule>
    <cfRule type="expression" dxfId="78" priority="34">
      <formula>F14&lt;0.35</formula>
    </cfRule>
    <cfRule type="expression" dxfId="77" priority="32" stopIfTrue="1">
      <formula>NOT(F8)</formula>
    </cfRule>
  </conditionalFormatting>
  <conditionalFormatting sqref="F15:F43">
    <cfRule type="expression" dxfId="76" priority="37">
      <formula>NOT($F$8)</formula>
    </cfRule>
  </conditionalFormatting>
  <conditionalFormatting sqref="G47:K47">
    <cfRule type="expression" dxfId="75" priority="50">
      <formula>"OFF"</formula>
    </cfRule>
  </conditionalFormatting>
  <conditionalFormatting sqref="H8">
    <cfRule type="expression" dxfId="74" priority="45">
      <formula>AND($D$4="LDC2112",$H$8=TRUE())</formula>
    </cfRule>
  </conditionalFormatting>
  <conditionalFormatting sqref="H9">
    <cfRule type="expression" dxfId="73" priority="47">
      <formula>AND($H$9=TRUE(),$H$8=FALSE())</formula>
    </cfRule>
  </conditionalFormatting>
  <conditionalFormatting sqref="H14">
    <cfRule type="expression" dxfId="72" priority="30">
      <formula>H14&gt;10</formula>
    </cfRule>
    <cfRule type="expression" dxfId="71" priority="29" stopIfTrue="1">
      <formula>NOT(H8)</formula>
    </cfRule>
    <cfRule type="expression" dxfId="70" priority="31">
      <formula>H14&lt;0.35</formula>
    </cfRule>
  </conditionalFormatting>
  <conditionalFormatting sqref="H15:H43">
    <cfRule type="expression" dxfId="69" priority="39">
      <formula>NOT($H$8)</formula>
    </cfRule>
  </conditionalFormatting>
  <conditionalFormatting sqref="J8">
    <cfRule type="expression" dxfId="68" priority="44">
      <formula>AND($D$4="LDC2112",$J$8=TRUE())</formula>
    </cfRule>
  </conditionalFormatting>
  <conditionalFormatting sqref="J9">
    <cfRule type="expression" dxfId="67" priority="46">
      <formula>AND($J$9=TRUE(),$J$8=FALSE())</formula>
    </cfRule>
  </conditionalFormatting>
  <conditionalFormatting sqref="J14">
    <cfRule type="expression" dxfId="66" priority="28">
      <formula>J14&lt;0.35</formula>
    </cfRule>
    <cfRule type="expression" dxfId="65" priority="27">
      <formula>J14&gt;10</formula>
    </cfRule>
    <cfRule type="expression" dxfId="64" priority="26" stopIfTrue="1">
      <formula>NOT(J8)</formula>
    </cfRule>
  </conditionalFormatting>
  <conditionalFormatting sqref="J15:J43">
    <cfRule type="expression" dxfId="63" priority="38">
      <formula>NOT($J$8)</formula>
    </cfRule>
  </conditionalFormatting>
  <dataValidations count="35">
    <dataValidation type="decimal" allowBlank="1" showInputMessage="1" showErrorMessage="1" errorTitle="Invalid Setting" error="Valid settings for HYST are from 0 to 15." sqref="D58" xr:uid="{00000000-0002-0000-0400-000000000000}">
      <formula1>0</formula1>
      <formula2>15</formula2>
    </dataValidation>
    <dataValidation type="decimal" allowBlank="1" showInputMessage="1" showErrorMessage="1" error="This sample interval is not within the LDC211x operating region." sqref="D17 H17 J17 F17" xr:uid="{00000000-0002-0000-0400-000001000000}">
      <formula1>0.1</formula1>
      <formula2>15</formula2>
    </dataValidation>
    <dataValidation type="decimal" errorStyle="warning" allowBlank="1" showInputMessage="1" showErrorMessage="1" errorTitle="Value outside Design Space" error="This value is outside of the design space of 0.35k to 10k  for the LDC2114; device operation may not be correct." sqref="F14 H14" xr:uid="{00000000-0002-0000-0400-000002000000}">
      <formula1>0.35</formula1>
      <formula2>10</formula2>
    </dataValidation>
    <dataValidation type="decimal" errorStyle="warning" allowBlank="1" showInputMessage="1" showErrorMessage="1" errorTitle="Outside Design Space" error="This value is outside of the design space for the LDC2114 of 0.35k to 10.0K; device operation may be compromised." sqref="D14" xr:uid="{00000000-0002-0000-0400-000003000000}">
      <formula1>0.35</formula1>
      <formula2>10</formula2>
    </dataValidation>
    <dataValidation type="list" allowBlank="1" showInputMessage="1" showErrorMessage="1" sqref="D57" xr:uid="{00000000-0002-0000-0400-000004000000}">
      <formula1>"Active Low, Active High"</formula1>
    </dataValidation>
    <dataValidation type="whole" allowBlank="1" showInputMessage="1" showErrorMessage="1" errorTitle="Invalid Base Increment" error="The Base Increment range is from 0 to 7." sqref="D55:D56" xr:uid="{00000000-0002-0000-0400-000005000000}">
      <formula1>0</formula1>
      <formula2>7</formula2>
    </dataValidation>
    <dataValidation type="decimal" allowBlank="1" showInputMessage="1" showErrorMessage="1" sqref="D40 F40 H40 J40" xr:uid="{00000000-0002-0000-0400-000006000000}">
      <formula1>0</formula1>
      <formula2>200000</formula2>
    </dataValidation>
    <dataValidation type="whole" allowBlank="1" showInputMessage="1" showErrorMessage="1" sqref="F38:F39 H38:H39 J38:J39 D38:D39" xr:uid="{00000000-0002-0000-0400-000007000000}">
      <formula1>0</formula1>
      <formula2>63</formula2>
    </dataValidation>
    <dataValidation type="list" allowBlank="1" showInputMessage="1" showErrorMessage="1" sqref="I47" xr:uid="{00000000-0002-0000-0400-000008000000}">
      <formula1>$I$50:$I$51</formula1>
    </dataValidation>
    <dataValidation type="list" allowBlank="1" showInputMessage="1" showErrorMessage="1" sqref="J47" xr:uid="{00000000-0002-0000-0400-000009000000}">
      <formula1>$J$50:$J$51</formula1>
    </dataValidation>
    <dataValidation type="list" allowBlank="1" showInputMessage="1" showErrorMessage="1" sqref="H47" xr:uid="{00000000-0002-0000-0400-00000A000000}">
      <formula1>$H$50:$H$51</formula1>
    </dataValidation>
    <dataValidation type="list" allowBlank="1" showInputMessage="1" showErrorMessage="1" sqref="G47" xr:uid="{00000000-0002-0000-0400-00000B000000}">
      <formula1>$G$50:$G$51</formula1>
    </dataValidation>
    <dataValidation type="list" allowBlank="1" showInputMessage="1" showErrorMessage="1" sqref="G50:J50" xr:uid="{00000000-0002-0000-0400-00000C000000}">
      <formula1>"ON,OFF"</formula1>
    </dataValidation>
    <dataValidation type="whole" allowBlank="1" showInputMessage="1" showErrorMessage="1" error="Invalid number of buttons" sqref="D50:D51" xr:uid="{00000000-0002-0000-0400-00000D000000}">
      <formula1>0</formula1>
      <formula2>4</formula2>
    </dataValidation>
    <dataValidation type="list" allowBlank="1" showInputMessage="1" showErrorMessage="1" error="The LDC2114 can only be configured to 10, 20, 40, or 80 Hz scan rate for normal power mode." sqref="D48" xr:uid="{00000000-0002-0000-0400-00000E000000}">
      <formula1>"10,20,40,80"</formula1>
    </dataValidation>
    <dataValidation type="list" allowBlank="1" showInputMessage="1" showErrorMessage="1" sqref="D45" xr:uid="{00000000-0002-0000-0400-00000F000000}">
      <formula1>"0.625,1.25,2.5,5"</formula1>
    </dataValidation>
    <dataValidation type="decimal" errorStyle="warning" allowBlank="1" showInputMessage="1" showErrorMessage="1" errorTitle="Value outside of Design Space" error="This value is outside of the design space of 0.35k to 10k  for the LDC2114; device operation may not be correct." sqref="J14" xr:uid="{00000000-0002-0000-0400-000010000000}">
      <formula1>0.35</formula1>
      <formula2>10</formula2>
    </dataValidation>
    <dataValidation errorStyle="warning" allowBlank="1" showInputMessage="1" showErrorMessage="1" sqref="E78:J78 D65:D82" xr:uid="{00000000-0002-0000-0400-000011000000}"/>
    <dataValidation type="whole" errorStyle="warning" allowBlank="1" showInputMessage="1" showErrorMessage="1" sqref="D24 F24 H24 J24" xr:uid="{00000000-0002-0000-0400-000012000000}">
      <formula1>0</formula1>
      <formula2>31</formula2>
    </dataValidation>
    <dataValidation type="decimal" allowBlank="1" showInputMessage="1" showErrorMessage="1" sqref="J19 D19 H19 F19" xr:uid="{00000000-0002-0000-0400-000013000000}">
      <formula1>0.01</formula1>
      <formula2>15</formula2>
    </dataValidation>
    <dataValidation type="decimal" allowBlank="1" showInputMessage="1" showErrorMessage="1" error="This is outside the LDC2114 Frequency range of 1 MHz to 30 MHz." sqref="D16 F16 H16 J16" xr:uid="{00000000-0002-0000-0400-000014000000}">
      <formula1>1</formula1>
      <formula2>30</formula2>
    </dataValidation>
    <dataValidation type="list" allowBlank="1" showInputMessage="1" showErrorMessage="1" sqref="D4" xr:uid="{00000000-0002-0000-0400-000015000000}">
      <formula1>"LDC3114"</formula1>
    </dataValidation>
    <dataValidation allowBlank="1" showDropDown="1" showInputMessage="1" showErrorMessage="1" sqref="B89" xr:uid="{00000000-0002-0000-0400-000016000000}"/>
    <dataValidation type="decimal" operator="greaterThan" allowBlank="1" showInputMessage="1" showErrorMessage="1" sqref="C85:C87" xr:uid="{00000000-0002-0000-0400-000017000000}">
      <formula1>0</formula1>
    </dataValidation>
    <dataValidation type="list" allowBlank="1" showInputMessage="1" showErrorMessage="1" sqref="B88" xr:uid="{00000000-0002-0000-0400-000018000000}">
      <formula1>"Rs,Rp"</formula1>
    </dataValidation>
    <dataValidation type="decimal" errorStyle="warning" allowBlank="1" showInputMessage="1" showErrorMessage="1" errorTitle="Extreme size for sensor" error="This sensor size may be too small to support or is extremely large." sqref="C112:C115" xr:uid="{00000000-0002-0000-0400-000019000000}">
      <formula1>2</formula1>
      <formula2>200</formula2>
    </dataValidation>
    <dataValidation errorStyle="warning" allowBlank="1" showInputMessage="1" showErrorMessage="1" errorTitle="Invalid I2C datarate" error="The LDC can support a datarate of up to 400kbit/s." sqref="C118:C129 C108:C111" xr:uid="{00000000-0002-0000-0400-00001A000000}"/>
    <dataValidation errorStyle="warning" allowBlank="1" showInputMessage="1" showErrorMessage="1" errorTitle="Invalid Sensor Frequency" error="The LDC is limited to sensor frequencies of 10kHz to 10MHz." sqref="C107" xr:uid="{00000000-0002-0000-0400-00001B000000}"/>
    <dataValidation type="decimal" errorStyle="warning" allowBlank="1" showInputMessage="1" showErrorMessage="1" errorTitle="Extreme value" error="This value is extreme and corresponds either to a very poor sensor or an unachievable sensor. Please verify this value." sqref="C106" xr:uid="{00000000-0002-0000-0400-00001C000000}">
      <formula1>0.5</formula1>
      <formula2>500</formula2>
    </dataValidation>
    <dataValidation type="list" allowBlank="1" showInputMessage="1" showErrorMessage="1" sqref="B106" xr:uid="{00000000-0002-0000-0400-00001D000000}">
      <formula1>"Sensor Q,Sensor RP"</formula1>
    </dataValidation>
    <dataValidation type="decimal" errorStyle="warning" allowBlank="1" showInputMessage="1" showErrorMessage="1" errorTitle="Distance Out of range" error="This distance is not recommended. " sqref="C116:C117" xr:uid="{00000000-0002-0000-0400-00001E000000}">
      <formula1>0.01</formula1>
      <formula2>100</formula2>
    </dataValidation>
    <dataValidation errorStyle="warning" allowBlank="1" showInputMessage="1" showErrorMessage="1" errorTitle="Sensor Frequency too high" error="The Sensor frequency cannot exceed the IC Max Frequency" sqref="C132" xr:uid="{00000000-0002-0000-0400-00001F000000}"/>
    <dataValidation type="decimal" allowBlank="1" showInputMessage="1" showErrorMessage="1" sqref="C130" xr:uid="{00000000-0002-0000-0400-000020000000}">
      <formula1>0.000001</formula1>
      <formula2>1</formula2>
    </dataValidation>
    <dataValidation type="decimal" errorStyle="warning" allowBlank="1" showInputMessage="1" showErrorMessage="1" errorTitle="Distance Out of range" error="This distance is outside the range specified above. " sqref="C140" xr:uid="{00000000-0002-0000-0400-000021000000}">
      <formula1>C117</formula1>
      <formula2>C116</formula2>
    </dataValidation>
    <dataValidation type="list" allowBlank="1" showInputMessage="1" showErrorMessage="1" errorTitle="Error" error="Must be either Hex or Dec" sqref="D152" xr:uid="{FD05A8AC-D9D0-4AE8-8B3C-076583BC2436}">
      <formula1>$D$164:$D$165</formula1>
    </dataValidation>
  </dataValidations>
  <hyperlinks>
    <hyperlink ref="F2" location="Contents!A1" display="Return to Main Page" xr:uid="{00000000-0004-0000-0400-000000000000}"/>
    <hyperlink ref="F99" location="Spiral_Inductor_Designer!A1" display="Spiral Inductor Designer" xr:uid="{00000000-0004-0000-0400-000001000000}"/>
  </hyperlink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41" r:id="rId4" name="Check Box 1">
              <controlPr locked="0" defaultSize="0" autoFill="0" autoLine="0" autoPict="0" altText="Enable Ch0">
                <anchor moveWithCells="1">
                  <from>
                    <xdr:col>3</xdr:col>
                    <xdr:colOff>31750</xdr:colOff>
                    <xdr:row>7</xdr:row>
                    <xdr:rowOff>19050</xdr:rowOff>
                  </from>
                  <to>
                    <xdr:col>3</xdr:col>
                    <xdr:colOff>571500</xdr:colOff>
                    <xdr:row>7</xdr:row>
                    <xdr:rowOff>146050</xdr:rowOff>
                  </to>
                </anchor>
              </controlPr>
            </control>
          </mc:Choice>
        </mc:AlternateContent>
        <mc:AlternateContent xmlns:mc="http://schemas.openxmlformats.org/markup-compatibility/2006">
          <mc:Choice Requires="x14">
            <control shapeId="112645" r:id="rId5" name="Check Box 5">
              <controlPr locked="0" defaultSize="0" autoFill="0" autoLine="0" autoPict="0" altText="Enable Ch0">
                <anchor moveWithCells="1">
                  <from>
                    <xdr:col>3</xdr:col>
                    <xdr:colOff>31750</xdr:colOff>
                    <xdr:row>7</xdr:row>
                    <xdr:rowOff>152400</xdr:rowOff>
                  </from>
                  <to>
                    <xdr:col>3</xdr:col>
                    <xdr:colOff>774700</xdr:colOff>
                    <xdr:row>13</xdr:row>
                    <xdr:rowOff>19050</xdr:rowOff>
                  </to>
                </anchor>
              </controlPr>
            </control>
          </mc:Choice>
        </mc:AlternateContent>
        <mc:AlternateContent xmlns:mc="http://schemas.openxmlformats.org/markup-compatibility/2006">
          <mc:Choice Requires="x14">
            <control shapeId="112646" r:id="rId6" name="Check Box 6">
              <controlPr locked="0" defaultSize="0" autoFill="0" autoLine="0" autoPict="0" altText="Enable Ch0">
                <anchor moveWithCells="1">
                  <from>
                    <xdr:col>5</xdr:col>
                    <xdr:colOff>19050</xdr:colOff>
                    <xdr:row>8</xdr:row>
                    <xdr:rowOff>12700</xdr:rowOff>
                  </from>
                  <to>
                    <xdr:col>5</xdr:col>
                    <xdr:colOff>755650</xdr:colOff>
                    <xdr:row>8</xdr:row>
                    <xdr:rowOff>146050</xdr:rowOff>
                  </to>
                </anchor>
              </controlPr>
            </control>
          </mc:Choice>
        </mc:AlternateContent>
        <mc:AlternateContent xmlns:mc="http://schemas.openxmlformats.org/markup-compatibility/2006">
          <mc:Choice Requires="x14">
            <control shapeId="112647" r:id="rId7" name="Check Box 7">
              <controlPr locked="0" defaultSize="0" autoFill="0" autoLine="0" autoPict="0" altText="Enable Ch0">
                <anchor moveWithCells="1">
                  <from>
                    <xdr:col>7</xdr:col>
                    <xdr:colOff>19050</xdr:colOff>
                    <xdr:row>7</xdr:row>
                    <xdr:rowOff>146050</xdr:rowOff>
                  </from>
                  <to>
                    <xdr:col>7</xdr:col>
                    <xdr:colOff>781050</xdr:colOff>
                    <xdr:row>9</xdr:row>
                    <xdr:rowOff>0</xdr:rowOff>
                  </to>
                </anchor>
              </controlPr>
            </control>
          </mc:Choice>
        </mc:AlternateContent>
        <mc:AlternateContent xmlns:mc="http://schemas.openxmlformats.org/markup-compatibility/2006">
          <mc:Choice Requires="x14">
            <control shapeId="112648" r:id="rId8" name="Check Box 8">
              <controlPr locked="0" defaultSize="0" autoFill="0" autoLine="0" autoPict="0" altText="Enable Ch0">
                <anchor moveWithCells="1">
                  <from>
                    <xdr:col>9</xdr:col>
                    <xdr:colOff>12700</xdr:colOff>
                    <xdr:row>8</xdr:row>
                    <xdr:rowOff>12700</xdr:rowOff>
                  </from>
                  <to>
                    <xdr:col>9</xdr:col>
                    <xdr:colOff>742950</xdr:colOff>
                    <xdr:row>8</xdr:row>
                    <xdr:rowOff>146050</xdr:rowOff>
                  </to>
                </anchor>
              </controlPr>
            </control>
          </mc:Choice>
        </mc:AlternateContent>
        <mc:AlternateContent xmlns:mc="http://schemas.openxmlformats.org/markup-compatibility/2006">
          <mc:Choice Requires="x14">
            <control shapeId="112654" r:id="rId9" name="Check Box 14">
              <controlPr locked="0" defaultSize="0" autoFill="0" autoLine="0" autoPict="0" altText="Enable Ch0">
                <anchor moveWithCells="1">
                  <from>
                    <xdr:col>3</xdr:col>
                    <xdr:colOff>31750</xdr:colOff>
                    <xdr:row>4</xdr:row>
                    <xdr:rowOff>19050</xdr:rowOff>
                  </from>
                  <to>
                    <xdr:col>3</xdr:col>
                    <xdr:colOff>571500</xdr:colOff>
                    <xdr:row>4</xdr:row>
                    <xdr:rowOff>146050</xdr:rowOff>
                  </to>
                </anchor>
              </controlPr>
            </control>
          </mc:Choice>
        </mc:AlternateContent>
        <mc:AlternateContent xmlns:mc="http://schemas.openxmlformats.org/markup-compatibility/2006">
          <mc:Choice Requires="x14">
            <control shapeId="112660" r:id="rId10" name="Check Box 20">
              <controlPr locked="0" defaultSize="0" autoFill="0" autoLine="0" autoPict="0" altText="Enable Ch0">
                <anchor moveWithCells="1">
                  <from>
                    <xdr:col>5</xdr:col>
                    <xdr:colOff>12700</xdr:colOff>
                    <xdr:row>7</xdr:row>
                    <xdr:rowOff>0</xdr:rowOff>
                  </from>
                  <to>
                    <xdr:col>5</xdr:col>
                    <xdr:colOff>552450</xdr:colOff>
                    <xdr:row>7</xdr:row>
                    <xdr:rowOff>146050</xdr:rowOff>
                  </to>
                </anchor>
              </controlPr>
            </control>
          </mc:Choice>
        </mc:AlternateContent>
        <mc:AlternateContent xmlns:mc="http://schemas.openxmlformats.org/markup-compatibility/2006">
          <mc:Choice Requires="x14">
            <control shapeId="112661" r:id="rId11" name="Check Box 21">
              <controlPr locked="0" defaultSize="0" autoFill="0" autoLine="0" autoPict="0" altText="Enable Ch0">
                <anchor moveWithCells="1">
                  <from>
                    <xdr:col>7</xdr:col>
                    <xdr:colOff>19050</xdr:colOff>
                    <xdr:row>7</xdr:row>
                    <xdr:rowOff>0</xdr:rowOff>
                  </from>
                  <to>
                    <xdr:col>7</xdr:col>
                    <xdr:colOff>571500</xdr:colOff>
                    <xdr:row>7</xdr:row>
                    <xdr:rowOff>146050</xdr:rowOff>
                  </to>
                </anchor>
              </controlPr>
            </control>
          </mc:Choice>
        </mc:AlternateContent>
        <mc:AlternateContent xmlns:mc="http://schemas.openxmlformats.org/markup-compatibility/2006">
          <mc:Choice Requires="x14">
            <control shapeId="112662" r:id="rId12" name="Check Box 22">
              <controlPr locked="0" defaultSize="0" autoFill="0" autoLine="0" autoPict="0" altText="Enable Ch0">
                <anchor moveWithCells="1">
                  <from>
                    <xdr:col>9</xdr:col>
                    <xdr:colOff>12700</xdr:colOff>
                    <xdr:row>7</xdr:row>
                    <xdr:rowOff>0</xdr:rowOff>
                  </from>
                  <to>
                    <xdr:col>9</xdr:col>
                    <xdr:colOff>552450</xdr:colOff>
                    <xdr:row>7</xdr:row>
                    <xdr:rowOff>152400</xdr:rowOff>
                  </to>
                </anchor>
              </controlPr>
            </control>
          </mc:Choice>
        </mc:AlternateContent>
        <mc:AlternateContent xmlns:mc="http://schemas.openxmlformats.org/markup-compatibility/2006">
          <mc:Choice Requires="x14">
            <control shapeId="112665" r:id="rId13" name="Check Box 25">
              <controlPr locked="0" defaultSize="0" autoFill="0" autoLine="0" autoPict="0" altText="Enable Ch0">
                <anchor moveWithCells="1">
                  <from>
                    <xdr:col>3</xdr:col>
                    <xdr:colOff>279400</xdr:colOff>
                    <xdr:row>98</xdr:row>
                    <xdr:rowOff>19050</xdr:rowOff>
                  </from>
                  <to>
                    <xdr:col>4</xdr:col>
                    <xdr:colOff>222250</xdr:colOff>
                    <xdr:row>99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4" tint="0.59999389629810485"/>
  </sheetPr>
  <dimension ref="B2:V213"/>
  <sheetViews>
    <sheetView showGridLines="0" showRowColHeaders="0" zoomScaleNormal="100" workbookViewId="0">
      <selection activeCell="M40" sqref="M40"/>
    </sheetView>
  </sheetViews>
  <sheetFormatPr defaultRowHeight="14.5" x14ac:dyDescent="0.35"/>
  <cols>
    <col min="2" max="2" width="16.81640625" customWidth="1"/>
    <col min="3" max="3" width="10.26953125" customWidth="1"/>
    <col min="4" max="4" width="14.54296875" customWidth="1"/>
    <col min="5" max="5" width="4.7265625" customWidth="1"/>
    <col min="6" max="6" width="14.54296875" customWidth="1"/>
    <col min="7" max="7" width="4.1796875" customWidth="1"/>
    <col min="8" max="8" width="14.54296875" customWidth="1"/>
    <col min="9" max="9" width="4.453125" customWidth="1"/>
    <col min="10" max="10" width="14.54296875" customWidth="1"/>
    <col min="11" max="11" width="4.26953125" customWidth="1"/>
  </cols>
  <sheetData>
    <row r="2" spans="2:16" ht="18.5" x14ac:dyDescent="0.45">
      <c r="B2" s="3" t="s">
        <v>1610</v>
      </c>
      <c r="F2" s="14" t="s">
        <v>198</v>
      </c>
    </row>
    <row r="3" spans="2:16" ht="18.5" x14ac:dyDescent="0.45">
      <c r="C3" s="3"/>
      <c r="H3" s="14"/>
    </row>
    <row r="4" spans="2:16" ht="15.5" x14ac:dyDescent="0.35">
      <c r="C4" s="321" t="s">
        <v>809</v>
      </c>
      <c r="D4" s="35" t="s">
        <v>484</v>
      </c>
    </row>
    <row r="5" spans="2:16" ht="15.5" x14ac:dyDescent="0.35">
      <c r="C5" s="16"/>
      <c r="D5" s="238" t="s">
        <v>715</v>
      </c>
      <c r="F5" s="238" t="s">
        <v>716</v>
      </c>
      <c r="H5" s="238" t="s">
        <v>717</v>
      </c>
      <c r="J5" s="238" t="s">
        <v>718</v>
      </c>
      <c r="K5" s="140"/>
      <c r="L5" s="140"/>
      <c r="M5" s="140"/>
      <c r="N5" s="140"/>
      <c r="O5" s="140"/>
      <c r="P5" s="140"/>
    </row>
    <row r="6" spans="2:16" x14ac:dyDescent="0.35">
      <c r="D6" s="8"/>
      <c r="F6" s="8"/>
      <c r="H6" s="8"/>
      <c r="J6" s="8"/>
      <c r="K6" s="140"/>
      <c r="L6" s="140"/>
      <c r="M6" s="140"/>
      <c r="N6" s="140"/>
      <c r="O6" s="140"/>
      <c r="P6" s="140"/>
    </row>
    <row r="7" spans="2:16" ht="15.5" x14ac:dyDescent="0.35">
      <c r="B7" s="16" t="s">
        <v>733</v>
      </c>
      <c r="D7" s="319" t="b">
        <v>1</v>
      </c>
      <c r="E7" s="314"/>
      <c r="F7" s="320" t="b">
        <v>1</v>
      </c>
      <c r="G7" s="315"/>
      <c r="H7" s="320" t="b">
        <v>1</v>
      </c>
      <c r="I7" s="315"/>
      <c r="J7" s="320" t="b">
        <v>0</v>
      </c>
      <c r="K7" s="68" t="str">
        <f>IF(AND(D4="LDC2112",OR(H7=TRUE(),J7=TRUE())),"LDC2112 does not have Ch2 or Ch3","")</f>
        <v/>
      </c>
      <c r="L7" s="140"/>
      <c r="M7" s="140"/>
      <c r="N7" s="140"/>
      <c r="O7" s="140"/>
      <c r="P7" s="140"/>
    </row>
    <row r="8" spans="2:16" ht="15.5" x14ac:dyDescent="0.35">
      <c r="B8" s="16" t="s">
        <v>719</v>
      </c>
      <c r="D8" s="319" t="b">
        <v>1</v>
      </c>
      <c r="E8" s="314"/>
      <c r="F8" s="320" t="b">
        <v>1</v>
      </c>
      <c r="G8" s="315"/>
      <c r="H8" s="320" t="b">
        <v>0</v>
      </c>
      <c r="I8" s="315"/>
      <c r="J8" s="320" t="b">
        <v>0</v>
      </c>
      <c r="K8" s="68" t="str">
        <f>IF(SUM(D11,F11,H11,J11)&gt;SUM(D12,F12,H12,J12),"LP Mode requires Enabled Button","")</f>
        <v/>
      </c>
      <c r="L8" s="140"/>
      <c r="M8" s="140"/>
      <c r="N8" s="140"/>
      <c r="O8" s="140"/>
      <c r="P8" s="140"/>
    </row>
    <row r="9" spans="2:16" ht="15.5" x14ac:dyDescent="0.35">
      <c r="B9" s="16"/>
      <c r="D9" s="134"/>
      <c r="L9" s="140"/>
      <c r="M9" s="140"/>
      <c r="N9" s="140"/>
      <c r="O9" s="140"/>
      <c r="P9" s="140"/>
    </row>
    <row r="10" spans="2:16" hidden="1" x14ac:dyDescent="0.35">
      <c r="B10" t="s">
        <v>720</v>
      </c>
      <c r="D10" s="59">
        <f>IF(D7=TRUE(),1,0)</f>
        <v>1</v>
      </c>
      <c r="F10" s="59">
        <f>IF(F7=TRUE(),1,0)</f>
        <v>1</v>
      </c>
      <c r="H10" s="59">
        <f>IF(H7=TRUE(),IF(D4="LDC2114",1,0),0)</f>
        <v>1</v>
      </c>
      <c r="J10" s="59">
        <f>IF(J7=TRUE(),IF(D4="LDC2114",1,0),0)</f>
        <v>0</v>
      </c>
      <c r="L10" s="140"/>
      <c r="M10" s="140"/>
      <c r="N10" s="140"/>
      <c r="O10" s="140"/>
      <c r="P10" s="140"/>
    </row>
    <row r="11" spans="2:16" hidden="1" x14ac:dyDescent="0.35">
      <c r="B11" t="s">
        <v>722</v>
      </c>
      <c r="D11" s="59">
        <f>IF(D8=TRUE(),1,0)</f>
        <v>1</v>
      </c>
      <c r="F11" s="59">
        <f>IF(F8=TRUE(),1,0)</f>
        <v>1</v>
      </c>
      <c r="H11" s="59">
        <f>IF(H8=TRUE(),1,0)</f>
        <v>0</v>
      </c>
      <c r="J11" s="59">
        <f>IF(J8=TRUE(),1,0)</f>
        <v>0</v>
      </c>
      <c r="L11" s="140"/>
      <c r="M11" s="140"/>
      <c r="N11" s="140"/>
      <c r="O11" s="140"/>
      <c r="P11" s="140"/>
    </row>
    <row r="12" spans="2:16" hidden="1" x14ac:dyDescent="0.35">
      <c r="B12" t="s">
        <v>721</v>
      </c>
      <c r="D12" s="59">
        <f>IF(D8=TRUE(),IF(D7=TRUE(),1,0),0)</f>
        <v>1</v>
      </c>
      <c r="F12" s="59">
        <f>IF(F8=TRUE(),IF(F7=TRUE(),1,0),0)</f>
        <v>1</v>
      </c>
      <c r="H12" s="59">
        <f>IF(H8=TRUE(),IF(H7=TRUE(),1,0),0)</f>
        <v>0</v>
      </c>
      <c r="J12" s="59">
        <f>IF(J8=TRUE(),IF(J7=TRUE(),1,0),0)</f>
        <v>0</v>
      </c>
      <c r="L12" s="140"/>
      <c r="M12" s="140"/>
      <c r="N12" s="140"/>
      <c r="O12" s="140"/>
      <c r="P12" s="140"/>
    </row>
    <row r="13" spans="2:16" ht="16.5" x14ac:dyDescent="0.45">
      <c r="B13" s="1" t="s">
        <v>1631</v>
      </c>
      <c r="D13" s="124">
        <v>4</v>
      </c>
      <c r="E13" s="5" t="s">
        <v>243</v>
      </c>
      <c r="F13" s="124">
        <v>2</v>
      </c>
      <c r="G13" s="5" t="s">
        <v>243</v>
      </c>
      <c r="H13" s="124">
        <v>2</v>
      </c>
      <c r="I13" s="5" t="s">
        <v>243</v>
      </c>
      <c r="J13" s="124">
        <v>2</v>
      </c>
      <c r="K13" s="5" t="s">
        <v>243</v>
      </c>
      <c r="L13" s="140"/>
      <c r="M13" s="140"/>
      <c r="N13" s="140"/>
      <c r="O13" s="140"/>
      <c r="P13" s="140"/>
    </row>
    <row r="14" spans="2:16" ht="15" x14ac:dyDescent="0.4">
      <c r="B14" s="1" t="s">
        <v>1630</v>
      </c>
      <c r="D14" s="131" t="str">
        <f>IF(D13&lt;3,"350Ω ≤ RP ≤ 4kΩ","800Ω ≤ RP ≤ 10kΩ")</f>
        <v>800Ω ≤ RP ≤ 10kΩ</v>
      </c>
      <c r="E14" s="5"/>
      <c r="F14" s="131" t="str">
        <f>IF(F13&lt;3,"350Ω ≤ RP ≤ 4kΩ","800Ω ≤ RP ≤ 10kΩ")</f>
        <v>350Ω ≤ RP ≤ 4kΩ</v>
      </c>
      <c r="G14" s="5"/>
      <c r="H14" s="131" t="str">
        <f>IF(H13&lt;3,"350Ω ≤ RP ≤ 4kΩ","800Ω ≤ RP ≤ 10kΩ")</f>
        <v>350Ω ≤ RP ≤ 4kΩ</v>
      </c>
      <c r="I14" s="5"/>
      <c r="J14" s="131" t="str">
        <f>IF(J13&lt;3,"350Ω ≤ RP ≤ 4kΩ","800Ω ≤ RP ≤ 10kΩ")</f>
        <v>350Ω ≤ RP ≤ 4kΩ</v>
      </c>
      <c r="K14" s="5"/>
      <c r="L14" s="140"/>
      <c r="M14" s="140"/>
      <c r="N14" s="140"/>
      <c r="O14" s="140"/>
      <c r="P14" s="140"/>
    </row>
    <row r="15" spans="2:16" ht="16.5" x14ac:dyDescent="0.45">
      <c r="B15" s="1" t="s">
        <v>640</v>
      </c>
      <c r="D15" s="40">
        <v>18</v>
      </c>
      <c r="E15" s="5" t="s">
        <v>0</v>
      </c>
      <c r="F15" s="40">
        <v>20</v>
      </c>
      <c r="G15" s="5" t="s">
        <v>0</v>
      </c>
      <c r="H15" s="40">
        <v>20</v>
      </c>
      <c r="I15" s="5" t="s">
        <v>0</v>
      </c>
      <c r="J15" s="40">
        <v>20</v>
      </c>
      <c r="K15" s="5" t="s">
        <v>0</v>
      </c>
      <c r="L15" s="140"/>
      <c r="M15" s="140"/>
      <c r="N15" s="140"/>
      <c r="O15" s="140"/>
      <c r="P15" s="140"/>
    </row>
    <row r="16" spans="2:16" x14ac:dyDescent="0.35">
      <c r="B16" s="1" t="s">
        <v>638</v>
      </c>
      <c r="D16" s="124">
        <v>1</v>
      </c>
      <c r="E16" s="5" t="s">
        <v>229</v>
      </c>
      <c r="F16" s="124">
        <v>1</v>
      </c>
      <c r="G16" s="5" t="s">
        <v>229</v>
      </c>
      <c r="H16" s="124">
        <v>1</v>
      </c>
      <c r="I16" s="5" t="s">
        <v>229</v>
      </c>
      <c r="J16" s="124">
        <v>1</v>
      </c>
      <c r="K16" s="5" t="s">
        <v>229</v>
      </c>
      <c r="L16" s="140"/>
      <c r="M16" s="140"/>
      <c r="N16" s="140"/>
      <c r="O16" s="140"/>
      <c r="P16" s="140"/>
    </row>
    <row r="17" spans="2:16" hidden="1" x14ac:dyDescent="0.35">
      <c r="B17" t="s">
        <v>616</v>
      </c>
      <c r="D17" s="279">
        <f>IF(D14="800Ω ≤ RP ≤ 10kΩ",1,0)</f>
        <v>1</v>
      </c>
      <c r="E17" s="5"/>
      <c r="F17" s="279">
        <f>IF(F14="800Ω ≤ RP ≤ 10kΩ",1,0)</f>
        <v>0</v>
      </c>
      <c r="G17" s="5"/>
      <c r="H17" s="279">
        <f>IF(H14="800Ω ≤ RP ≤ 10kΩ",1,0)</f>
        <v>0</v>
      </c>
      <c r="I17" s="5"/>
      <c r="J17" s="279">
        <f>IF(J14="800Ω ≤ RP ≤ 10kΩ",1,0)</f>
        <v>0</v>
      </c>
      <c r="K17" s="5"/>
      <c r="L17" s="140"/>
      <c r="M17" s="140"/>
      <c r="N17" s="140"/>
      <c r="O17" s="140"/>
      <c r="P17" s="140"/>
    </row>
    <row r="18" spans="2:16" hidden="1" x14ac:dyDescent="0.35">
      <c r="B18" t="s">
        <v>619</v>
      </c>
      <c r="D18" s="280">
        <f>IF(D15&lt;3.3,0,IF(D15&lt;10,1,2))</f>
        <v>2</v>
      </c>
      <c r="E18" s="5"/>
      <c r="F18" s="280">
        <f>IF(F15&lt;3.3,0,IF(F15&lt;10,1,2))</f>
        <v>2</v>
      </c>
      <c r="G18" s="5"/>
      <c r="H18" s="280">
        <f>IF(H15&lt;3.3,0,IF(H15&lt;10,1,2))</f>
        <v>2</v>
      </c>
      <c r="I18" s="5"/>
      <c r="J18" s="280">
        <f>IF(J15&lt;3.3,0,IF(J15&lt;10,1,2))</f>
        <v>2</v>
      </c>
      <c r="K18" s="5"/>
      <c r="L18" s="140"/>
      <c r="M18" s="140"/>
      <c r="N18" s="140"/>
      <c r="O18" s="140"/>
      <c r="P18" s="140"/>
    </row>
    <row r="19" spans="2:16" hidden="1" x14ac:dyDescent="0.35">
      <c r="B19" t="s">
        <v>620</v>
      </c>
      <c r="D19" s="60">
        <f>CEILING(LOG(D15*D16/4.096,2),1)</f>
        <v>3</v>
      </c>
      <c r="E19" s="5"/>
      <c r="F19" s="60">
        <f>CEILING(LOG(F15*F16/4.096,2),1)</f>
        <v>3</v>
      </c>
      <c r="G19" s="5"/>
      <c r="H19" s="60">
        <f>CEILING(LOG(H15*H16/4.096,2),1)</f>
        <v>3</v>
      </c>
      <c r="I19" s="5"/>
      <c r="J19" s="60">
        <f>CEILING(LOG(J15*J16/4.096,2),1)</f>
        <v>3</v>
      </c>
      <c r="K19" s="5"/>
      <c r="L19" s="140"/>
      <c r="M19" s="140"/>
      <c r="N19" s="140"/>
      <c r="O19" s="140"/>
      <c r="P19" s="140"/>
    </row>
    <row r="20" spans="2:16" x14ac:dyDescent="0.35">
      <c r="B20" s="1" t="s">
        <v>620</v>
      </c>
      <c r="D20" s="130">
        <f>IF(D19&lt;0,0,ROUND(D19,1))</f>
        <v>3</v>
      </c>
      <c r="E20" s="5"/>
      <c r="F20" s="130">
        <f>IF(F19&lt;0,0,ROUND(F19,1))</f>
        <v>3</v>
      </c>
      <c r="G20" s="5"/>
      <c r="H20" s="130">
        <f>IF(H19&lt;0,0,ROUND(H19,1))</f>
        <v>3</v>
      </c>
      <c r="I20" s="5"/>
      <c r="J20" s="130">
        <f>IF(J19&lt;0,0,ROUND(J19,1))</f>
        <v>3</v>
      </c>
      <c r="K20" s="312" t="str">
        <f>IF(K21&lt;L21,"Error - Adjust Sample intervals to match LCDIV","")</f>
        <v/>
      </c>
      <c r="L20" s="140"/>
      <c r="M20" s="140"/>
      <c r="N20" s="140"/>
      <c r="O20" s="140"/>
      <c r="P20" s="140"/>
    </row>
    <row r="21" spans="2:16" hidden="1" x14ac:dyDescent="0.35">
      <c r="B21" s="1" t="s">
        <v>811</v>
      </c>
      <c r="D21" s="367">
        <f>IF(D7,D20,)</f>
        <v>3</v>
      </c>
      <c r="E21" s="5"/>
      <c r="F21" s="367">
        <f>IF(F7,F20,FALSE)</f>
        <v>3</v>
      </c>
      <c r="G21" s="5"/>
      <c r="H21" s="367">
        <f>IF(H7,H20,"")</f>
        <v>3</v>
      </c>
      <c r="I21" s="5"/>
      <c r="J21" s="367" t="str">
        <f>IF(J7,J20,"")</f>
        <v/>
      </c>
      <c r="K21" s="605">
        <f>MIN(D21,F21,H21,J21)</f>
        <v>3</v>
      </c>
      <c r="L21" s="610">
        <f>MAX(D21,F21,H21,J21)</f>
        <v>3</v>
      </c>
      <c r="M21" s="140"/>
      <c r="N21" s="140"/>
      <c r="O21" s="140"/>
      <c r="P21" s="140"/>
    </row>
    <row r="22" spans="2:16" hidden="1" x14ac:dyDescent="0.35">
      <c r="B22" t="s">
        <v>621</v>
      </c>
      <c r="D22" s="316">
        <f>D15*1000*D16*2^(-7-D19)-1</f>
        <v>16.578125</v>
      </c>
      <c r="E22" s="5"/>
      <c r="F22" s="316">
        <f>F15*1000*F16*2^(-7-F19)-1</f>
        <v>18.53125</v>
      </c>
      <c r="G22" s="5"/>
      <c r="H22" s="316">
        <f>H15*1000*H16*2^(-7-H19)-1</f>
        <v>18.53125</v>
      </c>
      <c r="I22" s="5"/>
      <c r="J22" s="316">
        <f>J15*1000*J16*2^(-7-J19)-1</f>
        <v>18.53125</v>
      </c>
      <c r="K22" s="5"/>
      <c r="L22" s="140"/>
      <c r="M22" s="140"/>
      <c r="N22" s="140"/>
      <c r="O22" s="140"/>
      <c r="P22" s="140"/>
    </row>
    <row r="23" spans="2:16" x14ac:dyDescent="0.35">
      <c r="B23" s="1" t="s">
        <v>617</v>
      </c>
      <c r="D23" s="317">
        <f>IF(D22&lt;0,0,IF(D22&gt;31,31,ROUND(D22,0)))</f>
        <v>17</v>
      </c>
      <c r="E23" s="5"/>
      <c r="F23" s="317">
        <f>IF(F22&lt;0,0,IF(F22&gt;31,31,ROUND(F22,0)))</f>
        <v>19</v>
      </c>
      <c r="G23" s="5"/>
      <c r="H23" s="317">
        <f>IF(H22&lt;0,0,IF(H22&gt;31,31,ROUND(H22,0)))</f>
        <v>19</v>
      </c>
      <c r="I23" s="5"/>
      <c r="J23" s="317">
        <f>IF(J22&lt;0,0,IF(J22&gt;31,31,ROUND(J22,0)))</f>
        <v>19</v>
      </c>
      <c r="K23" s="5"/>
      <c r="L23" s="140"/>
      <c r="M23" s="140"/>
      <c r="N23" s="140"/>
      <c r="O23" s="140"/>
      <c r="P23" s="140"/>
    </row>
    <row r="24" spans="2:16" x14ac:dyDescent="0.35">
      <c r="B24" s="1" t="s">
        <v>639</v>
      </c>
      <c r="D24" s="20">
        <f>0.6/D15+(2^(7+D20))*(D23+1)/D15/1000</f>
        <v>1.0573333333333335</v>
      </c>
      <c r="E24" s="5" t="s">
        <v>229</v>
      </c>
      <c r="F24" s="20">
        <f>0.6/F15+(2^(7+F20))*(F23+1)/F15/1000</f>
        <v>1.054</v>
      </c>
      <c r="G24" s="5" t="s">
        <v>229</v>
      </c>
      <c r="H24" s="20">
        <f>0.6/H15+(2^(7+H20))*(H23+1)/H15/1000</f>
        <v>1.054</v>
      </c>
      <c r="I24" s="5" t="s">
        <v>229</v>
      </c>
      <c r="J24" s="20">
        <f>0.6/J15+(2^(7+J20))*(J23+1)/J15/1000</f>
        <v>1.054</v>
      </c>
      <c r="K24" s="5" t="s">
        <v>229</v>
      </c>
      <c r="L24" s="611" t="str">
        <f>IF(D34&lt;0,"The total active time exceeds the time available in the scan interval","")</f>
        <v/>
      </c>
      <c r="M24" s="140"/>
      <c r="N24" s="140"/>
      <c r="O24" s="140"/>
      <c r="P24" s="140"/>
    </row>
    <row r="25" spans="2:16" hidden="1" x14ac:dyDescent="0.35">
      <c r="B25" t="s">
        <v>1570</v>
      </c>
      <c r="D25" s="282">
        <f>CEILING(LOG(30*(1+D23)*2^(14+D20)*47/D15,2),1)-28</f>
        <v>0</v>
      </c>
      <c r="E25" s="5"/>
      <c r="F25" s="282">
        <f>CEILING(LOG(30*(1+F23)*2^(14+F20)*47/F15,2),1)-28</f>
        <v>0</v>
      </c>
      <c r="G25" s="5"/>
      <c r="H25" s="282">
        <f>CEILING(LOG(30*(1+H23)*2^(14+H20)*47/H15,2),1)-28</f>
        <v>0</v>
      </c>
      <c r="I25" s="5"/>
      <c r="J25" s="282">
        <f>CEILING(LOG(30*(1+J23)*2^(14+J20)*47/J15,2),1)-28</f>
        <v>0</v>
      </c>
      <c r="K25" s="5"/>
      <c r="L25" s="140"/>
      <c r="M25" s="140"/>
      <c r="N25" s="140"/>
      <c r="O25" s="140"/>
      <c r="P25" s="140"/>
    </row>
    <row r="26" spans="2:16" x14ac:dyDescent="0.35">
      <c r="B26" s="1" t="s">
        <v>618</v>
      </c>
      <c r="D26" s="318">
        <f>IF(D25&lt;0,0,IF(D25&gt;3,3,ROUND(D25,1)))</f>
        <v>0</v>
      </c>
      <c r="E26" s="5"/>
      <c r="F26" s="318">
        <f>IF(F25&lt;0,0,IF(F25&gt;3,3,ROUND(F25,1)))</f>
        <v>0</v>
      </c>
      <c r="G26" s="5"/>
      <c r="H26" s="318">
        <f>IF(H25&lt;0,0,IF(H25&gt;3,3,ROUND(H25,1)))</f>
        <v>0</v>
      </c>
      <c r="I26" s="5"/>
      <c r="J26" s="318">
        <f>IF(J25&lt;0,0,IF(J25&gt;3,3,ROUND(J25,1)))</f>
        <v>0</v>
      </c>
      <c r="K26" s="5"/>
      <c r="L26" s="140"/>
      <c r="M26" s="140"/>
      <c r="N26" s="140"/>
      <c r="O26" s="140"/>
      <c r="P26" s="140"/>
    </row>
    <row r="27" spans="2:16" hidden="1" x14ac:dyDescent="0.35">
      <c r="B27" t="s">
        <v>723</v>
      </c>
      <c r="D27" s="64">
        <f xml:space="preserve"> 1.630124 + (13.25536 - 1.630124)/(1 + (D13/0.08957141)^1.210902)+(10.23*D15+19)/1000</f>
        <v>1.9489293613388614</v>
      </c>
      <c r="E27" s="313"/>
      <c r="F27" s="64">
        <f xml:space="preserve"> 1.630124 + (13.25536 - 1.630124)/(1 + (F13/0.08957141)^1.210902)+(10.23*F15+19)/1000</f>
        <v>2.1180114930942393</v>
      </c>
      <c r="G27" s="313"/>
      <c r="H27" s="64">
        <f xml:space="preserve"> 1.630124 + (13.25536 - 1.630124)/(1 + (H13/0.08957141)^1.210902)+(10.23*H15+19)/1000</f>
        <v>2.1180114930942393</v>
      </c>
      <c r="I27" s="313"/>
      <c r="J27" s="64">
        <f xml:space="preserve"> 1.630124 + (13.25536 - 1.630124)/(1 + (J13/0.08957141)^1.210902)+(10.23*J15+19)/1000</f>
        <v>2.1180114930942393</v>
      </c>
      <c r="K27" s="5"/>
      <c r="L27" s="140"/>
      <c r="M27" s="140"/>
      <c r="N27" s="140"/>
      <c r="O27" s="140"/>
      <c r="P27" s="140"/>
    </row>
    <row r="28" spans="2:16" hidden="1" x14ac:dyDescent="0.35">
      <c r="B28" t="s">
        <v>728</v>
      </c>
      <c r="D28" s="64">
        <f>(D24+0.01)*D27</f>
        <v>2.0801572716690115</v>
      </c>
      <c r="E28" s="313"/>
      <c r="F28" s="64">
        <f>F27*(F24+0.01)</f>
        <v>2.2535642286522708</v>
      </c>
      <c r="G28" s="313"/>
      <c r="H28" s="64">
        <f>(H24+0.01)*H27</f>
        <v>2.2535642286522708</v>
      </c>
      <c r="I28" s="313"/>
      <c r="J28" s="64">
        <f>(J24+0.01)*J27</f>
        <v>2.2535642286522708</v>
      </c>
      <c r="K28" s="5"/>
      <c r="L28" s="140"/>
      <c r="M28" s="140"/>
      <c r="N28" s="140"/>
      <c r="O28" s="140"/>
      <c r="P28" s="140"/>
    </row>
    <row r="29" spans="2:16" hidden="1" x14ac:dyDescent="0.35">
      <c r="B29" t="s">
        <v>729</v>
      </c>
      <c r="D29" s="64">
        <f>D28*D12</f>
        <v>2.0801572716690115</v>
      </c>
      <c r="E29" s="313"/>
      <c r="F29" s="64">
        <f>F28*F12</f>
        <v>2.2535642286522708</v>
      </c>
      <c r="G29" s="313"/>
      <c r="H29" s="64">
        <f>H28*H12</f>
        <v>0</v>
      </c>
      <c r="I29" s="313"/>
      <c r="J29" s="64">
        <f>J28*J12</f>
        <v>0</v>
      </c>
      <c r="K29" s="5"/>
      <c r="L29" s="140"/>
      <c r="M29" s="140"/>
      <c r="N29" s="140"/>
      <c r="O29" s="140"/>
      <c r="P29" s="140"/>
    </row>
    <row r="30" spans="2:16" hidden="1" x14ac:dyDescent="0.35">
      <c r="B30" t="s">
        <v>810</v>
      </c>
      <c r="D30" s="64">
        <f>D28*D10</f>
        <v>2.0801572716690115</v>
      </c>
      <c r="E30" s="313"/>
      <c r="F30" s="64">
        <f>F28*F10</f>
        <v>2.2535642286522708</v>
      </c>
      <c r="G30" s="313"/>
      <c r="H30" s="64">
        <f>H28*H10</f>
        <v>2.2535642286522708</v>
      </c>
      <c r="I30" s="313"/>
      <c r="J30" s="64">
        <f>J28*J10</f>
        <v>0</v>
      </c>
      <c r="K30" s="5"/>
      <c r="L30" s="140"/>
      <c r="M30" s="140"/>
      <c r="N30" s="140"/>
      <c r="O30" s="140"/>
      <c r="P30" s="140"/>
    </row>
    <row r="31" spans="2:16" hidden="1" x14ac:dyDescent="0.35">
      <c r="B31" t="s">
        <v>724</v>
      </c>
      <c r="D31" s="64">
        <f>(1000/$D$44)-(D24*D12+F24*F12+H24*H12+J24*J12)</f>
        <v>797.88866666666672</v>
      </c>
      <c r="E31" s="313"/>
      <c r="F31" s="64"/>
      <c r="G31" s="313"/>
      <c r="H31" s="64"/>
      <c r="I31" s="313"/>
      <c r="J31" s="64"/>
      <c r="K31" s="5"/>
      <c r="L31" s="140"/>
      <c r="M31" s="140"/>
      <c r="N31" s="140"/>
      <c r="O31" s="140"/>
      <c r="P31" s="140"/>
    </row>
    <row r="32" spans="2:16" hidden="1" x14ac:dyDescent="0.35">
      <c r="B32" t="s">
        <v>727</v>
      </c>
      <c r="D32" s="64">
        <f>D31*0.00483</f>
        <v>3.8538022600000001</v>
      </c>
      <c r="E32" s="313"/>
      <c r="F32" s="64"/>
      <c r="G32" s="313"/>
      <c r="H32" s="64"/>
      <c r="I32" s="313"/>
      <c r="J32" s="64"/>
      <c r="K32" s="5"/>
      <c r="L32" s="140"/>
      <c r="M32" s="140"/>
      <c r="N32" s="140"/>
      <c r="O32" s="140"/>
      <c r="P32" s="140"/>
    </row>
    <row r="33" spans="2:16" hidden="1" x14ac:dyDescent="0.35">
      <c r="B33" t="s">
        <v>730</v>
      </c>
      <c r="D33" s="64">
        <f>D32+D29+F29+H29+J29</f>
        <v>8.187523760321282</v>
      </c>
      <c r="E33" s="313"/>
      <c r="F33" s="64"/>
      <c r="G33" s="313"/>
      <c r="H33" s="64"/>
      <c r="I33" s="313"/>
      <c r="J33" s="64"/>
      <c r="K33" s="5"/>
      <c r="L33" s="140"/>
      <c r="M33" s="140"/>
      <c r="N33" s="140"/>
      <c r="O33" s="140"/>
      <c r="P33" s="140"/>
    </row>
    <row r="34" spans="2:16" hidden="1" x14ac:dyDescent="0.35">
      <c r="B34" t="s">
        <v>725</v>
      </c>
      <c r="D34" s="64">
        <f>(1000/$D$47)-(D24*D10+F24*F10+H24*H10+J24*J10)</f>
        <v>96.834666666666664</v>
      </c>
      <c r="E34" s="313"/>
      <c r="F34" s="64"/>
      <c r="G34" s="313"/>
      <c r="H34" s="64"/>
      <c r="I34" s="313"/>
      <c r="J34" s="64"/>
      <c r="K34" s="5"/>
      <c r="L34" s="140"/>
      <c r="M34" s="140"/>
      <c r="N34" s="140"/>
      <c r="O34" s="140"/>
      <c r="P34" s="140"/>
    </row>
    <row r="35" spans="2:16" hidden="1" x14ac:dyDescent="0.35">
      <c r="B35" t="s">
        <v>726</v>
      </c>
      <c r="D35" s="64">
        <f>0.00483*D34</f>
        <v>0.46771143999999998</v>
      </c>
      <c r="E35" s="313"/>
      <c r="F35" s="64"/>
      <c r="G35" s="313"/>
      <c r="H35" s="64"/>
      <c r="I35" s="313"/>
      <c r="J35" s="64"/>
      <c r="K35" s="5"/>
      <c r="L35" s="140"/>
      <c r="M35" s="140"/>
      <c r="N35" s="140"/>
      <c r="O35" s="140"/>
      <c r="P35" s="140"/>
    </row>
    <row r="36" spans="2:16" hidden="1" x14ac:dyDescent="0.35">
      <c r="B36" t="s">
        <v>731</v>
      </c>
      <c r="D36" s="64">
        <f>D35+D30+F30+H30+J30</f>
        <v>7.0549971689735536</v>
      </c>
      <c r="E36" s="5"/>
      <c r="G36" s="1"/>
      <c r="L36" s="140"/>
      <c r="M36" s="140"/>
      <c r="N36" s="140"/>
      <c r="O36" s="140"/>
      <c r="P36" s="140"/>
    </row>
    <row r="37" spans="2:16" x14ac:dyDescent="0.35">
      <c r="B37" s="1" t="s">
        <v>1588</v>
      </c>
      <c r="D37" s="608">
        <v>40</v>
      </c>
      <c r="E37" s="5"/>
      <c r="F37" s="35">
        <v>40</v>
      </c>
      <c r="G37" s="1"/>
      <c r="H37" s="35">
        <v>40</v>
      </c>
      <c r="J37" s="35">
        <v>40</v>
      </c>
      <c r="L37" s="140"/>
      <c r="M37" s="140"/>
      <c r="N37" s="140"/>
      <c r="O37" s="140"/>
      <c r="P37" s="140"/>
    </row>
    <row r="38" spans="2:16" x14ac:dyDescent="0.35">
      <c r="B38" s="1" t="s">
        <v>1575</v>
      </c>
      <c r="D38" s="273">
        <f ca="1">OFFSET(D150,D37,0)</f>
        <v>32</v>
      </c>
      <c r="E38" s="5"/>
      <c r="F38" s="29">
        <f ca="1">OFFSET(D150,F37,0)</f>
        <v>32</v>
      </c>
      <c r="G38" s="1"/>
      <c r="H38" s="617">
        <f ca="1">OFFSET(D150,H37,0)</f>
        <v>32</v>
      </c>
      <c r="J38" s="29">
        <f ca="1">OFFSET(D150,J37,0)</f>
        <v>32</v>
      </c>
      <c r="L38" s="140"/>
      <c r="M38" s="140"/>
      <c r="N38" s="140"/>
      <c r="O38" s="140"/>
      <c r="P38" s="140"/>
    </row>
    <row r="39" spans="2:16" x14ac:dyDescent="0.35">
      <c r="B39" s="1" t="s">
        <v>1607</v>
      </c>
      <c r="D39" s="122">
        <v>500</v>
      </c>
      <c r="E39" s="5"/>
      <c r="F39" s="199">
        <v>500</v>
      </c>
      <c r="G39" s="1"/>
      <c r="H39" s="609">
        <v>400</v>
      </c>
      <c r="J39" s="199">
        <v>400</v>
      </c>
      <c r="L39" s="140"/>
      <c r="M39" s="140"/>
      <c r="N39" s="140"/>
      <c r="O39" s="140"/>
      <c r="P39" s="140"/>
    </row>
    <row r="40" spans="2:16" x14ac:dyDescent="0.35">
      <c r="B40" s="1" t="s">
        <v>1569</v>
      </c>
      <c r="D40" s="130">
        <f ca="1">D39*0.013*D38</f>
        <v>208</v>
      </c>
      <c r="E40" s="606"/>
      <c r="F40" s="130">
        <f ca="1">F39*0.013*F38</f>
        <v>208</v>
      </c>
      <c r="G40" s="606"/>
      <c r="H40" s="130">
        <f ca="1">H39*0.013*F38</f>
        <v>166.4</v>
      </c>
      <c r="I40" s="606"/>
      <c r="J40" s="130">
        <f ca="1">J39*0.013*F38</f>
        <v>166.4</v>
      </c>
      <c r="L40" s="140"/>
      <c r="M40" s="140"/>
      <c r="N40" s="140"/>
      <c r="O40" s="140"/>
      <c r="P40" s="140"/>
    </row>
    <row r="41" spans="2:16" x14ac:dyDescent="0.35">
      <c r="B41" s="1" t="s">
        <v>1587</v>
      </c>
      <c r="D41" s="324">
        <f ca="1">D38*1.8268/2^(7-D55)</f>
        <v>3.6536</v>
      </c>
      <c r="E41" s="606"/>
      <c r="F41" s="324">
        <f ca="1">F38*1.8268/2^(7-D55)</f>
        <v>3.6536</v>
      </c>
      <c r="G41" s="606"/>
      <c r="H41" s="324">
        <f ca="1">H38*1.8268/2^(7-D55)</f>
        <v>3.6536</v>
      </c>
      <c r="I41" s="606"/>
      <c r="J41" s="324">
        <f ca="1">J38*1.8268/2^(7-D55)</f>
        <v>3.6536</v>
      </c>
      <c r="L41" s="140"/>
      <c r="M41" s="140"/>
      <c r="N41" s="140"/>
      <c r="O41" s="140"/>
      <c r="P41" s="140"/>
    </row>
    <row r="42" spans="2:16" x14ac:dyDescent="0.35">
      <c r="B42" s="1" t="s">
        <v>1586</v>
      </c>
      <c r="D42" s="324">
        <f ca="1">D38*1.8268/2^(4-D54)</f>
        <v>29.2288</v>
      </c>
      <c r="E42" s="606"/>
      <c r="F42" s="324">
        <f ca="1">F38*1.8268/2^(4-D54)</f>
        <v>29.2288</v>
      </c>
      <c r="G42" s="606"/>
      <c r="H42" s="324">
        <f ca="1">H38*1.8268/2^(4-D54)</f>
        <v>29.2288</v>
      </c>
      <c r="I42" s="606"/>
      <c r="J42" s="324">
        <f ca="1">J38*1.8268/2^(4-D54)</f>
        <v>29.2288</v>
      </c>
      <c r="L42" s="140"/>
      <c r="M42" s="140"/>
      <c r="N42" s="140"/>
      <c r="O42" s="140"/>
      <c r="P42" s="140"/>
    </row>
    <row r="43" spans="2:16" ht="9.65" customHeight="1" x14ac:dyDescent="0.35">
      <c r="D43" s="313"/>
      <c r="E43" s="5"/>
      <c r="G43" s="1"/>
      <c r="L43" s="140"/>
      <c r="M43" s="140"/>
      <c r="N43" s="140"/>
      <c r="O43" s="140"/>
      <c r="P43" s="140"/>
    </row>
    <row r="44" spans="2:16" x14ac:dyDescent="0.35">
      <c r="B44" s="1" t="s">
        <v>629</v>
      </c>
      <c r="D44" s="35">
        <v>1.25</v>
      </c>
      <c r="E44" s="6" t="s">
        <v>628</v>
      </c>
      <c r="G44" s="1"/>
      <c r="H44" s="1"/>
      <c r="I44" s="1"/>
      <c r="J44" s="1"/>
    </row>
    <row r="45" spans="2:16" hidden="1" x14ac:dyDescent="0.35">
      <c r="B45" t="s">
        <v>636</v>
      </c>
      <c r="D45" s="96">
        <f>8*J12+4*H12+2*F12+D12</f>
        <v>3</v>
      </c>
      <c r="E45" s="6"/>
    </row>
    <row r="46" spans="2:16" hidden="1" x14ac:dyDescent="0.35">
      <c r="B46" t="s">
        <v>634</v>
      </c>
      <c r="D46" s="62">
        <f>D10+F10+H10+J10</f>
        <v>3</v>
      </c>
      <c r="E46" s="6"/>
      <c r="G46" s="310"/>
      <c r="H46" s="310"/>
      <c r="I46" s="310"/>
      <c r="J46" s="310"/>
      <c r="K46" s="311"/>
    </row>
    <row r="47" spans="2:16" x14ac:dyDescent="0.35">
      <c r="B47" s="1" t="s">
        <v>627</v>
      </c>
      <c r="D47" s="35">
        <v>10</v>
      </c>
      <c r="E47" s="6" t="s">
        <v>628</v>
      </c>
    </row>
    <row r="48" spans="2:16" hidden="1" x14ac:dyDescent="0.35">
      <c r="B48" t="s">
        <v>637</v>
      </c>
      <c r="D48" s="96">
        <f>8*J10+4*H10+2*F10+D10</f>
        <v>7</v>
      </c>
      <c r="E48" s="6"/>
    </row>
    <row r="49" spans="2:10" hidden="1" x14ac:dyDescent="0.35">
      <c r="B49" t="s">
        <v>635</v>
      </c>
      <c r="D49" s="607">
        <f>D12+F12+H12+J12</f>
        <v>2</v>
      </c>
      <c r="G49" s="310"/>
      <c r="H49" s="310"/>
      <c r="I49" s="310"/>
      <c r="J49" s="310"/>
    </row>
    <row r="50" spans="2:10" ht="4" customHeight="1" x14ac:dyDescent="0.35">
      <c r="B50" s="1"/>
    </row>
    <row r="51" spans="2:10" x14ac:dyDescent="0.35">
      <c r="B51" s="1" t="s">
        <v>631</v>
      </c>
      <c r="D51" s="284">
        <f>D33*D44</f>
        <v>10.234404700401603</v>
      </c>
      <c r="E51" s="13" t="s">
        <v>633</v>
      </c>
    </row>
    <row r="52" spans="2:10" x14ac:dyDescent="0.35">
      <c r="B52" s="1" t="s">
        <v>632</v>
      </c>
      <c r="D52" s="27">
        <f>D36*D47</f>
        <v>70.549971689735543</v>
      </c>
      <c r="E52" s="13" t="s">
        <v>633</v>
      </c>
    </row>
    <row r="54" spans="2:10" x14ac:dyDescent="0.35">
      <c r="B54" s="1" t="s">
        <v>1571</v>
      </c>
      <c r="D54" s="200">
        <v>3</v>
      </c>
    </row>
    <row r="55" spans="2:10" x14ac:dyDescent="0.35">
      <c r="B55" s="1" t="s">
        <v>1572</v>
      </c>
      <c r="D55" s="200">
        <v>3</v>
      </c>
    </row>
    <row r="56" spans="2:10" x14ac:dyDescent="0.35">
      <c r="B56" s="1" t="s">
        <v>1573</v>
      </c>
      <c r="D56" s="380" t="s">
        <v>1574</v>
      </c>
    </row>
    <row r="57" spans="2:10" x14ac:dyDescent="0.35">
      <c r="B57" s="1" t="s">
        <v>1638</v>
      </c>
      <c r="D57" s="41">
        <v>8</v>
      </c>
    </row>
    <row r="58" spans="2:10" x14ac:dyDescent="0.35">
      <c r="B58" s="1" t="s">
        <v>1632</v>
      </c>
      <c r="D58" s="42">
        <f>D57*4</f>
        <v>32</v>
      </c>
      <c r="E58" t="s">
        <v>1166</v>
      </c>
    </row>
    <row r="59" spans="2:10" x14ac:dyDescent="0.35">
      <c r="B59" s="1" t="s">
        <v>1634</v>
      </c>
      <c r="D59" s="42">
        <f>128-D58</f>
        <v>96</v>
      </c>
      <c r="E59" t="s">
        <v>1166</v>
      </c>
    </row>
    <row r="60" spans="2:10" x14ac:dyDescent="0.35">
      <c r="B60" s="1" t="s">
        <v>1633</v>
      </c>
      <c r="D60" s="42">
        <f>D58+128</f>
        <v>160</v>
      </c>
      <c r="E60" t="s">
        <v>1166</v>
      </c>
    </row>
    <row r="62" spans="2:10" ht="15.5" x14ac:dyDescent="0.35">
      <c r="B62" s="16" t="s">
        <v>630</v>
      </c>
    </row>
    <row r="63" spans="2:10" x14ac:dyDescent="0.35">
      <c r="B63" s="330" t="s">
        <v>1608</v>
      </c>
      <c r="C63" s="330" t="s">
        <v>1609</v>
      </c>
      <c r="D63" s="330" t="s">
        <v>768</v>
      </c>
    </row>
    <row r="64" spans="2:10" x14ac:dyDescent="0.35">
      <c r="B64" s="167" t="s">
        <v>1592</v>
      </c>
      <c r="C64" s="618" t="s">
        <v>1009</v>
      </c>
      <c r="D64" s="619" t="str">
        <f>"0x" &amp; DEC2HEX((D48+D45*16),2)</f>
        <v>0x37</v>
      </c>
    </row>
    <row r="65" spans="2:10" x14ac:dyDescent="0.35">
      <c r="B65" s="167" t="s">
        <v>1593</v>
      </c>
      <c r="C65" s="618" t="s">
        <v>1010</v>
      </c>
      <c r="D65" s="619" t="str">
        <f>"0x" &amp; DEC2HEX(3-LOG((D47/10),2),2)</f>
        <v>0x03</v>
      </c>
    </row>
    <row r="66" spans="2:10" x14ac:dyDescent="0.35">
      <c r="B66" s="167" t="s">
        <v>1594</v>
      </c>
      <c r="C66" s="618" t="s">
        <v>1011</v>
      </c>
      <c r="D66" s="619" t="str">
        <f>"0x"&amp;DEC2HEX(D37)</f>
        <v>0x28</v>
      </c>
    </row>
    <row r="67" spans="2:10" x14ac:dyDescent="0.35">
      <c r="B67" s="167" t="s">
        <v>1595</v>
      </c>
      <c r="C67" s="618" t="s">
        <v>1012</v>
      </c>
      <c r="D67" s="619" t="str">
        <f>"0x" &amp; DEC2HEX(3-LOG((D44/0.625),2),2)</f>
        <v>0x02</v>
      </c>
    </row>
    <row r="68" spans="2:10" x14ac:dyDescent="0.35">
      <c r="B68" s="167" t="s">
        <v>1596</v>
      </c>
      <c r="C68" s="618" t="s">
        <v>897</v>
      </c>
      <c r="D68" s="619" t="str">
        <f>"0x"&amp;DEC2HEX(F37)</f>
        <v>0x28</v>
      </c>
    </row>
    <row r="69" spans="2:10" x14ac:dyDescent="0.35">
      <c r="B69" s="167" t="s">
        <v>1597</v>
      </c>
      <c r="C69" s="618" t="s">
        <v>898</v>
      </c>
      <c r="D69" s="619" t="str">
        <f>IF(D56="Active Low","0x01","0x05")</f>
        <v>0x01</v>
      </c>
    </row>
    <row r="70" spans="2:10" x14ac:dyDescent="0.35">
      <c r="B70" s="167" t="s">
        <v>1598</v>
      </c>
      <c r="C70" s="618" t="s">
        <v>899</v>
      </c>
      <c r="D70" s="619" t="str">
        <f>"0x"&amp;DEC2HEX(H37)</f>
        <v>0x28</v>
      </c>
    </row>
    <row r="71" spans="2:10" x14ac:dyDescent="0.35">
      <c r="B71" s="167" t="s">
        <v>1599</v>
      </c>
      <c r="C71" s="618" t="s">
        <v>900</v>
      </c>
      <c r="D71" s="619" t="str">
        <f>"0x"&amp;DEC2HEX(D54,2)</f>
        <v>0x03</v>
      </c>
    </row>
    <row r="72" spans="2:10" x14ac:dyDescent="0.35">
      <c r="B72" s="167" t="s">
        <v>1600</v>
      </c>
      <c r="C72" s="618" t="s">
        <v>905</v>
      </c>
      <c r="D72" s="619" t="str">
        <f>"0x"&amp;DEC2HEX(J37)</f>
        <v>0x28</v>
      </c>
    </row>
    <row r="73" spans="2:10" x14ac:dyDescent="0.35">
      <c r="B73" s="167" t="s">
        <v>1601</v>
      </c>
      <c r="C73" s="618" t="s">
        <v>906</v>
      </c>
      <c r="D73" s="619" t="str">
        <f>"0x"&amp;DEC2HEX(D55,2)</f>
        <v>0x03</v>
      </c>
    </row>
    <row r="74" spans="2:10" x14ac:dyDescent="0.35">
      <c r="B74" s="167" t="s">
        <v>1602</v>
      </c>
      <c r="C74" s="618" t="s">
        <v>908</v>
      </c>
      <c r="D74" s="619" t="str">
        <f>"0x" &amp; DEC2HEX(D20,2)</f>
        <v>0x03</v>
      </c>
    </row>
    <row r="75" spans="2:10" x14ac:dyDescent="0.35">
      <c r="B75" s="167" t="s">
        <v>1635</v>
      </c>
      <c r="C75" s="618" t="s">
        <v>1636</v>
      </c>
      <c r="D75" s="619" t="str">
        <f>"0x"&amp;DEC2HEX(D57,2)</f>
        <v>0x08</v>
      </c>
    </row>
    <row r="76" spans="2:10" x14ac:dyDescent="0.35">
      <c r="B76" s="167" t="s">
        <v>618</v>
      </c>
      <c r="C76" s="618" t="s">
        <v>917</v>
      </c>
      <c r="D76" s="619" t="str">
        <f>"0x"&amp;DEC2HEX(J26*2^6+H26*2^4+F26*2^2+D26,2)</f>
        <v>0x00</v>
      </c>
    </row>
    <row r="77" spans="2:10" hidden="1" x14ac:dyDescent="0.35">
      <c r="B77" s="8" t="s">
        <v>732</v>
      </c>
      <c r="C77" s="618"/>
      <c r="D77" s="620">
        <f>D17*128+32*D18+D23</f>
        <v>209</v>
      </c>
      <c r="E77" s="281"/>
      <c r="F77" s="281">
        <f>F17*128+32*F18+F23</f>
        <v>83</v>
      </c>
      <c r="G77" s="281"/>
      <c r="H77" s="281">
        <f>H17*128+32*H18+H23</f>
        <v>83</v>
      </c>
      <c r="I77" s="281"/>
      <c r="J77" s="281">
        <f>J17*128+32*J18+J23</f>
        <v>83</v>
      </c>
    </row>
    <row r="78" spans="2:10" x14ac:dyDescent="0.35">
      <c r="B78" s="167" t="s">
        <v>1603</v>
      </c>
      <c r="C78" s="618" t="s">
        <v>919</v>
      </c>
      <c r="D78" s="619" t="str">
        <f>"0x" &amp; DEC2HEX(D77)</f>
        <v>0xD1</v>
      </c>
    </row>
    <row r="79" spans="2:10" x14ac:dyDescent="0.35">
      <c r="B79" s="167" t="s">
        <v>1604</v>
      </c>
      <c r="C79" s="618" t="s">
        <v>1589</v>
      </c>
      <c r="D79" s="619" t="str">
        <f>"0x" &amp; DEC2HEX(F77)</f>
        <v>0x53</v>
      </c>
    </row>
    <row r="80" spans="2:10" x14ac:dyDescent="0.35">
      <c r="B80" s="167" t="s">
        <v>1605</v>
      </c>
      <c r="C80" s="618" t="s">
        <v>1590</v>
      </c>
      <c r="D80" s="619" t="str">
        <f>"0x" &amp; DEC2HEX(H77)</f>
        <v>0x53</v>
      </c>
      <c r="E80" s="140"/>
      <c r="F80" s="140"/>
    </row>
    <row r="81" spans="2:6" x14ac:dyDescent="0.35">
      <c r="B81" s="167" t="s">
        <v>1606</v>
      </c>
      <c r="C81" s="618" t="s">
        <v>1591</v>
      </c>
      <c r="D81" s="619" t="str">
        <f>"0x" &amp; DEC2HEX(J77)</f>
        <v>0x53</v>
      </c>
      <c r="E81" s="140"/>
      <c r="F81" s="140"/>
    </row>
    <row r="82" spans="2:6" x14ac:dyDescent="0.35">
      <c r="C82" s="285"/>
      <c r="D82" s="140"/>
      <c r="E82" s="140"/>
      <c r="F82" s="140"/>
    </row>
    <row r="83" spans="2:6" ht="15.5" x14ac:dyDescent="0.35">
      <c r="B83" s="16" t="s">
        <v>277</v>
      </c>
      <c r="F83" s="140"/>
    </row>
    <row r="84" spans="2:6" x14ac:dyDescent="0.35">
      <c r="B84" s="21" t="s">
        <v>69</v>
      </c>
      <c r="C84" s="124">
        <v>23</v>
      </c>
      <c r="D84" s="194" t="s">
        <v>96</v>
      </c>
      <c r="F84" s="140"/>
    </row>
    <row r="85" spans="2:6" x14ac:dyDescent="0.35">
      <c r="B85" s="21" t="s">
        <v>26</v>
      </c>
      <c r="C85" s="124">
        <v>380</v>
      </c>
      <c r="D85" s="21" t="s">
        <v>27</v>
      </c>
      <c r="F85" s="140"/>
    </row>
    <row r="86" spans="2:6" x14ac:dyDescent="0.35">
      <c r="B86" s="21" t="str">
        <f>IF(B87="Rp","Rs","Rp")</f>
        <v>Rs</v>
      </c>
      <c r="C86" s="124">
        <v>10</v>
      </c>
      <c r="D86" s="194" t="str">
        <f>IF(B87="Rp","Ω","kΩ")</f>
        <v>Ω</v>
      </c>
      <c r="F86" s="140"/>
    </row>
    <row r="87" spans="2:6" x14ac:dyDescent="0.35">
      <c r="B87" s="35" t="s">
        <v>81</v>
      </c>
      <c r="C87" s="27">
        <f>1000/C86*C84/C85</f>
        <v>6.0526315789473681</v>
      </c>
      <c r="D87" s="21" t="str">
        <f>IF(B87="Rp","kΩ","Ω")</f>
        <v>kΩ</v>
      </c>
      <c r="F87" s="140"/>
    </row>
    <row r="88" spans="2:6" x14ac:dyDescent="0.35">
      <c r="B88" s="21" t="s">
        <v>228</v>
      </c>
      <c r="C88" s="131">
        <f>(0.000001/(2*PI()*SQRT(C84*0.000001*C85*0.000000000001)))</f>
        <v>1.7024109942756815</v>
      </c>
      <c r="D88" s="21" t="s">
        <v>0</v>
      </c>
      <c r="F88" s="140"/>
    </row>
    <row r="89" spans="2:6" x14ac:dyDescent="0.35">
      <c r="B89" s="21" t="s">
        <v>83</v>
      </c>
      <c r="C89" s="32">
        <f>IF(B87="Rs",(1000/C87)*SQRT(C84/C85),(1000/C86)*SQRT(C84/C85))</f>
        <v>24.602096615832092</v>
      </c>
      <c r="D89" s="195"/>
    </row>
    <row r="90" spans="2:6" x14ac:dyDescent="0.35">
      <c r="B90" s="21" t="s">
        <v>1581</v>
      </c>
      <c r="C90" s="29">
        <f>100*C85/C89</f>
        <v>1544.5838049244146</v>
      </c>
      <c r="D90" s="21" t="s">
        <v>27</v>
      </c>
    </row>
    <row r="91" spans="2:6" x14ac:dyDescent="0.35">
      <c r="B91" s="21" t="s">
        <v>1582</v>
      </c>
      <c r="C91" s="29">
        <f>1250*C85/C89</f>
        <v>19307.297561555184</v>
      </c>
      <c r="D91" s="21" t="s">
        <v>27</v>
      </c>
    </row>
    <row r="108" spans="3:22" hidden="1" x14ac:dyDescent="0.35">
      <c r="C108" s="225" t="s">
        <v>1578</v>
      </c>
    </row>
    <row r="109" spans="3:22" hidden="1" x14ac:dyDescent="0.35">
      <c r="C109" s="225" t="s">
        <v>743</v>
      </c>
      <c r="D109" s="225" t="s">
        <v>744</v>
      </c>
      <c r="E109" s="225"/>
      <c r="F109" s="225" t="s">
        <v>745</v>
      </c>
      <c r="G109" s="225" t="s">
        <v>746</v>
      </c>
      <c r="H109" s="225" t="s">
        <v>747</v>
      </c>
      <c r="I109" s="225" t="s">
        <v>748</v>
      </c>
      <c r="J109" s="225" t="s">
        <v>749</v>
      </c>
      <c r="K109" s="225" t="s">
        <v>750</v>
      </c>
      <c r="L109" s="225" t="s">
        <v>751</v>
      </c>
      <c r="M109" s="225" t="s">
        <v>752</v>
      </c>
      <c r="N109" s="225" t="s">
        <v>753</v>
      </c>
      <c r="O109" s="225" t="s">
        <v>754</v>
      </c>
      <c r="P109" s="225" t="s">
        <v>758</v>
      </c>
      <c r="Q109" s="225" t="s">
        <v>755</v>
      </c>
      <c r="R109" s="225" t="s">
        <v>759</v>
      </c>
      <c r="S109" s="225" t="s">
        <v>756</v>
      </c>
      <c r="T109" s="225" t="s">
        <v>760</v>
      </c>
      <c r="U109" s="225" t="s">
        <v>757</v>
      </c>
      <c r="V109" s="225" t="s">
        <v>761</v>
      </c>
    </row>
    <row r="110" spans="3:22" hidden="1" x14ac:dyDescent="0.35">
      <c r="C110" s="59">
        <v>1</v>
      </c>
      <c r="D110" s="59">
        <v>30</v>
      </c>
      <c r="E110" s="59"/>
      <c r="F110" s="59">
        <v>0.01</v>
      </c>
      <c r="G110" s="59">
        <v>30</v>
      </c>
      <c r="H110" s="59">
        <v>30</v>
      </c>
      <c r="I110" s="59">
        <v>30</v>
      </c>
      <c r="J110" s="59">
        <v>30</v>
      </c>
      <c r="K110" s="59">
        <v>30</v>
      </c>
      <c r="L110" s="59">
        <v>30</v>
      </c>
      <c r="M110" s="59">
        <v>30</v>
      </c>
      <c r="N110" s="59">
        <v>30</v>
      </c>
      <c r="O110" s="64">
        <f>D24</f>
        <v>1.0573333333333335</v>
      </c>
      <c r="P110" s="316">
        <f>IF(D7=TRUE(),D15,-100)</f>
        <v>18</v>
      </c>
      <c r="Q110" s="64">
        <f>F24</f>
        <v>1.054</v>
      </c>
      <c r="R110" s="316">
        <f>IF(F7=TRUE(),F15,-100)</f>
        <v>20</v>
      </c>
      <c r="S110" s="64">
        <f>IF(H7=TRUE(),H24,-100)</f>
        <v>1.054</v>
      </c>
      <c r="T110" s="316">
        <f>H15</f>
        <v>20</v>
      </c>
      <c r="U110" s="64">
        <f>J16</f>
        <v>1</v>
      </c>
      <c r="V110" s="316">
        <f>IF(J7=TRUE(),J15,-100)</f>
        <v>-100</v>
      </c>
    </row>
    <row r="111" spans="3:22" hidden="1" x14ac:dyDescent="0.35">
      <c r="C111" s="59">
        <v>1</v>
      </c>
      <c r="D111" s="59">
        <v>30</v>
      </c>
      <c r="E111" s="59"/>
      <c r="F111" s="59">
        <v>0.1</v>
      </c>
      <c r="G111" s="59">
        <v>30</v>
      </c>
      <c r="H111" s="59">
        <v>30</v>
      </c>
      <c r="I111" s="59">
        <v>30</v>
      </c>
      <c r="J111" s="59">
        <v>30</v>
      </c>
      <c r="K111" s="59">
        <v>30</v>
      </c>
      <c r="L111" s="59">
        <v>30</v>
      </c>
      <c r="M111" s="59">
        <v>30</v>
      </c>
      <c r="N111" s="59">
        <v>30</v>
      </c>
      <c r="O111" s="59">
        <f>O110*1.001</f>
        <v>1.0583906666666667</v>
      </c>
      <c r="P111" s="316">
        <f>IF(D7=TRUE(),0.9999*D15,-100)</f>
        <v>17.998200000000001</v>
      </c>
      <c r="Q111" s="59">
        <f t="shared" ref="Q111:V111" si="0">Q110*1.001</f>
        <v>1.0550539999999999</v>
      </c>
      <c r="R111" s="59">
        <f>IF(F7=TRUE(),F15,-100)</f>
        <v>20</v>
      </c>
      <c r="S111" s="59">
        <f t="shared" si="0"/>
        <v>1.0550539999999999</v>
      </c>
      <c r="T111" s="59">
        <f t="shared" si="0"/>
        <v>20.019999999999996</v>
      </c>
      <c r="U111" s="59">
        <f t="shared" si="0"/>
        <v>1.0009999999999999</v>
      </c>
      <c r="V111" s="59">
        <f t="shared" si="0"/>
        <v>-100.1</v>
      </c>
    </row>
    <row r="112" spans="3:22" hidden="1" x14ac:dyDescent="0.35">
      <c r="C112" s="59">
        <v>1</v>
      </c>
      <c r="D112" s="59">
        <v>30</v>
      </c>
      <c r="E112" s="59"/>
      <c r="F112" s="59">
        <v>0.25</v>
      </c>
      <c r="G112" s="59">
        <v>16.384</v>
      </c>
      <c r="H112" s="59">
        <v>30</v>
      </c>
      <c r="I112" s="59">
        <v>30</v>
      </c>
      <c r="J112" s="59">
        <v>30</v>
      </c>
      <c r="K112" s="59">
        <v>30</v>
      </c>
      <c r="L112" s="59">
        <v>30</v>
      </c>
      <c r="M112" s="59">
        <v>30</v>
      </c>
      <c r="N112" s="59">
        <v>30</v>
      </c>
    </row>
    <row r="113" spans="3:14" hidden="1" x14ac:dyDescent="0.35">
      <c r="C113" s="59">
        <v>1</v>
      </c>
      <c r="D113" s="59">
        <v>30</v>
      </c>
      <c r="E113" s="59"/>
      <c r="F113" s="59">
        <v>0.5</v>
      </c>
      <c r="G113" s="59">
        <v>8.1920000000000002</v>
      </c>
      <c r="H113" s="59">
        <v>16.384</v>
      </c>
      <c r="I113" s="59">
        <v>30</v>
      </c>
      <c r="J113" s="59">
        <v>30</v>
      </c>
      <c r="K113" s="59">
        <v>30</v>
      </c>
      <c r="L113" s="59">
        <v>30</v>
      </c>
      <c r="M113" s="59">
        <v>30</v>
      </c>
      <c r="N113" s="59">
        <v>30</v>
      </c>
    </row>
    <row r="114" spans="3:14" hidden="1" x14ac:dyDescent="0.35">
      <c r="C114" s="59">
        <v>1</v>
      </c>
      <c r="D114" s="59">
        <v>30</v>
      </c>
      <c r="E114" s="59"/>
      <c r="F114" s="59">
        <v>0.75</v>
      </c>
      <c r="G114" s="59">
        <v>5.4613333333333332</v>
      </c>
      <c r="H114" s="59">
        <v>10.922666666666666</v>
      </c>
      <c r="I114" s="59">
        <v>21.845333333333333</v>
      </c>
      <c r="J114" s="59">
        <v>30</v>
      </c>
      <c r="K114" s="59">
        <v>30</v>
      </c>
      <c r="L114" s="59">
        <v>30</v>
      </c>
      <c r="M114" s="59">
        <v>30</v>
      </c>
      <c r="N114" s="59">
        <v>30</v>
      </c>
    </row>
    <row r="115" spans="3:14" hidden="1" x14ac:dyDescent="0.35">
      <c r="C115" s="59">
        <v>1</v>
      </c>
      <c r="D115" s="59">
        <v>30</v>
      </c>
      <c r="E115" s="59"/>
      <c r="F115" s="59">
        <v>1</v>
      </c>
      <c r="G115" s="59">
        <v>4.0960000000000001</v>
      </c>
      <c r="H115" s="59">
        <v>8.1920000000000002</v>
      </c>
      <c r="I115" s="59">
        <v>16.384</v>
      </c>
      <c r="J115" s="59">
        <v>30</v>
      </c>
      <c r="K115" s="59">
        <v>30</v>
      </c>
      <c r="L115" s="59">
        <v>30</v>
      </c>
      <c r="M115" s="59">
        <v>30</v>
      </c>
      <c r="N115" s="59">
        <v>30</v>
      </c>
    </row>
    <row r="116" spans="3:14" hidden="1" x14ac:dyDescent="0.35">
      <c r="C116" s="59">
        <v>1</v>
      </c>
      <c r="D116" s="59">
        <v>30</v>
      </c>
      <c r="E116" s="59"/>
      <c r="F116" s="59">
        <v>1.25</v>
      </c>
      <c r="G116" s="59">
        <v>3.2767999999999997</v>
      </c>
      <c r="H116" s="59">
        <v>6.5535999999999994</v>
      </c>
      <c r="I116" s="59">
        <v>13.107199999999999</v>
      </c>
      <c r="J116" s="59">
        <v>26.214399999999998</v>
      </c>
      <c r="K116" s="59">
        <v>30</v>
      </c>
      <c r="L116" s="59">
        <v>30</v>
      </c>
      <c r="M116" s="59">
        <v>30</v>
      </c>
      <c r="N116" s="59">
        <v>30</v>
      </c>
    </row>
    <row r="117" spans="3:14" hidden="1" x14ac:dyDescent="0.35">
      <c r="C117" s="59">
        <v>1</v>
      </c>
      <c r="D117" s="59">
        <v>30</v>
      </c>
      <c r="E117" s="59"/>
      <c r="F117" s="59">
        <v>1.5</v>
      </c>
      <c r="G117" s="59">
        <v>2.7306666666666666</v>
      </c>
      <c r="H117" s="59">
        <v>5.4613333333333332</v>
      </c>
      <c r="I117" s="59">
        <v>10.922666666666666</v>
      </c>
      <c r="J117" s="59">
        <v>21.845333333333333</v>
      </c>
      <c r="K117" s="59">
        <v>30</v>
      </c>
      <c r="L117" s="59">
        <v>30</v>
      </c>
      <c r="M117" s="59">
        <v>30</v>
      </c>
      <c r="N117" s="59">
        <v>30</v>
      </c>
    </row>
    <row r="118" spans="3:14" hidden="1" x14ac:dyDescent="0.35">
      <c r="C118" s="59">
        <v>1</v>
      </c>
      <c r="D118" s="59">
        <v>30</v>
      </c>
      <c r="E118" s="59"/>
      <c r="F118" s="59">
        <v>1.75</v>
      </c>
      <c r="G118" s="59">
        <v>2.3405714285714283</v>
      </c>
      <c r="H118" s="59">
        <v>4.6811428571428566</v>
      </c>
      <c r="I118" s="59">
        <v>9.3622857142857132</v>
      </c>
      <c r="J118" s="59">
        <v>18.724571428571426</v>
      </c>
      <c r="K118" s="59">
        <v>30</v>
      </c>
      <c r="L118" s="59">
        <v>30</v>
      </c>
      <c r="M118" s="59">
        <v>30</v>
      </c>
      <c r="N118" s="59">
        <v>30</v>
      </c>
    </row>
    <row r="119" spans="3:14" hidden="1" x14ac:dyDescent="0.35">
      <c r="C119" s="59">
        <v>1</v>
      </c>
      <c r="D119" s="59">
        <v>30</v>
      </c>
      <c r="E119" s="59"/>
      <c r="F119" s="59">
        <v>2.1</v>
      </c>
      <c r="G119" s="59">
        <v>1.95047619047619</v>
      </c>
      <c r="H119" s="59">
        <v>3.9009523809523801</v>
      </c>
      <c r="I119" s="59">
        <v>7.8019047619047601</v>
      </c>
      <c r="J119" s="59">
        <v>15.60380952380952</v>
      </c>
      <c r="K119" s="59">
        <v>30</v>
      </c>
      <c r="L119" s="59">
        <v>30</v>
      </c>
      <c r="M119" s="59">
        <v>30</v>
      </c>
      <c r="N119" s="59">
        <v>30</v>
      </c>
    </row>
    <row r="120" spans="3:14" hidden="1" x14ac:dyDescent="0.35">
      <c r="C120" s="59">
        <v>1</v>
      </c>
      <c r="D120" s="59">
        <v>30</v>
      </c>
      <c r="E120" s="59"/>
      <c r="F120" s="59">
        <v>2.5</v>
      </c>
      <c r="G120" s="59">
        <v>1.6383999999999999</v>
      </c>
      <c r="H120" s="59">
        <v>3.2767999999999997</v>
      </c>
      <c r="I120" s="59">
        <v>6.5535999999999994</v>
      </c>
      <c r="J120" s="59">
        <v>13.107199999999999</v>
      </c>
      <c r="K120" s="59">
        <v>26.214399999999998</v>
      </c>
      <c r="L120" s="59">
        <v>30</v>
      </c>
      <c r="M120" s="59">
        <v>30</v>
      </c>
      <c r="N120" s="59">
        <v>30</v>
      </c>
    </row>
    <row r="121" spans="3:14" hidden="1" x14ac:dyDescent="0.35">
      <c r="C121" s="59">
        <v>1</v>
      </c>
      <c r="D121" s="59">
        <v>30</v>
      </c>
      <c r="E121" s="59"/>
      <c r="F121" s="59">
        <v>2.75</v>
      </c>
      <c r="G121" s="59">
        <v>1.4894545454545454</v>
      </c>
      <c r="H121" s="59">
        <v>2.9789090909090907</v>
      </c>
      <c r="I121" s="59">
        <v>5.9578181818181815</v>
      </c>
      <c r="J121" s="59">
        <v>11.915636363636363</v>
      </c>
      <c r="K121" s="59">
        <v>23.831272727272726</v>
      </c>
      <c r="L121" s="59">
        <v>30</v>
      </c>
      <c r="M121" s="59">
        <v>30</v>
      </c>
      <c r="N121" s="59">
        <v>30</v>
      </c>
    </row>
    <row r="122" spans="3:14" hidden="1" x14ac:dyDescent="0.35">
      <c r="C122" s="59">
        <v>1</v>
      </c>
      <c r="D122" s="59">
        <v>30</v>
      </c>
      <c r="E122" s="59"/>
      <c r="F122" s="59">
        <v>3</v>
      </c>
      <c r="G122" s="59">
        <v>1.3653333333333333</v>
      </c>
      <c r="H122" s="59">
        <v>2.7306666666666666</v>
      </c>
      <c r="I122" s="59">
        <v>5.4613333333333332</v>
      </c>
      <c r="J122" s="59">
        <v>10.922666666666666</v>
      </c>
      <c r="K122" s="59">
        <v>21.845333333333333</v>
      </c>
      <c r="L122" s="59">
        <v>30</v>
      </c>
      <c r="M122" s="59">
        <v>30</v>
      </c>
      <c r="N122" s="59">
        <v>30</v>
      </c>
    </row>
    <row r="123" spans="3:14" hidden="1" x14ac:dyDescent="0.35">
      <c r="C123" s="59">
        <v>1</v>
      </c>
      <c r="D123" s="59">
        <v>30</v>
      </c>
      <c r="E123" s="59"/>
      <c r="F123" s="59">
        <v>3.25</v>
      </c>
      <c r="G123" s="59">
        <v>1.2603076923076924</v>
      </c>
      <c r="H123" s="59">
        <v>2.5206153846153847</v>
      </c>
      <c r="I123" s="59">
        <v>5.0412307692307694</v>
      </c>
      <c r="J123" s="59">
        <v>10.082461538461539</v>
      </c>
      <c r="K123" s="59">
        <v>20.164923076923078</v>
      </c>
      <c r="L123" s="59">
        <v>30</v>
      </c>
      <c r="M123" s="59">
        <v>30</v>
      </c>
      <c r="N123" s="59">
        <v>30</v>
      </c>
    </row>
    <row r="124" spans="3:14" hidden="1" x14ac:dyDescent="0.35">
      <c r="C124" s="59">
        <v>1</v>
      </c>
      <c r="D124" s="59">
        <v>30</v>
      </c>
      <c r="E124" s="59"/>
      <c r="F124" s="59">
        <v>3.5</v>
      </c>
      <c r="G124" s="59">
        <v>1.1702857142857142</v>
      </c>
      <c r="H124" s="59">
        <v>2.3405714285714283</v>
      </c>
      <c r="I124" s="59">
        <v>4.6811428571428566</v>
      </c>
      <c r="J124" s="59">
        <v>9.3622857142857132</v>
      </c>
      <c r="K124" s="59">
        <v>18.724571428571426</v>
      </c>
      <c r="L124" s="59">
        <v>30</v>
      </c>
      <c r="M124" s="59">
        <v>30</v>
      </c>
      <c r="N124" s="59">
        <v>30</v>
      </c>
    </row>
    <row r="125" spans="3:14" hidden="1" x14ac:dyDescent="0.35">
      <c r="C125" s="59">
        <v>1</v>
      </c>
      <c r="D125" s="59">
        <v>30</v>
      </c>
      <c r="E125" s="59"/>
      <c r="F125" s="59">
        <v>3.75</v>
      </c>
      <c r="G125" s="59">
        <v>1.0922666666666667</v>
      </c>
      <c r="H125" s="59">
        <v>2.1845333333333334</v>
      </c>
      <c r="I125" s="59">
        <v>4.3690666666666669</v>
      </c>
      <c r="J125" s="59">
        <v>8.7381333333333338</v>
      </c>
      <c r="K125" s="59">
        <v>17.476266666666668</v>
      </c>
      <c r="L125" s="59">
        <v>30</v>
      </c>
      <c r="M125" s="59">
        <v>30</v>
      </c>
      <c r="N125" s="59">
        <v>30</v>
      </c>
    </row>
    <row r="126" spans="3:14" hidden="1" x14ac:dyDescent="0.35">
      <c r="C126" s="59">
        <v>1</v>
      </c>
      <c r="D126" s="59">
        <v>30</v>
      </c>
      <c r="E126" s="59"/>
      <c r="F126" s="59">
        <v>4</v>
      </c>
      <c r="G126" s="59">
        <v>1.024</v>
      </c>
      <c r="H126" s="59">
        <v>2.048</v>
      </c>
      <c r="I126" s="59">
        <v>4.0960000000000001</v>
      </c>
      <c r="J126" s="59">
        <v>8.1920000000000002</v>
      </c>
      <c r="K126" s="59">
        <v>16.384</v>
      </c>
      <c r="L126" s="59">
        <v>30</v>
      </c>
      <c r="M126" s="59">
        <v>30</v>
      </c>
      <c r="N126" s="59">
        <v>30</v>
      </c>
    </row>
    <row r="127" spans="3:14" hidden="1" x14ac:dyDescent="0.35">
      <c r="C127" s="59">
        <v>1</v>
      </c>
      <c r="D127" s="59">
        <v>30</v>
      </c>
      <c r="E127" s="59"/>
      <c r="F127" s="59">
        <v>4.33</v>
      </c>
      <c r="G127" s="59">
        <v>1</v>
      </c>
      <c r="H127" s="59">
        <v>1.8919168591224018</v>
      </c>
      <c r="I127" s="59">
        <v>3.7838337182448036</v>
      </c>
      <c r="J127" s="59">
        <v>7.5676674364896073</v>
      </c>
      <c r="K127" s="59">
        <v>15.135334872979215</v>
      </c>
      <c r="L127" s="59">
        <v>30</v>
      </c>
      <c r="M127" s="59">
        <v>30</v>
      </c>
      <c r="N127" s="59">
        <v>30</v>
      </c>
    </row>
    <row r="128" spans="3:14" hidden="1" x14ac:dyDescent="0.35">
      <c r="C128" s="59">
        <v>1</v>
      </c>
      <c r="D128" s="59">
        <v>30</v>
      </c>
      <c r="E128" s="59"/>
      <c r="F128" s="59">
        <v>4.5</v>
      </c>
      <c r="G128" s="59">
        <v>1</v>
      </c>
      <c r="H128" s="59">
        <v>1.8204444444444445</v>
      </c>
      <c r="I128" s="59">
        <v>3.6408888888888891</v>
      </c>
      <c r="J128" s="59">
        <v>7.2817777777777781</v>
      </c>
      <c r="K128" s="59">
        <v>14.563555555555556</v>
      </c>
      <c r="L128" s="59">
        <v>29.127111111111113</v>
      </c>
      <c r="M128" s="59">
        <v>30</v>
      </c>
      <c r="N128" s="59">
        <v>30</v>
      </c>
    </row>
    <row r="129" spans="3:14" hidden="1" x14ac:dyDescent="0.35">
      <c r="C129" s="59">
        <v>1</v>
      </c>
      <c r="D129" s="59">
        <v>30</v>
      </c>
      <c r="E129" s="59"/>
      <c r="F129" s="59">
        <v>4.75</v>
      </c>
      <c r="G129" s="59">
        <v>1</v>
      </c>
      <c r="H129" s="59">
        <v>1.7246315789473683</v>
      </c>
      <c r="I129" s="59">
        <v>3.4492631578947366</v>
      </c>
      <c r="J129" s="59">
        <v>6.8985263157894732</v>
      </c>
      <c r="K129" s="59">
        <v>13.797052631578946</v>
      </c>
      <c r="L129" s="59">
        <v>27.594105263157893</v>
      </c>
      <c r="M129" s="59">
        <v>30</v>
      </c>
      <c r="N129" s="59">
        <v>30</v>
      </c>
    </row>
    <row r="130" spans="3:14" hidden="1" x14ac:dyDescent="0.35">
      <c r="C130" s="59">
        <v>1</v>
      </c>
      <c r="D130" s="59">
        <v>30</v>
      </c>
      <c r="E130" s="59"/>
      <c r="F130" s="59">
        <v>5</v>
      </c>
      <c r="G130" s="59">
        <v>1</v>
      </c>
      <c r="H130" s="59">
        <v>1.6383999999999999</v>
      </c>
      <c r="I130" s="59">
        <v>3.2767999999999997</v>
      </c>
      <c r="J130" s="59">
        <v>6.5535999999999994</v>
      </c>
      <c r="K130" s="59">
        <v>13.107199999999999</v>
      </c>
      <c r="L130" s="59">
        <v>26.214399999999998</v>
      </c>
      <c r="M130" s="59">
        <v>30</v>
      </c>
      <c r="N130" s="59">
        <v>30</v>
      </c>
    </row>
    <row r="131" spans="3:14" hidden="1" x14ac:dyDescent="0.35">
      <c r="C131" s="59">
        <v>1</v>
      </c>
      <c r="D131" s="59">
        <v>30</v>
      </c>
      <c r="E131" s="59"/>
      <c r="F131" s="59">
        <v>5.25</v>
      </c>
      <c r="G131" s="59">
        <v>1</v>
      </c>
      <c r="H131" s="59">
        <v>1.5603809523809522</v>
      </c>
      <c r="I131" s="59">
        <v>3.1207619047619044</v>
      </c>
      <c r="J131" s="59">
        <v>6.2415238095238088</v>
      </c>
      <c r="K131" s="59">
        <v>12.483047619047618</v>
      </c>
      <c r="L131" s="59">
        <v>24.966095238095235</v>
      </c>
      <c r="M131" s="59">
        <v>30</v>
      </c>
      <c r="N131" s="59">
        <v>30</v>
      </c>
    </row>
    <row r="132" spans="3:14" hidden="1" x14ac:dyDescent="0.35">
      <c r="C132" s="59">
        <v>1</v>
      </c>
      <c r="D132" s="59">
        <v>30</v>
      </c>
      <c r="E132" s="59"/>
      <c r="F132" s="59">
        <v>5.5</v>
      </c>
      <c r="G132" s="59">
        <v>1</v>
      </c>
      <c r="H132" s="59">
        <v>1.4894545454545454</v>
      </c>
      <c r="I132" s="59">
        <v>2.9789090909090907</v>
      </c>
      <c r="J132" s="59">
        <v>5.9578181818181815</v>
      </c>
      <c r="K132" s="59">
        <v>11.915636363636363</v>
      </c>
      <c r="L132" s="59">
        <v>23.831272727272726</v>
      </c>
      <c r="M132" s="59">
        <v>30</v>
      </c>
      <c r="N132" s="59">
        <v>30</v>
      </c>
    </row>
    <row r="133" spans="3:14" hidden="1" x14ac:dyDescent="0.35">
      <c r="C133" s="59">
        <v>1</v>
      </c>
      <c r="D133" s="59">
        <v>30</v>
      </c>
      <c r="E133" s="59"/>
      <c r="F133" s="59">
        <v>5.75</v>
      </c>
      <c r="G133" s="59">
        <v>1</v>
      </c>
      <c r="H133" s="59">
        <v>1.4246956521739129</v>
      </c>
      <c r="I133" s="59">
        <v>2.8493913043478258</v>
      </c>
      <c r="J133" s="59">
        <v>5.6987826086956517</v>
      </c>
      <c r="K133" s="59">
        <v>11.397565217391303</v>
      </c>
      <c r="L133" s="59">
        <v>22.795130434782607</v>
      </c>
      <c r="M133" s="59">
        <v>30</v>
      </c>
      <c r="N133" s="59">
        <v>30</v>
      </c>
    </row>
    <row r="134" spans="3:14" hidden="1" x14ac:dyDescent="0.35">
      <c r="C134" s="59">
        <v>1</v>
      </c>
      <c r="D134" s="59">
        <v>30</v>
      </c>
      <c r="E134" s="59"/>
      <c r="F134" s="59">
        <v>6</v>
      </c>
      <c r="G134" s="59">
        <v>1</v>
      </c>
      <c r="H134" s="59">
        <v>1.3653333333333333</v>
      </c>
      <c r="I134" s="59">
        <v>2.7306666666666666</v>
      </c>
      <c r="J134" s="59">
        <v>5.4613333333333332</v>
      </c>
      <c r="K134" s="59">
        <v>10.922666666666666</v>
      </c>
      <c r="L134" s="59">
        <v>21.845333333333333</v>
      </c>
      <c r="M134" s="59">
        <v>30</v>
      </c>
      <c r="N134" s="59">
        <v>30</v>
      </c>
    </row>
    <row r="135" spans="3:14" hidden="1" x14ac:dyDescent="0.35">
      <c r="C135" s="59">
        <v>1</v>
      </c>
      <c r="D135" s="59">
        <v>30</v>
      </c>
      <c r="E135" s="59"/>
      <c r="F135" s="59">
        <v>6.25</v>
      </c>
      <c r="G135" s="59">
        <v>1</v>
      </c>
      <c r="H135" s="59">
        <v>1.3107199999999999</v>
      </c>
      <c r="I135" s="59">
        <v>2.6214399999999998</v>
      </c>
      <c r="J135" s="59">
        <v>5.2428799999999995</v>
      </c>
      <c r="K135" s="59">
        <v>10.485759999999999</v>
      </c>
      <c r="L135" s="59">
        <v>20.971519999999998</v>
      </c>
      <c r="M135" s="59">
        <v>30</v>
      </c>
      <c r="N135" s="59">
        <v>30</v>
      </c>
    </row>
    <row r="136" spans="3:14" hidden="1" x14ac:dyDescent="0.35">
      <c r="C136" s="59">
        <v>1</v>
      </c>
      <c r="D136" s="59">
        <v>30</v>
      </c>
      <c r="E136" s="59"/>
      <c r="F136" s="59">
        <v>6.5</v>
      </c>
      <c r="G136" s="59">
        <v>1</v>
      </c>
      <c r="H136" s="59">
        <v>1.2603076923076924</v>
      </c>
      <c r="I136" s="59">
        <v>2.5206153846153847</v>
      </c>
      <c r="J136" s="59">
        <v>5.0412307692307694</v>
      </c>
      <c r="K136" s="59">
        <v>10.082461538461539</v>
      </c>
      <c r="L136" s="59">
        <v>20.164923076923078</v>
      </c>
      <c r="M136" s="59">
        <v>30</v>
      </c>
      <c r="N136" s="59">
        <v>30</v>
      </c>
    </row>
    <row r="137" spans="3:14" hidden="1" x14ac:dyDescent="0.35">
      <c r="C137" s="59">
        <v>1</v>
      </c>
      <c r="D137" s="59">
        <v>30</v>
      </c>
      <c r="E137" s="59"/>
      <c r="F137" s="59">
        <v>6.75</v>
      </c>
      <c r="G137" s="59">
        <v>1</v>
      </c>
      <c r="H137" s="59">
        <v>1.2136296296296296</v>
      </c>
      <c r="I137" s="59">
        <v>2.4272592592592592</v>
      </c>
      <c r="J137" s="59">
        <v>4.8545185185185185</v>
      </c>
      <c r="K137" s="59">
        <v>9.7090370370370369</v>
      </c>
      <c r="L137" s="59">
        <v>19.418074074074074</v>
      </c>
      <c r="M137" s="59">
        <v>30</v>
      </c>
      <c r="N137" s="59">
        <v>30</v>
      </c>
    </row>
    <row r="138" spans="3:14" hidden="1" x14ac:dyDescent="0.35">
      <c r="C138" s="59">
        <v>1</v>
      </c>
      <c r="D138" s="59">
        <v>30</v>
      </c>
      <c r="E138" s="59"/>
      <c r="F138" s="59">
        <v>7</v>
      </c>
      <c r="G138" s="59">
        <v>1</v>
      </c>
      <c r="H138" s="59">
        <v>1.1702857142857142</v>
      </c>
      <c r="I138" s="59">
        <v>2.3405714285714283</v>
      </c>
      <c r="J138" s="59">
        <v>4.6811428571428566</v>
      </c>
      <c r="K138" s="59">
        <v>9.3622857142857132</v>
      </c>
      <c r="L138" s="59">
        <v>18.724571428571426</v>
      </c>
      <c r="M138" s="59">
        <v>30</v>
      </c>
      <c r="N138" s="59">
        <v>30</v>
      </c>
    </row>
    <row r="139" spans="3:14" hidden="1" x14ac:dyDescent="0.35">
      <c r="C139" s="59">
        <v>1</v>
      </c>
      <c r="D139" s="59">
        <v>30</v>
      </c>
      <c r="E139" s="59"/>
      <c r="F139" s="59">
        <v>7.25</v>
      </c>
      <c r="G139" s="59">
        <v>1</v>
      </c>
      <c r="H139" s="59">
        <v>1.1299310344827584</v>
      </c>
      <c r="I139" s="59">
        <v>2.2598620689655169</v>
      </c>
      <c r="J139" s="59">
        <v>4.5197241379310338</v>
      </c>
      <c r="K139" s="59">
        <v>9.0394482758620676</v>
      </c>
      <c r="L139" s="59">
        <v>18.078896551724135</v>
      </c>
      <c r="M139" s="59">
        <v>30</v>
      </c>
      <c r="N139" s="59">
        <v>30</v>
      </c>
    </row>
    <row r="140" spans="3:14" hidden="1" x14ac:dyDescent="0.35">
      <c r="C140" s="59">
        <v>1</v>
      </c>
      <c r="D140" s="59">
        <v>30</v>
      </c>
      <c r="E140" s="59"/>
      <c r="F140" s="59">
        <v>7.5</v>
      </c>
      <c r="G140" s="59">
        <v>1</v>
      </c>
      <c r="H140" s="59">
        <v>1.0922666666666667</v>
      </c>
      <c r="I140" s="59">
        <v>2.1845333333333334</v>
      </c>
      <c r="J140" s="59">
        <v>4.3690666666666669</v>
      </c>
      <c r="K140" s="59">
        <v>8.7381333333333338</v>
      </c>
      <c r="L140" s="59">
        <v>17.476266666666668</v>
      </c>
      <c r="M140" s="59">
        <v>30</v>
      </c>
      <c r="N140" s="59">
        <v>30</v>
      </c>
    </row>
    <row r="141" spans="3:14" hidden="1" x14ac:dyDescent="0.35">
      <c r="C141" s="59">
        <v>1</v>
      </c>
      <c r="D141" s="59">
        <v>30</v>
      </c>
      <c r="E141" s="59"/>
      <c r="F141" s="59">
        <v>7.75</v>
      </c>
      <c r="G141" s="59">
        <v>1</v>
      </c>
      <c r="H141" s="59">
        <v>1.0570322580645162</v>
      </c>
      <c r="I141" s="59">
        <v>2.1140645161290323</v>
      </c>
      <c r="J141" s="59">
        <v>4.2281290322580647</v>
      </c>
      <c r="K141" s="59">
        <v>8.4562580645161294</v>
      </c>
      <c r="L141" s="59">
        <v>16.912516129032259</v>
      </c>
      <c r="M141" s="59">
        <v>30</v>
      </c>
      <c r="N141" s="59">
        <v>30</v>
      </c>
    </row>
    <row r="142" spans="3:14" hidden="1" x14ac:dyDescent="0.35">
      <c r="C142" s="59">
        <v>1</v>
      </c>
      <c r="D142" s="59">
        <v>30</v>
      </c>
      <c r="E142" s="59"/>
      <c r="F142" s="59">
        <v>8</v>
      </c>
      <c r="G142" s="59">
        <v>1</v>
      </c>
      <c r="H142" s="59">
        <v>1.024</v>
      </c>
      <c r="I142" s="59">
        <v>2.048</v>
      </c>
      <c r="J142" s="59">
        <v>4.0960000000000001</v>
      </c>
      <c r="K142" s="59">
        <v>8.1920000000000002</v>
      </c>
      <c r="L142" s="59">
        <v>16.384</v>
      </c>
      <c r="M142" s="59">
        <v>30</v>
      </c>
      <c r="N142" s="59">
        <v>30</v>
      </c>
    </row>
    <row r="143" spans="3:14" hidden="1" x14ac:dyDescent="0.35">
      <c r="C143" s="59">
        <v>1</v>
      </c>
      <c r="D143" s="59">
        <v>30</v>
      </c>
      <c r="E143" s="59"/>
      <c r="F143" s="59">
        <v>8.25</v>
      </c>
      <c r="G143" s="59">
        <v>1</v>
      </c>
      <c r="H143" s="59">
        <v>1</v>
      </c>
      <c r="I143" s="59">
        <v>1.9859393939393937</v>
      </c>
      <c r="J143" s="59">
        <v>3.9718787878787873</v>
      </c>
      <c r="K143" s="59">
        <v>7.9437575757575747</v>
      </c>
      <c r="L143" s="59">
        <v>15.887515151515149</v>
      </c>
      <c r="M143" s="59">
        <v>30</v>
      </c>
      <c r="N143" s="59">
        <v>30</v>
      </c>
    </row>
    <row r="144" spans="3:14" hidden="1" x14ac:dyDescent="0.35">
      <c r="C144" s="59">
        <v>1</v>
      </c>
      <c r="D144" s="59">
        <v>30</v>
      </c>
      <c r="E144" s="59"/>
      <c r="F144" s="59">
        <v>8.5</v>
      </c>
      <c r="G144" s="59">
        <v>1</v>
      </c>
      <c r="H144" s="59">
        <v>1</v>
      </c>
      <c r="I144" s="59">
        <v>1.9275294117647057</v>
      </c>
      <c r="J144" s="59">
        <v>3.8550588235294114</v>
      </c>
      <c r="K144" s="59">
        <v>7.7101176470588229</v>
      </c>
      <c r="L144" s="59">
        <v>15.420235294117646</v>
      </c>
      <c r="M144" s="59">
        <v>30</v>
      </c>
      <c r="N144" s="59">
        <v>30</v>
      </c>
    </row>
    <row r="145" spans="3:14" hidden="1" x14ac:dyDescent="0.35">
      <c r="C145" s="59">
        <v>1</v>
      </c>
      <c r="D145" s="59">
        <v>30</v>
      </c>
      <c r="E145" s="59"/>
      <c r="F145" s="59">
        <v>9</v>
      </c>
      <c r="G145" s="59">
        <v>1</v>
      </c>
      <c r="H145" s="59">
        <v>1</v>
      </c>
      <c r="I145" s="59">
        <v>1.8204444444444445</v>
      </c>
      <c r="J145" s="59">
        <v>3.6408888888888891</v>
      </c>
      <c r="K145" s="59">
        <v>7.2817777777777781</v>
      </c>
      <c r="L145" s="59">
        <v>14.563555555555556</v>
      </c>
      <c r="M145" s="59">
        <v>29.127111111111113</v>
      </c>
      <c r="N145" s="59">
        <v>30</v>
      </c>
    </row>
    <row r="146" spans="3:14" hidden="1" x14ac:dyDescent="0.35"/>
    <row r="147" spans="3:14" hidden="1" x14ac:dyDescent="0.35"/>
    <row r="148" spans="3:14" hidden="1" x14ac:dyDescent="0.35">
      <c r="C148" s="225" t="s">
        <v>1579</v>
      </c>
    </row>
    <row r="149" spans="3:14" hidden="1" x14ac:dyDescent="0.35">
      <c r="C149" s="238" t="s">
        <v>1576</v>
      </c>
      <c r="D149" s="238" t="s">
        <v>1577</v>
      </c>
    </row>
    <row r="150" spans="3:14" hidden="1" x14ac:dyDescent="0.35">
      <c r="C150" s="96">
        <v>0</v>
      </c>
      <c r="D150" s="274">
        <v>1</v>
      </c>
    </row>
    <row r="151" spans="3:14" hidden="1" x14ac:dyDescent="0.35">
      <c r="C151" s="96">
        <v>1</v>
      </c>
      <c r="D151" s="274">
        <v>1.0625</v>
      </c>
    </row>
    <row r="152" spans="3:14" hidden="1" x14ac:dyDescent="0.35">
      <c r="C152" s="96">
        <v>2</v>
      </c>
      <c r="D152" s="274">
        <v>1.1875</v>
      </c>
    </row>
    <row r="153" spans="3:14" hidden="1" x14ac:dyDescent="0.35">
      <c r="C153" s="96">
        <v>3</v>
      </c>
      <c r="D153" s="274">
        <v>1.3125</v>
      </c>
    </row>
    <row r="154" spans="3:14" hidden="1" x14ac:dyDescent="0.35">
      <c r="C154" s="96">
        <v>4</v>
      </c>
      <c r="D154" s="274">
        <v>1.4375</v>
      </c>
    </row>
    <row r="155" spans="3:14" hidden="1" x14ac:dyDescent="0.35">
      <c r="C155" s="96">
        <v>5</v>
      </c>
      <c r="D155" s="274">
        <v>1.5625</v>
      </c>
    </row>
    <row r="156" spans="3:14" hidden="1" x14ac:dyDescent="0.35">
      <c r="C156" s="96">
        <v>6</v>
      </c>
      <c r="D156" s="274">
        <v>1.6875</v>
      </c>
    </row>
    <row r="157" spans="3:14" hidden="1" x14ac:dyDescent="0.35">
      <c r="C157" s="96">
        <v>7</v>
      </c>
      <c r="D157" s="274">
        <v>1.8125</v>
      </c>
    </row>
    <row r="158" spans="3:14" hidden="1" x14ac:dyDescent="0.35">
      <c r="C158" s="96">
        <v>8</v>
      </c>
      <c r="D158" s="274">
        <v>2</v>
      </c>
    </row>
    <row r="159" spans="3:14" hidden="1" x14ac:dyDescent="0.35">
      <c r="C159" s="96">
        <v>9</v>
      </c>
      <c r="D159" s="274">
        <v>2.125</v>
      </c>
    </row>
    <row r="160" spans="3:14" hidden="1" x14ac:dyDescent="0.35">
      <c r="C160" s="96">
        <v>10</v>
      </c>
      <c r="D160" s="274">
        <v>2.375</v>
      </c>
    </row>
    <row r="161" spans="3:4" hidden="1" x14ac:dyDescent="0.35">
      <c r="C161" s="96">
        <v>11</v>
      </c>
      <c r="D161" s="274">
        <v>2.625</v>
      </c>
    </row>
    <row r="162" spans="3:4" hidden="1" x14ac:dyDescent="0.35">
      <c r="C162" s="96">
        <v>12</v>
      </c>
      <c r="D162" s="274">
        <v>2.875</v>
      </c>
    </row>
    <row r="163" spans="3:4" hidden="1" x14ac:dyDescent="0.35">
      <c r="C163" s="96">
        <v>13</v>
      </c>
      <c r="D163" s="274">
        <v>3.125</v>
      </c>
    </row>
    <row r="164" spans="3:4" hidden="1" x14ac:dyDescent="0.35">
      <c r="C164" s="96">
        <v>14</v>
      </c>
      <c r="D164" s="274">
        <v>3.375</v>
      </c>
    </row>
    <row r="165" spans="3:4" hidden="1" x14ac:dyDescent="0.35">
      <c r="C165" s="96">
        <v>15</v>
      </c>
      <c r="D165" s="274">
        <v>3.625</v>
      </c>
    </row>
    <row r="166" spans="3:4" hidden="1" x14ac:dyDescent="0.35">
      <c r="C166" s="96">
        <v>16</v>
      </c>
      <c r="D166" s="274">
        <v>4</v>
      </c>
    </row>
    <row r="167" spans="3:4" hidden="1" x14ac:dyDescent="0.35">
      <c r="C167" s="96">
        <v>17</v>
      </c>
      <c r="D167" s="274">
        <v>4.25</v>
      </c>
    </row>
    <row r="168" spans="3:4" hidden="1" x14ac:dyDescent="0.35">
      <c r="C168" s="96">
        <v>18</v>
      </c>
      <c r="D168" s="274">
        <v>4.75</v>
      </c>
    </row>
    <row r="169" spans="3:4" hidden="1" x14ac:dyDescent="0.35">
      <c r="C169" s="96">
        <v>19</v>
      </c>
      <c r="D169" s="274">
        <v>5.25</v>
      </c>
    </row>
    <row r="170" spans="3:4" hidden="1" x14ac:dyDescent="0.35">
      <c r="C170" s="96">
        <v>20</v>
      </c>
      <c r="D170" s="274">
        <v>5.75</v>
      </c>
    </row>
    <row r="171" spans="3:4" hidden="1" x14ac:dyDescent="0.35">
      <c r="C171" s="96">
        <v>21</v>
      </c>
      <c r="D171" s="274">
        <v>6.25</v>
      </c>
    </row>
    <row r="172" spans="3:4" hidden="1" x14ac:dyDescent="0.35">
      <c r="C172" s="96">
        <v>22</v>
      </c>
      <c r="D172" s="274">
        <v>6.75</v>
      </c>
    </row>
    <row r="173" spans="3:4" hidden="1" x14ac:dyDescent="0.35">
      <c r="C173" s="96">
        <v>23</v>
      </c>
      <c r="D173" s="274">
        <v>7.25</v>
      </c>
    </row>
    <row r="174" spans="3:4" hidden="1" x14ac:dyDescent="0.35">
      <c r="C174" s="96">
        <v>24</v>
      </c>
      <c r="D174" s="274">
        <v>8</v>
      </c>
    </row>
    <row r="175" spans="3:4" hidden="1" x14ac:dyDescent="0.35">
      <c r="C175" s="96">
        <v>25</v>
      </c>
      <c r="D175" s="274">
        <v>8.5</v>
      </c>
    </row>
    <row r="176" spans="3:4" hidden="1" x14ac:dyDescent="0.35">
      <c r="C176" s="96">
        <v>26</v>
      </c>
      <c r="D176" s="274">
        <v>9.5</v>
      </c>
    </row>
    <row r="177" spans="3:4" hidden="1" x14ac:dyDescent="0.35">
      <c r="C177" s="96">
        <v>27</v>
      </c>
      <c r="D177" s="274">
        <v>10.5</v>
      </c>
    </row>
    <row r="178" spans="3:4" hidden="1" x14ac:dyDescent="0.35">
      <c r="C178" s="96">
        <v>28</v>
      </c>
      <c r="D178" s="274">
        <v>11.5</v>
      </c>
    </row>
    <row r="179" spans="3:4" hidden="1" x14ac:dyDescent="0.35">
      <c r="C179" s="96">
        <v>29</v>
      </c>
      <c r="D179" s="274">
        <v>12.5</v>
      </c>
    </row>
    <row r="180" spans="3:4" hidden="1" x14ac:dyDescent="0.35">
      <c r="C180" s="96">
        <v>30</v>
      </c>
      <c r="D180" s="274">
        <v>13.5</v>
      </c>
    </row>
    <row r="181" spans="3:4" hidden="1" x14ac:dyDescent="0.35">
      <c r="C181" s="96">
        <v>31</v>
      </c>
      <c r="D181" s="274">
        <v>14.5</v>
      </c>
    </row>
    <row r="182" spans="3:4" hidden="1" x14ac:dyDescent="0.35">
      <c r="C182" s="96">
        <v>32</v>
      </c>
      <c r="D182" s="274">
        <v>16</v>
      </c>
    </row>
    <row r="183" spans="3:4" hidden="1" x14ac:dyDescent="0.35">
      <c r="C183" s="96">
        <v>33</v>
      </c>
      <c r="D183" s="274">
        <v>17</v>
      </c>
    </row>
    <row r="184" spans="3:4" hidden="1" x14ac:dyDescent="0.35">
      <c r="C184" s="96">
        <v>34</v>
      </c>
      <c r="D184" s="274">
        <v>19</v>
      </c>
    </row>
    <row r="185" spans="3:4" hidden="1" x14ac:dyDescent="0.35">
      <c r="C185" s="96">
        <v>35</v>
      </c>
      <c r="D185" s="274">
        <v>21</v>
      </c>
    </row>
    <row r="186" spans="3:4" hidden="1" x14ac:dyDescent="0.35">
      <c r="C186" s="96">
        <v>36</v>
      </c>
      <c r="D186" s="274">
        <v>23</v>
      </c>
    </row>
    <row r="187" spans="3:4" hidden="1" x14ac:dyDescent="0.35">
      <c r="C187" s="96">
        <v>37</v>
      </c>
      <c r="D187" s="274">
        <v>25</v>
      </c>
    </row>
    <row r="188" spans="3:4" hidden="1" x14ac:dyDescent="0.35">
      <c r="C188" s="96">
        <v>38</v>
      </c>
      <c r="D188" s="274">
        <v>27</v>
      </c>
    </row>
    <row r="189" spans="3:4" hidden="1" x14ac:dyDescent="0.35">
      <c r="C189" s="96">
        <v>39</v>
      </c>
      <c r="D189" s="274">
        <v>29</v>
      </c>
    </row>
    <row r="190" spans="3:4" hidden="1" x14ac:dyDescent="0.35">
      <c r="C190" s="96">
        <v>40</v>
      </c>
      <c r="D190" s="274">
        <v>32</v>
      </c>
    </row>
    <row r="191" spans="3:4" hidden="1" x14ac:dyDescent="0.35">
      <c r="C191" s="96">
        <v>41</v>
      </c>
      <c r="D191" s="274">
        <v>34</v>
      </c>
    </row>
    <row r="192" spans="3:4" hidden="1" x14ac:dyDescent="0.35">
      <c r="C192" s="96">
        <v>42</v>
      </c>
      <c r="D192" s="274">
        <v>38</v>
      </c>
    </row>
    <row r="193" spans="3:4" hidden="1" x14ac:dyDescent="0.35">
      <c r="C193" s="96">
        <v>43</v>
      </c>
      <c r="D193" s="274">
        <v>42</v>
      </c>
    </row>
    <row r="194" spans="3:4" hidden="1" x14ac:dyDescent="0.35">
      <c r="C194" s="96">
        <v>44</v>
      </c>
      <c r="D194" s="274">
        <v>46</v>
      </c>
    </row>
    <row r="195" spans="3:4" hidden="1" x14ac:dyDescent="0.35">
      <c r="C195" s="96">
        <v>45</v>
      </c>
      <c r="D195" s="274">
        <v>50</v>
      </c>
    </row>
    <row r="196" spans="3:4" hidden="1" x14ac:dyDescent="0.35">
      <c r="C196" s="96">
        <v>46</v>
      </c>
      <c r="D196" s="274">
        <v>54</v>
      </c>
    </row>
    <row r="197" spans="3:4" hidden="1" x14ac:dyDescent="0.35">
      <c r="C197" s="96">
        <v>47</v>
      </c>
      <c r="D197" s="274">
        <v>58</v>
      </c>
    </row>
    <row r="198" spans="3:4" hidden="1" x14ac:dyDescent="0.35">
      <c r="C198" s="96">
        <v>48</v>
      </c>
      <c r="D198" s="274">
        <v>64</v>
      </c>
    </row>
    <row r="199" spans="3:4" hidden="1" x14ac:dyDescent="0.35">
      <c r="C199" s="96">
        <v>49</v>
      </c>
      <c r="D199" s="274">
        <v>68</v>
      </c>
    </row>
    <row r="200" spans="3:4" hidden="1" x14ac:dyDescent="0.35">
      <c r="C200" s="96">
        <v>50</v>
      </c>
      <c r="D200" s="274">
        <v>76</v>
      </c>
    </row>
    <row r="201" spans="3:4" hidden="1" x14ac:dyDescent="0.35">
      <c r="C201" s="96">
        <v>51</v>
      </c>
      <c r="D201" s="274">
        <v>84</v>
      </c>
    </row>
    <row r="202" spans="3:4" hidden="1" x14ac:dyDescent="0.35">
      <c r="C202" s="96">
        <v>52</v>
      </c>
      <c r="D202" s="274">
        <v>92</v>
      </c>
    </row>
    <row r="203" spans="3:4" hidden="1" x14ac:dyDescent="0.35">
      <c r="C203" s="96">
        <v>53</v>
      </c>
      <c r="D203" s="274">
        <v>100</v>
      </c>
    </row>
    <row r="204" spans="3:4" hidden="1" x14ac:dyDescent="0.35">
      <c r="C204" s="96">
        <v>54</v>
      </c>
      <c r="D204" s="274">
        <v>108</v>
      </c>
    </row>
    <row r="205" spans="3:4" hidden="1" x14ac:dyDescent="0.35">
      <c r="C205" s="96">
        <v>55</v>
      </c>
      <c r="D205" s="274">
        <v>116</v>
      </c>
    </row>
    <row r="206" spans="3:4" hidden="1" x14ac:dyDescent="0.35">
      <c r="C206" s="96">
        <v>56</v>
      </c>
      <c r="D206" s="274">
        <v>128</v>
      </c>
    </row>
    <row r="207" spans="3:4" hidden="1" x14ac:dyDescent="0.35">
      <c r="C207" s="96">
        <v>57</v>
      </c>
      <c r="D207" s="274">
        <v>136</v>
      </c>
    </row>
    <row r="208" spans="3:4" hidden="1" x14ac:dyDescent="0.35">
      <c r="C208" s="96">
        <v>58</v>
      </c>
      <c r="D208" s="274">
        <v>152</v>
      </c>
    </row>
    <row r="209" spans="3:4" hidden="1" x14ac:dyDescent="0.35">
      <c r="C209" s="96">
        <v>59</v>
      </c>
      <c r="D209" s="274">
        <v>168</v>
      </c>
    </row>
    <row r="210" spans="3:4" hidden="1" x14ac:dyDescent="0.35">
      <c r="C210" s="96">
        <v>60</v>
      </c>
      <c r="D210" s="274">
        <v>184</v>
      </c>
    </row>
    <row r="211" spans="3:4" hidden="1" x14ac:dyDescent="0.35">
      <c r="C211" s="96">
        <v>61</v>
      </c>
      <c r="D211" s="274">
        <v>200</v>
      </c>
    </row>
    <row r="212" spans="3:4" hidden="1" x14ac:dyDescent="0.35">
      <c r="C212" s="96">
        <v>62</v>
      </c>
      <c r="D212" s="274">
        <v>216</v>
      </c>
    </row>
    <row r="213" spans="3:4" hidden="1" x14ac:dyDescent="0.35">
      <c r="C213" s="96">
        <v>63</v>
      </c>
      <c r="D213" s="274">
        <v>232</v>
      </c>
    </row>
  </sheetData>
  <sheetProtection algorithmName="SHA-512" hashValue="Q6Uu786RQC1IOu0jWbOzvNLxzKIx3vSlrH5/b5a4Me06L1jYZ26jtrX6An6KUe9uW6F2yUrZHUQpe7jhwt38Jg==" saltValue="gQJKO/5YhW8UiF5CKMX1Aw==" spinCount="100000" sheet="1" objects="1" scenarios="1"/>
  <conditionalFormatting sqref="D8">
    <cfRule type="expression" dxfId="62" priority="39">
      <formula>AND($D$7=FALSE(),$D$8=TRUE())</formula>
    </cfRule>
  </conditionalFormatting>
  <conditionalFormatting sqref="D13">
    <cfRule type="expression" dxfId="61" priority="26">
      <formula>D13&gt;10</formula>
    </cfRule>
    <cfRule type="expression" dxfId="60" priority="31">
      <formula>D13&lt;0.35</formula>
    </cfRule>
  </conditionalFormatting>
  <conditionalFormatting sqref="D13:D42">
    <cfRule type="expression" dxfId="59" priority="25" stopIfTrue="1">
      <formula>NOT($D$7)</formula>
    </cfRule>
  </conditionalFormatting>
  <conditionalFormatting sqref="D80">
    <cfRule type="expression" dxfId="58" priority="33">
      <formula>(D4="LDC2112")</formula>
    </cfRule>
  </conditionalFormatting>
  <conditionalFormatting sqref="D81">
    <cfRule type="expression" dxfId="57" priority="32">
      <formula>$D$4="LDC2112"</formula>
    </cfRule>
  </conditionalFormatting>
  <conditionalFormatting sqref="F8">
    <cfRule type="expression" dxfId="56" priority="38">
      <formula>AND($F$8=TRUE(),$F$7=FALSE())</formula>
    </cfRule>
  </conditionalFormatting>
  <conditionalFormatting sqref="F13">
    <cfRule type="expression" dxfId="55" priority="7" stopIfTrue="1">
      <formula>NOT(F7)</formula>
    </cfRule>
    <cfRule type="expression" dxfId="54" priority="8">
      <formula>F13&gt;10</formula>
    </cfRule>
    <cfRule type="expression" dxfId="53" priority="9">
      <formula>F13&lt;0.35</formula>
    </cfRule>
  </conditionalFormatting>
  <conditionalFormatting sqref="F14:F42">
    <cfRule type="expression" dxfId="52" priority="27">
      <formula>NOT($F$7)</formula>
    </cfRule>
  </conditionalFormatting>
  <conditionalFormatting sqref="G46:K46">
    <cfRule type="expression" dxfId="51" priority="40">
      <formula>"OFF"</formula>
    </cfRule>
  </conditionalFormatting>
  <conditionalFormatting sqref="H7">
    <cfRule type="expression" dxfId="50" priority="35">
      <formula>AND($D$4="LDC2112",$H$7=TRUE())</formula>
    </cfRule>
  </conditionalFormatting>
  <conditionalFormatting sqref="H8">
    <cfRule type="expression" dxfId="49" priority="37">
      <formula>AND($H$8=TRUE(),$H$7=FALSE())</formula>
    </cfRule>
  </conditionalFormatting>
  <conditionalFormatting sqref="H13">
    <cfRule type="expression" dxfId="48" priority="4" stopIfTrue="1">
      <formula>NOT(H7)</formula>
    </cfRule>
    <cfRule type="expression" dxfId="47" priority="5">
      <formula>H13&gt;10</formula>
    </cfRule>
    <cfRule type="expression" dxfId="46" priority="6">
      <formula>H13&lt;0.35</formula>
    </cfRule>
  </conditionalFormatting>
  <conditionalFormatting sqref="H14:H42">
    <cfRule type="expression" dxfId="45" priority="29">
      <formula>NOT($H$7)</formula>
    </cfRule>
  </conditionalFormatting>
  <conditionalFormatting sqref="J7">
    <cfRule type="expression" dxfId="44" priority="34">
      <formula>AND($D$4="LDC2112",$J$7=TRUE())</formula>
    </cfRule>
  </conditionalFormatting>
  <conditionalFormatting sqref="J8">
    <cfRule type="expression" dxfId="43" priority="36">
      <formula>AND($J$8=TRUE(),$J$7=FALSE())</formula>
    </cfRule>
  </conditionalFormatting>
  <conditionalFormatting sqref="J13">
    <cfRule type="expression" dxfId="42" priority="1" stopIfTrue="1">
      <formula>NOT(J7)</formula>
    </cfRule>
    <cfRule type="expression" dxfId="41" priority="2">
      <formula>J13&gt;10</formula>
    </cfRule>
    <cfRule type="expression" dxfId="40" priority="3">
      <formula>J13&lt;0.35</formula>
    </cfRule>
  </conditionalFormatting>
  <conditionalFormatting sqref="J14:J42">
    <cfRule type="expression" dxfId="39" priority="28">
      <formula>NOT($J$7)</formula>
    </cfRule>
  </conditionalFormatting>
  <dataValidations count="25">
    <dataValidation type="list" allowBlank="1" showInputMessage="1" showErrorMessage="1" sqref="B87" xr:uid="{00000000-0002-0000-0500-000000000000}">
      <formula1>"Rs,Rp"</formula1>
    </dataValidation>
    <dataValidation type="decimal" operator="greaterThan" allowBlank="1" showInputMessage="1" showErrorMessage="1" sqref="C84:C86" xr:uid="{00000000-0002-0000-0500-000001000000}">
      <formula1>0</formula1>
    </dataValidation>
    <dataValidation allowBlank="1" showDropDown="1" showInputMessage="1" showErrorMessage="1" sqref="B88" xr:uid="{00000000-0002-0000-0500-000002000000}"/>
    <dataValidation type="list" allowBlank="1" showInputMessage="1" showErrorMessage="1" sqref="D4" xr:uid="{00000000-0002-0000-0500-000003000000}">
      <formula1>"LDC2112,LDC2114"</formula1>
    </dataValidation>
    <dataValidation type="decimal" allowBlank="1" showInputMessage="1" showErrorMessage="1" error="This is outside the LDC2114 Frequency range of 1 MHz to 30 MHz." sqref="D15 F15 H15 J15" xr:uid="{00000000-0002-0000-0500-000004000000}">
      <formula1>1</formula1>
      <formula2>30</formula2>
    </dataValidation>
    <dataValidation type="decimal" allowBlank="1" showInputMessage="1" showErrorMessage="1" sqref="J18 D18 H18 F18" xr:uid="{00000000-0002-0000-0500-000005000000}">
      <formula1>0.01</formula1>
      <formula2>15</formula2>
    </dataValidation>
    <dataValidation type="whole" errorStyle="warning" allowBlank="1" showInputMessage="1" showErrorMessage="1" sqref="D23 F23 H23 J23" xr:uid="{00000000-0002-0000-0500-000006000000}">
      <formula1>0</formula1>
      <formula2>31</formula2>
    </dataValidation>
    <dataValidation errorStyle="warning" allowBlank="1" showInputMessage="1" showErrorMessage="1" sqref="E77:J77 D64:D81" xr:uid="{00000000-0002-0000-0500-000007000000}"/>
    <dataValidation type="decimal" errorStyle="warning" allowBlank="1" showInputMessage="1" showErrorMessage="1" errorTitle="Value outside of Design Space" error="This value is outside of the design space of 0.35k to 10k  for the LDC2114; device operation may not be correct." sqref="J13" xr:uid="{00000000-0002-0000-0500-000008000000}">
      <formula1>0.35</formula1>
      <formula2>10</formula2>
    </dataValidation>
    <dataValidation type="list" allowBlank="1" showInputMessage="1" showErrorMessage="1" sqref="D44" xr:uid="{00000000-0002-0000-0500-000009000000}">
      <formula1>"0.625,1.25,2.5,5"</formula1>
    </dataValidation>
    <dataValidation type="list" allowBlank="1" showInputMessage="1" showErrorMessage="1" error="The LDC2114 can only be configured to 10, 20, 40, or 80 Hz scan rate for normal power mode." sqref="D47" xr:uid="{00000000-0002-0000-0500-00000A000000}">
      <formula1>"10,20,40,80"</formula1>
    </dataValidation>
    <dataValidation type="whole" allowBlank="1" showInputMessage="1" showErrorMessage="1" error="Invalid number of buttons" sqref="D49:D50" xr:uid="{00000000-0002-0000-0500-00000B000000}">
      <formula1>0</formula1>
      <formula2>4</formula2>
    </dataValidation>
    <dataValidation type="list" allowBlank="1" showInputMessage="1" showErrorMessage="1" sqref="G49:J49" xr:uid="{00000000-0002-0000-0500-00000C000000}">
      <formula1>"ON,OFF"</formula1>
    </dataValidation>
    <dataValidation type="list" allowBlank="1" showInputMessage="1" showErrorMessage="1" sqref="G46" xr:uid="{00000000-0002-0000-0500-00000D000000}">
      <formula1>$G$49:$G$50</formula1>
    </dataValidation>
    <dataValidation type="list" allowBlank="1" showInputMessage="1" showErrorMessage="1" sqref="H46" xr:uid="{00000000-0002-0000-0500-00000E000000}">
      <formula1>$H$49:$H$50</formula1>
    </dataValidation>
    <dataValidation type="list" allowBlank="1" showInputMessage="1" showErrorMessage="1" sqref="J46" xr:uid="{00000000-0002-0000-0500-00000F000000}">
      <formula1>$J$49:$J$50</formula1>
    </dataValidation>
    <dataValidation type="list" allowBlank="1" showInputMessage="1" showErrorMessage="1" sqref="I46" xr:uid="{00000000-0002-0000-0500-000010000000}">
      <formula1>$I$49:$I$50</formula1>
    </dataValidation>
    <dataValidation type="whole" allowBlank="1" showInputMessage="1" showErrorMessage="1" sqref="F37:F38 H37:H38 J37:J38 D37:D38" xr:uid="{00000000-0002-0000-0500-000011000000}">
      <formula1>0</formula1>
      <formula2>63</formula2>
    </dataValidation>
    <dataValidation type="decimal" allowBlank="1" showInputMessage="1" showErrorMessage="1" sqref="D39 F39 H39 J39" xr:uid="{00000000-0002-0000-0500-000012000000}">
      <formula1>0</formula1>
      <formula2>200000</formula2>
    </dataValidation>
    <dataValidation type="whole" allowBlank="1" showInputMessage="1" showErrorMessage="1" errorTitle="Invalid Base Increment" error="The Base Increment range is from 0 to 7." sqref="D54:D55" xr:uid="{00000000-0002-0000-0500-000013000000}">
      <formula1>0</formula1>
      <formula2>7</formula2>
    </dataValidation>
    <dataValidation type="list" allowBlank="1" showInputMessage="1" showErrorMessage="1" sqref="D56" xr:uid="{00000000-0002-0000-0500-000014000000}">
      <formula1>"Active Low, Active High"</formula1>
    </dataValidation>
    <dataValidation type="decimal" errorStyle="warning" allowBlank="1" showInputMessage="1" showErrorMessage="1" errorTitle="Outside Design Space" error="This value is outside of the design space for the LDC2114 of 0.35k to 10.0K; device operation may be compromised." sqref="D13" xr:uid="{00000000-0002-0000-0500-000015000000}">
      <formula1>0.35</formula1>
      <formula2>10</formula2>
    </dataValidation>
    <dataValidation type="decimal" errorStyle="warning" allowBlank="1" showInputMessage="1" showErrorMessage="1" errorTitle="Value outside Design Space" error="This value is outside of the design space of 0.35k to 10k  for the LDC2114; device operation may not be correct." sqref="F13 H13" xr:uid="{00000000-0002-0000-0500-000016000000}">
      <formula1>0.35</formula1>
      <formula2>10</formula2>
    </dataValidation>
    <dataValidation type="decimal" allowBlank="1" showInputMessage="1" showErrorMessage="1" error="This sample interval is not within the LDC211x operating region." sqref="D16 H16 J16 F16" xr:uid="{00000000-0002-0000-0500-000017000000}">
      <formula1>0.1</formula1>
      <formula2>15</formula2>
    </dataValidation>
    <dataValidation type="decimal" allowBlank="1" showInputMessage="1" showErrorMessage="1" errorTitle="Invalid Setting" error="Valid settings for HYST are from 0 to 15." sqref="D57" xr:uid="{00000000-0002-0000-0500-000018000000}">
      <formula1>0</formula1>
      <formula2>15</formula2>
    </dataValidation>
  </dataValidations>
  <hyperlinks>
    <hyperlink ref="F2" location="Contents!A1" display="Return to Main Page" xr:uid="{00000000-0004-0000-0500-000000000000}"/>
  </hyperlinks>
  <pageMargins left="0.7" right="0.7" top="0.75" bottom="0.75" header="0.3" footer="0.3"/>
  <pageSetup orientation="portrait" r:id="rId1"/>
  <ignoredErrors>
    <ignoredError sqref="D7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8065" r:id="rId4" name="Check Box 1">
              <controlPr locked="0" defaultSize="0" autoFill="0" autoLine="0" autoPict="0" altText="Enable Ch0">
                <anchor moveWithCells="1">
                  <from>
                    <xdr:col>3</xdr:col>
                    <xdr:colOff>31750</xdr:colOff>
                    <xdr:row>6</xdr:row>
                    <xdr:rowOff>19050</xdr:rowOff>
                  </from>
                  <to>
                    <xdr:col>3</xdr:col>
                    <xdr:colOff>571500</xdr:colOff>
                    <xdr:row>6</xdr:row>
                    <xdr:rowOff>146050</xdr:rowOff>
                  </to>
                </anchor>
              </controlPr>
            </control>
          </mc:Choice>
        </mc:AlternateContent>
        <mc:AlternateContent xmlns:mc="http://schemas.openxmlformats.org/markup-compatibility/2006">
          <mc:Choice Requires="x14">
            <control shapeId="88066" r:id="rId5" name="Check Box 2">
              <controlPr locked="0" defaultSize="0" autoFill="0" autoLine="0" autoPict="0" altText="Enable Ch0">
                <anchor moveWithCells="1">
                  <from>
                    <xdr:col>7</xdr:col>
                    <xdr:colOff>19050</xdr:colOff>
                    <xdr:row>5</xdr:row>
                    <xdr:rowOff>146050</xdr:rowOff>
                  </from>
                  <to>
                    <xdr:col>7</xdr:col>
                    <xdr:colOff>571500</xdr:colOff>
                    <xdr:row>6</xdr:row>
                    <xdr:rowOff>107950</xdr:rowOff>
                  </to>
                </anchor>
              </controlPr>
            </control>
          </mc:Choice>
        </mc:AlternateContent>
        <mc:AlternateContent xmlns:mc="http://schemas.openxmlformats.org/markup-compatibility/2006">
          <mc:Choice Requires="x14">
            <control shapeId="88067" r:id="rId6" name="Check Box 3">
              <controlPr locked="0" defaultSize="0" autoFill="0" autoLine="0" autoPict="0" altText="Enable Ch0">
                <anchor moveWithCells="1">
                  <from>
                    <xdr:col>9</xdr:col>
                    <xdr:colOff>12700</xdr:colOff>
                    <xdr:row>5</xdr:row>
                    <xdr:rowOff>146050</xdr:rowOff>
                  </from>
                  <to>
                    <xdr:col>9</xdr:col>
                    <xdr:colOff>552450</xdr:colOff>
                    <xdr:row>6</xdr:row>
                    <xdr:rowOff>114300</xdr:rowOff>
                  </to>
                </anchor>
              </controlPr>
            </control>
          </mc:Choice>
        </mc:AlternateContent>
        <mc:AlternateContent xmlns:mc="http://schemas.openxmlformats.org/markup-compatibility/2006">
          <mc:Choice Requires="x14">
            <control shapeId="88068" r:id="rId7" name="Check Box 4">
              <controlPr locked="0" defaultSize="0" autoFill="0" autoLine="0" autoPict="0" altText="Enable Ch0">
                <anchor moveWithCells="1">
                  <from>
                    <xdr:col>5</xdr:col>
                    <xdr:colOff>12700</xdr:colOff>
                    <xdr:row>5</xdr:row>
                    <xdr:rowOff>146050</xdr:rowOff>
                  </from>
                  <to>
                    <xdr:col>5</xdr:col>
                    <xdr:colOff>552450</xdr:colOff>
                    <xdr:row>6</xdr:row>
                    <xdr:rowOff>107950</xdr:rowOff>
                  </to>
                </anchor>
              </controlPr>
            </control>
          </mc:Choice>
        </mc:AlternateContent>
        <mc:AlternateContent xmlns:mc="http://schemas.openxmlformats.org/markup-compatibility/2006">
          <mc:Choice Requires="x14">
            <control shapeId="88069" r:id="rId8" name="Check Box 5">
              <controlPr locked="0" defaultSize="0" autoFill="0" autoLine="0" autoPict="0" altText="Enable Ch0">
                <anchor moveWithCells="1">
                  <from>
                    <xdr:col>3</xdr:col>
                    <xdr:colOff>31750</xdr:colOff>
                    <xdr:row>6</xdr:row>
                    <xdr:rowOff>152400</xdr:rowOff>
                  </from>
                  <to>
                    <xdr:col>3</xdr:col>
                    <xdr:colOff>774700</xdr:colOff>
                    <xdr:row>8</xdr:row>
                    <xdr:rowOff>19050</xdr:rowOff>
                  </to>
                </anchor>
              </controlPr>
            </control>
          </mc:Choice>
        </mc:AlternateContent>
        <mc:AlternateContent xmlns:mc="http://schemas.openxmlformats.org/markup-compatibility/2006">
          <mc:Choice Requires="x14">
            <control shapeId="88070" r:id="rId9" name="Check Box 6">
              <controlPr locked="0" defaultSize="0" autoFill="0" autoLine="0" autoPict="0" altText="Enable Ch0">
                <anchor moveWithCells="1">
                  <from>
                    <xdr:col>5</xdr:col>
                    <xdr:colOff>19050</xdr:colOff>
                    <xdr:row>7</xdr:row>
                    <xdr:rowOff>12700</xdr:rowOff>
                  </from>
                  <to>
                    <xdr:col>5</xdr:col>
                    <xdr:colOff>755650</xdr:colOff>
                    <xdr:row>7</xdr:row>
                    <xdr:rowOff>146050</xdr:rowOff>
                  </to>
                </anchor>
              </controlPr>
            </control>
          </mc:Choice>
        </mc:AlternateContent>
        <mc:AlternateContent xmlns:mc="http://schemas.openxmlformats.org/markup-compatibility/2006">
          <mc:Choice Requires="x14">
            <control shapeId="88071" r:id="rId10" name="Check Box 7">
              <controlPr locked="0" defaultSize="0" autoFill="0" autoLine="0" autoPict="0" altText="Enable Ch0">
                <anchor moveWithCells="1">
                  <from>
                    <xdr:col>7</xdr:col>
                    <xdr:colOff>19050</xdr:colOff>
                    <xdr:row>6</xdr:row>
                    <xdr:rowOff>146050</xdr:rowOff>
                  </from>
                  <to>
                    <xdr:col>7</xdr:col>
                    <xdr:colOff>781050</xdr:colOff>
                    <xdr:row>8</xdr:row>
                    <xdr:rowOff>0</xdr:rowOff>
                  </to>
                </anchor>
              </controlPr>
            </control>
          </mc:Choice>
        </mc:AlternateContent>
        <mc:AlternateContent xmlns:mc="http://schemas.openxmlformats.org/markup-compatibility/2006">
          <mc:Choice Requires="x14">
            <control shapeId="88072" r:id="rId11" name="Check Box 8">
              <controlPr locked="0" defaultSize="0" autoFill="0" autoLine="0" autoPict="0" altText="Enable Ch0">
                <anchor moveWithCells="1">
                  <from>
                    <xdr:col>9</xdr:col>
                    <xdr:colOff>12700</xdr:colOff>
                    <xdr:row>7</xdr:row>
                    <xdr:rowOff>12700</xdr:rowOff>
                  </from>
                  <to>
                    <xdr:col>9</xdr:col>
                    <xdr:colOff>742950</xdr:colOff>
                    <xdr:row>7</xdr:row>
                    <xdr:rowOff>146050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59999389629810485"/>
  </sheetPr>
  <dimension ref="B4:L269"/>
  <sheetViews>
    <sheetView showGridLines="0" showRowColHeaders="0" tabSelected="1" topLeftCell="A152" zoomScale="130" zoomScaleNormal="130" workbookViewId="0">
      <selection activeCell="D61" sqref="D61"/>
    </sheetView>
  </sheetViews>
  <sheetFormatPr defaultRowHeight="14.5" x14ac:dyDescent="0.35"/>
  <cols>
    <col min="1" max="2" width="5.7265625" customWidth="1"/>
    <col min="3" max="3" width="36.81640625" customWidth="1"/>
    <col min="4" max="4" width="12.54296875" customWidth="1"/>
    <col min="5" max="5" width="8.453125" customWidth="1"/>
    <col min="6" max="6" width="12" bestFit="1" customWidth="1"/>
    <col min="7" max="7" width="12.453125" bestFit="1" customWidth="1"/>
    <col min="8" max="8" width="14.81640625" customWidth="1"/>
    <col min="12" max="12" width="12.1796875" customWidth="1"/>
    <col min="13" max="13" width="10.54296875" customWidth="1"/>
    <col min="14" max="14" width="10" customWidth="1"/>
  </cols>
  <sheetData>
    <row r="4" spans="2:9" ht="18.5" x14ac:dyDescent="0.45">
      <c r="B4" s="3" t="s">
        <v>851</v>
      </c>
      <c r="C4" s="3"/>
      <c r="E4" s="14" t="s">
        <v>198</v>
      </c>
    </row>
    <row r="5" spans="2:9" ht="18.5" x14ac:dyDescent="0.45">
      <c r="B5" s="3"/>
      <c r="C5" s="3"/>
      <c r="E5" s="14"/>
    </row>
    <row r="6" spans="2:9" ht="18.5" x14ac:dyDescent="0.45">
      <c r="B6" s="1"/>
      <c r="C6" s="3"/>
    </row>
    <row r="7" spans="2:9" ht="15.5" x14ac:dyDescent="0.35">
      <c r="B7" s="1"/>
      <c r="C7" s="16" t="s">
        <v>283</v>
      </c>
      <c r="D7" s="307" t="s">
        <v>1672</v>
      </c>
      <c r="F7" s="1"/>
    </row>
    <row r="8" spans="2:9" hidden="1" x14ac:dyDescent="0.35">
      <c r="B8" s="1"/>
      <c r="C8" t="s">
        <v>878</v>
      </c>
      <c r="D8" s="425" t="b">
        <f>IF(RIGHT(D7,1)="2",TRUE,FALSE)</f>
        <v>0</v>
      </c>
    </row>
    <row r="9" spans="2:9" x14ac:dyDescent="0.35">
      <c r="B9" s="1"/>
      <c r="C9" t="s">
        <v>864</v>
      </c>
      <c r="D9" s="426" t="s">
        <v>865</v>
      </c>
      <c r="F9" s="55" t="str">
        <f>IF(AND(D8,NOT(D10)),D7&amp;" does not support this many channels","")</f>
        <v/>
      </c>
    </row>
    <row r="10" spans="2:9" hidden="1" x14ac:dyDescent="0.35">
      <c r="B10" s="1"/>
      <c r="C10" t="s">
        <v>879</v>
      </c>
      <c r="D10" s="425">
        <f>INDEX(I13:I19,MATCH(D9,D13:D19,0))</f>
        <v>1</v>
      </c>
    </row>
    <row r="11" spans="2:9" hidden="1" x14ac:dyDescent="0.35">
      <c r="B11" s="1"/>
      <c r="C11" t="s">
        <v>941</v>
      </c>
      <c r="D11" s="429">
        <f>IF(MID(D7,5,1)="6",1,0)</f>
        <v>1</v>
      </c>
    </row>
    <row r="12" spans="2:9" hidden="1" x14ac:dyDescent="0.35">
      <c r="B12" s="1"/>
      <c r="D12" s="420" t="s">
        <v>872</v>
      </c>
      <c r="E12" s="103" t="s">
        <v>873</v>
      </c>
      <c r="F12" s="103" t="s">
        <v>874</v>
      </c>
      <c r="G12" s="103" t="s">
        <v>875</v>
      </c>
      <c r="H12" s="103" t="s">
        <v>876</v>
      </c>
      <c r="I12" s="103" t="s">
        <v>877</v>
      </c>
    </row>
    <row r="13" spans="2:9" hidden="1" x14ac:dyDescent="0.35">
      <c r="B13" s="1"/>
      <c r="D13" s="420" t="s">
        <v>865</v>
      </c>
      <c r="E13" s="421">
        <v>0</v>
      </c>
      <c r="F13" s="421">
        <v>0</v>
      </c>
      <c r="G13" s="421">
        <v>0</v>
      </c>
      <c r="H13" s="421">
        <v>1</v>
      </c>
      <c r="I13" s="421">
        <v>1</v>
      </c>
    </row>
    <row r="14" spans="2:9" hidden="1" x14ac:dyDescent="0.35">
      <c r="B14" s="1"/>
      <c r="D14" s="420" t="s">
        <v>866</v>
      </c>
      <c r="E14" s="421">
        <v>0</v>
      </c>
      <c r="F14" s="421">
        <v>0</v>
      </c>
      <c r="G14" s="421">
        <v>1</v>
      </c>
      <c r="H14" s="421">
        <v>1</v>
      </c>
      <c r="I14" s="421">
        <v>1</v>
      </c>
    </row>
    <row r="15" spans="2:9" hidden="1" x14ac:dyDescent="0.35">
      <c r="B15" s="1"/>
      <c r="D15" s="420" t="s">
        <v>867</v>
      </c>
      <c r="E15" s="421">
        <v>0</v>
      </c>
      <c r="F15" s="421">
        <v>0</v>
      </c>
      <c r="G15" s="421">
        <v>2</v>
      </c>
      <c r="H15" s="421">
        <v>1</v>
      </c>
      <c r="I15" s="421">
        <v>0</v>
      </c>
    </row>
    <row r="16" spans="2:9" hidden="1" x14ac:dyDescent="0.35">
      <c r="B16" s="1"/>
      <c r="D16" s="420" t="s">
        <v>868</v>
      </c>
      <c r="E16" s="421">
        <v>0</v>
      </c>
      <c r="F16" s="421">
        <v>0</v>
      </c>
      <c r="G16" s="421">
        <v>3</v>
      </c>
      <c r="H16" s="421">
        <v>1</v>
      </c>
      <c r="I16" s="421">
        <v>0</v>
      </c>
    </row>
    <row r="17" spans="2:9" hidden="1" x14ac:dyDescent="0.35">
      <c r="B17" s="1"/>
      <c r="D17" s="420" t="s">
        <v>869</v>
      </c>
      <c r="E17" s="421">
        <v>0</v>
      </c>
      <c r="F17" s="421">
        <v>1</v>
      </c>
      <c r="G17" s="421">
        <v>0</v>
      </c>
      <c r="H17" s="421">
        <v>2</v>
      </c>
      <c r="I17" s="421">
        <v>1</v>
      </c>
    </row>
    <row r="18" spans="2:9" hidden="1" x14ac:dyDescent="0.35">
      <c r="B18" s="1"/>
      <c r="D18" s="420" t="s">
        <v>870</v>
      </c>
      <c r="E18" s="421">
        <v>1</v>
      </c>
      <c r="F18" s="421">
        <v>1</v>
      </c>
      <c r="G18" s="421">
        <v>0</v>
      </c>
      <c r="H18" s="421">
        <v>3</v>
      </c>
      <c r="I18" s="421">
        <v>0</v>
      </c>
    </row>
    <row r="19" spans="2:9" hidden="1" x14ac:dyDescent="0.35">
      <c r="B19" s="1"/>
      <c r="D19" s="420" t="s">
        <v>871</v>
      </c>
      <c r="E19" s="421">
        <v>2</v>
      </c>
      <c r="F19" s="421">
        <v>1</v>
      </c>
      <c r="G19" s="421">
        <v>0</v>
      </c>
      <c r="H19" s="421">
        <v>4</v>
      </c>
      <c r="I19" s="421">
        <v>0</v>
      </c>
    </row>
    <row r="20" spans="2:9" hidden="1" x14ac:dyDescent="0.35">
      <c r="B20" s="1"/>
      <c r="D20" s="427" t="s">
        <v>768</v>
      </c>
      <c r="E20" s="428" t="s">
        <v>949</v>
      </c>
    </row>
    <row r="21" spans="2:9" hidden="1" x14ac:dyDescent="0.35">
      <c r="B21" s="1"/>
      <c r="C21" s="5" t="s">
        <v>880</v>
      </c>
      <c r="D21" s="423">
        <f>INDEX(H13:H19,MATCH(D9,D13:D19,0))</f>
        <v>1</v>
      </c>
      <c r="E21" s="5"/>
    </row>
    <row r="22" spans="2:9" hidden="1" x14ac:dyDescent="0.35">
      <c r="B22" s="1"/>
      <c r="C22" s="5" t="s">
        <v>881</v>
      </c>
      <c r="D22" s="361">
        <f>INDEX(E13:E19,MATCH(D9,D13:D19,0))</f>
        <v>0</v>
      </c>
      <c r="E22" s="361">
        <v>13</v>
      </c>
    </row>
    <row r="23" spans="2:9" hidden="1" x14ac:dyDescent="0.35">
      <c r="B23" s="1"/>
      <c r="C23" s="5" t="s">
        <v>882</v>
      </c>
      <c r="D23" s="424">
        <f>INDEX(F13:F19,MATCH(D9,D13:D19,0))</f>
        <v>0</v>
      </c>
      <c r="E23" s="361">
        <v>15</v>
      </c>
    </row>
    <row r="24" spans="2:9" hidden="1" x14ac:dyDescent="0.35">
      <c r="B24" s="1"/>
      <c r="C24" s="5" t="s">
        <v>875</v>
      </c>
      <c r="D24" s="424">
        <f>INDEX(G13:G19,MATCH(D9,D13:D19,0))</f>
        <v>0</v>
      </c>
      <c r="E24" s="361">
        <v>14</v>
      </c>
    </row>
    <row r="25" spans="2:9" hidden="1" x14ac:dyDescent="0.35">
      <c r="B25" s="1"/>
      <c r="C25" s="5" t="s">
        <v>925</v>
      </c>
      <c r="D25" s="424">
        <v>1</v>
      </c>
      <c r="E25" s="361">
        <v>10</v>
      </c>
    </row>
    <row r="26" spans="2:9" hidden="1" x14ac:dyDescent="0.35">
      <c r="B26" s="1"/>
      <c r="C26" s="5" t="s">
        <v>926</v>
      </c>
      <c r="D26" s="424">
        <v>1</v>
      </c>
      <c r="E26" s="361">
        <v>12</v>
      </c>
    </row>
    <row r="27" spans="2:9" hidden="1" x14ac:dyDescent="0.35">
      <c r="B27" s="1"/>
      <c r="C27" s="5" t="s">
        <v>924</v>
      </c>
      <c r="D27" s="424">
        <f>IF(D32="Internal",0,1)</f>
        <v>0</v>
      </c>
      <c r="E27" s="361">
        <v>9</v>
      </c>
    </row>
    <row r="28" spans="2:9" hidden="1" x14ac:dyDescent="0.35">
      <c r="B28" s="1"/>
      <c r="C28" s="5" t="s">
        <v>927</v>
      </c>
      <c r="D28" s="424">
        <v>0</v>
      </c>
      <c r="E28" s="361">
        <v>7</v>
      </c>
    </row>
    <row r="29" spans="2:9" hidden="1" x14ac:dyDescent="0.35">
      <c r="B29" s="1"/>
      <c r="C29" s="5" t="s">
        <v>928</v>
      </c>
      <c r="D29" s="424">
        <f>IF(AND(D9=D13,D87&gt;32),1,0)</f>
        <v>0</v>
      </c>
      <c r="E29" s="361">
        <v>6</v>
      </c>
    </row>
    <row r="30" spans="2:9" hidden="1" x14ac:dyDescent="0.35">
      <c r="B30" s="1"/>
      <c r="C30" s="5" t="s">
        <v>921</v>
      </c>
      <c r="D30" s="422">
        <f>D24*(2^E24)+D25*(2^E25)+D26*(2^E26)+D27*(2^E27)+D28*(2^E28)+D29*(2^E29)</f>
        <v>5120</v>
      </c>
      <c r="E30" s="5"/>
    </row>
    <row r="31" spans="2:9" x14ac:dyDescent="0.35">
      <c r="B31" s="1"/>
      <c r="H31" s="55"/>
    </row>
    <row r="32" spans="2:9" x14ac:dyDescent="0.35">
      <c r="B32" s="1"/>
      <c r="C32" t="s">
        <v>922</v>
      </c>
      <c r="D32" s="380" t="s">
        <v>1673</v>
      </c>
      <c r="F32" s="1" t="str">
        <f>IF(MID(D7,5,1)="6",IF(D32="Internal","External Recommended for LDC161x applications",""),"")</f>
        <v>External Recommended for LDC161x applications</v>
      </c>
    </row>
    <row r="33" spans="2:7" x14ac:dyDescent="0.35">
      <c r="B33" s="1"/>
      <c r="C33" t="s">
        <v>923</v>
      </c>
      <c r="D33" s="334">
        <v>40</v>
      </c>
      <c r="E33" s="5" t="s">
        <v>0</v>
      </c>
      <c r="F33" s="5"/>
    </row>
    <row r="34" spans="2:7" x14ac:dyDescent="0.35">
      <c r="B34" s="1"/>
      <c r="C34" t="s">
        <v>1026</v>
      </c>
      <c r="D34" s="124">
        <v>40</v>
      </c>
      <c r="E34" s="5" t="s">
        <v>0</v>
      </c>
      <c r="F34" s="55" t="str">
        <f>IF(AND(D34&gt;D33,D32="External"),"Reference Frequency Exceeds Maximum allowed","")</f>
        <v/>
      </c>
    </row>
    <row r="35" spans="2:7" ht="16.5" x14ac:dyDescent="0.45">
      <c r="B35" s="1"/>
      <c r="C35" t="s">
        <v>1030</v>
      </c>
      <c r="D35" s="130">
        <f>CEILING(D34/D37,1)</f>
        <v>2</v>
      </c>
      <c r="E35" s="6"/>
      <c r="F35" s="55"/>
    </row>
    <row r="36" spans="2:7" hidden="1" x14ac:dyDescent="0.35">
      <c r="B36" s="1"/>
      <c r="C36" t="s">
        <v>1028</v>
      </c>
      <c r="D36" s="279">
        <f>IF(D32="External",D35,1)</f>
        <v>1</v>
      </c>
      <c r="E36" s="6" t="s">
        <v>1029</v>
      </c>
      <c r="F36" s="55"/>
    </row>
    <row r="37" spans="2:7" x14ac:dyDescent="0.35">
      <c r="B37" s="1"/>
      <c r="C37" t="s">
        <v>1027</v>
      </c>
      <c r="D37" s="467">
        <f>IF(D21=1,35,40)</f>
        <v>35</v>
      </c>
      <c r="E37" s="5" t="s">
        <v>0</v>
      </c>
      <c r="F37" s="5" t="str">
        <f>IF(D21=1,"Reduced to 35MHz for single channel mode","")</f>
        <v>Reduced to 35MHz for single channel mode</v>
      </c>
    </row>
    <row r="38" spans="2:7" x14ac:dyDescent="0.35">
      <c r="B38" s="1"/>
      <c r="C38" t="s">
        <v>1033</v>
      </c>
      <c r="D38" s="466">
        <f>IF(D32="External",D34/D36,40)</f>
        <v>40</v>
      </c>
      <c r="E38" s="5" t="s">
        <v>0</v>
      </c>
      <c r="F38" s="55"/>
    </row>
    <row r="39" spans="2:7" ht="15.5" x14ac:dyDescent="0.35">
      <c r="B39" s="1"/>
      <c r="D39" s="400"/>
      <c r="E39" s="6"/>
    </row>
    <row r="40" spans="2:7" ht="15.5" x14ac:dyDescent="0.35">
      <c r="C40" s="16" t="s">
        <v>1057</v>
      </c>
      <c r="D40" s="400"/>
      <c r="E40" s="5"/>
    </row>
    <row r="41" spans="2:7" hidden="1" x14ac:dyDescent="0.35">
      <c r="C41" s="5" t="s">
        <v>1043</v>
      </c>
      <c r="D41" s="470" t="b">
        <f>OR((Spiral_Inductor_Designer!D20=Spiral_Inductor_Designer!B248),(Spiral_Inductor_Designer!D20=Spiral_Inductor_Designer!B247))</f>
        <v>1</v>
      </c>
      <c r="E41" s="5"/>
    </row>
    <row r="42" spans="2:7" hidden="1" x14ac:dyDescent="0.35">
      <c r="C42" s="5" t="s">
        <v>1044</v>
      </c>
      <c r="D42" s="468" t="b">
        <v>1</v>
      </c>
      <c r="E42" s="5"/>
    </row>
    <row r="43" spans="2:7" ht="15.5" x14ac:dyDescent="0.35">
      <c r="B43" s="1"/>
      <c r="C43" t="s">
        <v>278</v>
      </c>
      <c r="D43" s="207">
        <v>292</v>
      </c>
      <c r="E43" s="71" t="s">
        <v>96</v>
      </c>
      <c r="G43" s="14" t="s">
        <v>704</v>
      </c>
    </row>
    <row r="44" spans="2:7" ht="15.5" x14ac:dyDescent="0.35">
      <c r="B44" s="1"/>
      <c r="C44" t="s">
        <v>264</v>
      </c>
      <c r="D44" s="207">
        <v>330</v>
      </c>
      <c r="E44" s="69" t="s">
        <v>27</v>
      </c>
      <c r="F44" s="55" t="str">
        <f>IF(AND(NOT(D41),D42), "Spiral Inductor Designer is not set to LDC1612/4 or LDC1312/4","")</f>
        <v/>
      </c>
    </row>
    <row r="45" spans="2:7" hidden="1" x14ac:dyDescent="0.35">
      <c r="B45" s="1"/>
      <c r="C45" s="5" t="s">
        <v>1035</v>
      </c>
      <c r="D45" s="469">
        <f>IF(D42,Spiral_Inductor_Designer!D195,D43)</f>
        <v>6.6396517277919145</v>
      </c>
      <c r="E45" s="71" t="s">
        <v>96</v>
      </c>
      <c r="F45" s="5" t="s">
        <v>1041</v>
      </c>
    </row>
    <row r="46" spans="2:7" hidden="1" x14ac:dyDescent="0.35">
      <c r="B46" s="1"/>
      <c r="C46" s="5" t="s">
        <v>1036</v>
      </c>
      <c r="D46" s="469">
        <f>IF(D42,Spiral_Inductor_Designer!D22,D44)</f>
        <v>330</v>
      </c>
      <c r="E46" s="69" t="s">
        <v>27</v>
      </c>
      <c r="F46" s="5" t="s">
        <v>1041</v>
      </c>
    </row>
    <row r="47" spans="2:7" hidden="1" x14ac:dyDescent="0.35">
      <c r="B47" s="1"/>
      <c r="C47" s="412" t="s">
        <v>933</v>
      </c>
      <c r="D47" s="413">
        <v>1E-3</v>
      </c>
      <c r="E47" s="412" t="s">
        <v>0</v>
      </c>
    </row>
    <row r="48" spans="2:7" hidden="1" x14ac:dyDescent="0.35">
      <c r="B48" s="1"/>
      <c r="C48" s="412" t="s">
        <v>934</v>
      </c>
      <c r="D48" s="414">
        <v>10</v>
      </c>
      <c r="E48" s="412" t="s">
        <v>0</v>
      </c>
    </row>
    <row r="49" spans="2:8" ht="15.5" x14ac:dyDescent="0.35">
      <c r="B49" s="1"/>
      <c r="C49" t="s">
        <v>940</v>
      </c>
      <c r="D49" s="43">
        <f>1000/(2*PI()*SQRT(D46*D45))</f>
        <v>3.4000907743468245</v>
      </c>
      <c r="E49" s="69" t="s">
        <v>0</v>
      </c>
      <c r="F49" s="55" t="str">
        <f>IF(D49&lt;D47,"Below minimum of "&amp;D47&amp;"MHz, reduce C or L",IF(D49&gt;D48,"Exceeds maximum of "&amp;D48&amp;"MHz, increase L or C",""))</f>
        <v/>
      </c>
    </row>
    <row r="50" spans="2:8" ht="15.5" x14ac:dyDescent="0.35">
      <c r="B50" s="1"/>
      <c r="C50" s="203" t="s">
        <v>242</v>
      </c>
      <c r="D50" s="206">
        <v>3.5</v>
      </c>
      <c r="E50" s="5" t="str">
        <f>IF(C50="Sensor Q","","kΩ")</f>
        <v>kΩ</v>
      </c>
      <c r="F50" t="s">
        <v>955</v>
      </c>
    </row>
    <row r="51" spans="2:8" ht="15.5" x14ac:dyDescent="0.35">
      <c r="B51" s="1"/>
      <c r="C51" s="46" t="str">
        <f>IF(C50="Sensor Q","Sensor RP","Sensor Q")</f>
        <v>Sensor Q</v>
      </c>
      <c r="D51" s="77">
        <f>IF(C51="Sensor Q",D50*SQRT(D46/D45),D50*SQRT(D46/D44))</f>
        <v>24.674727457903018</v>
      </c>
      <c r="E51" s="5" t="str">
        <f>IF(C51="Sensor Q","","kΩ")</f>
        <v/>
      </c>
    </row>
    <row r="52" spans="2:8" hidden="1" x14ac:dyDescent="0.35">
      <c r="B52" s="1"/>
      <c r="C52" s="69" t="s">
        <v>1037</v>
      </c>
      <c r="D52" s="447">
        <f>IF(C51="Sensor RP",D51,D50)</f>
        <v>3.5</v>
      </c>
      <c r="E52" s="5" t="s">
        <v>243</v>
      </c>
      <c r="F52" s="5" t="s">
        <v>1048</v>
      </c>
    </row>
    <row r="53" spans="2:8" hidden="1" x14ac:dyDescent="0.35">
      <c r="B53" s="1"/>
      <c r="C53" s="69" t="s">
        <v>1038</v>
      </c>
      <c r="D53" s="447">
        <f>IF(C51="Sensor Q",D51,D50)</f>
        <v>24.674727457903018</v>
      </c>
      <c r="F53" s="5" t="s">
        <v>1048</v>
      </c>
    </row>
    <row r="54" spans="2:8" hidden="1" x14ac:dyDescent="0.35">
      <c r="B54" s="1"/>
      <c r="C54" s="69" t="s">
        <v>1039</v>
      </c>
      <c r="D54" s="447">
        <f>IF(D42,Spiral_Inductor_Designer!D203,D52)</f>
        <v>4.1365483362189677</v>
      </c>
      <c r="E54" s="5" t="s">
        <v>243</v>
      </c>
      <c r="F54" s="5" t="s">
        <v>1041</v>
      </c>
    </row>
    <row r="55" spans="2:8" hidden="1" x14ac:dyDescent="0.35">
      <c r="B55" s="1"/>
      <c r="C55" s="69" t="s">
        <v>1040</v>
      </c>
      <c r="D55" s="447">
        <f>IF(D42,Spiral_Inductor_Designer!D204,D53)</f>
        <v>28.987192865293505</v>
      </c>
      <c r="F55" s="5" t="s">
        <v>1041</v>
      </c>
    </row>
    <row r="56" spans="2:8" ht="15.5" x14ac:dyDescent="0.35">
      <c r="B56" s="1"/>
      <c r="C56" s="46" t="s">
        <v>403</v>
      </c>
      <c r="D56" s="207">
        <v>14</v>
      </c>
      <c r="E56" t="s">
        <v>34</v>
      </c>
    </row>
    <row r="57" spans="2:8" hidden="1" x14ac:dyDescent="0.35">
      <c r="B57" s="1"/>
      <c r="C57" s="69" t="s">
        <v>1045</v>
      </c>
      <c r="D57" s="472">
        <f>IF(D42,Spiral_Inductor_Designer!D27,D56)</f>
        <v>20</v>
      </c>
      <c r="E57" s="5" t="s">
        <v>34</v>
      </c>
      <c r="F57" s="5" t="s">
        <v>1041</v>
      </c>
    </row>
    <row r="58" spans="2:8" ht="15.5" x14ac:dyDescent="0.35">
      <c r="B58" s="1"/>
      <c r="C58" s="46"/>
      <c r="D58" s="455"/>
    </row>
    <row r="59" spans="2:8" ht="15.5" x14ac:dyDescent="0.35">
      <c r="B59" s="1"/>
      <c r="C59" s="16" t="s">
        <v>1034</v>
      </c>
      <c r="D59" s="455"/>
    </row>
    <row r="60" spans="2:8" ht="15.5" x14ac:dyDescent="0.35">
      <c r="B60" s="1"/>
      <c r="C60" s="46" t="s">
        <v>974</v>
      </c>
      <c r="D60" s="207">
        <v>2.1</v>
      </c>
      <c r="E60" t="s">
        <v>34</v>
      </c>
      <c r="F60" s="644" t="str">
        <f>("Assumes Aluminum target at least "&amp;TEXT(3*MAX(D65,D71),"0.000")&amp; "mm thick")</f>
        <v>Assumes Aluminum target at least 0.120mm thick</v>
      </c>
      <c r="G60" s="645"/>
      <c r="H60" s="645"/>
    </row>
    <row r="61" spans="2:8" ht="15.5" x14ac:dyDescent="0.35">
      <c r="B61" s="1"/>
      <c r="C61" s="46" t="s">
        <v>433</v>
      </c>
      <c r="D61" s="207">
        <v>1.8</v>
      </c>
      <c r="E61" t="s">
        <v>34</v>
      </c>
      <c r="F61" s="646"/>
      <c r="G61" s="645"/>
      <c r="H61" s="645"/>
    </row>
    <row r="62" spans="2:8" ht="15.5" hidden="1" x14ac:dyDescent="0.35">
      <c r="B62" s="1"/>
      <c r="C62" s="46" t="s">
        <v>860</v>
      </c>
      <c r="D62" s="121">
        <f>D60/D57</f>
        <v>0.10500000000000001</v>
      </c>
    </row>
    <row r="63" spans="2:8" ht="15.5" hidden="1" x14ac:dyDescent="0.35">
      <c r="B63" s="1"/>
      <c r="C63" s="46" t="s">
        <v>861</v>
      </c>
      <c r="D63" s="406">
        <f>(0.00406832344757895+15.5588911/(1+(D57/0.0358077078721068)^0.865185989584669))+(0.973523646945684-1.1322846019223/(1+(D57/1.1356393338887)^1.06847511981245))*(1-EXP(-(10.3324121181807-56.0213701830392/(1+(D57/0.0139455036722347)^0.572123422421793))*D62))</f>
        <v>0.65070786121906299</v>
      </c>
    </row>
    <row r="64" spans="2:8" ht="16.5" x14ac:dyDescent="0.45">
      <c r="B64" s="1"/>
      <c r="C64" s="46" t="s">
        <v>987</v>
      </c>
      <c r="D64" s="411">
        <f>1000/(2*PI()*SQRT(D63*D46*D45))</f>
        <v>4.2149990888854942</v>
      </c>
      <c r="E64" t="s">
        <v>0</v>
      </c>
      <c r="F64" s="55" t="str">
        <f>IF(D64&lt;D47,"Below minimum of "&amp;D47&amp;"MHz, reduce C or L",IF(D64&gt;D48,"Exceeds maximum of "&amp;D48&amp;"MHz, increase L or C",""))</f>
        <v/>
      </c>
    </row>
    <row r="65" spans="2:6" ht="15.5" hidden="1" x14ac:dyDescent="0.35">
      <c r="B65" s="1"/>
      <c r="C65" s="46" t="s">
        <v>937</v>
      </c>
      <c r="D65" s="406">
        <f>0.0819/SQRT(D64)</f>
        <v>3.9891940188872883E-2</v>
      </c>
      <c r="E65" t="s">
        <v>34</v>
      </c>
      <c r="F65" s="55"/>
    </row>
    <row r="66" spans="2:6" ht="16.5" hidden="1" x14ac:dyDescent="0.45">
      <c r="B66" s="1"/>
      <c r="C66" s="46" t="s">
        <v>936</v>
      </c>
      <c r="D66" s="406">
        <f>D63*D54</f>
        <v>2.6916845206903179</v>
      </c>
      <c r="E66" t="s">
        <v>243</v>
      </c>
      <c r="F66" s="69" t="s">
        <v>1049</v>
      </c>
    </row>
    <row r="67" spans="2:6" ht="15.5" hidden="1" x14ac:dyDescent="0.35">
      <c r="B67" s="1"/>
      <c r="C67" s="46" t="s">
        <v>862</v>
      </c>
      <c r="D67" s="121">
        <f>D61/D57</f>
        <v>0.09</v>
      </c>
    </row>
    <row r="68" spans="2:6" ht="15.5" hidden="1" x14ac:dyDescent="0.35">
      <c r="B68" s="1"/>
      <c r="C68" s="46" t="s">
        <v>863</v>
      </c>
      <c r="D68" s="404">
        <f>(0.00406832344757895+15.5588911/(1+(D57/0.0358077078721068)^0.865185989584669))+(0.973523646945684-1.1322846019223/(1+(D57/1.1356393338887)^1.06847511981245))*(1-EXP(-(10.3324121181807-56.0213701830392/(1+(D57/0.0139455036722347)^0.572123422421793))*D67))</f>
        <v>0.59858389437448123</v>
      </c>
    </row>
    <row r="69" spans="2:6" ht="16.5" x14ac:dyDescent="0.45">
      <c r="B69" s="1"/>
      <c r="C69" s="46" t="s">
        <v>988</v>
      </c>
      <c r="D69" s="411">
        <f>1000/(2*PI()*SQRT(D68*D46*D45))</f>
        <v>4.3946874966058838</v>
      </c>
      <c r="E69" t="s">
        <v>0</v>
      </c>
      <c r="F69" s="55" t="str">
        <f>IF(D69&lt;D47,"Below minimum of "&amp;D47&amp;"MHz, reduce C or L",IF(D69&gt;D48,"Exceeds maximum of "&amp;D48&amp;"MHz, increase L or C",""))</f>
        <v/>
      </c>
    </row>
    <row r="70" spans="2:6" ht="15.5" x14ac:dyDescent="0.35">
      <c r="B70" s="1"/>
      <c r="C70" s="46" t="s">
        <v>965</v>
      </c>
      <c r="D70" s="436">
        <f>ABS(D69-D64)*1000</f>
        <v>179.68840772038953</v>
      </c>
      <c r="E70" t="s">
        <v>72</v>
      </c>
      <c r="F70" s="55"/>
    </row>
    <row r="71" spans="2:6" ht="15.5" hidden="1" x14ac:dyDescent="0.35">
      <c r="B71" s="1"/>
      <c r="C71" s="46" t="s">
        <v>938</v>
      </c>
      <c r="D71" s="406">
        <f>0.0819/SQRT(D69)</f>
        <v>3.9067885183955632E-2</v>
      </c>
      <c r="E71" t="s">
        <v>34</v>
      </c>
      <c r="F71" s="55"/>
    </row>
    <row r="72" spans="2:6" ht="16.5" hidden="1" x14ac:dyDescent="0.45">
      <c r="B72" s="1"/>
      <c r="C72" s="46" t="s">
        <v>935</v>
      </c>
      <c r="D72" s="406">
        <f>D68*D54</f>
        <v>2.4760712123622306</v>
      </c>
      <c r="E72" t="s">
        <v>243</v>
      </c>
      <c r="F72" s="69" t="s">
        <v>1049</v>
      </c>
    </row>
    <row r="73" spans="2:6" ht="15.5" hidden="1" x14ac:dyDescent="0.35">
      <c r="B73" s="1"/>
      <c r="C73" s="46"/>
      <c r="D73" s="404"/>
      <c r="F73" s="69"/>
    </row>
    <row r="74" spans="2:6" hidden="1" x14ac:dyDescent="0.35">
      <c r="B74" s="1"/>
      <c r="C74" t="s">
        <v>206</v>
      </c>
      <c r="D74" s="123">
        <v>0.7</v>
      </c>
      <c r="E74" t="s">
        <v>16</v>
      </c>
      <c r="F74" s="69"/>
    </row>
    <row r="75" spans="2:6" hidden="1" x14ac:dyDescent="0.35">
      <c r="B75" s="1"/>
      <c r="C75" s="2"/>
      <c r="D75" s="271">
        <v>299790000</v>
      </c>
      <c r="E75" s="2"/>
      <c r="F75" s="69"/>
    </row>
    <row r="76" spans="2:6" hidden="1" x14ac:dyDescent="0.35">
      <c r="B76" s="1"/>
      <c r="C76" t="s">
        <v>207</v>
      </c>
      <c r="D76" s="92">
        <f>MAX(D69,D64,D49)</f>
        <v>4.3946874966058838</v>
      </c>
      <c r="E76" t="s">
        <v>0</v>
      </c>
      <c r="F76" s="69"/>
    </row>
    <row r="77" spans="2:6" hidden="1" x14ac:dyDescent="0.35">
      <c r="B77" s="1"/>
      <c r="C77" s="2"/>
      <c r="D77" s="61">
        <v>6</v>
      </c>
      <c r="E77" s="101"/>
      <c r="F77" s="69"/>
    </row>
    <row r="78" spans="2:6" hidden="1" x14ac:dyDescent="0.35">
      <c r="B78" s="1"/>
      <c r="C78" s="2"/>
      <c r="D78" s="61">
        <v>14</v>
      </c>
      <c r="E78" s="101"/>
      <c r="F78" s="69"/>
    </row>
    <row r="79" spans="2:6" hidden="1" x14ac:dyDescent="0.35">
      <c r="B79" s="1"/>
      <c r="C79" s="2"/>
      <c r="D79" s="61">
        <f>D78/360/(D76*1000000)</f>
        <v>8.8490680893518964E-9</v>
      </c>
      <c r="E79" s="101"/>
      <c r="F79" s="69"/>
    </row>
    <row r="80" spans="2:6" hidden="1" x14ac:dyDescent="0.35">
      <c r="B80" s="1"/>
      <c r="C80" s="2"/>
      <c r="D80" s="61">
        <f>(D79-(D77*0.000000001))/2</f>
        <v>1.4245340446759478E-9</v>
      </c>
      <c r="E80" s="2"/>
      <c r="F80" s="69"/>
    </row>
    <row r="81" spans="2:12" ht="15.5" x14ac:dyDescent="0.35">
      <c r="B81" s="1"/>
      <c r="C81" t="s">
        <v>959</v>
      </c>
      <c r="D81" s="435">
        <f>MAX(50*D80*D74*D75,1)</f>
        <v>14.947137143869083</v>
      </c>
      <c r="E81" t="s">
        <v>3</v>
      </c>
      <c r="F81" s="69" t="s">
        <v>960</v>
      </c>
    </row>
    <row r="82" spans="2:12" ht="15.5" x14ac:dyDescent="0.35">
      <c r="B82" s="1"/>
      <c r="C82" s="46"/>
      <c r="D82" s="403"/>
    </row>
    <row r="83" spans="2:12" ht="15.5" x14ac:dyDescent="0.35">
      <c r="B83" s="1"/>
      <c r="C83" s="84" t="s">
        <v>853</v>
      </c>
      <c r="D83" s="402"/>
      <c r="E83" s="5"/>
    </row>
    <row r="84" spans="2:12" ht="15.5" hidden="1" x14ac:dyDescent="0.35">
      <c r="B84" s="1"/>
      <c r="C84" s="46" t="s">
        <v>854</v>
      </c>
      <c r="D84" s="204">
        <v>1.8</v>
      </c>
      <c r="E84" s="5" t="s">
        <v>376</v>
      </c>
      <c r="F84" t="s">
        <v>1050</v>
      </c>
    </row>
    <row r="85" spans="2:12" ht="15.5" hidden="1" x14ac:dyDescent="0.35">
      <c r="B85" s="1"/>
      <c r="C85" s="46" t="s">
        <v>932</v>
      </c>
      <c r="D85" s="204">
        <v>0.5</v>
      </c>
      <c r="E85" s="5" t="s">
        <v>376</v>
      </c>
    </row>
    <row r="86" spans="2:12" ht="15.5" hidden="1" x14ac:dyDescent="0.35">
      <c r="B86" s="1"/>
      <c r="C86" s="374" t="s">
        <v>855</v>
      </c>
      <c r="D86" s="409">
        <f>D84*PI()/(4*D54)</f>
        <v>0.34176240169542454</v>
      </c>
      <c r="E86" s="15" t="s">
        <v>244</v>
      </c>
      <c r="F86" t="s">
        <v>859</v>
      </c>
    </row>
    <row r="87" spans="2:12" ht="15.5" hidden="1" x14ac:dyDescent="0.35">
      <c r="B87" s="1"/>
      <c r="C87" s="374" t="s">
        <v>857</v>
      </c>
      <c r="D87" s="410">
        <f>LOG(D86*200/PI())/LOG(1.160155)</f>
        <v>20.732904591031495</v>
      </c>
      <c r="E87" s="15"/>
    </row>
    <row r="88" spans="2:12" ht="15.5" x14ac:dyDescent="0.35">
      <c r="B88" s="1"/>
      <c r="C88" s="374" t="s">
        <v>856</v>
      </c>
      <c r="D88" s="407">
        <f>IF(D87&lt;0,0,IF(D87&gt;31,31,ROUND(D87,0)))</f>
        <v>21</v>
      </c>
      <c r="E88" s="15"/>
      <c r="F88" t="str">
        <f>IF(D87&gt;31,"Consider using HIGH_CURRENT_DRV for a single channel","")</f>
        <v/>
      </c>
    </row>
    <row r="89" spans="2:12" ht="15.5" hidden="1" x14ac:dyDescent="0.35">
      <c r="B89" s="1"/>
      <c r="C89" t="s">
        <v>245</v>
      </c>
      <c r="D89" s="408">
        <f>PI()*(1.160155^D88)/200</f>
        <v>0.35559546582835971</v>
      </c>
      <c r="E89" t="s">
        <v>244</v>
      </c>
      <c r="F89" t="s">
        <v>1051</v>
      </c>
    </row>
    <row r="90" spans="2:12" ht="15.5" x14ac:dyDescent="0.35">
      <c r="B90" s="1"/>
      <c r="C90" s="374" t="s">
        <v>939</v>
      </c>
      <c r="D90" s="77">
        <f>4*MIN(D54,D66,D72)*D89/PI()</f>
        <v>1.1210615675180473</v>
      </c>
      <c r="E90" s="15" t="s">
        <v>377</v>
      </c>
      <c r="F90" s="55" t="str">
        <f>IF(D90&lt;D85,"Low sensor amplitude; increase Rp or decrease sensor C","")</f>
        <v/>
      </c>
    </row>
    <row r="91" spans="2:12" ht="15.5" hidden="1" x14ac:dyDescent="0.35">
      <c r="B91" s="1"/>
      <c r="C91" s="374" t="s">
        <v>858</v>
      </c>
      <c r="D91" s="121">
        <f>MAX(D69,D64,D49)</f>
        <v>4.3946874966058838</v>
      </c>
      <c r="E91" s="15" t="s">
        <v>0</v>
      </c>
    </row>
    <row r="92" spans="2:12" ht="15.5" x14ac:dyDescent="0.35">
      <c r="B92" s="1"/>
      <c r="C92" s="374" t="s">
        <v>930</v>
      </c>
      <c r="D92" s="430">
        <f>IF(D91&lt;1,1,IF(D91&lt;3.3,3.3,IF(D91&lt;10,10,33)))</f>
        <v>10</v>
      </c>
      <c r="E92" s="15" t="s">
        <v>0</v>
      </c>
    </row>
    <row r="93" spans="2:12" ht="15.5" hidden="1" x14ac:dyDescent="0.35">
      <c r="B93" s="1"/>
      <c r="C93" s="374" t="s">
        <v>979</v>
      </c>
      <c r="D93" s="438">
        <f>IF(D91&lt;1,1,IF(D91&lt;3.3,4,IF(D91&lt;10,5,6)))</f>
        <v>5</v>
      </c>
      <c r="E93" s="15"/>
    </row>
    <row r="94" spans="2:12" ht="15.5" x14ac:dyDescent="0.35">
      <c r="B94" s="1"/>
      <c r="C94" s="46"/>
      <c r="D94" s="403"/>
    </row>
    <row r="95" spans="2:12" ht="15.5" x14ac:dyDescent="0.35">
      <c r="B95" s="1"/>
      <c r="C95" s="84" t="s">
        <v>1097</v>
      </c>
      <c r="D95" s="403"/>
    </row>
    <row r="96" spans="2:12" ht="15.5" x14ac:dyDescent="0.35">
      <c r="B96" s="1"/>
      <c r="C96" s="46" t="s">
        <v>975</v>
      </c>
      <c r="D96" s="207">
        <v>0.01</v>
      </c>
      <c r="E96" s="35" t="s">
        <v>114</v>
      </c>
      <c r="F96" s="55" t="str">
        <f>IF(D135&gt;65536,"Resolution not achieved; increase target movement range or reduce resolution",IF(AND(NOT(D11),(D132&lt;D133)),"This resolution exceeds LDC131x capabilities",""))</f>
        <v/>
      </c>
      <c r="G96" s="55"/>
      <c r="L96" s="416"/>
    </row>
    <row r="97" spans="2:12" hidden="1" x14ac:dyDescent="0.35">
      <c r="B97" s="1"/>
      <c r="F97" s="55"/>
      <c r="G97" s="55"/>
      <c r="L97" s="416"/>
    </row>
    <row r="98" spans="2:12" hidden="1" x14ac:dyDescent="0.35">
      <c r="B98" s="1"/>
      <c r="C98" s="69" t="s">
        <v>977</v>
      </c>
      <c r="D98" s="448">
        <f>IF(E96="steps",D96,IF(E96="bits",2^D96,ABS(D60-D61)/(0.0005*D96)))</f>
        <v>60000.000000000007</v>
      </c>
      <c r="F98" s="55"/>
      <c r="G98" s="55"/>
      <c r="L98" s="416"/>
    </row>
    <row r="99" spans="2:12" hidden="1" x14ac:dyDescent="0.35">
      <c r="B99" s="1"/>
      <c r="C99" s="69" t="s">
        <v>978</v>
      </c>
      <c r="D99" s="449">
        <f>2000*ABS(D60-D61)/D98</f>
        <v>0.01</v>
      </c>
      <c r="E99" s="71" t="s">
        <v>114</v>
      </c>
      <c r="F99" s="55"/>
      <c r="G99" s="55"/>
    </row>
    <row r="100" spans="2:12" hidden="1" x14ac:dyDescent="0.35">
      <c r="B100" s="1"/>
      <c r="C100" s="69" t="s">
        <v>210</v>
      </c>
      <c r="D100" s="450">
        <f>D21</f>
        <v>1</v>
      </c>
      <c r="L100" s="416"/>
    </row>
    <row r="101" spans="2:12" hidden="1" x14ac:dyDescent="0.35">
      <c r="B101" s="1"/>
      <c r="C101" s="69" t="s">
        <v>252</v>
      </c>
      <c r="D101" s="447">
        <f>D55*D38/D49</f>
        <v>341.01669383650022</v>
      </c>
      <c r="L101" s="416"/>
    </row>
    <row r="102" spans="2:12" ht="15.5" x14ac:dyDescent="0.35">
      <c r="B102" s="1"/>
      <c r="C102" s="46" t="s">
        <v>852</v>
      </c>
      <c r="D102" s="415">
        <f>16*CEILING(D101/16,1)</f>
        <v>352</v>
      </c>
      <c r="E102" s="82"/>
    </row>
    <row r="103" spans="2:12" hidden="1" x14ac:dyDescent="0.35">
      <c r="B103" s="1"/>
      <c r="C103" s="69" t="s">
        <v>382</v>
      </c>
      <c r="D103" s="442" t="str">
        <f>"0x"&amp;(DEC2HEX(D102/16,4))</f>
        <v>0x0016</v>
      </c>
      <c r="E103" s="95"/>
    </row>
    <row r="104" spans="2:12" x14ac:dyDescent="0.35">
      <c r="B104" s="1"/>
      <c r="C104" s="69"/>
      <c r="D104" s="443"/>
      <c r="E104" s="95"/>
    </row>
    <row r="105" spans="2:12" ht="15.5" x14ac:dyDescent="0.35">
      <c r="B105" s="1"/>
      <c r="C105" s="440" t="s">
        <v>983</v>
      </c>
      <c r="D105" s="455"/>
      <c r="E105" s="95"/>
    </row>
    <row r="106" spans="2:12" x14ac:dyDescent="0.35">
      <c r="B106" s="1"/>
      <c r="C106" s="46" t="s">
        <v>993</v>
      </c>
      <c r="D106" s="41" t="s">
        <v>1054</v>
      </c>
      <c r="E106" s="95" t="s">
        <v>991</v>
      </c>
      <c r="F106" t="str">
        <f>IF(D107,"For Actual, enter actual output codes from LDC131x for recommended settings","Estimated uses internal model to estimate settings")</f>
        <v>Estimated uses internal model to estimate settings</v>
      </c>
    </row>
    <row r="107" spans="2:12" hidden="1" x14ac:dyDescent="0.35">
      <c r="B107" s="1"/>
      <c r="C107" s="69" t="s">
        <v>992</v>
      </c>
      <c r="D107" s="59">
        <f>IF(D106="Estimated",0,1)</f>
        <v>0</v>
      </c>
      <c r="E107" s="95"/>
    </row>
    <row r="108" spans="2:12" x14ac:dyDescent="0.35">
      <c r="B108" s="1"/>
      <c r="C108" t="s">
        <v>1001</v>
      </c>
      <c r="D108" s="465">
        <v>800</v>
      </c>
      <c r="E108" s="95" t="s">
        <v>945</v>
      </c>
      <c r="F108" t="s">
        <v>995</v>
      </c>
    </row>
    <row r="109" spans="2:12" x14ac:dyDescent="0.35">
      <c r="B109" s="1"/>
      <c r="C109" t="s">
        <v>1002</v>
      </c>
      <c r="D109" s="465">
        <v>302</v>
      </c>
      <c r="E109" s="95" t="s">
        <v>945</v>
      </c>
      <c r="F109" t="s">
        <v>995</v>
      </c>
    </row>
    <row r="110" spans="2:12" hidden="1" x14ac:dyDescent="0.35">
      <c r="B110" s="1"/>
      <c r="C110" s="69" t="s">
        <v>990</v>
      </c>
      <c r="D110" s="453">
        <f>ABS(D108-D109)/4096</f>
        <v>0.12158203125</v>
      </c>
      <c r="E110" s="95"/>
    </row>
    <row r="111" spans="2:12" x14ac:dyDescent="0.35">
      <c r="B111" s="1"/>
      <c r="C111" s="451"/>
      <c r="D111" s="443"/>
      <c r="E111" s="95"/>
    </row>
    <row r="112" spans="2:12" x14ac:dyDescent="0.35">
      <c r="B112" s="1"/>
      <c r="C112" s="440" t="s">
        <v>1014</v>
      </c>
      <c r="D112" s="443"/>
      <c r="E112" s="95"/>
    </row>
    <row r="113" spans="2:8" hidden="1" x14ac:dyDescent="0.35">
      <c r="B113" s="1"/>
      <c r="C113" s="69" t="s">
        <v>984</v>
      </c>
      <c r="D113" s="459">
        <f>IF(D107,D110,0.001*D70/D38)</f>
        <v>4.4922101930097384E-3</v>
      </c>
      <c r="E113" s="95"/>
      <c r="F113" s="456"/>
      <c r="G113" s="457"/>
    </row>
    <row r="114" spans="2:8" hidden="1" x14ac:dyDescent="0.35">
      <c r="B114" s="1"/>
      <c r="C114" s="69" t="s">
        <v>985</v>
      </c>
      <c r="D114" s="460">
        <f>D113/0.0625/D140</f>
        <v>7.1875363088155814E-2</v>
      </c>
      <c r="E114" s="95"/>
    </row>
    <row r="115" spans="2:8" hidden="1" x14ac:dyDescent="0.35">
      <c r="B115" s="1"/>
      <c r="C115" s="69" t="s">
        <v>1055</v>
      </c>
      <c r="D115" s="473" t="b">
        <v>1</v>
      </c>
      <c r="E115" s="95"/>
    </row>
    <row r="116" spans="2:8" x14ac:dyDescent="0.35">
      <c r="B116" s="1"/>
      <c r="C116" t="s">
        <v>284</v>
      </c>
      <c r="D116" s="454">
        <f>IF(D115,1,IF(D114&lt;1,16,IF(D114&lt;2,8,IF(D114&lt;4,4,1))))</f>
        <v>1</v>
      </c>
      <c r="E116" s="95" t="s">
        <v>994</v>
      </c>
      <c r="F116" s="140"/>
      <c r="G116" s="140"/>
      <c r="H116" s="140"/>
    </row>
    <row r="117" spans="2:8" hidden="1" x14ac:dyDescent="0.35">
      <c r="B117" s="1"/>
      <c r="C117" s="5" t="s">
        <v>996</v>
      </c>
      <c r="D117" s="361">
        <f>IF(D11,0,ROUND(SQRT(D116),0)-1)</f>
        <v>0</v>
      </c>
      <c r="E117" s="95"/>
      <c r="F117" s="5" t="s">
        <v>986</v>
      </c>
    </row>
    <row r="118" spans="2:8" hidden="1" x14ac:dyDescent="0.35">
      <c r="B118" s="1"/>
      <c r="C118" s="69" t="s">
        <v>997</v>
      </c>
      <c r="D118" s="461">
        <f>FLOOR(D64/D38/D140*4096,1)</f>
        <v>431</v>
      </c>
      <c r="E118" s="95"/>
      <c r="F118" s="5" t="s">
        <v>1022</v>
      </c>
    </row>
    <row r="119" spans="2:8" hidden="1" x14ac:dyDescent="0.35">
      <c r="B119" s="1"/>
      <c r="C119" s="69" t="s">
        <v>998</v>
      </c>
      <c r="D119" s="461">
        <f>CEILING(D69/D38/D140*4096,1)</f>
        <v>451</v>
      </c>
      <c r="E119" s="95"/>
      <c r="F119" s="5" t="s">
        <v>1022</v>
      </c>
    </row>
    <row r="120" spans="2:8" hidden="1" x14ac:dyDescent="0.35">
      <c r="B120" s="1"/>
      <c r="C120" s="69" t="s">
        <v>999</v>
      </c>
      <c r="D120" s="461">
        <f>IF(D107,MAX(D108:D109),D119)</f>
        <v>451</v>
      </c>
      <c r="E120" s="95"/>
      <c r="F120" s="5" t="s">
        <v>1023</v>
      </c>
    </row>
    <row r="121" spans="2:8" hidden="1" x14ac:dyDescent="0.35">
      <c r="B121" s="1"/>
      <c r="C121" s="69" t="s">
        <v>1000</v>
      </c>
      <c r="D121" s="461">
        <f>IF(D107,MIN(D108:D109),D118)</f>
        <v>431</v>
      </c>
      <c r="E121" s="95"/>
      <c r="F121" s="5" t="s">
        <v>1023</v>
      </c>
    </row>
    <row r="122" spans="2:8" hidden="1" x14ac:dyDescent="0.35">
      <c r="B122" s="1"/>
      <c r="C122" s="69" t="s">
        <v>1017</v>
      </c>
      <c r="D122" s="461">
        <f>D120-D121</f>
        <v>20</v>
      </c>
      <c r="E122" s="95"/>
    </row>
    <row r="123" spans="2:8" hidden="1" x14ac:dyDescent="0.35">
      <c r="B123" s="1"/>
      <c r="C123" s="69" t="s">
        <v>1024</v>
      </c>
      <c r="D123" s="461">
        <f>4096/D116</f>
        <v>4096</v>
      </c>
      <c r="E123" s="95"/>
    </row>
    <row r="124" spans="2:8" hidden="1" x14ac:dyDescent="0.35">
      <c r="B124" s="1"/>
      <c r="C124" s="69" t="s">
        <v>1018</v>
      </c>
      <c r="D124" s="461">
        <f>D123-D122</f>
        <v>4076</v>
      </c>
      <c r="E124" s="95"/>
      <c r="F124" s="5" t="s">
        <v>1020</v>
      </c>
    </row>
    <row r="125" spans="2:8" hidden="1" x14ac:dyDescent="0.35">
      <c r="B125" s="1"/>
      <c r="C125" s="69" t="s">
        <v>1016</v>
      </c>
      <c r="D125" s="464">
        <v>2</v>
      </c>
      <c r="E125" s="95"/>
      <c r="F125" s="5" t="s">
        <v>1021</v>
      </c>
    </row>
    <row r="126" spans="2:8" hidden="1" x14ac:dyDescent="0.35">
      <c r="B126" s="1"/>
      <c r="C126" s="69" t="s">
        <v>1019</v>
      </c>
      <c r="D126" s="464">
        <f>D109 - (D124/(D125+1))</f>
        <v>-1056.6666666666667</v>
      </c>
      <c r="E126" s="95"/>
    </row>
    <row r="127" spans="2:8" hidden="1" x14ac:dyDescent="0.35">
      <c r="B127" s="1"/>
      <c r="C127" s="458" t="s">
        <v>1015</v>
      </c>
      <c r="D127" s="464">
        <f>MAX(0,FLOOR(D126,1))</f>
        <v>0</v>
      </c>
      <c r="E127" s="95"/>
    </row>
    <row r="128" spans="2:8" x14ac:dyDescent="0.35">
      <c r="B128" s="1"/>
      <c r="C128" s="46" t="s">
        <v>989</v>
      </c>
      <c r="D128" s="462">
        <f>ROUND(D127*16,0)</f>
        <v>0</v>
      </c>
      <c r="E128" s="95" t="s">
        <v>945</v>
      </c>
    </row>
    <row r="129" spans="2:6" x14ac:dyDescent="0.35">
      <c r="B129" s="1"/>
      <c r="C129" s="69"/>
      <c r="D129" s="452"/>
      <c r="E129" s="95"/>
    </row>
    <row r="130" spans="2:6" x14ac:dyDescent="0.35">
      <c r="B130" s="1"/>
      <c r="C130" s="441" t="s">
        <v>1013</v>
      </c>
      <c r="D130" s="443"/>
      <c r="E130" s="95"/>
    </row>
    <row r="131" spans="2:6" hidden="1" x14ac:dyDescent="0.35">
      <c r="B131" s="1"/>
      <c r="C131" s="69" t="s">
        <v>943</v>
      </c>
      <c r="D131" s="444">
        <f>ABS(D64-D69)</f>
        <v>0.17968840772038952</v>
      </c>
      <c r="E131" s="95" t="s">
        <v>0</v>
      </c>
    </row>
    <row r="132" spans="2:6" hidden="1" x14ac:dyDescent="0.35">
      <c r="B132" s="1"/>
      <c r="C132" s="69" t="s">
        <v>944</v>
      </c>
      <c r="D132" s="445">
        <f>D131*1000000/D98</f>
        <v>2.9948067953398247</v>
      </c>
      <c r="E132" s="95" t="s">
        <v>1</v>
      </c>
    </row>
    <row r="133" spans="2:6" hidden="1" x14ac:dyDescent="0.35">
      <c r="B133" s="1"/>
      <c r="C133" s="69" t="s">
        <v>1003</v>
      </c>
      <c r="D133" s="445">
        <f>D38*1000000/(4096*D116)</f>
        <v>9765.625</v>
      </c>
      <c r="E133" s="95" t="s">
        <v>1</v>
      </c>
    </row>
    <row r="134" spans="2:6" hidden="1" x14ac:dyDescent="0.35">
      <c r="B134" s="1"/>
      <c r="C134" s="69" t="s">
        <v>1545</v>
      </c>
      <c r="D134" s="445">
        <f>IF(E96="RCOUNT",D96,0)</f>
        <v>0</v>
      </c>
      <c r="E134" s="95" t="s">
        <v>1544</v>
      </c>
    </row>
    <row r="135" spans="2:6" hidden="1" x14ac:dyDescent="0.35">
      <c r="B135" s="1"/>
      <c r="C135" s="69" t="s">
        <v>946</v>
      </c>
      <c r="D135" s="445">
        <f>(10^(LOG(D132/25317/D38,10)/-1.0023)/32)*(1.5*D64/D140)</f>
        <v>64886.512554788773</v>
      </c>
      <c r="E135" s="95"/>
    </row>
    <row r="136" spans="2:6" hidden="1" x14ac:dyDescent="0.35">
      <c r="B136" s="1"/>
      <c r="C136" s="69" t="s">
        <v>947</v>
      </c>
      <c r="D136" s="446">
        <f>IF(D134&gt;0,ROUND(D134,0),ROUND(D135,0))</f>
        <v>64887</v>
      </c>
      <c r="E136" s="95"/>
    </row>
    <row r="137" spans="2:6" ht="15.5" x14ac:dyDescent="0.35">
      <c r="B137" s="1"/>
      <c r="C137" s="46" t="s">
        <v>948</v>
      </c>
      <c r="D137" s="419">
        <f>IF(D136&lt;5,5,IF(D136&gt;65535,65535,D136))</f>
        <v>64887</v>
      </c>
      <c r="E137" s="95" t="s">
        <v>945</v>
      </c>
    </row>
    <row r="138" spans="2:6" hidden="1" x14ac:dyDescent="0.35">
      <c r="B138" s="1"/>
    </row>
    <row r="139" spans="2:6" hidden="1" x14ac:dyDescent="0.35">
      <c r="B139" s="1"/>
      <c r="C139" s="46" t="s">
        <v>929</v>
      </c>
      <c r="D139" s="463">
        <f>D91/D38</f>
        <v>0.10986718741514709</v>
      </c>
      <c r="E139" s="5"/>
    </row>
    <row r="140" spans="2:6" ht="16.5" x14ac:dyDescent="0.45">
      <c r="B140" s="1"/>
      <c r="C140" s="46" t="s">
        <v>963</v>
      </c>
      <c r="D140" s="418">
        <f>CEILING(D139/0.25,1)</f>
        <v>1</v>
      </c>
      <c r="E140" s="5"/>
    </row>
    <row r="141" spans="2:6" ht="15.5" x14ac:dyDescent="0.35">
      <c r="B141" s="1"/>
      <c r="C141" t="s">
        <v>221</v>
      </c>
      <c r="D141" s="417">
        <f>0.001*D137*16/D38</f>
        <v>25.954799999999999</v>
      </c>
      <c r="E141" s="5" t="s">
        <v>229</v>
      </c>
    </row>
    <row r="142" spans="2:6" ht="15.5" hidden="1" x14ac:dyDescent="0.35">
      <c r="B142" s="1"/>
      <c r="C142" s="46" t="s">
        <v>951</v>
      </c>
      <c r="D142" s="431">
        <f>IF(D100&gt;1,D100*(D137+4),(D137+D102))</f>
        <v>65239</v>
      </c>
      <c r="E142" s="5"/>
    </row>
    <row r="143" spans="2:6" ht="15.5" hidden="1" x14ac:dyDescent="0.35">
      <c r="B143" s="1"/>
      <c r="C143" s="46" t="s">
        <v>952</v>
      </c>
      <c r="D143" s="431">
        <f>IF(D11,400000/(2*D100*49),13300/D100)</f>
        <v>4081.6326530612246</v>
      </c>
      <c r="E143" s="5" t="s">
        <v>405</v>
      </c>
    </row>
    <row r="144" spans="2:6" ht="15.5" hidden="1" x14ac:dyDescent="0.35">
      <c r="B144" s="1"/>
      <c r="C144" s="401" t="s">
        <v>953</v>
      </c>
      <c r="D144" s="432">
        <f>D38*1000000/D142/16</f>
        <v>38.320636429129813</v>
      </c>
      <c r="E144" s="5" t="s">
        <v>628</v>
      </c>
      <c r="F144" s="68"/>
    </row>
    <row r="145" spans="2:12" ht="15.5" x14ac:dyDescent="0.35">
      <c r="B145" s="1"/>
      <c r="C145" s="46" t="s">
        <v>950</v>
      </c>
      <c r="D145" s="430">
        <f>IF(D144&lt;D143,D144,D143)</f>
        <v>38.320636429129813</v>
      </c>
      <c r="E145" s="5" t="s">
        <v>628</v>
      </c>
      <c r="F145" s="46" t="str">
        <f>IF(D144&gt;D143,"I2C Bus limits Conversion Rate; decrease RCOUNT","")</f>
        <v/>
      </c>
    </row>
    <row r="146" spans="2:12" x14ac:dyDescent="0.35">
      <c r="B146" s="1"/>
      <c r="E146" s="5"/>
    </row>
    <row r="147" spans="2:12" x14ac:dyDescent="0.35">
      <c r="B147" s="1"/>
      <c r="L147" s="241"/>
    </row>
    <row r="148" spans="2:12" ht="15.5" x14ac:dyDescent="0.35">
      <c r="B148" s="1"/>
      <c r="C148" s="16" t="str">
        <f>D7&amp;" Register Configuration"</f>
        <v>LDC1614 Register Configuration</v>
      </c>
    </row>
    <row r="149" spans="2:12" x14ac:dyDescent="0.35">
      <c r="B149" s="1"/>
      <c r="C149" s="238" t="s">
        <v>766</v>
      </c>
      <c r="D149" s="330" t="s">
        <v>883</v>
      </c>
      <c r="E149" s="330" t="s">
        <v>884</v>
      </c>
    </row>
    <row r="150" spans="2:12" x14ac:dyDescent="0.35">
      <c r="B150" s="1"/>
      <c r="C150" s="8" t="s">
        <v>885</v>
      </c>
      <c r="D150" s="151" t="s">
        <v>889</v>
      </c>
      <c r="E150" s="405" t="str">
        <f>"0x"&amp;DEC2HEX(D137,4)</f>
        <v>0xFD77</v>
      </c>
    </row>
    <row r="151" spans="2:12" x14ac:dyDescent="0.35">
      <c r="B151" s="1"/>
      <c r="C151" s="8" t="s">
        <v>886</v>
      </c>
      <c r="D151" s="151" t="s">
        <v>890</v>
      </c>
      <c r="E151" s="405" t="str">
        <f>"0x"&amp;DEC2HEX(D137,4)</f>
        <v>0xFD77</v>
      </c>
    </row>
    <row r="152" spans="2:12" x14ac:dyDescent="0.35">
      <c r="B152" s="1"/>
      <c r="C152" s="8" t="s">
        <v>887</v>
      </c>
      <c r="D152" s="151" t="s">
        <v>891</v>
      </c>
      <c r="E152" s="405" t="str">
        <f>IF(D8,"DNC","0x"&amp;DEC2HEX(D137,4))</f>
        <v>0xFD77</v>
      </c>
    </row>
    <row r="153" spans="2:12" x14ac:dyDescent="0.35">
      <c r="B153" s="1"/>
      <c r="C153" s="8" t="s">
        <v>888</v>
      </c>
      <c r="D153" s="151" t="s">
        <v>892</v>
      </c>
      <c r="E153" s="405" t="str">
        <f>IF(D8,"DNC","0x"&amp;DEC2HEX(D137,4))</f>
        <v>0xFD77</v>
      </c>
    </row>
    <row r="154" spans="2:12" x14ac:dyDescent="0.35">
      <c r="B154" s="1"/>
      <c r="C154" s="8" t="s">
        <v>1005</v>
      </c>
      <c r="D154" s="151" t="s">
        <v>1009</v>
      </c>
      <c r="E154" s="405" t="str">
        <f>IF(D11,"0x0000","0x"&amp;DEC2HEX(D128,4))</f>
        <v>0x0000</v>
      </c>
    </row>
    <row r="155" spans="2:12" x14ac:dyDescent="0.35">
      <c r="B155" s="1"/>
      <c r="C155" s="8" t="s">
        <v>1006</v>
      </c>
      <c r="D155" s="151" t="s">
        <v>1010</v>
      </c>
      <c r="E155" s="405" t="str">
        <f>IF(D11,"0x0000","0x"&amp;DEC2HEX(D128,4))</f>
        <v>0x0000</v>
      </c>
    </row>
    <row r="156" spans="2:12" x14ac:dyDescent="0.35">
      <c r="B156" s="1"/>
      <c r="C156" s="8" t="s">
        <v>1007</v>
      </c>
      <c r="D156" s="151" t="s">
        <v>1011</v>
      </c>
      <c r="E156" s="405" t="str">
        <f>IF(OR(D11,D8),"0x0000","0x"&amp;DEC2HEX(D128,4))</f>
        <v>0x0000</v>
      </c>
    </row>
    <row r="157" spans="2:12" x14ac:dyDescent="0.35">
      <c r="B157" s="1"/>
      <c r="C157" s="8" t="s">
        <v>1008</v>
      </c>
      <c r="D157" s="151" t="s">
        <v>1012</v>
      </c>
      <c r="E157" s="405" t="str">
        <f>IF(OR(D11,D8),"0x0000","0x"&amp;DEC2HEX(D128,4))</f>
        <v>0x0000</v>
      </c>
    </row>
    <row r="158" spans="2:12" x14ac:dyDescent="0.35">
      <c r="B158" s="1"/>
      <c r="C158" s="8" t="s">
        <v>893</v>
      </c>
      <c r="D158" s="151" t="s">
        <v>897</v>
      </c>
      <c r="E158" s="405" t="str">
        <f>D103</f>
        <v>0x0016</v>
      </c>
    </row>
    <row r="159" spans="2:12" x14ac:dyDescent="0.35">
      <c r="B159" s="1"/>
      <c r="C159" s="8" t="s">
        <v>894</v>
      </c>
      <c r="D159" s="151" t="s">
        <v>898</v>
      </c>
      <c r="E159" s="405" t="str">
        <f>D103</f>
        <v>0x0016</v>
      </c>
    </row>
    <row r="160" spans="2:12" x14ac:dyDescent="0.35">
      <c r="B160" s="1"/>
      <c r="C160" s="8" t="s">
        <v>895</v>
      </c>
      <c r="D160" s="151" t="s">
        <v>899</v>
      </c>
      <c r="E160" s="405" t="str">
        <f>IF(D8,"DNC",D103)</f>
        <v>0x0016</v>
      </c>
    </row>
    <row r="161" spans="2:12" x14ac:dyDescent="0.35">
      <c r="B161" s="1"/>
      <c r="C161" s="8" t="s">
        <v>896</v>
      </c>
      <c r="D161" s="151" t="s">
        <v>900</v>
      </c>
      <c r="E161" s="405" t="str">
        <f>IF(D8,"DNC",D103)</f>
        <v>0x0016</v>
      </c>
    </row>
    <row r="162" spans="2:12" x14ac:dyDescent="0.35">
      <c r="B162" s="1"/>
      <c r="C162" s="8" t="s">
        <v>901</v>
      </c>
      <c r="D162" s="151" t="s">
        <v>905</v>
      </c>
      <c r="E162" s="405" t="str">
        <f>"0x"&amp;DEC2HEX(D140*(2^12)+D36,4)</f>
        <v>0x1001</v>
      </c>
    </row>
    <row r="163" spans="2:12" x14ac:dyDescent="0.35">
      <c r="B163" s="1"/>
      <c r="C163" s="8" t="s">
        <v>902</v>
      </c>
      <c r="D163" s="151" t="s">
        <v>906</v>
      </c>
      <c r="E163" s="405" t="str">
        <f>"0x"&amp;DEC2HEX(D140*(2^12)+D36,4)</f>
        <v>0x1001</v>
      </c>
    </row>
    <row r="164" spans="2:12" x14ac:dyDescent="0.35">
      <c r="B164" s="1"/>
      <c r="C164" s="8" t="s">
        <v>903</v>
      </c>
      <c r="D164" s="151" t="s">
        <v>907</v>
      </c>
      <c r="E164" s="405" t="str">
        <f>IF(D8,"DNC","0x"&amp;DEC2HEX(D140*(2^12)+D36,4))</f>
        <v>0x1001</v>
      </c>
    </row>
    <row r="165" spans="2:12" x14ac:dyDescent="0.35">
      <c r="B165" s="1"/>
      <c r="C165" s="8" t="s">
        <v>904</v>
      </c>
      <c r="D165" s="151" t="s">
        <v>908</v>
      </c>
      <c r="E165" s="405" t="str">
        <f>IF(D8,"DNC","0x"&amp;DEC2HEX(D140*(2^12)+D36,4))</f>
        <v>0x1001</v>
      </c>
    </row>
    <row r="166" spans="2:12" x14ac:dyDescent="0.35">
      <c r="B166" s="1"/>
      <c r="C166" s="8" t="s">
        <v>909</v>
      </c>
      <c r="D166" s="151" t="s">
        <v>910</v>
      </c>
      <c r="E166" s="405" t="str">
        <f>"0x"&amp;DEC2HEX(D30,4)</f>
        <v>0x1400</v>
      </c>
    </row>
    <row r="167" spans="2:12" x14ac:dyDescent="0.35">
      <c r="B167" s="1"/>
      <c r="C167" s="8" t="s">
        <v>911</v>
      </c>
      <c r="D167" s="151" t="s">
        <v>912</v>
      </c>
      <c r="E167" s="405" t="str">
        <f>"0x"&amp;DEC2HEX((D23*(2^E23)+D22*(2^E22)+D93+520),4)</f>
        <v>0x020D</v>
      </c>
    </row>
    <row r="168" spans="2:12" x14ac:dyDescent="0.35">
      <c r="B168" s="1"/>
      <c r="C168" s="8" t="s">
        <v>981</v>
      </c>
      <c r="D168" s="151" t="s">
        <v>982</v>
      </c>
      <c r="E168" s="405" t="str">
        <f>"0x"&amp;DEC2HEX(D117*2^9,4)</f>
        <v>0x0000</v>
      </c>
    </row>
    <row r="169" spans="2:12" x14ac:dyDescent="0.35">
      <c r="B169" s="1"/>
      <c r="C169" s="8" t="s">
        <v>913</v>
      </c>
      <c r="D169" s="151" t="s">
        <v>917</v>
      </c>
      <c r="E169" s="405" t="str">
        <f>"0x"&amp;DEC2HEX(D88*(2^11),4)</f>
        <v>0xA800</v>
      </c>
    </row>
    <row r="170" spans="2:12" x14ac:dyDescent="0.35">
      <c r="B170" s="1"/>
      <c r="C170" s="8" t="s">
        <v>914</v>
      </c>
      <c r="D170" s="151" t="s">
        <v>918</v>
      </c>
      <c r="E170" s="405" t="str">
        <f>"0x"&amp;DEC2HEX(D88*(2^11),4)</f>
        <v>0xA800</v>
      </c>
      <c r="G170" s="439"/>
      <c r="H170" s="439"/>
      <c r="I170" s="439"/>
      <c r="J170" s="439"/>
      <c r="K170" s="439"/>
      <c r="L170" s="439"/>
    </row>
    <row r="171" spans="2:12" x14ac:dyDescent="0.35">
      <c r="B171" s="1"/>
      <c r="C171" s="8" t="s">
        <v>915</v>
      </c>
      <c r="D171" s="151" t="s">
        <v>919</v>
      </c>
      <c r="E171" s="405" t="str">
        <f>IF(D8,"DNC","0x"&amp;DEC2HEX(D88*(2^11),4))</f>
        <v>0xA800</v>
      </c>
      <c r="G171" s="439"/>
      <c r="H171" s="439"/>
      <c r="I171" s="439"/>
      <c r="J171" s="439"/>
      <c r="K171" s="439"/>
      <c r="L171" s="439"/>
    </row>
    <row r="172" spans="2:12" x14ac:dyDescent="0.35">
      <c r="B172" s="1"/>
      <c r="C172" s="8" t="s">
        <v>916</v>
      </c>
      <c r="D172" s="151" t="s">
        <v>920</v>
      </c>
      <c r="E172" s="405" t="str">
        <f>IF(D8,"DNC","0x"&amp;DEC2HEX(D88*(2^11),4))</f>
        <v>0xA800</v>
      </c>
      <c r="G172" s="439"/>
      <c r="H172" s="439"/>
      <c r="I172" s="439"/>
      <c r="J172" s="439"/>
      <c r="K172" s="439"/>
      <c r="L172" s="439"/>
    </row>
    <row r="173" spans="2:12" x14ac:dyDescent="0.35">
      <c r="B173" s="1"/>
      <c r="G173" s="439"/>
      <c r="H173" s="439"/>
      <c r="I173" s="439"/>
      <c r="J173" s="439"/>
      <c r="K173" s="439"/>
      <c r="L173" s="439"/>
    </row>
    <row r="174" spans="2:12" ht="15.5" hidden="1" x14ac:dyDescent="0.35">
      <c r="B174" s="1"/>
      <c r="C174" s="115" t="s">
        <v>249</v>
      </c>
      <c r="D174" s="117">
        <f>D102/D38</f>
        <v>8.8000000000000007</v>
      </c>
      <c r="E174" s="13" t="s">
        <v>222</v>
      </c>
    </row>
    <row r="175" spans="2:12" ht="15.5" hidden="1" x14ac:dyDescent="0.35">
      <c r="B175" s="1"/>
      <c r="C175" s="8" t="s">
        <v>236</v>
      </c>
      <c r="D175" s="118">
        <v>0.3</v>
      </c>
      <c r="E175" t="s">
        <v>229</v>
      </c>
    </row>
    <row r="176" spans="2:12" ht="15.5" hidden="1" x14ac:dyDescent="0.35">
      <c r="B176" s="11"/>
      <c r="C176" s="8" t="s">
        <v>237</v>
      </c>
      <c r="D176" s="119">
        <v>0.04</v>
      </c>
      <c r="E176" t="s">
        <v>229</v>
      </c>
    </row>
    <row r="177" spans="3:6" ht="16" customHeight="1" x14ac:dyDescent="0.35">
      <c r="C177" s="374"/>
      <c r="D177" s="375"/>
      <c r="E177" s="15"/>
      <c r="F177" s="68"/>
    </row>
    <row r="178" spans="3:6" ht="15.5" x14ac:dyDescent="0.35">
      <c r="C178" s="16" t="s">
        <v>1025</v>
      </c>
    </row>
    <row r="179" spans="3:6" x14ac:dyDescent="0.35">
      <c r="C179" s="56" t="s">
        <v>942</v>
      </c>
      <c r="D179" s="308" t="s">
        <v>709</v>
      </c>
      <c r="E179" s="44"/>
    </row>
    <row r="180" spans="3:6" ht="15.5" x14ac:dyDescent="0.35">
      <c r="C180" s="1"/>
      <c r="D180" s="4"/>
      <c r="E180" s="44"/>
    </row>
    <row r="181" spans="3:6" ht="16.5" hidden="1" x14ac:dyDescent="0.45">
      <c r="C181" s="8" t="s">
        <v>365</v>
      </c>
      <c r="D181" s="274">
        <f>D38</f>
        <v>40</v>
      </c>
      <c r="E181" s="5" t="s">
        <v>0</v>
      </c>
    </row>
    <row r="182" spans="3:6" hidden="1" x14ac:dyDescent="0.35">
      <c r="C182" s="401" t="s">
        <v>378</v>
      </c>
      <c r="D182" s="62">
        <f>D137</f>
        <v>64887</v>
      </c>
      <c r="E182" s="5"/>
    </row>
    <row r="183" spans="3:6" x14ac:dyDescent="0.35">
      <c r="C183" s="46" t="s">
        <v>232</v>
      </c>
      <c r="D183" s="122">
        <v>2</v>
      </c>
      <c r="E183" s="5" t="str">
        <f>IF(D205&gt;0,"sps","This Sample Rate is too high and cannot use Sleep Mode")</f>
        <v>sps</v>
      </c>
      <c r="F183" s="68"/>
    </row>
    <row r="184" spans="3:6" hidden="1" x14ac:dyDescent="0.35">
      <c r="C184" s="46" t="s">
        <v>210</v>
      </c>
      <c r="D184" s="211">
        <f>D21</f>
        <v>1</v>
      </c>
      <c r="E184" s="5"/>
    </row>
    <row r="185" spans="3:6" x14ac:dyDescent="0.35">
      <c r="C185" s="46" t="s">
        <v>230</v>
      </c>
      <c r="D185" s="203">
        <v>400</v>
      </c>
      <c r="E185" s="5" t="s">
        <v>231</v>
      </c>
    </row>
    <row r="186" spans="3:6" hidden="1" x14ac:dyDescent="0.35">
      <c r="C186" s="46" t="s">
        <v>954</v>
      </c>
      <c r="D186" s="62">
        <f>D102</f>
        <v>352</v>
      </c>
      <c r="E186" s="82"/>
    </row>
    <row r="187" spans="3:6" hidden="1" x14ac:dyDescent="0.35">
      <c r="C187" s="46" t="s">
        <v>249</v>
      </c>
      <c r="D187" s="62">
        <f>D186/D181</f>
        <v>8.8000000000000007</v>
      </c>
      <c r="E187" s="13" t="s">
        <v>222</v>
      </c>
    </row>
    <row r="188" spans="3:6" hidden="1" x14ac:dyDescent="0.35">
      <c r="C188" t="s">
        <v>233</v>
      </c>
      <c r="D188" s="274">
        <v>2</v>
      </c>
      <c r="E188" t="s">
        <v>229</v>
      </c>
    </row>
    <row r="189" spans="3:6" hidden="1" x14ac:dyDescent="0.35">
      <c r="C189" t="s">
        <v>209</v>
      </c>
      <c r="D189" s="378">
        <f>4*D184+5</f>
        <v>9</v>
      </c>
    </row>
    <row r="190" spans="3:6" hidden="1" x14ac:dyDescent="0.35">
      <c r="C190" t="s">
        <v>235</v>
      </c>
      <c r="D190" s="378">
        <f>4*8+5</f>
        <v>37</v>
      </c>
    </row>
    <row r="191" spans="3:6" hidden="1" x14ac:dyDescent="0.35">
      <c r="C191" t="s">
        <v>234</v>
      </c>
      <c r="D191" s="92">
        <f>D189*D190/D185</f>
        <v>0.83250000000000002</v>
      </c>
      <c r="E191" t="s">
        <v>229</v>
      </c>
    </row>
    <row r="192" spans="3:6" ht="29" hidden="1" x14ac:dyDescent="0.35">
      <c r="C192" s="75" t="s">
        <v>383</v>
      </c>
      <c r="D192" s="92">
        <f>IF(D11=0,((D190+D184*D190)/D185),((D190+D184*2*D190)/D185))</f>
        <v>0.27750000000000002</v>
      </c>
      <c r="E192" t="s">
        <v>229</v>
      </c>
    </row>
    <row r="193" spans="3:5" hidden="1" x14ac:dyDescent="0.35">
      <c r="C193" t="s">
        <v>240</v>
      </c>
      <c r="D193" s="92">
        <f>D191+D188</f>
        <v>2.8325</v>
      </c>
      <c r="E193" t="s">
        <v>229</v>
      </c>
    </row>
    <row r="194" spans="3:5" hidden="1" x14ac:dyDescent="0.35">
      <c r="C194" t="s">
        <v>236</v>
      </c>
      <c r="D194" s="92">
        <f>16384000/(40000000/2)</f>
        <v>0.81920000000000004</v>
      </c>
      <c r="E194" t="s">
        <v>229</v>
      </c>
    </row>
    <row r="195" spans="3:5" hidden="1" x14ac:dyDescent="0.35">
      <c r="C195" t="s">
        <v>237</v>
      </c>
      <c r="D195" s="272">
        <f>0.000625+0.005/D181</f>
        <v>7.5000000000000002E-4</v>
      </c>
      <c r="E195" t="s">
        <v>229</v>
      </c>
    </row>
    <row r="196" spans="3:5" hidden="1" x14ac:dyDescent="0.35">
      <c r="C196" t="s">
        <v>241</v>
      </c>
      <c r="D196" s="377">
        <f>0.001*(D186+D182*16)/D181</f>
        <v>25.963600000000003</v>
      </c>
      <c r="E196" t="s">
        <v>229</v>
      </c>
    </row>
    <row r="197" spans="3:5" hidden="1" x14ac:dyDescent="0.35">
      <c r="C197" t="s">
        <v>251</v>
      </c>
      <c r="D197" s="92">
        <f>D184*D196+(D184-1)*D195+D194+D192</f>
        <v>27.060300000000002</v>
      </c>
      <c r="E197" t="s">
        <v>229</v>
      </c>
    </row>
    <row r="198" spans="3:5" hidden="1" x14ac:dyDescent="0.35">
      <c r="C198" t="s">
        <v>238</v>
      </c>
      <c r="D198" s="325">
        <f>D197*D183</f>
        <v>54.120600000000003</v>
      </c>
      <c r="E198" t="s">
        <v>229</v>
      </c>
    </row>
    <row r="199" spans="3:5" hidden="1" x14ac:dyDescent="0.35">
      <c r="C199" t="s">
        <v>250</v>
      </c>
      <c r="D199" s="325">
        <f>(D193)*D183</f>
        <v>5.665</v>
      </c>
      <c r="E199" t="s">
        <v>229</v>
      </c>
    </row>
    <row r="200" spans="3:5" hidden="1" x14ac:dyDescent="0.35">
      <c r="C200" t="s">
        <v>245</v>
      </c>
      <c r="D200" s="92">
        <f>D89</f>
        <v>0.35559546582835971</v>
      </c>
      <c r="E200" t="s">
        <v>244</v>
      </c>
    </row>
    <row r="201" spans="3:5" hidden="1" x14ac:dyDescent="0.35">
      <c r="C201" t="s">
        <v>385</v>
      </c>
      <c r="D201" s="274">
        <f>2.02+D181*0.0365</f>
        <v>3.48</v>
      </c>
      <c r="E201" t="s">
        <v>244</v>
      </c>
    </row>
    <row r="202" spans="3:5" hidden="1" x14ac:dyDescent="0.35">
      <c r="C202" t="s">
        <v>386</v>
      </c>
      <c r="D202" s="274">
        <f>D201+D200</f>
        <v>3.8355954658283595</v>
      </c>
      <c r="E202" t="s">
        <v>244</v>
      </c>
    </row>
    <row r="203" spans="3:5" hidden="1" x14ac:dyDescent="0.35">
      <c r="C203" t="s">
        <v>247</v>
      </c>
      <c r="D203" s="96">
        <v>3.5000000000000003E-2</v>
      </c>
      <c r="E203" t="s">
        <v>244</v>
      </c>
    </row>
    <row r="204" spans="3:5" hidden="1" x14ac:dyDescent="0.35">
      <c r="C204" t="s">
        <v>246</v>
      </c>
      <c r="D204" s="96">
        <v>2.0000000000000001E-4</v>
      </c>
      <c r="E204" t="s">
        <v>244</v>
      </c>
    </row>
    <row r="205" spans="3:5" hidden="1" x14ac:dyDescent="0.35">
      <c r="C205" t="s">
        <v>248</v>
      </c>
      <c r="D205" s="92">
        <f>1000-D198-D199</f>
        <v>940.21440000000007</v>
      </c>
      <c r="E205" t="s">
        <v>229</v>
      </c>
    </row>
    <row r="206" spans="3:5" hidden="1" x14ac:dyDescent="0.35">
      <c r="C206" s="46" t="s">
        <v>211</v>
      </c>
      <c r="D206" s="377">
        <f>D204*D205/1000</f>
        <v>1.8804288000000003E-4</v>
      </c>
    </row>
    <row r="207" spans="3:5" hidden="1" x14ac:dyDescent="0.35">
      <c r="C207" s="46" t="s">
        <v>212</v>
      </c>
      <c r="D207" s="377">
        <f>D203*D199/1000</f>
        <v>1.9827500000000001E-4</v>
      </c>
    </row>
    <row r="208" spans="3:5" hidden="1" x14ac:dyDescent="0.35">
      <c r="C208" s="46" t="s">
        <v>213</v>
      </c>
      <c r="D208" s="377">
        <f>D202*D198/1000</f>
        <v>0.20758472796791033</v>
      </c>
    </row>
    <row r="209" spans="3:7" x14ac:dyDescent="0.35">
      <c r="C209" s="46" t="s">
        <v>976</v>
      </c>
      <c r="D209" s="324">
        <f>D202</f>
        <v>3.8355954658283595</v>
      </c>
      <c r="E209" t="s">
        <v>244</v>
      </c>
    </row>
    <row r="210" spans="3:7" x14ac:dyDescent="0.35">
      <c r="C210" s="46" t="s">
        <v>1093</v>
      </c>
      <c r="D210" s="324">
        <f>(D199+D198)/D183</f>
        <v>29.892800000000001</v>
      </c>
      <c r="E210" t="s">
        <v>229</v>
      </c>
    </row>
    <row r="211" spans="3:7" ht="18" customHeight="1" x14ac:dyDescent="0.35">
      <c r="C211" s="75" t="s">
        <v>961</v>
      </c>
      <c r="D211" s="116">
        <f>1000*SUM(D206:D208)</f>
        <v>207.97104584791032</v>
      </c>
      <c r="E211" s="5" t="s">
        <v>253</v>
      </c>
      <c r="F211" s="68"/>
    </row>
    <row r="212" spans="3:7" ht="17.5" customHeight="1" x14ac:dyDescent="0.35">
      <c r="C212" s="434" t="s">
        <v>962</v>
      </c>
      <c r="D212" s="433">
        <f>1000*(D203*D205/1000+D207+D208)</f>
        <v>240.69050696791032</v>
      </c>
      <c r="E212" s="5" t="s">
        <v>253</v>
      </c>
    </row>
    <row r="215" spans="3:7" ht="15.5" x14ac:dyDescent="0.35">
      <c r="C215" s="16" t="s">
        <v>821</v>
      </c>
    </row>
    <row r="216" spans="3:7" x14ac:dyDescent="0.35">
      <c r="C216" s="56" t="s">
        <v>268</v>
      </c>
      <c r="D216" s="35" t="s">
        <v>371</v>
      </c>
      <c r="E216" s="6"/>
    </row>
    <row r="217" spans="3:7" hidden="1" x14ac:dyDescent="0.35">
      <c r="C217" s="56" t="s">
        <v>1056</v>
      </c>
      <c r="D217" s="96">
        <f>IF(D216="LDC131x",0,1)</f>
        <v>1</v>
      </c>
      <c r="E217" s="6"/>
    </row>
    <row r="218" spans="3:7" x14ac:dyDescent="0.35">
      <c r="C218" s="56" t="s">
        <v>264</v>
      </c>
      <c r="D218" s="35">
        <v>330</v>
      </c>
      <c r="E218" s="6" t="s">
        <v>99</v>
      </c>
      <c r="F218" t="s">
        <v>372</v>
      </c>
    </row>
    <row r="219" spans="3:7" x14ac:dyDescent="0.35">
      <c r="C219" s="56" t="s">
        <v>261</v>
      </c>
      <c r="D219" s="21">
        <f>IF(D216="LDC131x",2^12-1,IF(D216="LDC161x",2^28-1,2^24-1))</f>
        <v>268435455</v>
      </c>
      <c r="E219" s="6"/>
    </row>
    <row r="220" spans="3:7" x14ac:dyDescent="0.35">
      <c r="C220" s="56" t="s">
        <v>262</v>
      </c>
      <c r="D220" s="35">
        <v>0</v>
      </c>
      <c r="E220" s="6"/>
      <c r="F220" t="str">
        <f>IF(D216="LDC131x","Value programmed into OUTPUT_GAIN Field","")</f>
        <v/>
      </c>
    </row>
    <row r="221" spans="3:7" ht="21" x14ac:dyDescent="0.5">
      <c r="C221" s="56" t="s">
        <v>957</v>
      </c>
      <c r="D221" s="35" t="s">
        <v>931</v>
      </c>
      <c r="E221" s="201" t="s">
        <v>347</v>
      </c>
      <c r="F221" t="str">
        <f>IF(D216="LDC131x","LDC output from Registers [0x00-0x07]",IF(D216="LDC161x","LDC output from Registers [0x00-0x08]","LDC output from Registers [0x38-0x3A]"))</f>
        <v>LDC output from Registers [0x00-0x08]</v>
      </c>
      <c r="G221" s="113"/>
    </row>
    <row r="222" spans="3:7" ht="21" hidden="1" x14ac:dyDescent="0.5">
      <c r="C222" s="56"/>
      <c r="D222" s="123">
        <f>IF(E221="Hex",HEX2DEC(D221),D221)</f>
        <v>8171811</v>
      </c>
      <c r="E222" s="202" t="s">
        <v>360</v>
      </c>
      <c r="G222" s="113"/>
    </row>
    <row r="223" spans="3:7" x14ac:dyDescent="0.35">
      <c r="C223" s="56" t="s">
        <v>958</v>
      </c>
      <c r="D223" s="35">
        <v>0</v>
      </c>
      <c r="E223" s="201" t="s">
        <v>347</v>
      </c>
      <c r="F223" t="s">
        <v>263</v>
      </c>
    </row>
    <row r="224" spans="3:7" x14ac:dyDescent="0.35">
      <c r="C224" s="56"/>
      <c r="D224" s="123">
        <f>IF(E223="Hex",HEX2DEC(D223),D223)</f>
        <v>0</v>
      </c>
      <c r="E224" s="6" t="s">
        <v>360</v>
      </c>
    </row>
    <row r="225" spans="3:9" hidden="1" x14ac:dyDescent="0.35">
      <c r="C225" s="56" t="s">
        <v>345</v>
      </c>
      <c r="D225" s="123">
        <f>IF(D216="LDC1101",16,42)</f>
        <v>42</v>
      </c>
      <c r="E225" s="6" t="s">
        <v>0</v>
      </c>
    </row>
    <row r="226" spans="3:9" x14ac:dyDescent="0.35">
      <c r="C226" s="56" t="s">
        <v>269</v>
      </c>
      <c r="D226" s="199">
        <v>42</v>
      </c>
      <c r="E226" s="6" t="s">
        <v>0</v>
      </c>
      <c r="F226" s="55" t="str">
        <f>IF(D226&gt;D225,"Reference frequency is above maximum spec","")</f>
        <v/>
      </c>
    </row>
    <row r="227" spans="3:9" x14ac:dyDescent="0.35">
      <c r="C227" s="56" t="s">
        <v>266</v>
      </c>
      <c r="D227" s="200">
        <v>1</v>
      </c>
      <c r="E227" s="6"/>
    </row>
    <row r="228" spans="3:9" x14ac:dyDescent="0.35">
      <c r="C228" s="56" t="s">
        <v>267</v>
      </c>
      <c r="D228" s="200">
        <v>1</v>
      </c>
      <c r="E228" s="6"/>
    </row>
    <row r="229" spans="3:9" x14ac:dyDescent="0.35">
      <c r="C229" s="56" t="s">
        <v>2</v>
      </c>
      <c r="D229" s="20">
        <f>IF(D216="LDC131x",D228*(D226/D227)*(D222/(2^(12+D220))+D224/65536),D228*(D226/D227)*(D222/D219+D224/65536))</f>
        <v>1.2785794708079825</v>
      </c>
      <c r="E229" s="58" t="s">
        <v>0</v>
      </c>
      <c r="F229" s="55" t="str">
        <f>IF(D229&gt;10,"Note: This sensor frequency is higher than specified max"," ")</f>
        <v xml:space="preserve"> </v>
      </c>
    </row>
    <row r="230" spans="3:9" hidden="1" x14ac:dyDescent="0.35">
      <c r="C230" s="57"/>
      <c r="D230" s="62">
        <f>D218*0.000000000001</f>
        <v>3.3E-10</v>
      </c>
      <c r="E230" s="18" t="s">
        <v>97</v>
      </c>
      <c r="F230" s="12"/>
    </row>
    <row r="231" spans="3:9" hidden="1" x14ac:dyDescent="0.35">
      <c r="C231" s="57"/>
      <c r="D231" s="63">
        <f>1/(D230*(D229*1000000*2*PI())^2)</f>
        <v>4.6953813366840293E-5</v>
      </c>
      <c r="E231" s="18" t="s">
        <v>1</v>
      </c>
      <c r="F231" s="12"/>
    </row>
    <row r="232" spans="3:9" x14ac:dyDescent="0.35">
      <c r="C232" s="56" t="s">
        <v>100</v>
      </c>
      <c r="D232" s="20">
        <f>D231*1000000</f>
        <v>46.953813366840293</v>
      </c>
      <c r="E232" s="17" t="s">
        <v>96</v>
      </c>
    </row>
    <row r="235" spans="3:9" hidden="1" x14ac:dyDescent="0.35">
      <c r="C235" s="59" t="s">
        <v>1046</v>
      </c>
      <c r="D235" s="316">
        <f>D45</f>
        <v>6.6396517277919145</v>
      </c>
      <c r="E235" s="471" t="s">
        <v>96</v>
      </c>
      <c r="F235" s="59"/>
    </row>
    <row r="236" spans="3:9" hidden="1" x14ac:dyDescent="0.35">
      <c r="C236" s="59" t="s">
        <v>1047</v>
      </c>
      <c r="D236" s="316">
        <f>D57</f>
        <v>20</v>
      </c>
      <c r="E236" s="59" t="s">
        <v>34</v>
      </c>
      <c r="F236" s="59"/>
    </row>
    <row r="237" spans="3:9" hidden="1" x14ac:dyDescent="0.35">
      <c r="C237" s="59"/>
      <c r="D237" s="59"/>
      <c r="E237" s="59"/>
      <c r="F237" s="59"/>
    </row>
    <row r="238" spans="3:9" hidden="1" x14ac:dyDescent="0.35">
      <c r="C238" s="225" t="s">
        <v>967</v>
      </c>
      <c r="D238" s="225" t="s">
        <v>968</v>
      </c>
      <c r="E238" s="225" t="s">
        <v>966</v>
      </c>
      <c r="F238" s="225" t="s">
        <v>969</v>
      </c>
      <c r="H238" s="225" t="s">
        <v>971</v>
      </c>
      <c r="I238" s="225" t="s">
        <v>970</v>
      </c>
    </row>
    <row r="239" spans="3:9" hidden="1" x14ac:dyDescent="0.35">
      <c r="C239" s="437">
        <v>3.0000000000000001E-3</v>
      </c>
      <c r="D239" s="437">
        <f>C239*D$236</f>
        <v>0.06</v>
      </c>
      <c r="E239" s="437">
        <f>(0.00406832344757895+15.5588911/(1+(D$236/0.0358077078721068)^0.865185989584669))+(0.973523646945684-1.1322846019223/(1+(D$236/1.1356393338887)^1.06847511981245))*(1-EXP(-(10.3324121181807-56.0213701830392/(1+(D$236/0.0139455036722347)^0.572123422421793))*C239))</f>
        <v>9.5003296487125757E-2</v>
      </c>
      <c r="F239" s="64">
        <f>E239*D$235</f>
        <v>0.63078880166667206</v>
      </c>
      <c r="H239" s="316">
        <f>D60</f>
        <v>2.1</v>
      </c>
      <c r="I239" s="437">
        <v>0</v>
      </c>
    </row>
    <row r="240" spans="3:9" hidden="1" x14ac:dyDescent="0.35">
      <c r="C240" s="437">
        <f>C239*1.223</f>
        <v>3.6690000000000004E-3</v>
      </c>
      <c r="D240" s="437">
        <f t="shared" ref="D240:D269" si="0">C240*D$236</f>
        <v>7.3380000000000001E-2</v>
      </c>
      <c r="E240" s="437">
        <f t="shared" ref="E240:E269" si="1">(0.00406832344757895+15.5588911/(1+(D$236/0.0358077078721068)^0.865185989584669))+(0.973523646945684-1.1322846019223/(1+(D$236/1.1356393338887)^1.06847511981245))*(1-EXP(-(10.3324121181807-56.0213701830392/(1+(D$236/0.0139455036722347)^0.572123422421793))*C240))</f>
        <v>0.10066952098360782</v>
      </c>
      <c r="F240" s="64">
        <f t="shared" ref="F240:F269" si="2">E240*D$235</f>
        <v>0.66841055893479606</v>
      </c>
      <c r="H240" s="316">
        <f>H239</f>
        <v>2.1</v>
      </c>
      <c r="I240" s="437">
        <f>D63*D235</f>
        <v>4.3204735750309329</v>
      </c>
    </row>
    <row r="241" spans="3:9" hidden="1" x14ac:dyDescent="0.35">
      <c r="C241" s="437">
        <f t="shared" ref="C241:C269" si="3">C240*1.223</f>
        <v>4.487187000000001E-3</v>
      </c>
      <c r="D241" s="437">
        <f t="shared" si="0"/>
        <v>8.9743740000000016E-2</v>
      </c>
      <c r="E241" s="437">
        <f t="shared" si="1"/>
        <v>0.1075506916240775</v>
      </c>
      <c r="F241" s="64">
        <f t="shared" si="2"/>
        <v>0.71409913546702153</v>
      </c>
      <c r="H241" s="59">
        <v>0</v>
      </c>
      <c r="I241" s="437">
        <f>I240</f>
        <v>4.3204735750309329</v>
      </c>
    </row>
    <row r="242" spans="3:9" hidden="1" x14ac:dyDescent="0.35">
      <c r="C242" s="437">
        <f t="shared" si="3"/>
        <v>5.4878297010000016E-3</v>
      </c>
      <c r="D242" s="437">
        <f t="shared" si="0"/>
        <v>0.10975659402000003</v>
      </c>
      <c r="E242" s="437">
        <f t="shared" si="1"/>
        <v>0.11589420685483331</v>
      </c>
      <c r="F242" s="64">
        <f t="shared" si="2"/>
        <v>0.76949717078476754</v>
      </c>
    </row>
    <row r="243" spans="3:9" hidden="1" x14ac:dyDescent="0.35">
      <c r="C243" s="437">
        <f t="shared" si="3"/>
        <v>6.7116157243230024E-3</v>
      </c>
      <c r="D243" s="437">
        <f t="shared" si="0"/>
        <v>0.13423231448646006</v>
      </c>
      <c r="E243" s="437">
        <f t="shared" si="1"/>
        <v>0.12599143077359853</v>
      </c>
      <c r="F243" s="64">
        <f t="shared" si="2"/>
        <v>0.8365392210228989</v>
      </c>
      <c r="H243" s="225" t="s">
        <v>972</v>
      </c>
      <c r="I243" s="225" t="s">
        <v>973</v>
      </c>
    </row>
    <row r="244" spans="3:9" hidden="1" x14ac:dyDescent="0.35">
      <c r="C244" s="437">
        <f t="shared" si="3"/>
        <v>8.2083060308470318E-3</v>
      </c>
      <c r="D244" s="437">
        <f t="shared" si="0"/>
        <v>0.16416612061694064</v>
      </c>
      <c r="E244" s="437">
        <f t="shared" si="1"/>
        <v>0.13818231574999068</v>
      </c>
      <c r="F244" s="64">
        <f t="shared" si="2"/>
        <v>0.91748245151971353</v>
      </c>
      <c r="H244" s="316">
        <f>D61</f>
        <v>1.8</v>
      </c>
      <c r="I244" s="437">
        <v>0</v>
      </c>
    </row>
    <row r="245" spans="3:9" hidden="1" x14ac:dyDescent="0.35">
      <c r="C245" s="437">
        <f t="shared" si="3"/>
        <v>1.0038758275725921E-2</v>
      </c>
      <c r="D245" s="437">
        <f t="shared" si="0"/>
        <v>0.20077516551451843</v>
      </c>
      <c r="E245" s="437">
        <f t="shared" si="1"/>
        <v>0.1528587827513927</v>
      </c>
      <c r="F245" s="64">
        <f t="shared" si="2"/>
        <v>1.0149290810034535</v>
      </c>
      <c r="H245" s="316">
        <f>H244</f>
        <v>1.8</v>
      </c>
      <c r="I245" s="437">
        <f>D68*D235</f>
        <v>3.9743885885119372</v>
      </c>
    </row>
    <row r="246" spans="3:9" hidden="1" x14ac:dyDescent="0.35">
      <c r="C246" s="437">
        <f t="shared" si="3"/>
        <v>1.2277401371212802E-2</v>
      </c>
      <c r="D246" s="437">
        <f t="shared" si="0"/>
        <v>0.24554802742425605</v>
      </c>
      <c r="E246" s="437">
        <f t="shared" si="1"/>
        <v>0.17046568468169482</v>
      </c>
      <c r="F246" s="64">
        <f t="shared" si="2"/>
        <v>1.1318327778260466</v>
      </c>
      <c r="H246" s="59">
        <v>0</v>
      </c>
      <c r="I246" s="437">
        <f>I245</f>
        <v>3.9743885885119372</v>
      </c>
    </row>
    <row r="247" spans="3:9" hidden="1" x14ac:dyDescent="0.35">
      <c r="C247" s="437">
        <f t="shared" si="3"/>
        <v>1.5015261876993258E-2</v>
      </c>
      <c r="D247" s="437">
        <f t="shared" si="0"/>
        <v>0.30030523753986516</v>
      </c>
      <c r="E247" s="437">
        <f t="shared" si="1"/>
        <v>0.19149764242511869</v>
      </c>
      <c r="F247" s="64">
        <f t="shared" si="2"/>
        <v>1.2714776523960174</v>
      </c>
    </row>
    <row r="248" spans="3:9" hidden="1" x14ac:dyDescent="0.35">
      <c r="C248" s="437">
        <f t="shared" si="3"/>
        <v>1.8363665275562754E-2</v>
      </c>
      <c r="D248" s="437">
        <f t="shared" si="0"/>
        <v>0.36727330551125509</v>
      </c>
      <c r="E248" s="437">
        <f t="shared" si="1"/>
        <v>0.21648937309237654</v>
      </c>
      <c r="F248" s="64">
        <f t="shared" si="2"/>
        <v>1.4374140401013862</v>
      </c>
    </row>
    <row r="249" spans="3:9" hidden="1" x14ac:dyDescent="0.35">
      <c r="C249" s="437">
        <f t="shared" si="3"/>
        <v>2.2458762632013251E-2</v>
      </c>
      <c r="D249" s="437">
        <f t="shared" si="0"/>
        <v>0.44917525264026503</v>
      </c>
      <c r="E249" s="437">
        <f t="shared" si="1"/>
        <v>0.24599636358233978</v>
      </c>
      <c r="F249" s="64">
        <f t="shared" si="2"/>
        <v>1.6333301804900104</v>
      </c>
    </row>
    <row r="250" spans="3:9" hidden="1" x14ac:dyDescent="0.35">
      <c r="C250" s="437">
        <f t="shared" si="3"/>
        <v>2.7467066698952207E-2</v>
      </c>
      <c r="D250" s="437">
        <f t="shared" si="0"/>
        <v>0.54934133397904417</v>
      </c>
      <c r="E250" s="437">
        <f t="shared" si="1"/>
        <v>0.28056199827907852</v>
      </c>
      <c r="F250" s="64">
        <f t="shared" si="2"/>
        <v>1.8628339566264358</v>
      </c>
    </row>
    <row r="251" spans="3:9" hidden="1" x14ac:dyDescent="0.35">
      <c r="C251" s="437">
        <f t="shared" si="3"/>
        <v>3.3592222572818554E-2</v>
      </c>
      <c r="D251" s="437">
        <f t="shared" si="0"/>
        <v>0.67184445145637106</v>
      </c>
      <c r="E251" s="437">
        <f t="shared" si="1"/>
        <v>0.32066678482429728</v>
      </c>
      <c r="F251" s="64">
        <f t="shared" si="2"/>
        <v>2.1291157719041234</v>
      </c>
    </row>
    <row r="252" spans="3:9" hidden="1" x14ac:dyDescent="0.35">
      <c r="C252" s="437">
        <f t="shared" si="3"/>
        <v>4.1083288206557093E-2</v>
      </c>
      <c r="D252" s="437">
        <f t="shared" si="0"/>
        <v>0.8216657641311419</v>
      </c>
      <c r="E252" s="437">
        <f t="shared" si="1"/>
        <v>0.36665560926316099</v>
      </c>
      <c r="F252" s="64">
        <f t="shared" si="2"/>
        <v>2.4344655495487437</v>
      </c>
    </row>
    <row r="253" spans="3:9" hidden="1" x14ac:dyDescent="0.35">
      <c r="C253" s="437">
        <f t="shared" si="3"/>
        <v>5.0244861476619329E-2</v>
      </c>
      <c r="D253" s="437">
        <f t="shared" si="0"/>
        <v>1.0048972295323866</v>
      </c>
      <c r="E253" s="437">
        <f t="shared" si="1"/>
        <v>0.41864075278370794</v>
      </c>
      <c r="F253" s="64">
        <f t="shared" si="2"/>
        <v>2.7796287975444542</v>
      </c>
    </row>
    <row r="254" spans="3:9" hidden="1" x14ac:dyDescent="0.35">
      <c r="C254" s="437">
        <f t="shared" si="3"/>
        <v>6.1449465585905444E-2</v>
      </c>
      <c r="D254" s="437">
        <f t="shared" si="0"/>
        <v>1.228989311718109</v>
      </c>
      <c r="E254" s="437">
        <f t="shared" si="1"/>
        <v>0.47638277659598116</v>
      </c>
      <c r="F254" s="64">
        <f t="shared" si="2"/>
        <v>3.163015725715816</v>
      </c>
    </row>
    <row r="255" spans="3:9" hidden="1" x14ac:dyDescent="0.35">
      <c r="C255" s="437">
        <f t="shared" si="3"/>
        <v>7.5152696411562359E-2</v>
      </c>
      <c r="D255" s="437">
        <f t="shared" si="0"/>
        <v>1.5030539282312472</v>
      </c>
      <c r="E255" s="437">
        <f t="shared" si="1"/>
        <v>0.53915950884742259</v>
      </c>
      <c r="F255" s="64">
        <f t="shared" si="2"/>
        <v>3.5798313644742294</v>
      </c>
    </row>
    <row r="256" spans="3:9" hidden="1" x14ac:dyDescent="0.35">
      <c r="C256" s="437">
        <f t="shared" si="3"/>
        <v>9.1911747711340766E-2</v>
      </c>
      <c r="D256" s="437">
        <f t="shared" si="0"/>
        <v>1.8382349542268153</v>
      </c>
      <c r="E256" s="437">
        <f t="shared" si="1"/>
        <v>0.60564597129814379</v>
      </c>
      <c r="F256" s="64">
        <f t="shared" si="2"/>
        <v>4.0212783197599329</v>
      </c>
    </row>
    <row r="257" spans="3:6" hidden="1" x14ac:dyDescent="0.35">
      <c r="C257" s="437">
        <f t="shared" si="3"/>
        <v>0.11240806745096976</v>
      </c>
      <c r="D257" s="437">
        <f t="shared" si="0"/>
        <v>2.2481613490193952</v>
      </c>
      <c r="E257" s="437">
        <f t="shared" si="1"/>
        <v>0.67384421524251781</v>
      </c>
      <c r="F257" s="64">
        <f t="shared" si="2"/>
        <v>4.4740909079975699</v>
      </c>
    </row>
    <row r="258" spans="3:6" hidden="1" x14ac:dyDescent="0.35">
      <c r="C258" s="437">
        <f t="shared" si="3"/>
        <v>0.13747506649253602</v>
      </c>
      <c r="D258" s="437">
        <f t="shared" si="0"/>
        <v>2.7495013298507205</v>
      </c>
      <c r="E258" s="437">
        <f t="shared" si="1"/>
        <v>0.741117165776638</v>
      </c>
      <c r="F258" s="64">
        <f t="shared" si="2"/>
        <v>4.9207598702451012</v>
      </c>
    </row>
    <row r="259" spans="3:6" hidden="1" x14ac:dyDescent="0.35">
      <c r="C259" s="437">
        <f t="shared" si="3"/>
        <v>0.16813200632037156</v>
      </c>
      <c r="D259" s="437">
        <f t="shared" si="0"/>
        <v>3.362640126407431</v>
      </c>
      <c r="E259" s="437">
        <f t="shared" si="1"/>
        <v>0.80438465077858701</v>
      </c>
      <c r="F259" s="64">
        <f t="shared" si="2"/>
        <v>5.3408339363513413</v>
      </c>
    </row>
    <row r="260" spans="3:6" hidden="1" x14ac:dyDescent="0.35">
      <c r="C260" s="437">
        <f t="shared" si="3"/>
        <v>0.20562544372981445</v>
      </c>
      <c r="D260" s="437">
        <f t="shared" si="0"/>
        <v>4.1125088745962888</v>
      </c>
      <c r="E260" s="437">
        <f t="shared" si="1"/>
        <v>0.86051744694941623</v>
      </c>
      <c r="F260" s="64">
        <f t="shared" si="2"/>
        <v>5.7135361534327789</v>
      </c>
    </row>
    <row r="261" spans="3:6" hidden="1" x14ac:dyDescent="0.35">
      <c r="C261" s="437">
        <f t="shared" si="3"/>
        <v>0.25147991768156308</v>
      </c>
      <c r="D261" s="437">
        <f t="shared" si="0"/>
        <v>5.0295983536312612</v>
      </c>
      <c r="E261" s="437">
        <f t="shared" si="1"/>
        <v>0.90690202499088868</v>
      </c>
      <c r="F261" s="64">
        <f t="shared" si="2"/>
        <v>6.0215135971687399</v>
      </c>
    </row>
    <row r="262" spans="3:6" hidden="1" x14ac:dyDescent="0.35">
      <c r="C262" s="437">
        <f t="shared" si="3"/>
        <v>0.30755993932455167</v>
      </c>
      <c r="D262" s="437">
        <f t="shared" si="0"/>
        <v>6.1511987864910331</v>
      </c>
      <c r="E262" s="437">
        <f t="shared" si="1"/>
        <v>0.94204721503533206</v>
      </c>
      <c r="F262" s="64">
        <f t="shared" si="2"/>
        <v>6.2548654189709039</v>
      </c>
    </row>
    <row r="263" spans="3:6" hidden="1" x14ac:dyDescent="0.35">
      <c r="C263" s="437">
        <f t="shared" si="3"/>
        <v>0.3761458057939267</v>
      </c>
      <c r="D263" s="437">
        <f t="shared" si="0"/>
        <v>7.5229161158785338</v>
      </c>
      <c r="E263" s="437">
        <f t="shared" si="1"/>
        <v>0.96600482855248349</v>
      </c>
      <c r="F263" s="64">
        <f t="shared" si="2"/>
        <v>6.413935628953829</v>
      </c>
    </row>
    <row r="264" spans="3:6" hidden="1" x14ac:dyDescent="0.35">
      <c r="C264" s="437">
        <f t="shared" si="3"/>
        <v>0.46002632048597236</v>
      </c>
      <c r="D264" s="437">
        <f t="shared" si="0"/>
        <v>9.2005264097194477</v>
      </c>
      <c r="E264" s="437">
        <f t="shared" si="1"/>
        <v>0.98036263797587853</v>
      </c>
      <c r="F264" s="64">
        <f t="shared" si="2"/>
        <v>6.5092664830991813</v>
      </c>
    </row>
    <row r="265" spans="3:6" hidden="1" x14ac:dyDescent="0.35">
      <c r="C265" s="437">
        <f t="shared" si="3"/>
        <v>0.56261218995434426</v>
      </c>
      <c r="D265" s="437">
        <f t="shared" si="0"/>
        <v>11.252243799086886</v>
      </c>
      <c r="E265" s="437">
        <f t="shared" si="1"/>
        <v>0.98771879146038122</v>
      </c>
      <c r="F265" s="64">
        <f t="shared" si="2"/>
        <v>6.5581087802924616</v>
      </c>
    </row>
    <row r="266" spans="3:6" hidden="1" x14ac:dyDescent="0.35">
      <c r="C266" s="437">
        <f t="shared" si="3"/>
        <v>0.68807470831416306</v>
      </c>
      <c r="D266" s="437">
        <f t="shared" si="0"/>
        <v>13.761494166283262</v>
      </c>
      <c r="E266" s="437">
        <f t="shared" si="1"/>
        <v>0.9908335261376503</v>
      </c>
      <c r="F266" s="64">
        <f t="shared" si="2"/>
        <v>6.578789533774005</v>
      </c>
    </row>
    <row r="267" spans="3:6" hidden="1" x14ac:dyDescent="0.35">
      <c r="C267" s="437">
        <f t="shared" si="3"/>
        <v>0.84151536826822149</v>
      </c>
      <c r="D267" s="437">
        <f t="shared" si="0"/>
        <v>16.83030736536443</v>
      </c>
      <c r="E267" s="437">
        <f t="shared" si="1"/>
        <v>0.99187972687981774</v>
      </c>
      <c r="F267" s="64">
        <f t="shared" si="2"/>
        <v>6.5857359423393538</v>
      </c>
    </row>
    <row r="268" spans="3:6" hidden="1" x14ac:dyDescent="0.35">
      <c r="C268" s="437">
        <f t="shared" si="3"/>
        <v>1.0291732953920349</v>
      </c>
      <c r="D268" s="437">
        <f t="shared" si="0"/>
        <v>20.583465907840697</v>
      </c>
      <c r="E268" s="437">
        <f t="shared" si="1"/>
        <v>0.99214504189152686</v>
      </c>
      <c r="F268" s="64">
        <f t="shared" si="2"/>
        <v>6.5874975416152575</v>
      </c>
    </row>
    <row r="269" spans="3:6" hidden="1" x14ac:dyDescent="0.35">
      <c r="C269" s="437">
        <f t="shared" si="3"/>
        <v>1.2586789402644589</v>
      </c>
      <c r="D269" s="437">
        <f t="shared" si="0"/>
        <v>25.173578805289178</v>
      </c>
      <c r="E269" s="437">
        <f t="shared" si="1"/>
        <v>0.99219290045004582</v>
      </c>
      <c r="F269" s="64">
        <f t="shared" si="2"/>
        <v>6.5878153057760178</v>
      </c>
    </row>
  </sheetData>
  <sheetProtection algorithmName="SHA-512" hashValue="Yf7rTHtE7dF+/ScwxC9grCoaXDfVfd0n3d/9QUf9vTODHwBJK779BZIcTZF/uzW+k0eGCG28SszBBTs5Fnfnzg==" saltValue="+zsY4gfZy9HYACrYulwe+A==" spinCount="100000" sheet="1" objects="1" scenarios="1"/>
  <mergeCells count="1">
    <mergeCell ref="F60:H61"/>
  </mergeCells>
  <conditionalFormatting sqref="C43:E44">
    <cfRule type="expression" dxfId="38" priority="5">
      <formula>$D$42</formula>
    </cfRule>
  </conditionalFormatting>
  <conditionalFormatting sqref="C56:E56 E57">
    <cfRule type="expression" dxfId="37" priority="3">
      <formula>$D$42</formula>
    </cfRule>
  </conditionalFormatting>
  <conditionalFormatting sqref="C116:E116">
    <cfRule type="expression" dxfId="36" priority="13">
      <formula>($D$11)</formula>
    </cfRule>
  </conditionalFormatting>
  <conditionalFormatting sqref="C128:E128">
    <cfRule type="expression" dxfId="35" priority="10">
      <formula>$D$11</formula>
    </cfRule>
  </conditionalFormatting>
  <conditionalFormatting sqref="C33:F35 C37:F37">
    <cfRule type="expression" dxfId="34" priority="6" stopIfTrue="1">
      <formula>($D$32="Internal")</formula>
    </cfRule>
  </conditionalFormatting>
  <conditionalFormatting sqref="C50:F51">
    <cfRule type="expression" dxfId="33" priority="4" stopIfTrue="1">
      <formula>$D$42</formula>
    </cfRule>
  </conditionalFormatting>
  <conditionalFormatting sqref="C106:F106">
    <cfRule type="expression" dxfId="32" priority="11">
      <formula>($D$11)</formula>
    </cfRule>
  </conditionalFormatting>
  <conditionalFormatting sqref="C108:F109">
    <cfRule type="expression" dxfId="31" priority="12">
      <formula>OR(NOT($D$107),$D$11)</formula>
    </cfRule>
  </conditionalFormatting>
  <conditionalFormatting sqref="C223:F223">
    <cfRule type="expression" dxfId="30" priority="1">
      <formula>$D$217</formula>
    </cfRule>
  </conditionalFormatting>
  <conditionalFormatting sqref="D34">
    <cfRule type="expression" dxfId="29" priority="7">
      <formula>$D$34&gt;$D$33</formula>
    </cfRule>
  </conditionalFormatting>
  <conditionalFormatting sqref="D50">
    <cfRule type="cellIs" dxfId="28" priority="14" operator="lessThan">
      <formula>0.8</formula>
    </cfRule>
  </conditionalFormatting>
  <conditionalFormatting sqref="D220">
    <cfRule type="expression" dxfId="27" priority="23">
      <formula>$D$217</formula>
    </cfRule>
  </conditionalFormatting>
  <conditionalFormatting sqref="D226">
    <cfRule type="cellIs" dxfId="26" priority="21" operator="greaterThan">
      <formula>42</formula>
    </cfRule>
    <cfRule type="cellIs" dxfId="25" priority="22" operator="greaterThan">
      <formula>40</formula>
    </cfRule>
  </conditionalFormatting>
  <conditionalFormatting sqref="E141:E145">
    <cfRule type="expression" dxfId="24" priority="17">
      <formula>#REF!&lt;0</formula>
    </cfRule>
  </conditionalFormatting>
  <conditionalFormatting sqref="E183">
    <cfRule type="expression" dxfId="23" priority="20">
      <formula>$D$184&lt;0</formula>
    </cfRule>
  </conditionalFormatting>
  <conditionalFormatting sqref="F116:H116">
    <cfRule type="expression" dxfId="22" priority="2">
      <formula>$D$11</formula>
    </cfRule>
  </conditionalFormatting>
  <dataValidations count="36">
    <dataValidation type="list" allowBlank="1" showInputMessage="1" showErrorMessage="1" sqref="C50" xr:uid="{00000000-0002-0000-0600-000000000000}">
      <formula1>"Sensor Q,Sensor RP"</formula1>
    </dataValidation>
    <dataValidation type="decimal" errorStyle="warning" allowBlank="1" showInputMessage="1" showErrorMessage="1" errorTitle="Extreme value" error="This value is extreme and corresponds either to a very poor sensor or an unachievable sensor. Please verify this value." sqref="D50" xr:uid="{00000000-0002-0000-0600-000001000000}">
      <formula1>0.5</formula1>
      <formula2>500</formula2>
    </dataValidation>
    <dataValidation errorStyle="warning" allowBlank="1" showInputMessage="1" showErrorMessage="1" errorTitle="Invalid Sensor Frequency" error="The LDC is limited to sensor frequencies of 10kHz to 10MHz." sqref="D51 D83" xr:uid="{00000000-0002-0000-0600-000002000000}"/>
    <dataValidation type="decimal" allowBlank="1" showInputMessage="1" showErrorMessage="1" sqref="D182" xr:uid="{00000000-0002-0000-0600-000003000000}">
      <formula1>48</formula1>
      <formula2>1048560</formula2>
    </dataValidation>
    <dataValidation errorStyle="information" allowBlank="1" showInputMessage="1" showErrorMessage="1" errorTitle="Sensor Amplitude" error="The sensor amplitude should be between 0.1V and 1.8V." sqref="D84:D85" xr:uid="{00000000-0002-0000-0600-000004000000}"/>
    <dataValidation type="decimal" errorStyle="information" allowBlank="1" showInputMessage="1" showErrorMessage="1" errorTitle="Sample Rate out of bounds" error="The sample rate is either extremely low - use the shutdown mode, or the sample rate needed cannot use the low power modes." sqref="D183" xr:uid="{00000000-0002-0000-0600-000005000000}">
      <formula1>0.1</formula1>
      <formula2>800</formula2>
    </dataValidation>
    <dataValidation errorStyle="warning" allowBlank="1" showInputMessage="1" showErrorMessage="1" errorTitle="Sample Rate out of bounds" error="The sample rate is either extremely low - use the shutdown mode, or the sample rate needed cannot use the low power modes." sqref="D100" xr:uid="{00000000-0002-0000-0600-000006000000}"/>
    <dataValidation errorStyle="warning" allowBlank="1" showInputMessage="1" showErrorMessage="1" errorTitle="Invalid I2C datarate" error="The LDC can support a datarate of up to 400kbit/s." sqref="D174 D94:D96 D52:D55 D82 D62:D73 D98:D99 D101:D104 D111:D116 D118:D137 D186:D187" xr:uid="{00000000-0002-0000-0600-000007000000}"/>
    <dataValidation type="decimal" allowBlank="1" showInputMessage="1" showErrorMessage="1" sqref="D222" xr:uid="{00000000-0002-0000-0600-000008000000}">
      <formula1>0</formula1>
      <formula2>D219</formula2>
    </dataValidation>
    <dataValidation type="list" allowBlank="1" showInputMessage="1" showErrorMessage="1" sqref="E221 E223" xr:uid="{00000000-0002-0000-0600-000009000000}">
      <formula1>"Hex,decimal"</formula1>
    </dataValidation>
    <dataValidation type="whole" allowBlank="1" showInputMessage="1" showErrorMessage="1" sqref="D224" xr:uid="{00000000-0002-0000-0600-00000A000000}">
      <formula1>0</formula1>
      <formula2>20000000</formula2>
    </dataValidation>
    <dataValidation allowBlank="1" showInputMessage="1" showErrorMessage="1" errorTitle="Invalid Output Code" error="The output code must be between 0 and the full-scale output code." sqref="D221" xr:uid="{00000000-0002-0000-0600-00000B000000}"/>
    <dataValidation type="list" allowBlank="1" showInputMessage="1" showErrorMessage="1" errorTitle="Incorrect Gain Setting" sqref="D220" xr:uid="{00000000-0002-0000-0600-00000C000000}">
      <formula1>"0,2,3,4"</formula1>
    </dataValidation>
    <dataValidation type="list" errorStyle="warning" operator="lessThanOrEqual" allowBlank="1" showInputMessage="1" showErrorMessage="1" errorTitle="Frequency too High" error="The Multichannel LDC devices have a FIN divider between 1 and 15." sqref="D228" xr:uid="{00000000-0002-0000-0600-00000D000000}">
      <formula1>"1,2,3,4,5,6,7,8,9,10,11,12,13,14,15"</formula1>
    </dataValidation>
    <dataValidation type="decimal" errorStyle="warning" allowBlank="1" showInputMessage="1" showErrorMessage="1" errorTitle="Frequency too High" error="The Multichannel LDC devices have a maximum CLKIN divider 1023." sqref="D227" xr:uid="{00000000-0002-0000-0600-00000E000000}">
      <formula1>1</formula1>
      <formula2>1023</formula2>
    </dataValidation>
    <dataValidation type="decimal" allowBlank="1" showInputMessage="1" showErrorMessage="1" errorTitle="Invalid setting" error="The Offset register programmed value can only be between 0 and 65535." sqref="D223 D225" xr:uid="{00000000-0002-0000-0600-00000F000000}">
      <formula1>0</formula1>
      <formula2>65535</formula2>
    </dataValidation>
    <dataValidation type="list" allowBlank="1" showInputMessage="1" showErrorMessage="1" sqref="D216" xr:uid="{00000000-0002-0000-0600-000010000000}">
      <formula1>"LDC131x,LDC161x"</formula1>
    </dataValidation>
    <dataValidation type="decimal" errorStyle="warning" operator="lessThanOrEqual" allowBlank="1" showInputMessage="1" showErrorMessage="1" errorTitle="Frequency too High" error="This exceeds the maximum CLKIN frequency." sqref="D226" xr:uid="{00000000-0002-0000-0600-000011000000}">
      <formula1>D225</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218" xr:uid="{00000000-0002-0000-0600-000012000000}">
      <formula1>80</formula1>
    </dataValidation>
    <dataValidation type="list" errorStyle="warning" allowBlank="1" showInputMessage="1" showErrorMessage="1" errorTitle="Incorrect number of channels" error="The LDC does not have this number of channels." sqref="D184" xr:uid="{00000000-0002-0000-0600-000013000000}">
      <formula1>"1,2,3,4"</formula1>
    </dataValidation>
    <dataValidation type="decimal" errorStyle="warning" allowBlank="1" showInputMessage="1" showErrorMessage="1" errorTitle="Invalid I2C datarate" error="The LDC can support a datarate of up to 400kbit/s." sqref="D185" xr:uid="{00000000-0002-0000-0600-000014000000}">
      <formula1>1</formula1>
      <formula2>400</formula2>
    </dataValidation>
    <dataValidation type="list" allowBlank="1" showInputMessage="1" showErrorMessage="1" sqref="D7" xr:uid="{00000000-0002-0000-0600-000015000000}">
      <formula1>"LDC1312,LDC1314,LDC1612,LDC1614"</formula1>
    </dataValidation>
    <dataValidation type="list" allowBlank="1" showInputMessage="1" showErrorMessage="1" sqref="D9" xr:uid="{00000000-0002-0000-0600-000016000000}">
      <formula1>$D$13:$D$19</formula1>
    </dataValidation>
    <dataValidation type="list" allowBlank="1" showInputMessage="1" showErrorMessage="1" sqref="D32" xr:uid="{00000000-0002-0000-0600-000017000000}">
      <formula1>"Internal, External"</formula1>
    </dataValidation>
    <dataValidation errorStyle="information" allowBlank="1" showInputMessage="1" showErrorMessage="1" errorTitle="Sample Rate out of bounds" error="The sample rate is either extremely low - use the shutdown mode, or the sample rate needed cannot use the low power modes." sqref="D144:D145" xr:uid="{00000000-0002-0000-0600-000018000000}"/>
    <dataValidation type="whole" errorStyle="warning" allowBlank="1" showInputMessage="1" showErrorMessage="1" errorTitle="Invalid Reference Frequency" error="The Reference frequency must be greater than the sensor frequency and not greater than 40MHz." sqref="D181" xr:uid="{00000000-0002-0000-0600-000019000000}">
      <formula1>#REF!</formula1>
      <formula2>40</formula2>
    </dataValidation>
    <dataValidation type="decimal" allowBlank="1" showInputMessage="1" showErrorMessage="1" sqref="D74" xr:uid="{00000000-0002-0000-0600-00001A000000}">
      <formula1>0.000001</formula1>
      <formula2>1</formula2>
    </dataValidation>
    <dataValidation errorStyle="warning" allowBlank="1" showInputMessage="1" showErrorMessage="1" errorTitle="Sensor Frequency too high" error="The Sensor frequency cannot exceed the IC Max Frequency" sqref="D76" xr:uid="{00000000-0002-0000-0600-00001B000000}"/>
    <dataValidation type="decimal" errorStyle="warning" allowBlank="1" showInputMessage="1" showErrorMessage="1" errorTitle="Distance Out of range" error="This distance is not recommended. " sqref="D60:D61" xr:uid="{00000000-0002-0000-0600-00001C000000}">
      <formula1>0.01</formula1>
      <formula2>100</formula2>
    </dataValidation>
    <dataValidation type="decimal" errorStyle="warning" allowBlank="1" showInputMessage="1" showErrorMessage="1" errorTitle="Extreme size for sensor" error="This sensor size may be too small to support or is extremely large." sqref="D56:D59" xr:uid="{00000000-0002-0000-0600-00001D000000}">
      <formula1>2</formula1>
      <formula2>200</formula2>
    </dataValidation>
    <dataValidation type="list" showInputMessage="1" showErrorMessage="1" sqref="E96" xr:uid="{00000000-0002-0000-0600-00001E000000}">
      <formula1>"steps,bits,µm,RCOUNT"</formula1>
    </dataValidation>
    <dataValidation type="whole" errorStyle="warning" allowBlank="1" showInputMessage="1" showErrorMessage="1" errorTitle="Invalid output code" error="Please enter tle LDC131x output code in Decimal." sqref="D108:D109" xr:uid="{00000000-0002-0000-0600-00001F000000}">
      <formula1>0</formula1>
      <formula2>4095</formula2>
    </dataValidation>
    <dataValidation type="list" allowBlank="1" showInputMessage="1" showErrorMessage="1" sqref="D106" xr:uid="{00000000-0002-0000-0600-000020000000}">
      <formula1>"Estimated,Actual"</formula1>
    </dataValidation>
    <dataValidation errorStyle="warning" allowBlank="1" showInputMessage="1" showErrorMessage="1" errorTitle="Invalid output code" error="Please enter tle LDC131x output code in Decimal." sqref="D110" xr:uid="{00000000-0002-0000-0600-000021000000}"/>
    <dataValidation type="decimal" errorStyle="warning" allowBlank="1" showInputMessage="1" showErrorMessage="1" errorTitle="Possible Invalid Reference Freq" error="The Reference Frequency must be greater than the Sensor frequency and also must not exceed the LDC maximum reference frequency." sqref="D38" xr:uid="{00000000-0002-0000-0600-000022000000}">
      <formula1>1</formula1>
      <formula2>D34</formula2>
    </dataValidation>
    <dataValidation type="decimal" errorStyle="warning" allowBlank="1" showInputMessage="1" showErrorMessage="1" errorTitle="Possible Invalid Reference Freq" error="The Reference Frequency must not exceed the LDC maximum reference frequency." sqref="D34" xr:uid="{00000000-0002-0000-0600-000023000000}">
      <formula1>1</formula1>
      <formula2>D33</formula2>
    </dataValidation>
  </dataValidations>
  <hyperlinks>
    <hyperlink ref="E4" location="Contents!A1" display="Return to Main Page" xr:uid="{00000000-0004-0000-0600-000000000000}"/>
    <hyperlink ref="D179" r:id="rId1" xr:uid="{00000000-0004-0000-0600-000001000000}"/>
    <hyperlink ref="G43" location="Spiral_Inductor_Designer!A1" display="Spiral Inductor Designer" xr:uid="{00000000-0004-0000-0600-000002000000}"/>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6</xdr:col>
                <xdr:colOff>114300</xdr:colOff>
                <xdr:row>3</xdr:row>
                <xdr:rowOff>165100</xdr:rowOff>
              </from>
              <to>
                <xdr:col>7</xdr:col>
                <xdr:colOff>152400</xdr:colOff>
                <xdr:row>6</xdr:row>
                <xdr:rowOff>171450</xdr:rowOff>
              </to>
            </anchor>
          </objectPr>
        </oleObject>
      </mc:Choice>
      <mc:Fallback>
        <oleObject progId="Acrobat Document" dvAspect="DVASPECT_ICON" shapeId="96626" r:id="rId5"/>
      </mc:Fallback>
    </mc:AlternateContent>
  </oleObjects>
  <mc:AlternateContent xmlns:mc="http://schemas.openxmlformats.org/markup-compatibility/2006">
    <mc:Choice Requires="x14">
      <controls>
        <mc:AlternateContent xmlns:mc="http://schemas.openxmlformats.org/markup-compatibility/2006">
          <mc:Choice Requires="x14">
            <control shapeId="96373" r:id="rId7" name="Check Box 117">
              <controlPr locked="0" defaultSize="0" autoFill="0" autoLine="0" autoPict="0" altText="Enable Ch0">
                <anchor moveWithCells="1">
                  <from>
                    <xdr:col>4</xdr:col>
                    <xdr:colOff>355600</xdr:colOff>
                    <xdr:row>42</xdr:row>
                    <xdr:rowOff>12700</xdr:rowOff>
                  </from>
                  <to>
                    <xdr:col>6</xdr:col>
                    <xdr:colOff>19050</xdr:colOff>
                    <xdr:row>43</xdr:row>
                    <xdr:rowOff>0</xdr:rowOff>
                  </to>
                </anchor>
              </controlPr>
            </control>
          </mc:Choice>
        </mc:AlternateContent>
        <mc:AlternateContent xmlns:mc="http://schemas.openxmlformats.org/markup-compatibility/2006">
          <mc:Choice Requires="x14">
            <control shapeId="96625" r:id="rId8" name="Check Box 369">
              <controlPr locked="0" defaultSize="0" print="0" autoFill="0" autoLine="0" autoPict="0" altText="Lock Gain at 1x">
                <anchor moveWithCells="1">
                  <from>
                    <xdr:col>4</xdr:col>
                    <xdr:colOff>431800</xdr:colOff>
                    <xdr:row>112</xdr:row>
                    <xdr:rowOff>12700</xdr:rowOff>
                  </from>
                  <to>
                    <xdr:col>6</xdr:col>
                    <xdr:colOff>685800</xdr:colOff>
                    <xdr:row>127</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4" tint="0.59999389629810485"/>
  </sheetPr>
  <dimension ref="A2:AV223"/>
  <sheetViews>
    <sheetView showGridLines="0" showRowColHeaders="0" zoomScale="85" zoomScaleNormal="85" workbookViewId="0">
      <selection activeCell="E6" sqref="E6"/>
    </sheetView>
  </sheetViews>
  <sheetFormatPr defaultColWidth="9.1796875" defaultRowHeight="14.5" x14ac:dyDescent="0.35"/>
  <cols>
    <col min="2" max="2" width="38.1796875" customWidth="1"/>
    <col min="3" max="3" width="10.81640625" customWidth="1"/>
    <col min="4" max="4" width="7.1796875" customWidth="1"/>
    <col min="5" max="5" width="48.81640625" customWidth="1"/>
    <col min="6" max="6" width="0" hidden="1" customWidth="1"/>
    <col min="7" max="36" width="9.1796875" hidden="1" customWidth="1"/>
  </cols>
  <sheetData>
    <row r="2" spans="2:18" ht="18.5" x14ac:dyDescent="0.45">
      <c r="B2" s="3" t="s">
        <v>445</v>
      </c>
      <c r="D2" s="126" t="s">
        <v>198</v>
      </c>
    </row>
    <row r="3" spans="2:18" ht="15.5" x14ac:dyDescent="0.35">
      <c r="B3" s="4" t="s">
        <v>446</v>
      </c>
    </row>
    <row r="4" spans="2:18" ht="15.5" x14ac:dyDescent="0.35">
      <c r="B4" s="4" t="s">
        <v>447</v>
      </c>
    </row>
    <row r="5" spans="2:18" ht="15.5" x14ac:dyDescent="0.35">
      <c r="B5" s="127"/>
      <c r="R5" s="1"/>
    </row>
    <row r="6" spans="2:18" ht="15.5" x14ac:dyDescent="0.35">
      <c r="B6" s="16" t="s">
        <v>739</v>
      </c>
      <c r="R6" s="1"/>
    </row>
    <row r="7" spans="2:18" x14ac:dyDescent="0.35">
      <c r="B7" s="115" t="s">
        <v>406</v>
      </c>
      <c r="C7" s="35">
        <v>3.3</v>
      </c>
      <c r="D7" s="8" t="s">
        <v>377</v>
      </c>
    </row>
    <row r="8" spans="2:18" hidden="1" x14ac:dyDescent="0.35">
      <c r="B8" s="115" t="s">
        <v>441</v>
      </c>
      <c r="C8" s="123">
        <f>IF(C7=1.8,4.35,6)</f>
        <v>6</v>
      </c>
      <c r="D8" s="8" t="s">
        <v>244</v>
      </c>
    </row>
    <row r="9" spans="2:18" hidden="1" x14ac:dyDescent="0.35">
      <c r="B9" s="115" t="s">
        <v>734</v>
      </c>
      <c r="C9" s="322">
        <f>1000/(4.83*19*C8)</f>
        <v>1.8161345392466675</v>
      </c>
      <c r="D9" s="128" t="s">
        <v>96</v>
      </c>
    </row>
    <row r="10" spans="2:18" ht="15.5" x14ac:dyDescent="0.35">
      <c r="B10" s="115" t="s">
        <v>278</v>
      </c>
      <c r="C10" s="40">
        <v>6</v>
      </c>
      <c r="D10" s="128" t="s">
        <v>96</v>
      </c>
      <c r="E10" s="127" t="str">
        <f>IF(C10&lt;C9,CONCATENATE("Inductance is below acceptable minimum of ",ROUND(C9,2),"µH"),"")</f>
        <v/>
      </c>
    </row>
    <row r="11" spans="2:18" ht="16.5" x14ac:dyDescent="0.45">
      <c r="B11" s="115" t="s">
        <v>443</v>
      </c>
      <c r="C11" s="122">
        <v>33</v>
      </c>
      <c r="D11" s="128" t="s">
        <v>27</v>
      </c>
      <c r="E11" s="68"/>
    </row>
    <row r="12" spans="2:18" ht="16.5" x14ac:dyDescent="0.45">
      <c r="B12" s="115" t="s">
        <v>444</v>
      </c>
      <c r="C12" s="122">
        <v>12</v>
      </c>
      <c r="D12" s="115" t="s">
        <v>27</v>
      </c>
    </row>
    <row r="13" spans="2:18" ht="16.5" x14ac:dyDescent="0.45">
      <c r="B13" s="115" t="s">
        <v>450</v>
      </c>
      <c r="C13" s="273">
        <f>C11+C12+12</f>
        <v>57</v>
      </c>
      <c r="D13" s="115" t="s">
        <v>27</v>
      </c>
      <c r="E13" s="68" t="str">
        <f>IF(C13&lt;33,"Total Sensor Capacitance is less than minimum of 33pF","Includes 12pF on LCOM pin")</f>
        <v>Includes 12pF on LCOM pin</v>
      </c>
    </row>
    <row r="14" spans="2:18" ht="15.5" x14ac:dyDescent="0.35">
      <c r="B14" s="115" t="s">
        <v>2</v>
      </c>
      <c r="C14" s="129">
        <f>1000/(SQRT(2)*PI()*SQRT(C13*C10))</f>
        <v>12.170882689518223</v>
      </c>
      <c r="D14" s="115" t="s">
        <v>0</v>
      </c>
      <c r="E14" s="127" t="str">
        <f>IF(C14&gt;19,"Sensor Frequency exceeds maximum of 19MHz; increase Csensor",IF(C14&lt;0.3,"Sensor Frequency below minimum of 300kHz",""))</f>
        <v/>
      </c>
    </row>
    <row r="15" spans="2:18" x14ac:dyDescent="0.35">
      <c r="B15" s="115" t="s">
        <v>425</v>
      </c>
      <c r="C15" s="130">
        <f>1000000/(231*C14)</f>
        <v>355.68532204591401</v>
      </c>
      <c r="D15" s="128" t="s">
        <v>222</v>
      </c>
    </row>
    <row r="16" spans="2:18" x14ac:dyDescent="0.35">
      <c r="B16" s="115" t="s">
        <v>424</v>
      </c>
      <c r="C16" s="129">
        <f>1000/C15</f>
        <v>2.8114739012787093</v>
      </c>
      <c r="D16" s="115" t="s">
        <v>202</v>
      </c>
    </row>
    <row r="17" spans="2:5" ht="16.5" hidden="1" x14ac:dyDescent="0.45">
      <c r="B17" t="s">
        <v>410</v>
      </c>
      <c r="C17" s="60">
        <f>0.7*10^-3</f>
        <v>6.9999999999999999E-4</v>
      </c>
      <c r="D17" t="s">
        <v>411</v>
      </c>
    </row>
    <row r="18" spans="2:5" ht="16.5" hidden="1" x14ac:dyDescent="0.45">
      <c r="B18" t="s">
        <v>412</v>
      </c>
      <c r="C18" s="60">
        <f>24.262*10^-12*C14*10^6+1.5*C14*10^6*C12*10^-12</f>
        <v>5.1436584422441913E-4</v>
      </c>
      <c r="D18" t="s">
        <v>411</v>
      </c>
    </row>
    <row r="19" spans="2:5" ht="16.5" x14ac:dyDescent="0.45">
      <c r="B19" s="8" t="s">
        <v>741</v>
      </c>
      <c r="C19" s="324">
        <f>1000/(17.1*C14*C10)</f>
        <v>0.80081198238407536</v>
      </c>
      <c r="D19" s="8" t="s">
        <v>244</v>
      </c>
      <c r="E19" s="68" t="str">
        <f>IF(C19&gt;C8,"Isensor limited to "&amp;C8&amp;"mA; decrease Csensor","")</f>
        <v/>
      </c>
    </row>
    <row r="20" spans="2:5" ht="16.5" x14ac:dyDescent="0.45">
      <c r="B20" s="8" t="s">
        <v>1419</v>
      </c>
      <c r="C20" s="324">
        <f>1000*(C19/1000+C17+C18)</f>
        <v>2.0151778266084945</v>
      </c>
      <c r="D20" s="8" t="s">
        <v>244</v>
      </c>
      <c r="E20" s="68"/>
    </row>
    <row r="21" spans="2:5" x14ac:dyDescent="0.35">
      <c r="C21" s="323"/>
    </row>
    <row r="22" spans="2:5" ht="15.5" x14ac:dyDescent="0.35">
      <c r="B22" s="16" t="s">
        <v>740</v>
      </c>
      <c r="C22" s="323"/>
    </row>
    <row r="23" spans="2:5" x14ac:dyDescent="0.35">
      <c r="B23" s="115" t="s">
        <v>403</v>
      </c>
      <c r="C23" s="124">
        <v>9</v>
      </c>
      <c r="D23" s="35" t="s">
        <v>34</v>
      </c>
    </row>
    <row r="24" spans="2:5" hidden="1" x14ac:dyDescent="0.35">
      <c r="B24" s="115" t="s">
        <v>407</v>
      </c>
      <c r="C24" s="125">
        <f>IF(D23="mm",C23,C23*0.0254)</f>
        <v>9</v>
      </c>
      <c r="D24" s="326" t="s">
        <v>34</v>
      </c>
    </row>
    <row r="25" spans="2:5" x14ac:dyDescent="0.35">
      <c r="B25" s="115" t="s">
        <v>433</v>
      </c>
      <c r="C25" s="124">
        <v>1.2</v>
      </c>
      <c r="D25" s="203" t="s">
        <v>34</v>
      </c>
      <c r="E25" s="68"/>
    </row>
    <row r="26" spans="2:5" hidden="1" x14ac:dyDescent="0.35">
      <c r="B26" s="115" t="s">
        <v>408</v>
      </c>
      <c r="C26" s="274">
        <f>IF(D25="mm",C25,C25*0.0254)</f>
        <v>1.2</v>
      </c>
      <c r="D26" s="8" t="s">
        <v>34</v>
      </c>
    </row>
    <row r="27" spans="2:5" hidden="1" x14ac:dyDescent="0.35">
      <c r="B27" s="115" t="s">
        <v>421</v>
      </c>
      <c r="C27" s="96">
        <f>C26/C24</f>
        <v>0.13333333333333333</v>
      </c>
      <c r="D27" s="8"/>
    </row>
    <row r="28" spans="2:5" hidden="1" x14ac:dyDescent="0.35">
      <c r="B28" s="8" t="s">
        <v>422</v>
      </c>
      <c r="C28" s="272">
        <f>(0.00406832344757895+15.5588911/(1+(C23/0.0358077078721068)^0.865185989584669))+(0.973523646945684-1.1322846019223/(1+(C23/1.1356393338887)^1.06847511981245))*(1-EXP(-(10.3324121181807-56.0213701830392/(1+(C23/0.0139455036722347)^0.572123422421793))*C27))</f>
        <v>0.73500550624041561</v>
      </c>
      <c r="D28" s="128"/>
    </row>
    <row r="29" spans="2:5" hidden="1" x14ac:dyDescent="0.35">
      <c r="B29" s="115" t="s">
        <v>423</v>
      </c>
      <c r="C29" s="272">
        <f>IF(C28&lt;0.1,0.1,IF(C28&gt;1,1,C28))</f>
        <v>0.73500550624041561</v>
      </c>
      <c r="D29" s="128"/>
    </row>
    <row r="30" spans="2:5" x14ac:dyDescent="0.35">
      <c r="B30" s="115" t="s">
        <v>449</v>
      </c>
      <c r="C30" s="131">
        <f>C29*C10</f>
        <v>4.4100330374424939</v>
      </c>
      <c r="D30" s="128" t="s">
        <v>96</v>
      </c>
      <c r="E30" s="68"/>
    </row>
    <row r="31" spans="2:5" x14ac:dyDescent="0.35">
      <c r="B31" s="8" t="s">
        <v>435</v>
      </c>
      <c r="C31" s="131">
        <f>1000/(SQRT(2)*PI()*SQRT(C13*C10*C29))</f>
        <v>14.196352685462617</v>
      </c>
      <c r="D31" s="115" t="s">
        <v>0</v>
      </c>
    </row>
    <row r="32" spans="2:5" ht="16.5" hidden="1" x14ac:dyDescent="0.45">
      <c r="B32" t="s">
        <v>410</v>
      </c>
      <c r="C32" s="60">
        <f>0.7*10^-3</f>
        <v>6.9999999999999999E-4</v>
      </c>
      <c r="D32" t="s">
        <v>411</v>
      </c>
    </row>
    <row r="33" spans="2:5" ht="16.5" hidden="1" x14ac:dyDescent="0.45">
      <c r="B33" t="s">
        <v>412</v>
      </c>
      <c r="C33" s="60">
        <f>24.262*10^-12*C31*10^6+1.5*C31*10^6*C12*10^-12</f>
        <v>5.9996625719302117E-4</v>
      </c>
      <c r="D33" t="s">
        <v>411</v>
      </c>
    </row>
    <row r="34" spans="2:5" hidden="1" x14ac:dyDescent="0.35">
      <c r="B34" t="s">
        <v>1081</v>
      </c>
      <c r="C34" s="274">
        <f>1000/(17.1*C31*C30)</f>
        <v>0.93408256629239017</v>
      </c>
    </row>
    <row r="35" spans="2:5" ht="16.5" x14ac:dyDescent="0.45">
      <c r="B35" s="8" t="s">
        <v>1418</v>
      </c>
      <c r="C35" s="32">
        <f>C34+1000*(C33+C32)</f>
        <v>2.2340488234854115</v>
      </c>
      <c r="D35" s="115" t="s">
        <v>244</v>
      </c>
      <c r="E35" s="68" t="str">
        <f>IF(C34&gt;C8,"Isensor limited to "&amp;C8&amp;"mA; decrease Csensor or target is too close to sensor","")</f>
        <v/>
      </c>
    </row>
    <row r="36" spans="2:5" hidden="1" x14ac:dyDescent="0.35">
      <c r="B36" s="552"/>
      <c r="C36" s="553"/>
      <c r="D36" s="401"/>
      <c r="E36" s="68"/>
    </row>
    <row r="37" spans="2:5" ht="225" customHeight="1" x14ac:dyDescent="0.35">
      <c r="C37" s="78"/>
      <c r="D37" s="46"/>
      <c r="E37" s="68"/>
    </row>
    <row r="38" spans="2:5" ht="15.5" x14ac:dyDescent="0.35">
      <c r="B38" s="16" t="s">
        <v>1423</v>
      </c>
      <c r="C38" s="78"/>
      <c r="D38" s="46"/>
      <c r="E38" s="68"/>
    </row>
    <row r="39" spans="2:5" x14ac:dyDescent="0.35">
      <c r="B39" s="115" t="s">
        <v>1424</v>
      </c>
      <c r="C39" s="32">
        <f>C23</f>
        <v>9</v>
      </c>
      <c r="D39" s="268" t="s">
        <v>34</v>
      </c>
      <c r="E39" s="68"/>
    </row>
    <row r="40" spans="2:5" x14ac:dyDescent="0.35">
      <c r="B40" s="115" t="s">
        <v>605</v>
      </c>
      <c r="C40" s="199">
        <v>1.4</v>
      </c>
      <c r="D40" s="35" t="str">
        <f>D23</f>
        <v>mm</v>
      </c>
      <c r="E40" s="68" t="str">
        <f>IF((C41/C24)&gt;0.5,"Switching distance farther than maximum of "&amp;ROUND(C23*0.5,2)&amp;D23&amp;" for coil size",IF(C41&lt;C26,"Desired switching distance is closer than closest target distance of "&amp;ROUND(C25,2)&amp;D25,""))</f>
        <v/>
      </c>
    </row>
    <row r="41" spans="2:5" hidden="1" x14ac:dyDescent="0.35">
      <c r="B41" s="115" t="s">
        <v>434</v>
      </c>
      <c r="C41" s="274">
        <f>IF(D40="mm",C40,C40*0.0254)</f>
        <v>1.4</v>
      </c>
      <c r="D41" s="128" t="s">
        <v>34</v>
      </c>
    </row>
    <row r="42" spans="2:5" hidden="1" x14ac:dyDescent="0.35">
      <c r="B42" s="115"/>
      <c r="C42" s="96">
        <f>C41/C24</f>
        <v>0.15555555555555556</v>
      </c>
      <c r="D42" s="128"/>
    </row>
    <row r="43" spans="2:5" hidden="1" x14ac:dyDescent="0.35">
      <c r="B43" s="8" t="s">
        <v>422</v>
      </c>
      <c r="C43" s="272">
        <f xml:space="preserve"> 4.0204*C42^5 - 13.839*C42^4 + 18.502*C42^3 - 12.097*C42^2 + 3.9604*C42 + 0.4499</f>
        <v>0.83515049979671119</v>
      </c>
      <c r="D43" s="128"/>
    </row>
    <row r="44" spans="2:5" hidden="1" x14ac:dyDescent="0.35">
      <c r="B44" s="115" t="s">
        <v>423</v>
      </c>
      <c r="C44" s="272">
        <f>IF(C43&lt;0.1,0.1,IF(C43&gt;1,1,C43))</f>
        <v>0.83515049979671119</v>
      </c>
      <c r="D44" s="128"/>
    </row>
    <row r="45" spans="2:5" hidden="1" x14ac:dyDescent="0.35">
      <c r="B45" s="115" t="s">
        <v>458</v>
      </c>
      <c r="C45" s="96">
        <f>ROUND((((100*C41/C24)-48.143)/-2.8312),0)</f>
        <v>12</v>
      </c>
      <c r="D45" s="128"/>
    </row>
    <row r="46" spans="2:5" hidden="1" x14ac:dyDescent="0.35">
      <c r="B46" s="115" t="s">
        <v>460</v>
      </c>
      <c r="C46" s="96">
        <f>IF((0.01*C24*(-2.8312*C45+48.143))&lt;C25,C45-1,C45)</f>
        <v>12</v>
      </c>
      <c r="D46" s="128"/>
    </row>
    <row r="47" spans="2:5" x14ac:dyDescent="0.35">
      <c r="B47" s="115" t="s">
        <v>442</v>
      </c>
      <c r="C47" s="276">
        <f>IF(C46&lt;0,"Invalid",IF(C46&gt;15,"Invalid",C46))</f>
        <v>12</v>
      </c>
      <c r="D47" s="128"/>
    </row>
    <row r="48" spans="2:5" hidden="1" x14ac:dyDescent="0.35">
      <c r="B48" s="115" t="s">
        <v>459</v>
      </c>
      <c r="C48" s="325">
        <f>0.01*C24*(-2.8312*C47+48.143)</f>
        <v>1.2751739999999998</v>
      </c>
      <c r="D48" s="128" t="s">
        <v>34</v>
      </c>
    </row>
    <row r="49" spans="2:5" x14ac:dyDescent="0.35">
      <c r="B49" s="115" t="s">
        <v>439</v>
      </c>
      <c r="C49" s="32">
        <f>IF(D49="mm",C48,C48/0.0254)</f>
        <v>1.2751739999999998</v>
      </c>
      <c r="D49" s="268" t="str">
        <f>D23</f>
        <v>mm</v>
      </c>
      <c r="E49" s="68" t="str">
        <f>IF(C41&lt;C26,"Switching point is closer than min target distance","")</f>
        <v/>
      </c>
    </row>
    <row r="50" spans="2:5" hidden="1" x14ac:dyDescent="0.35">
      <c r="B50" s="115" t="s">
        <v>436</v>
      </c>
      <c r="C50" s="96">
        <f>0.01*C24*(-3.1434*C47+52.595)</f>
        <v>1.3386779999999994</v>
      </c>
      <c r="D50" s="128" t="s">
        <v>34</v>
      </c>
    </row>
    <row r="51" spans="2:5" x14ac:dyDescent="0.35">
      <c r="B51" s="115" t="s">
        <v>440</v>
      </c>
      <c r="C51" s="32">
        <f>IF(D51="mm",C50,C50/0.0254)</f>
        <v>1.3386779999999994</v>
      </c>
      <c r="D51" s="268" t="str">
        <f>D23</f>
        <v>mm</v>
      </c>
    </row>
    <row r="52" spans="2:5" hidden="1" x14ac:dyDescent="0.35">
      <c r="B52" s="115"/>
      <c r="C52" s="96">
        <f>C50/C23</f>
        <v>0.14874199999999993</v>
      </c>
      <c r="D52" s="8"/>
    </row>
    <row r="53" spans="2:5" hidden="1" x14ac:dyDescent="0.35">
      <c r="B53" s="8" t="s">
        <v>422</v>
      </c>
      <c r="C53" s="96">
        <f>(0.00406832344757895+15.5588911/(1+(C23/0.0358077078721068)^0.865185989584669))+(0.973523646945684-1.1322846019223/(1+(C23/1.1356393338887)^1.06847511981245))*(1-EXP(-(10.3324121181807-56.0213701830392/(1+(C23/0.0139455036722347)^0.572123422421793))*C52))</f>
        <v>0.76863349624801491</v>
      </c>
      <c r="D53" s="8"/>
    </row>
    <row r="54" spans="2:5" hidden="1" x14ac:dyDescent="0.35">
      <c r="B54" s="115" t="s">
        <v>423</v>
      </c>
      <c r="C54" s="96">
        <f>IF(C53&lt;0.1,0.1,IF(C53&gt;1,1,C53))</f>
        <v>0.76863349624801491</v>
      </c>
      <c r="D54" s="8"/>
    </row>
    <row r="55" spans="2:5" hidden="1" x14ac:dyDescent="0.35">
      <c r="B55" s="115"/>
      <c r="C55" s="274"/>
      <c r="D55" s="8"/>
    </row>
    <row r="56" spans="2:5" hidden="1" x14ac:dyDescent="0.35">
      <c r="B56" s="115" t="s">
        <v>426</v>
      </c>
      <c r="C56" s="92">
        <f>C54*C10</f>
        <v>4.6118009774880893</v>
      </c>
      <c r="D56" s="128" t="s">
        <v>96</v>
      </c>
    </row>
    <row r="57" spans="2:5" hidden="1" x14ac:dyDescent="0.35">
      <c r="B57" s="8" t="s">
        <v>435</v>
      </c>
      <c r="C57" s="92">
        <f>1000/(SQRT(2)*PI()*SQRT(C13*C10*C29))</f>
        <v>14.196352685462617</v>
      </c>
      <c r="D57" s="115" t="s">
        <v>0</v>
      </c>
      <c r="E57" s="68"/>
    </row>
    <row r="58" spans="2:5" hidden="1" x14ac:dyDescent="0.35">
      <c r="B58" s="8" t="s">
        <v>735</v>
      </c>
      <c r="C58" s="92">
        <f>IF(C57&lt;0.3,0.3,IF(C57&gt;19,19,C57))</f>
        <v>14.196352685462617</v>
      </c>
      <c r="D58" s="115"/>
      <c r="E58" s="68"/>
    </row>
    <row r="59" spans="2:5" ht="15.5" hidden="1" x14ac:dyDescent="0.35">
      <c r="B59" s="132" t="s">
        <v>420</v>
      </c>
      <c r="C59" s="92">
        <f>1000/(4.83*C58*C8)</f>
        <v>2.430663495773965</v>
      </c>
      <c r="D59" s="128" t="s">
        <v>96</v>
      </c>
    </row>
    <row r="61" spans="2:5" ht="222" customHeight="1" x14ac:dyDescent="0.35"/>
    <row r="62" spans="2:5" hidden="1" x14ac:dyDescent="0.35"/>
    <row r="64" spans="2:5" ht="15.5" x14ac:dyDescent="0.35">
      <c r="B64" s="16" t="s">
        <v>1075</v>
      </c>
      <c r="C64" s="14" t="s">
        <v>1082</v>
      </c>
    </row>
    <row r="65" spans="2:36" x14ac:dyDescent="0.35">
      <c r="B65" s="478" t="s">
        <v>1076</v>
      </c>
      <c r="C65" s="479">
        <v>220</v>
      </c>
      <c r="D65" s="480" t="s">
        <v>1077</v>
      </c>
    </row>
    <row r="66" spans="2:36" x14ac:dyDescent="0.35">
      <c r="B66" s="478" t="s">
        <v>201</v>
      </c>
      <c r="C66" s="481">
        <v>2</v>
      </c>
      <c r="D66" s="480" t="s">
        <v>405</v>
      </c>
      <c r="E66" s="68" t="str">
        <f>IF(C66&gt;(C16*1000),"This exceeds the continuous sample rate of the LDC0851","")</f>
        <v/>
      </c>
    </row>
    <row r="67" spans="2:36" x14ac:dyDescent="0.35">
      <c r="B67" s="478" t="s">
        <v>1421</v>
      </c>
      <c r="C67" s="557">
        <f>C14</f>
        <v>12.170882689518223</v>
      </c>
      <c r="D67" s="480" t="s">
        <v>0</v>
      </c>
    </row>
    <row r="68" spans="2:36" x14ac:dyDescent="0.35">
      <c r="B68" s="478" t="s">
        <v>278</v>
      </c>
      <c r="C68" s="557">
        <f>C10</f>
        <v>6</v>
      </c>
      <c r="D68" s="480" t="s">
        <v>1420</v>
      </c>
    </row>
    <row r="69" spans="2:36" x14ac:dyDescent="0.35">
      <c r="B69" s="478" t="s">
        <v>1078</v>
      </c>
      <c r="C69" s="558">
        <f>C12</f>
        <v>12</v>
      </c>
      <c r="D69" s="480" t="s">
        <v>27</v>
      </c>
    </row>
    <row r="70" spans="2:36" x14ac:dyDescent="0.35">
      <c r="B70" s="482" t="s">
        <v>1079</v>
      </c>
      <c r="C70" s="483"/>
      <c r="D70" s="484"/>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row>
    <row r="71" spans="2:36" ht="16.5" hidden="1" x14ac:dyDescent="0.45">
      <c r="B71" s="8" t="s">
        <v>1080</v>
      </c>
      <c r="C71" s="486">
        <f>1/(17.1*C68*C67)*1000</f>
        <v>0.80081198238407525</v>
      </c>
      <c r="D71" s="480" t="s">
        <v>244</v>
      </c>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row>
    <row r="72" spans="2:36" ht="16.5" hidden="1" x14ac:dyDescent="0.45">
      <c r="B72" s="8" t="s">
        <v>412</v>
      </c>
      <c r="C72" s="486">
        <f>(24.262*10^-12*C67*10^6+1.5*C67*10^6*C69*10^-12)*1000</f>
        <v>0.51436584422441911</v>
      </c>
      <c r="D72" s="480" t="s">
        <v>244</v>
      </c>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row>
    <row r="73" spans="2:36" ht="16.5" hidden="1" x14ac:dyDescent="0.45">
      <c r="B73" s="8" t="s">
        <v>410</v>
      </c>
      <c r="C73" s="486">
        <f>0.7</f>
        <v>0.7</v>
      </c>
      <c r="D73" s="480" t="s">
        <v>244</v>
      </c>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row>
    <row r="74" spans="2:36" ht="16.5" hidden="1" x14ac:dyDescent="0.45">
      <c r="B74" s="8" t="s">
        <v>413</v>
      </c>
      <c r="C74" s="486">
        <f>C71+C72+C73</f>
        <v>2.0151778266084941</v>
      </c>
      <c r="D74" s="480" t="s">
        <v>244</v>
      </c>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row>
    <row r="75" spans="2:36" ht="16.5" hidden="1" x14ac:dyDescent="0.45">
      <c r="B75" s="8" t="s">
        <v>414</v>
      </c>
      <c r="C75" s="486">
        <f>0.00014</f>
        <v>1.3999999999999999E-4</v>
      </c>
      <c r="D75" s="480" t="s">
        <v>244</v>
      </c>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row>
    <row r="76" spans="2:36" ht="16.5" hidden="1" x14ac:dyDescent="0.45">
      <c r="B76" s="8" t="s">
        <v>415</v>
      </c>
      <c r="C76" s="377">
        <f>450*10^-6</f>
        <v>4.4999999999999999E-4</v>
      </c>
      <c r="D76" s="8" t="s">
        <v>404</v>
      </c>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row>
    <row r="77" spans="2:36" ht="16.5" hidden="1" x14ac:dyDescent="0.45">
      <c r="B77" s="8" t="s">
        <v>416</v>
      </c>
      <c r="C77" s="377">
        <f>1/(C67*10^6*231*10^-6)</f>
        <v>3.5568532204591398E-4</v>
      </c>
      <c r="D77" s="8" t="s">
        <v>404</v>
      </c>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row>
    <row r="78" spans="2:36" ht="16.5" hidden="1" x14ac:dyDescent="0.45">
      <c r="B78" s="8" t="s">
        <v>418</v>
      </c>
      <c r="C78" s="92">
        <f>C66*C76*(C74/2)</f>
        <v>9.0683002197382236E-4</v>
      </c>
      <c r="D78" s="8" t="s">
        <v>244</v>
      </c>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row>
    <row r="79" spans="2:36" ht="16.5" hidden="1" x14ac:dyDescent="0.45">
      <c r="B79" s="8" t="s">
        <v>417</v>
      </c>
      <c r="C79" s="92">
        <f>C66*(C81*0.001-C76)*C74</f>
        <v>3.5064094182987796E-3</v>
      </c>
      <c r="D79" s="8" t="s">
        <v>244</v>
      </c>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row>
    <row r="80" spans="2:36" ht="16.5" hidden="1" x14ac:dyDescent="0.45">
      <c r="B80" s="8" t="s">
        <v>419</v>
      </c>
      <c r="C80" s="92">
        <f>(1-C66*0.001*C81)*C75</f>
        <v>1.3963039999999999E-4</v>
      </c>
      <c r="D80" s="8" t="s">
        <v>244</v>
      </c>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row>
    <row r="81" spans="2:48" x14ac:dyDescent="0.35">
      <c r="B81" s="8" t="s">
        <v>1437</v>
      </c>
      <c r="C81" s="36">
        <v>1.32</v>
      </c>
      <c r="D81" s="128" t="s">
        <v>229</v>
      </c>
      <c r="E81" s="68" t="str">
        <f>IF(C81&lt;C82,"This is below the minimum En pulse duration.","")</f>
        <v/>
      </c>
      <c r="F81" s="46"/>
      <c r="G81" s="134" t="str">
        <f>CONCATENATE("Sample Rate = ",C66," sps")</f>
        <v>Sample Rate = 2 sps</v>
      </c>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row>
    <row r="82" spans="2:48" x14ac:dyDescent="0.35">
      <c r="B82" s="8" t="s">
        <v>1438</v>
      </c>
      <c r="C82" s="131">
        <f>0.45+2/C16</f>
        <v>1.1613706440918281</v>
      </c>
      <c r="D82" s="488" t="s">
        <v>229</v>
      </c>
      <c r="F82" s="68"/>
      <c r="G82" s="68" t="str">
        <f>CONCATENATE("CBOARD = ",C69,"pF")</f>
        <v>CBOARD = 12pF</v>
      </c>
      <c r="H82" s="68"/>
      <c r="I82" s="68"/>
      <c r="J82" s="68"/>
      <c r="K82" s="68"/>
      <c r="L82" s="68"/>
      <c r="M82" s="68"/>
      <c r="N82" s="68"/>
      <c r="O82" s="68"/>
      <c r="P82" s="68"/>
      <c r="Q82" s="68"/>
      <c r="R82" s="68"/>
      <c r="S82" s="68"/>
      <c r="T82" s="68"/>
      <c r="U82" s="68"/>
      <c r="V82" s="68"/>
      <c r="W82" s="68"/>
      <c r="X82" s="68"/>
      <c r="Y82" s="68"/>
      <c r="Z82" s="68"/>
      <c r="AA82" s="68"/>
      <c r="AB82" s="134"/>
      <c r="AC82" s="134"/>
      <c r="AD82" s="134"/>
      <c r="AE82" s="134"/>
      <c r="AF82" s="134"/>
      <c r="AG82" s="134"/>
      <c r="AH82" s="134"/>
      <c r="AI82" s="134"/>
      <c r="AJ82" s="134"/>
    </row>
    <row r="83" spans="2:48" x14ac:dyDescent="0.35">
      <c r="B83" s="487" t="s">
        <v>1439</v>
      </c>
      <c r="C83" s="551">
        <f>1000*(C78+C79+C80)</f>
        <v>4.552869840272602</v>
      </c>
      <c r="D83" s="549" t="s">
        <v>1422</v>
      </c>
      <c r="F83" s="68"/>
      <c r="G83" s="68" t="str">
        <f>CONCATENATE("Battery Capacity = ",C65," mAh")</f>
        <v>Battery Capacity = 220 mAh</v>
      </c>
      <c r="H83" s="68"/>
      <c r="I83" s="68"/>
      <c r="J83" s="68"/>
      <c r="K83" s="68"/>
      <c r="L83" s="68"/>
      <c r="M83" s="68"/>
      <c r="N83" s="68"/>
      <c r="O83" s="68"/>
      <c r="P83" s="68"/>
      <c r="Q83" s="68"/>
      <c r="R83" s="68"/>
      <c r="S83" s="68"/>
      <c r="T83" s="68"/>
      <c r="U83" s="68"/>
      <c r="V83" s="68"/>
      <c r="W83" s="68"/>
      <c r="X83" s="68"/>
      <c r="Y83" s="68"/>
      <c r="Z83" s="68"/>
      <c r="AA83" s="68"/>
      <c r="AB83" s="134"/>
      <c r="AC83" s="134"/>
      <c r="AD83" s="134"/>
      <c r="AE83" s="134"/>
      <c r="AF83" s="134"/>
      <c r="AG83" s="134"/>
      <c r="AH83" s="134"/>
      <c r="AI83" s="134"/>
      <c r="AJ83" s="134"/>
    </row>
    <row r="84" spans="2:48" x14ac:dyDescent="0.35">
      <c r="B84" s="485" t="s">
        <v>1085</v>
      </c>
      <c r="C84" s="548">
        <f>ROUND(C65/(0.001*C83)/24/365,1)</f>
        <v>5.5</v>
      </c>
      <c r="D84" s="550" t="s">
        <v>409</v>
      </c>
      <c r="F84" s="68"/>
      <c r="G84" s="68" t="s">
        <v>1427</v>
      </c>
      <c r="H84" s="68"/>
      <c r="I84" s="68"/>
      <c r="J84" s="68"/>
      <c r="K84" s="68"/>
      <c r="L84" s="68"/>
      <c r="M84" s="68"/>
      <c r="N84" s="68"/>
      <c r="O84" s="68"/>
      <c r="P84" s="68"/>
      <c r="Q84" s="68"/>
      <c r="R84" s="68"/>
      <c r="S84" s="68"/>
      <c r="T84" s="68"/>
      <c r="U84" s="68"/>
      <c r="V84" s="68"/>
      <c r="W84" s="68"/>
      <c r="X84" s="68"/>
      <c r="Y84" s="68"/>
      <c r="Z84" s="68"/>
      <c r="AA84" s="68"/>
      <c r="AB84" s="134"/>
      <c r="AC84" s="134"/>
      <c r="AD84" s="134"/>
      <c r="AE84" s="134"/>
      <c r="AF84" s="134"/>
      <c r="AG84" s="134"/>
      <c r="AH84" s="134"/>
      <c r="AI84" s="134"/>
      <c r="AJ84" s="134"/>
    </row>
    <row r="85" spans="2:48" x14ac:dyDescent="0.35">
      <c r="B85" s="554"/>
      <c r="C85" s="556"/>
      <c r="D85" s="555"/>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46"/>
      <c r="AS85" s="46"/>
      <c r="AT85" s="46"/>
      <c r="AU85" s="46"/>
      <c r="AV85" s="46"/>
    </row>
    <row r="86" spans="2:48" x14ac:dyDescent="0.35">
      <c r="B86" s="554"/>
      <c r="C86" s="556"/>
      <c r="D86" s="555"/>
      <c r="F86" s="68"/>
      <c r="G86" s="68" t="s">
        <v>313</v>
      </c>
      <c r="H86" s="68">
        <f>ROUND($C$68*0.5,1)</f>
        <v>3</v>
      </c>
      <c r="I86" s="68" t="str">
        <f>CONCATENATE(H86,"µH")</f>
        <v>3µH</v>
      </c>
      <c r="J86" s="68"/>
      <c r="K86" s="68"/>
      <c r="L86" s="68"/>
      <c r="M86" s="68"/>
      <c r="N86" s="68"/>
      <c r="O86" s="68"/>
      <c r="P86" s="68"/>
      <c r="Q86" s="68" t="s">
        <v>313</v>
      </c>
      <c r="R86" s="68">
        <f>ROUND($C$68*1,1)</f>
        <v>6</v>
      </c>
      <c r="S86" s="68" t="str">
        <f>CONCATENATE(R86,"µH")</f>
        <v>6µH</v>
      </c>
      <c r="T86" s="68"/>
      <c r="U86" s="68"/>
      <c r="V86" s="68"/>
      <c r="W86" s="68"/>
      <c r="X86" s="68"/>
      <c r="Y86" s="68"/>
      <c r="Z86" s="68"/>
      <c r="AA86" s="68" t="s">
        <v>313</v>
      </c>
      <c r="AB86" s="68">
        <f>ROUND($C$68*2,1)</f>
        <v>12</v>
      </c>
      <c r="AC86" s="68" t="str">
        <f>CONCATENATE(AB86,"µH")</f>
        <v>12µH</v>
      </c>
      <c r="AD86" s="68"/>
      <c r="AE86" s="68"/>
      <c r="AF86" s="68"/>
      <c r="AG86" s="68"/>
      <c r="AH86" s="68"/>
      <c r="AI86" s="68"/>
      <c r="AJ86" s="68"/>
      <c r="AK86" s="68"/>
      <c r="AL86" s="68"/>
      <c r="AM86" s="68"/>
      <c r="AN86" s="68"/>
      <c r="AO86" s="68"/>
      <c r="AP86" s="68"/>
      <c r="AQ86" s="68"/>
      <c r="AR86" s="46"/>
      <c r="AS86" s="46"/>
      <c r="AT86" s="46"/>
      <c r="AU86" s="46"/>
      <c r="AV86" s="46"/>
    </row>
    <row r="87" spans="2:48" x14ac:dyDescent="0.35">
      <c r="B87" s="554"/>
      <c r="C87" s="556"/>
      <c r="D87" s="555"/>
      <c r="E87" s="68"/>
      <c r="F87" s="68"/>
      <c r="G87" s="68" t="s">
        <v>1426</v>
      </c>
      <c r="H87" s="68" t="s">
        <v>1436</v>
      </c>
      <c r="I87" s="68" t="s">
        <v>1428</v>
      </c>
      <c r="J87" s="68" t="s">
        <v>1429</v>
      </c>
      <c r="K87" s="68" t="s">
        <v>1430</v>
      </c>
      <c r="L87" s="68" t="s">
        <v>1431</v>
      </c>
      <c r="M87" s="68" t="s">
        <v>1432</v>
      </c>
      <c r="N87" s="68" t="s">
        <v>1433</v>
      </c>
      <c r="O87" s="68" t="s">
        <v>1434</v>
      </c>
      <c r="P87" s="68" t="s">
        <v>1435</v>
      </c>
      <c r="Q87" s="68" t="s">
        <v>1426</v>
      </c>
      <c r="R87" s="68" t="s">
        <v>1436</v>
      </c>
      <c r="S87" s="68" t="s">
        <v>1428</v>
      </c>
      <c r="T87" s="68" t="s">
        <v>1429</v>
      </c>
      <c r="U87" s="68" t="s">
        <v>1430</v>
      </c>
      <c r="V87" s="68" t="s">
        <v>1431</v>
      </c>
      <c r="W87" s="68" t="s">
        <v>1432</v>
      </c>
      <c r="X87" s="68" t="s">
        <v>1433</v>
      </c>
      <c r="Y87" s="68" t="s">
        <v>1434</v>
      </c>
      <c r="Z87" s="68" t="s">
        <v>1435</v>
      </c>
      <c r="AA87" s="68" t="s">
        <v>1426</v>
      </c>
      <c r="AB87" s="68" t="s">
        <v>1436</v>
      </c>
      <c r="AC87" s="68" t="s">
        <v>1428</v>
      </c>
      <c r="AD87" s="68" t="s">
        <v>1429</v>
      </c>
      <c r="AE87" s="68" t="s">
        <v>1430</v>
      </c>
      <c r="AF87" s="68" t="s">
        <v>1431</v>
      </c>
      <c r="AG87" s="68" t="s">
        <v>1432</v>
      </c>
      <c r="AH87" s="68" t="s">
        <v>1433</v>
      </c>
      <c r="AI87" s="68" t="s">
        <v>1434</v>
      </c>
      <c r="AJ87" s="68" t="s">
        <v>1435</v>
      </c>
      <c r="AK87" s="68"/>
      <c r="AL87" s="68"/>
      <c r="AM87" s="68"/>
      <c r="AN87" s="68"/>
      <c r="AO87" s="68"/>
      <c r="AP87" s="68"/>
      <c r="AQ87" s="68"/>
      <c r="AR87" s="46"/>
      <c r="AS87" s="46"/>
      <c r="AT87" s="46"/>
      <c r="AU87" s="46"/>
      <c r="AV87" s="46"/>
    </row>
    <row r="88" spans="2:48" x14ac:dyDescent="0.35">
      <c r="B88" s="554"/>
      <c r="C88" s="556"/>
      <c r="D88" s="555"/>
      <c r="E88" s="68"/>
      <c r="F88" s="68"/>
      <c r="G88" s="68">
        <f>IF((SQRT(2)/(2*PI()*SQRT(H$86*33))*1000)&lt;20,(SQRT(2)/(2*PI()*SQRT(H$86*33))*1000),20)</f>
        <v>20</v>
      </c>
      <c r="H88" s="68">
        <f t="shared" ref="H88:H108" si="0">ROUND($C$65/(P88*0.001)/24/365,1)</f>
        <v>7.3</v>
      </c>
      <c r="I88" s="536">
        <f t="shared" ref="I88:I108" si="1">1/(G88*10^6*231*10^-6)</f>
        <v>2.1645021645021645E-4</v>
      </c>
      <c r="J88" s="68">
        <f t="shared" ref="J88:J108" si="2">(24.262*10^-12*G88*10^6+1.5*G88*10^6*$C$69*10^-12)*1000</f>
        <v>0.84523999999999988</v>
      </c>
      <c r="K88" s="68">
        <f t="shared" ref="K88:K108" si="3">1/(17.1*H$86*G88)*1000</f>
        <v>0.97465886939571145</v>
      </c>
      <c r="L88" s="536">
        <f>J88+$C$73+K88</f>
        <v>2.5198988693957114</v>
      </c>
      <c r="M88" s="68">
        <f t="shared" ref="M88:M108" si="4">$C$66*$C$76*(L88/2)</f>
        <v>1.1339544912280701E-3</v>
      </c>
      <c r="N88" s="68">
        <f t="shared" ref="N88:N108" si="5">$C$66*(I88*2)*L88</f>
        <v>2.1817306228534296E-3</v>
      </c>
      <c r="O88" s="68">
        <f t="shared" ref="O88:O108" si="6">(1-$C$66*($C$76+2*I88))*$C$75</f>
        <v>1.3975278787878786E-4</v>
      </c>
      <c r="P88" s="68">
        <f t="shared" ref="P88:P108" si="7">1000*(M88+N88+$O88)</f>
        <v>3.4554379019602877</v>
      </c>
      <c r="Q88" s="68">
        <f>IF((SQRT(2)/(2*PI()*SQRT(R$86*33))*1000)&lt;20,(SQRT(2)/(2*PI()*SQRT(R$86*33))*1000),20)</f>
        <v>15.995673629278274</v>
      </c>
      <c r="R88" s="68">
        <f t="shared" ref="R88:R108" si="8">ROUND($C$65/(Z88*0.001)/24/365,1)</f>
        <v>7.9</v>
      </c>
      <c r="S88" s="536">
        <f t="shared" ref="S88:S108" si="9">1/(Q88*10^6*231*10^-6)</f>
        <v>2.7063595002842369E-4</v>
      </c>
      <c r="T88" s="68">
        <f t="shared" ref="T88:T108" si="10">(24.262*10^-12*Q88*10^6+1.5*Q88*10^6*$C$69*10^-12)*1000</f>
        <v>0.67600915892055846</v>
      </c>
      <c r="U88" s="68">
        <f t="shared" ref="U88:U108" si="11">1/(17.1*R$86*Q88)*1000</f>
        <v>0.60932655415756198</v>
      </c>
      <c r="V88" s="536">
        <f>T88+$C$73+U88</f>
        <v>1.9853357130781202</v>
      </c>
      <c r="W88" s="68">
        <f t="shared" ref="W88:W108" si="12">$C$66*$C$76*(V88/2)</f>
        <v>8.9340107088515402E-4</v>
      </c>
      <c r="X88" s="68">
        <f t="shared" ref="X88:X108" si="13">$C$66*(S88*2)*V88</f>
        <v>2.1492128673370201E-3</v>
      </c>
      <c r="Y88" s="68">
        <f t="shared" ref="Y88:Y108" si="14">(1-$C$66*($C$76+2*S88))*$C$75</f>
        <v>1.3972244386798409E-4</v>
      </c>
      <c r="Z88" s="68">
        <f t="shared" ref="Z88:Z108" si="15">1000*(W88+X88+$O88)</f>
        <v>3.1823667261009616</v>
      </c>
      <c r="AA88" s="68">
        <f>IF((SQRT(2)/(2*PI()*SQRT(AB$86*33))*1000)&lt;20,(SQRT(2)/(2*PI()*SQRT(AB$86*33))*1000),20)</f>
        <v>11.310649292909501</v>
      </c>
      <c r="AB88" s="68">
        <f t="shared" ref="AB88:AB108" si="16">ROUND($C$65/(AJ88*0.001)/24/365,1)</f>
        <v>7.5</v>
      </c>
      <c r="AC88" s="536">
        <f t="shared" ref="AC88:AC108" si="17">1/(AA88*10^6*231*10^-6)</f>
        <v>3.82737030995924E-4</v>
      </c>
      <c r="AD88" s="68">
        <f t="shared" ref="AD88:AD108" si="18">(24.262*10^-12*AA88*10^6+1.5*AA88*10^6*$C$69*10^-12)*1000</f>
        <v>0.47801066041694129</v>
      </c>
      <c r="AE88" s="68">
        <f t="shared" ref="AE88:AE108" si="19">1/(17.1*AB$86*AA88)*1000</f>
        <v>0.43085893840184419</v>
      </c>
      <c r="AF88" s="536">
        <f>AD88+$C$73+AE88</f>
        <v>1.6088695988187853</v>
      </c>
      <c r="AG88" s="68">
        <f t="shared" ref="AG88:AG108" si="20">$C$66*$C$76*(AF88/2)</f>
        <v>7.2399131946845343E-4</v>
      </c>
      <c r="AH88" s="68">
        <f t="shared" ref="AH88:AH108" si="21">$C$66*(AC88*2)*AF88</f>
        <v>2.463095894046021E-3</v>
      </c>
      <c r="AI88" s="68">
        <f t="shared" ref="AI88:AI108" si="22">(1-$C$66*($C$76+2*AC88))*$C$75</f>
        <v>1.3965966726264226E-4</v>
      </c>
      <c r="AJ88" s="68">
        <f t="shared" ref="AJ88:AJ108" si="23">1000*(AG88+AH88+$O88)</f>
        <v>3.3268400013932622</v>
      </c>
      <c r="AK88" s="68"/>
      <c r="AL88" s="68"/>
      <c r="AM88" s="68"/>
      <c r="AN88" s="68"/>
      <c r="AO88" s="68"/>
      <c r="AP88" s="68"/>
      <c r="AQ88" s="68"/>
      <c r="AR88" s="46"/>
      <c r="AS88" s="46"/>
      <c r="AT88" s="46"/>
      <c r="AU88" s="46"/>
      <c r="AV88" s="46"/>
    </row>
    <row r="89" spans="2:48" x14ac:dyDescent="0.35">
      <c r="B89" s="554"/>
      <c r="C89" s="556"/>
      <c r="D89" s="555"/>
      <c r="E89" s="68"/>
      <c r="F89" s="68"/>
      <c r="G89" s="68">
        <f>G88-1</f>
        <v>19</v>
      </c>
      <c r="H89" s="68">
        <f t="shared" si="0"/>
        <v>7</v>
      </c>
      <c r="I89" s="536">
        <f t="shared" si="1"/>
        <v>2.2784233310549099E-4</v>
      </c>
      <c r="J89" s="68">
        <f t="shared" si="2"/>
        <v>0.80297799999999997</v>
      </c>
      <c r="K89" s="68">
        <f t="shared" si="3"/>
        <v>1.0259567046270648</v>
      </c>
      <c r="L89" s="536">
        <f t="shared" ref="L89:L108" si="24">J89+$C$73+K89</f>
        <v>2.5289347046270647</v>
      </c>
      <c r="M89" s="68">
        <f t="shared" si="4"/>
        <v>1.1380206170821792E-3</v>
      </c>
      <c r="N89" s="68">
        <f t="shared" si="5"/>
        <v>2.3047935334947044E-3</v>
      </c>
      <c r="O89" s="68">
        <f t="shared" si="6"/>
        <v>1.3974640829346092E-4</v>
      </c>
      <c r="P89" s="68">
        <f t="shared" si="7"/>
        <v>3.5825605588703442</v>
      </c>
      <c r="Q89" s="68">
        <f>Q88-1</f>
        <v>14.995673629278274</v>
      </c>
      <c r="R89" s="68">
        <f t="shared" si="8"/>
        <v>7.6</v>
      </c>
      <c r="S89" s="536">
        <f t="shared" si="9"/>
        <v>2.8868355207145699E-4</v>
      </c>
      <c r="T89" s="68">
        <f t="shared" si="10"/>
        <v>0.63374715892055844</v>
      </c>
      <c r="U89" s="68">
        <f t="shared" si="11"/>
        <v>0.64996004413749076</v>
      </c>
      <c r="V89" s="536">
        <f t="shared" ref="V89:V108" si="25">T89+$C$73+U89</f>
        <v>1.9837072030580489</v>
      </c>
      <c r="W89" s="68">
        <f t="shared" si="12"/>
        <v>8.92668241376122E-4</v>
      </c>
      <c r="X89" s="68">
        <f t="shared" si="13"/>
        <v>2.2906545665941302E-3</v>
      </c>
      <c r="Y89" s="68">
        <f t="shared" si="14"/>
        <v>1.3971233721083996E-4</v>
      </c>
      <c r="Z89" s="68">
        <f t="shared" si="15"/>
        <v>3.323069216263713</v>
      </c>
      <c r="AA89" s="68">
        <f>AA88-1</f>
        <v>10.310649292909501</v>
      </c>
      <c r="AB89" s="68">
        <f t="shared" si="16"/>
        <v>7</v>
      </c>
      <c r="AC89" s="536">
        <f t="shared" si="17"/>
        <v>4.1985758665861415E-4</v>
      </c>
      <c r="AD89" s="68">
        <f t="shared" si="18"/>
        <v>0.43574866041694132</v>
      </c>
      <c r="AE89" s="68">
        <f t="shared" si="19"/>
        <v>0.47264669843148077</v>
      </c>
      <c r="AF89" s="536">
        <f t="shared" ref="AF89:AF108" si="26">AD89+$C$73+AE89</f>
        <v>1.6083953588484221</v>
      </c>
      <c r="AG89" s="68">
        <f t="shared" si="20"/>
        <v>7.2377791148178989E-4</v>
      </c>
      <c r="AH89" s="68">
        <f t="shared" si="21"/>
        <v>2.7011879750360565E-3</v>
      </c>
      <c r="AI89" s="68">
        <f t="shared" si="22"/>
        <v>1.3963887975147117E-4</v>
      </c>
      <c r="AJ89" s="68">
        <f t="shared" si="23"/>
        <v>3.564712294811307</v>
      </c>
      <c r="AK89" s="68"/>
      <c r="AL89" s="68"/>
      <c r="AM89" s="68"/>
      <c r="AN89" s="68"/>
      <c r="AO89" s="68"/>
      <c r="AP89" s="68"/>
      <c r="AQ89" s="68"/>
      <c r="AR89" s="46"/>
      <c r="AS89" s="46"/>
      <c r="AT89" s="46"/>
      <c r="AU89" s="46"/>
      <c r="AV89" s="46"/>
    </row>
    <row r="90" spans="2:48" x14ac:dyDescent="0.35">
      <c r="B90" s="554"/>
      <c r="C90" s="556"/>
      <c r="D90" s="555"/>
      <c r="E90" s="68"/>
      <c r="F90" s="68"/>
      <c r="G90" s="68">
        <f t="shared" ref="G90:G108" si="27">IF(G89=G88,G89,IF(1000/(4.83*(G88-1)*$C$8)&gt;H$86,G89,IF(G89-1&gt;0.3,G89-1,G89)))</f>
        <v>18</v>
      </c>
      <c r="H90" s="68">
        <f t="shared" si="0"/>
        <v>6.7</v>
      </c>
      <c r="I90" s="536">
        <f t="shared" si="1"/>
        <v>2.4050024050024051E-4</v>
      </c>
      <c r="J90" s="68">
        <f t="shared" si="2"/>
        <v>0.76071600000000006</v>
      </c>
      <c r="K90" s="68">
        <f t="shared" si="3"/>
        <v>1.0829542993285681</v>
      </c>
      <c r="L90" s="536">
        <f t="shared" si="24"/>
        <v>2.5436702993285683</v>
      </c>
      <c r="M90" s="68">
        <f t="shared" si="4"/>
        <v>1.1446516346978557E-3</v>
      </c>
      <c r="N90" s="68">
        <f t="shared" si="5"/>
        <v>2.4470132749673575E-3</v>
      </c>
      <c r="O90" s="68">
        <f t="shared" si="6"/>
        <v>1.3973931986531986E-4</v>
      </c>
      <c r="P90" s="68">
        <f t="shared" si="7"/>
        <v>3.7314042295305332</v>
      </c>
      <c r="Q90" s="68">
        <f t="shared" ref="Q90:Q108" si="28">IF(Q89=Q88,Q89,IF(1000/(4.83*(Q88-1)*$C$8)&gt;R$86,Q89,IF(Q89-1&gt;0.3,Q89-1,Q89)))</f>
        <v>13.995673629278274</v>
      </c>
      <c r="R90" s="68">
        <f t="shared" si="8"/>
        <v>7.2</v>
      </c>
      <c r="S90" s="536">
        <f t="shared" si="9"/>
        <v>3.0931017996506155E-4</v>
      </c>
      <c r="T90" s="68">
        <f t="shared" si="10"/>
        <v>0.59148515892055842</v>
      </c>
      <c r="U90" s="68">
        <f t="shared" si="11"/>
        <v>0.69640011278683445</v>
      </c>
      <c r="V90" s="536">
        <f t="shared" si="25"/>
        <v>1.9878852717073927</v>
      </c>
      <c r="W90" s="68">
        <f t="shared" si="12"/>
        <v>8.9454837226832673E-4</v>
      </c>
      <c r="X90" s="68">
        <f t="shared" si="13"/>
        <v>2.4594926045668356E-3</v>
      </c>
      <c r="Y90" s="68">
        <f t="shared" si="14"/>
        <v>1.3970078629921956E-4</v>
      </c>
      <c r="Z90" s="68">
        <f t="shared" si="15"/>
        <v>3.4937802967004821</v>
      </c>
      <c r="AA90" s="68">
        <f t="shared" ref="AA90:AA108" si="29">IF(AA89=AA88,AA89,IF(1000/(4.83*(AA88-1)*$C$8)&gt;AB$86,AA89,IF(AA89-1&gt;0.3,AA89-1,AA89)))</f>
        <v>9.3106492929095008</v>
      </c>
      <c r="AB90" s="68">
        <f t="shared" si="16"/>
        <v>6.5</v>
      </c>
      <c r="AC90" s="536">
        <f t="shared" si="17"/>
        <v>4.6495192685445372E-4</v>
      </c>
      <c r="AD90" s="68">
        <f t="shared" si="18"/>
        <v>0.39348666041694125</v>
      </c>
      <c r="AE90" s="68">
        <f t="shared" si="19"/>
        <v>0.5234107948507738</v>
      </c>
      <c r="AF90" s="536">
        <f t="shared" si="26"/>
        <v>1.6168974552677149</v>
      </c>
      <c r="AG90" s="68">
        <f t="shared" si="20"/>
        <v>7.2760385487047167E-4</v>
      </c>
      <c r="AH90" s="68">
        <f t="shared" si="21"/>
        <v>3.0071183494111476E-3</v>
      </c>
      <c r="AI90" s="68">
        <f t="shared" si="22"/>
        <v>1.3961362692096151E-4</v>
      </c>
      <c r="AJ90" s="68">
        <f t="shared" si="23"/>
        <v>3.8744615241469389</v>
      </c>
      <c r="AK90" s="68"/>
      <c r="AL90" s="68"/>
      <c r="AM90" s="68"/>
      <c r="AN90" s="68"/>
      <c r="AO90" s="68"/>
      <c r="AP90" s="68"/>
      <c r="AQ90" s="68"/>
      <c r="AR90" s="46"/>
      <c r="AS90" s="46"/>
      <c r="AT90" s="46"/>
      <c r="AU90" s="46"/>
      <c r="AV90" s="46"/>
    </row>
    <row r="91" spans="2:48" x14ac:dyDescent="0.35">
      <c r="B91" s="554"/>
      <c r="C91" s="556"/>
      <c r="D91" s="555"/>
      <c r="E91" s="68"/>
      <c r="F91" s="68"/>
      <c r="G91" s="68">
        <f t="shared" si="27"/>
        <v>17</v>
      </c>
      <c r="H91" s="68">
        <f t="shared" si="0"/>
        <v>6.4</v>
      </c>
      <c r="I91" s="536">
        <f t="shared" si="1"/>
        <v>2.5464731347084286E-4</v>
      </c>
      <c r="J91" s="68">
        <f t="shared" si="2"/>
        <v>0.71845400000000004</v>
      </c>
      <c r="K91" s="68">
        <f t="shared" si="3"/>
        <v>1.1466574934067195</v>
      </c>
      <c r="L91" s="536">
        <f t="shared" si="24"/>
        <v>2.5651114934067198</v>
      </c>
      <c r="M91" s="68">
        <f t="shared" si="4"/>
        <v>1.1543001720330239E-3</v>
      </c>
      <c r="N91" s="68">
        <f t="shared" si="5"/>
        <v>2.6127950021968115E-3</v>
      </c>
      <c r="O91" s="68">
        <f t="shared" si="6"/>
        <v>1.3973139750445633E-4</v>
      </c>
      <c r="P91" s="68">
        <f t="shared" si="7"/>
        <v>3.9068265717342916</v>
      </c>
      <c r="Q91" s="68">
        <f t="shared" si="28"/>
        <v>12.995673629278274</v>
      </c>
      <c r="R91" s="68">
        <f t="shared" si="8"/>
        <v>6.8</v>
      </c>
      <c r="S91" s="536">
        <f t="shared" si="9"/>
        <v>3.3311119165469101E-4</v>
      </c>
      <c r="T91" s="68">
        <f t="shared" si="10"/>
        <v>0.54922315892055851</v>
      </c>
      <c r="U91" s="68">
        <f t="shared" si="11"/>
        <v>0.74998718588921653</v>
      </c>
      <c r="V91" s="536">
        <f t="shared" si="25"/>
        <v>1.9992103448097751</v>
      </c>
      <c r="W91" s="68">
        <f t="shared" si="12"/>
        <v>8.9964465516439876E-4</v>
      </c>
      <c r="X91" s="68">
        <f t="shared" si="13"/>
        <v>2.6638373613118793E-3</v>
      </c>
      <c r="Y91" s="68">
        <f t="shared" si="14"/>
        <v>1.3968745773267337E-4</v>
      </c>
      <c r="Z91" s="68">
        <f t="shared" si="15"/>
        <v>3.703213413980734</v>
      </c>
      <c r="AA91" s="68">
        <f t="shared" si="29"/>
        <v>8.3106492929095008</v>
      </c>
      <c r="AB91" s="68">
        <f t="shared" si="16"/>
        <v>5.9</v>
      </c>
      <c r="AC91" s="536">
        <f t="shared" si="17"/>
        <v>5.2089844925808136E-4</v>
      </c>
      <c r="AD91" s="68">
        <f t="shared" si="18"/>
        <v>0.35122466041694134</v>
      </c>
      <c r="AE91" s="68">
        <f t="shared" si="19"/>
        <v>0.58639152913555936</v>
      </c>
      <c r="AF91" s="536">
        <f t="shared" si="26"/>
        <v>1.6376161895525008</v>
      </c>
      <c r="AG91" s="68">
        <f t="shared" si="20"/>
        <v>7.3692728529862529E-4</v>
      </c>
      <c r="AH91" s="68">
        <f t="shared" si="21"/>
        <v>3.4121269344713034E-3</v>
      </c>
      <c r="AI91" s="68">
        <f t="shared" si="22"/>
        <v>1.3958229686841548E-4</v>
      </c>
      <c r="AJ91" s="68">
        <f t="shared" si="23"/>
        <v>4.2887856172743852</v>
      </c>
      <c r="AK91" s="68"/>
      <c r="AL91" s="68"/>
      <c r="AM91" s="68"/>
      <c r="AN91" s="68"/>
      <c r="AO91" s="68"/>
      <c r="AP91" s="68"/>
      <c r="AQ91" s="68"/>
      <c r="AR91" s="46"/>
      <c r="AS91" s="46"/>
      <c r="AT91" s="46"/>
      <c r="AU91" s="46"/>
      <c r="AV91" s="46"/>
    </row>
    <row r="92" spans="2:48" x14ac:dyDescent="0.35">
      <c r="B92" s="554"/>
      <c r="C92" s="556"/>
      <c r="D92" s="555"/>
      <c r="E92" s="68"/>
      <c r="F92" s="68"/>
      <c r="G92" s="68">
        <f t="shared" si="27"/>
        <v>16</v>
      </c>
      <c r="H92" s="68">
        <f t="shared" si="0"/>
        <v>6.1</v>
      </c>
      <c r="I92" s="536">
        <f t="shared" si="1"/>
        <v>2.7056277056277056E-4</v>
      </c>
      <c r="J92" s="68">
        <f t="shared" si="2"/>
        <v>0.6761919999999999</v>
      </c>
      <c r="K92" s="68">
        <f t="shared" si="3"/>
        <v>1.2183235867446394</v>
      </c>
      <c r="L92" s="536">
        <f t="shared" si="24"/>
        <v>2.594515586744639</v>
      </c>
      <c r="M92" s="68">
        <f t="shared" si="4"/>
        <v>1.1675320140350875E-3</v>
      </c>
      <c r="N92" s="68">
        <f t="shared" si="5"/>
        <v>2.8079173016716872E-3</v>
      </c>
      <c r="O92" s="68">
        <f t="shared" si="6"/>
        <v>1.3972248484848485E-4</v>
      </c>
      <c r="P92" s="68">
        <f t="shared" si="7"/>
        <v>4.1151718005552604</v>
      </c>
      <c r="Q92" s="68">
        <f t="shared" si="28"/>
        <v>11.995673629278274</v>
      </c>
      <c r="R92" s="68">
        <f t="shared" si="8"/>
        <v>6.3</v>
      </c>
      <c r="S92" s="536">
        <f t="shared" si="9"/>
        <v>3.60880469308399E-4</v>
      </c>
      <c r="T92" s="68">
        <f t="shared" si="10"/>
        <v>0.50696115892055849</v>
      </c>
      <c r="U92" s="68">
        <f t="shared" si="11"/>
        <v>0.81250865896920232</v>
      </c>
      <c r="V92" s="536">
        <f t="shared" si="25"/>
        <v>2.0194698178897608</v>
      </c>
      <c r="W92" s="68">
        <f t="shared" si="12"/>
        <v>9.0876141805039227E-4</v>
      </c>
      <c r="X92" s="68">
        <f t="shared" si="13"/>
        <v>2.9151488625368156E-3</v>
      </c>
      <c r="Y92" s="68">
        <f t="shared" si="14"/>
        <v>1.3967190693718728E-4</v>
      </c>
      <c r="Z92" s="68">
        <f t="shared" si="15"/>
        <v>3.9636327654356931</v>
      </c>
      <c r="AA92" s="68">
        <f t="shared" si="29"/>
        <v>7.3106492929095008</v>
      </c>
      <c r="AB92" s="68">
        <f t="shared" si="16"/>
        <v>5.2</v>
      </c>
      <c r="AC92" s="536">
        <f t="shared" si="17"/>
        <v>5.9215045826407941E-4</v>
      </c>
      <c r="AD92" s="68">
        <f t="shared" si="18"/>
        <v>0.30896266041694126</v>
      </c>
      <c r="AE92" s="68">
        <f t="shared" si="19"/>
        <v>0.66660212406921227</v>
      </c>
      <c r="AF92" s="536">
        <f t="shared" si="26"/>
        <v>1.6755647844861534</v>
      </c>
      <c r="AG92" s="68">
        <f t="shared" si="20"/>
        <v>7.5400415301876906E-4</v>
      </c>
      <c r="AH92" s="68">
        <f t="shared" si="21"/>
        <v>3.9687458199385165E-3</v>
      </c>
      <c r="AI92" s="68">
        <f t="shared" si="22"/>
        <v>1.3954239574337211E-4</v>
      </c>
      <c r="AJ92" s="68">
        <f t="shared" si="23"/>
        <v>4.8624724578057714</v>
      </c>
      <c r="AK92" s="68"/>
      <c r="AL92" s="68"/>
      <c r="AM92" s="68"/>
      <c r="AN92" s="68"/>
      <c r="AO92" s="68"/>
      <c r="AP92" s="68"/>
      <c r="AQ92" s="68"/>
      <c r="AR92" s="46"/>
      <c r="AS92" s="46"/>
      <c r="AT92" s="46"/>
      <c r="AU92" s="46"/>
      <c r="AV92" s="46"/>
    </row>
    <row r="93" spans="2:48" x14ac:dyDescent="0.35">
      <c r="B93" s="554"/>
      <c r="C93" s="556"/>
      <c r="D93" s="555"/>
      <c r="E93" s="68"/>
      <c r="F93" s="68"/>
      <c r="G93" s="68">
        <f t="shared" si="27"/>
        <v>15</v>
      </c>
      <c r="H93" s="68">
        <f t="shared" si="0"/>
        <v>5.8</v>
      </c>
      <c r="I93" s="536">
        <f t="shared" si="1"/>
        <v>2.886002886002886E-4</v>
      </c>
      <c r="J93" s="68">
        <f t="shared" si="2"/>
        <v>0.63392999999999999</v>
      </c>
      <c r="K93" s="68">
        <f t="shared" si="3"/>
        <v>1.2995451591942817</v>
      </c>
      <c r="L93" s="536">
        <f t="shared" si="24"/>
        <v>2.6334751591942815</v>
      </c>
      <c r="M93" s="68">
        <f t="shared" si="4"/>
        <v>1.1850638216374266E-3</v>
      </c>
      <c r="N93" s="68">
        <f t="shared" si="5"/>
        <v>3.0400867638606423E-3</v>
      </c>
      <c r="O93" s="68">
        <f t="shared" si="6"/>
        <v>1.3971238383838383E-4</v>
      </c>
      <c r="P93" s="68">
        <f t="shared" si="7"/>
        <v>4.3648629693364525</v>
      </c>
      <c r="Q93" s="68">
        <f t="shared" si="28"/>
        <v>10.995673629278274</v>
      </c>
      <c r="R93" s="68">
        <f t="shared" si="8"/>
        <v>5.9</v>
      </c>
      <c r="S93" s="536">
        <f t="shared" si="9"/>
        <v>3.937006931051002E-4</v>
      </c>
      <c r="T93" s="68">
        <f t="shared" si="10"/>
        <v>0.46469915892055841</v>
      </c>
      <c r="U93" s="68">
        <f t="shared" si="11"/>
        <v>0.88640214529510852</v>
      </c>
      <c r="V93" s="536">
        <f t="shared" si="25"/>
        <v>2.0511013042156669</v>
      </c>
      <c r="W93" s="68">
        <f t="shared" si="12"/>
        <v>9.2299558689705008E-4</v>
      </c>
      <c r="X93" s="68">
        <f t="shared" si="13"/>
        <v>3.2300800203939324E-3</v>
      </c>
      <c r="Y93" s="68">
        <f t="shared" si="14"/>
        <v>1.3965352761186113E-4</v>
      </c>
      <c r="Z93" s="68">
        <f t="shared" si="15"/>
        <v>4.2927879911293658</v>
      </c>
      <c r="AA93" s="68">
        <f t="shared" si="29"/>
        <v>6.3106492929095008</v>
      </c>
      <c r="AB93" s="68">
        <f t="shared" si="16"/>
        <v>4.4000000000000004</v>
      </c>
      <c r="AC93" s="536">
        <f t="shared" si="17"/>
        <v>6.8598398169080605E-4</v>
      </c>
      <c r="AD93" s="68">
        <f t="shared" si="18"/>
        <v>0.26670066041694135</v>
      </c>
      <c r="AE93" s="68">
        <f t="shared" si="19"/>
        <v>0.77223342968117048</v>
      </c>
      <c r="AF93" s="536">
        <f t="shared" si="26"/>
        <v>1.7389340900981116</v>
      </c>
      <c r="AG93" s="68">
        <f t="shared" si="20"/>
        <v>7.8252034054415015E-4</v>
      </c>
      <c r="AH93" s="68">
        <f t="shared" si="21"/>
        <v>4.7715237240935262E-3</v>
      </c>
      <c r="AI93" s="68">
        <f t="shared" si="22"/>
        <v>1.3948984897025314E-4</v>
      </c>
      <c r="AJ93" s="68">
        <f t="shared" si="23"/>
        <v>5.6937564484760603</v>
      </c>
      <c r="AK93" s="68"/>
      <c r="AL93" s="68"/>
      <c r="AM93" s="68"/>
      <c r="AN93" s="68"/>
      <c r="AO93" s="68"/>
      <c r="AP93" s="68"/>
      <c r="AQ93" s="68"/>
      <c r="AR93" s="46"/>
      <c r="AS93" s="46"/>
      <c r="AT93" s="46"/>
      <c r="AU93" s="46"/>
      <c r="AV93" s="46"/>
    </row>
    <row r="94" spans="2:48" x14ac:dyDescent="0.35">
      <c r="B94" s="554"/>
      <c r="C94" s="556"/>
      <c r="D94" s="555"/>
      <c r="E94" s="68"/>
      <c r="F94" s="68"/>
      <c r="G94" s="68">
        <f t="shared" si="27"/>
        <v>14</v>
      </c>
      <c r="H94" s="68">
        <f t="shared" si="0"/>
        <v>5.4</v>
      </c>
      <c r="I94" s="536">
        <f t="shared" si="1"/>
        <v>3.0921459492888067E-4</v>
      </c>
      <c r="J94" s="68">
        <f t="shared" si="2"/>
        <v>0.59166800000000008</v>
      </c>
      <c r="K94" s="68">
        <f t="shared" si="3"/>
        <v>1.3923698134224449</v>
      </c>
      <c r="L94" s="536">
        <f t="shared" si="24"/>
        <v>2.684037813422445</v>
      </c>
      <c r="M94" s="68">
        <f t="shared" si="4"/>
        <v>1.2078170160401002E-3</v>
      </c>
      <c r="N94" s="68">
        <f t="shared" si="5"/>
        <v>3.3197746610048795E-3</v>
      </c>
      <c r="O94" s="68">
        <f t="shared" si="6"/>
        <v>1.3970083982683981E-4</v>
      </c>
      <c r="P94" s="68">
        <f t="shared" si="7"/>
        <v>4.6672925168718198</v>
      </c>
      <c r="Q94" s="68">
        <f t="shared" si="28"/>
        <v>9.995673629278274</v>
      </c>
      <c r="R94" s="68">
        <f t="shared" si="8"/>
        <v>5.3</v>
      </c>
      <c r="S94" s="536">
        <f t="shared" si="9"/>
        <v>4.3308780273940378E-4</v>
      </c>
      <c r="T94" s="68">
        <f t="shared" si="10"/>
        <v>0.42243715892055844</v>
      </c>
      <c r="U94" s="68">
        <f t="shared" si="11"/>
        <v>0.97508072546590907</v>
      </c>
      <c r="V94" s="536">
        <f t="shared" si="25"/>
        <v>2.0975178843864675</v>
      </c>
      <c r="W94" s="68">
        <f t="shared" si="12"/>
        <v>9.4388304797391029E-4</v>
      </c>
      <c r="X94" s="68">
        <f t="shared" si="13"/>
        <v>3.6336376470221519E-3</v>
      </c>
      <c r="Y94" s="68">
        <f t="shared" si="14"/>
        <v>1.3963147083046593E-4</v>
      </c>
      <c r="Z94" s="68">
        <f t="shared" si="15"/>
        <v>4.7172215348229019</v>
      </c>
      <c r="AA94" s="68">
        <f t="shared" si="29"/>
        <v>5.3106492929095008</v>
      </c>
      <c r="AB94" s="68">
        <f t="shared" si="16"/>
        <v>3.6</v>
      </c>
      <c r="AC94" s="536">
        <f t="shared" si="17"/>
        <v>8.1515537747600599E-4</v>
      </c>
      <c r="AD94" s="68">
        <f t="shared" si="18"/>
        <v>0.22443866041694133</v>
      </c>
      <c r="AE94" s="68">
        <f t="shared" si="19"/>
        <v>0.91764567347445114</v>
      </c>
      <c r="AF94" s="536">
        <f t="shared" si="26"/>
        <v>1.8420843338913924</v>
      </c>
      <c r="AG94" s="68">
        <f t="shared" si="20"/>
        <v>8.2893795025112656E-4</v>
      </c>
      <c r="AH94" s="68">
        <f t="shared" si="21"/>
        <v>6.0063398021435004E-3</v>
      </c>
      <c r="AI94" s="68">
        <f t="shared" si="22"/>
        <v>1.3941751298861342E-4</v>
      </c>
      <c r="AJ94" s="68">
        <f t="shared" si="23"/>
        <v>6.9749785922214658</v>
      </c>
      <c r="AK94" s="68"/>
      <c r="AL94" s="68"/>
      <c r="AM94" s="68"/>
      <c r="AN94" s="68"/>
      <c r="AO94" s="68"/>
      <c r="AP94" s="68"/>
      <c r="AQ94" s="68"/>
      <c r="AR94" s="46"/>
      <c r="AS94" s="46"/>
      <c r="AT94" s="46"/>
      <c r="AU94" s="46"/>
      <c r="AV94" s="46"/>
    </row>
    <row r="95" spans="2:48" x14ac:dyDescent="0.35">
      <c r="B95" s="554"/>
      <c r="C95" s="556"/>
      <c r="D95" s="555"/>
      <c r="E95" s="68"/>
      <c r="F95" s="68"/>
      <c r="G95" s="68">
        <f t="shared" si="27"/>
        <v>13</v>
      </c>
      <c r="H95" s="68">
        <f t="shared" si="0"/>
        <v>5</v>
      </c>
      <c r="I95" s="536">
        <f t="shared" si="1"/>
        <v>3.33000333000333E-4</v>
      </c>
      <c r="J95" s="68">
        <f t="shared" si="2"/>
        <v>0.54940599999999995</v>
      </c>
      <c r="K95" s="68">
        <f t="shared" si="3"/>
        <v>1.4994751836857099</v>
      </c>
      <c r="L95" s="536">
        <f t="shared" si="24"/>
        <v>2.7488811836857101</v>
      </c>
      <c r="M95" s="68">
        <f t="shared" si="4"/>
        <v>1.2369965326585696E-3</v>
      </c>
      <c r="N95" s="68">
        <f t="shared" si="5"/>
        <v>3.661513398182764E-3</v>
      </c>
      <c r="O95" s="68">
        <f t="shared" si="6"/>
        <v>1.396875198135198E-4</v>
      </c>
      <c r="P95" s="68">
        <f t="shared" si="7"/>
        <v>5.0381974506548532</v>
      </c>
      <c r="Q95" s="68">
        <f t="shared" si="28"/>
        <v>8.995673629278274</v>
      </c>
      <c r="R95" s="68">
        <f t="shared" si="8"/>
        <v>4.8</v>
      </c>
      <c r="S95" s="536">
        <f t="shared" si="9"/>
        <v>4.8123181291445395E-4</v>
      </c>
      <c r="T95" s="68">
        <f t="shared" si="10"/>
        <v>0.38017515892055842</v>
      </c>
      <c r="U95" s="68">
        <f t="shared" si="11"/>
        <v>1.0834751343395599</v>
      </c>
      <c r="V95" s="536">
        <f t="shared" si="25"/>
        <v>2.163650293260118</v>
      </c>
      <c r="W95" s="68">
        <f t="shared" si="12"/>
        <v>9.7364263196705306E-4</v>
      </c>
      <c r="X95" s="68">
        <f t="shared" si="13"/>
        <v>4.164869412553826E-3</v>
      </c>
      <c r="Y95" s="68">
        <f t="shared" si="14"/>
        <v>1.396045101847679E-4</v>
      </c>
      <c r="Z95" s="68">
        <f t="shared" si="15"/>
        <v>5.2781995643343986</v>
      </c>
      <c r="AA95" s="68">
        <f t="shared" si="29"/>
        <v>4.3106492929095008</v>
      </c>
      <c r="AB95" s="68">
        <f t="shared" si="16"/>
        <v>2.8</v>
      </c>
      <c r="AC95" s="536">
        <f t="shared" si="17"/>
        <v>1.0042580676013287E-3</v>
      </c>
      <c r="AD95" s="68">
        <f t="shared" si="18"/>
        <v>0.18217666041694133</v>
      </c>
      <c r="AE95" s="68">
        <f t="shared" si="19"/>
        <v>1.1305244328260571</v>
      </c>
      <c r="AF95" s="536">
        <f t="shared" si="26"/>
        <v>2.0127010932429985</v>
      </c>
      <c r="AG95" s="68">
        <f t="shared" si="20"/>
        <v>9.0571549195934931E-4</v>
      </c>
      <c r="AH95" s="68">
        <f t="shared" si="21"/>
        <v>8.0850852422371805E-3</v>
      </c>
      <c r="AI95" s="68">
        <f t="shared" si="22"/>
        <v>1.3931161548214323E-4</v>
      </c>
      <c r="AJ95" s="68">
        <f t="shared" si="23"/>
        <v>9.13048825401005</v>
      </c>
      <c r="AK95" s="68"/>
      <c r="AL95" s="68"/>
      <c r="AM95" s="68"/>
      <c r="AN95" s="68"/>
      <c r="AO95" s="68"/>
      <c r="AP95" s="68"/>
      <c r="AQ95" s="68"/>
      <c r="AR95" s="46"/>
      <c r="AS95" s="46"/>
      <c r="AT95" s="46"/>
      <c r="AU95" s="46"/>
      <c r="AV95" s="46"/>
    </row>
    <row r="96" spans="2:48" x14ac:dyDescent="0.35">
      <c r="B96" s="554"/>
      <c r="C96" s="556"/>
      <c r="D96" s="555"/>
      <c r="E96" s="68"/>
      <c r="F96" s="68"/>
      <c r="G96" s="68">
        <f t="shared" si="27"/>
        <v>12</v>
      </c>
      <c r="H96" s="68">
        <f t="shared" si="0"/>
        <v>4.5999999999999996</v>
      </c>
      <c r="I96" s="536">
        <f t="shared" si="1"/>
        <v>3.6075036075036075E-4</v>
      </c>
      <c r="J96" s="68">
        <f t="shared" si="2"/>
        <v>0.50714399999999993</v>
      </c>
      <c r="K96" s="68">
        <f t="shared" si="3"/>
        <v>1.6244314489928524</v>
      </c>
      <c r="L96" s="536">
        <f t="shared" si="24"/>
        <v>2.8315754489928526</v>
      </c>
      <c r="M96" s="68">
        <f t="shared" si="4"/>
        <v>1.2742089520467836E-3</v>
      </c>
      <c r="N96" s="68">
        <f t="shared" si="5"/>
        <v>4.0859674588641448E-3</v>
      </c>
      <c r="O96" s="68">
        <f t="shared" si="6"/>
        <v>1.3967197979797977E-4</v>
      </c>
      <c r="P96" s="68">
        <f t="shared" si="7"/>
        <v>5.499848390708908</v>
      </c>
      <c r="Q96" s="68">
        <f t="shared" si="28"/>
        <v>7.995673629278274</v>
      </c>
      <c r="R96" s="68">
        <f t="shared" si="8"/>
        <v>4.2</v>
      </c>
      <c r="S96" s="536">
        <f t="shared" si="9"/>
        <v>5.4141833818135531E-4</v>
      </c>
      <c r="T96" s="68">
        <f t="shared" si="10"/>
        <v>0.33791315892055845</v>
      </c>
      <c r="U96" s="68">
        <f t="shared" si="11"/>
        <v>1.2189828081860923</v>
      </c>
      <c r="V96" s="536">
        <f t="shared" si="25"/>
        <v>2.2568959671066509</v>
      </c>
      <c r="W96" s="68">
        <f t="shared" si="12"/>
        <v>1.0156031851979929E-3</v>
      </c>
      <c r="X96" s="68">
        <f t="shared" si="13"/>
        <v>4.8876994558363423E-3</v>
      </c>
      <c r="Y96" s="68">
        <f t="shared" si="14"/>
        <v>1.3957080573061842E-4</v>
      </c>
      <c r="Z96" s="68">
        <f t="shared" si="15"/>
        <v>6.0429746208323145</v>
      </c>
      <c r="AA96" s="68">
        <f t="shared" si="29"/>
        <v>3.3106492929095008</v>
      </c>
      <c r="AB96" s="68">
        <f t="shared" si="16"/>
        <v>1.9</v>
      </c>
      <c r="AC96" s="536">
        <f t="shared" si="17"/>
        <v>1.3075997926678205E-3</v>
      </c>
      <c r="AD96" s="68">
        <f t="shared" si="18"/>
        <v>0.13991466041694134</v>
      </c>
      <c r="AE96" s="68">
        <f t="shared" si="19"/>
        <v>1.4720056145529554</v>
      </c>
      <c r="AF96" s="536">
        <f t="shared" si="26"/>
        <v>2.3119202749698968</v>
      </c>
      <c r="AG96" s="68">
        <f t="shared" si="20"/>
        <v>1.0403641237364536E-3</v>
      </c>
      <c r="AH96" s="68">
        <f t="shared" si="21"/>
        <v>1.209226588886067E-2</v>
      </c>
      <c r="AI96" s="68">
        <f t="shared" si="22"/>
        <v>1.3914174411610601E-4</v>
      </c>
      <c r="AJ96" s="68">
        <f t="shared" si="23"/>
        <v>13.272301992395104</v>
      </c>
      <c r="AK96" s="68"/>
      <c r="AL96" s="68"/>
      <c r="AM96" s="68"/>
      <c r="AN96" s="68"/>
      <c r="AO96" s="68"/>
      <c r="AP96" s="68"/>
      <c r="AQ96" s="68"/>
      <c r="AR96" s="46"/>
      <c r="AS96" s="46"/>
      <c r="AT96" s="46"/>
      <c r="AU96" s="46"/>
      <c r="AV96" s="46"/>
    </row>
    <row r="97" spans="2:48" x14ac:dyDescent="0.35">
      <c r="B97" s="554"/>
      <c r="C97" s="556"/>
      <c r="D97" s="555"/>
      <c r="E97" s="68"/>
      <c r="F97" s="68"/>
      <c r="G97" s="68">
        <f t="shared" si="27"/>
        <v>11</v>
      </c>
      <c r="H97" s="68">
        <f t="shared" si="0"/>
        <v>4.0999999999999996</v>
      </c>
      <c r="I97" s="536">
        <f t="shared" si="1"/>
        <v>3.9354584809130262E-4</v>
      </c>
      <c r="J97" s="68">
        <f t="shared" si="2"/>
        <v>0.46488199999999996</v>
      </c>
      <c r="K97" s="68">
        <f t="shared" si="3"/>
        <v>1.7721070352649297</v>
      </c>
      <c r="L97" s="536">
        <f t="shared" si="24"/>
        <v>2.9369890352649297</v>
      </c>
      <c r="M97" s="68">
        <f t="shared" si="4"/>
        <v>1.3216450658692183E-3</v>
      </c>
      <c r="N97" s="68">
        <f t="shared" si="5"/>
        <v>4.623359362872774E-3</v>
      </c>
      <c r="O97" s="68">
        <f t="shared" si="6"/>
        <v>1.3965361432506887E-4</v>
      </c>
      <c r="P97" s="68">
        <f t="shared" si="7"/>
        <v>6.0846580430670612</v>
      </c>
      <c r="Q97" s="68">
        <f t="shared" si="28"/>
        <v>6.995673629278274</v>
      </c>
      <c r="R97" s="68">
        <f t="shared" si="8"/>
        <v>3.5</v>
      </c>
      <c r="S97" s="536">
        <f t="shared" si="9"/>
        <v>6.1881164822878416E-4</v>
      </c>
      <c r="T97" s="68">
        <f t="shared" si="10"/>
        <v>0.29565115892055843</v>
      </c>
      <c r="U97" s="68">
        <f t="shared" si="11"/>
        <v>1.3932309039069117</v>
      </c>
      <c r="V97" s="536">
        <f t="shared" si="25"/>
        <v>2.3888820628274701</v>
      </c>
      <c r="W97" s="68">
        <f t="shared" si="12"/>
        <v>1.0749969282723615E-3</v>
      </c>
      <c r="X97" s="68">
        <f t="shared" si="13"/>
        <v>5.9130721868897789E-3</v>
      </c>
      <c r="Y97" s="68">
        <f t="shared" si="14"/>
        <v>1.3952746547699188E-4</v>
      </c>
      <c r="Z97" s="68">
        <f t="shared" si="15"/>
        <v>7.1277227294872096</v>
      </c>
      <c r="AA97" s="68">
        <f t="shared" si="29"/>
        <v>2.3106492929095008</v>
      </c>
      <c r="AB97" s="68">
        <f t="shared" si="16"/>
        <v>1.1000000000000001</v>
      </c>
      <c r="AC97" s="536">
        <f t="shared" si="17"/>
        <v>1.8735012458569063E-3</v>
      </c>
      <c r="AD97" s="68">
        <f t="shared" si="18"/>
        <v>9.7652660416941317E-2</v>
      </c>
      <c r="AE97" s="68">
        <f t="shared" si="19"/>
        <v>2.1090584200435929</v>
      </c>
      <c r="AF97" s="536">
        <f t="shared" si="26"/>
        <v>2.9067110804605343</v>
      </c>
      <c r="AG97" s="68">
        <f t="shared" si="20"/>
        <v>1.3080199862072403E-3</v>
      </c>
      <c r="AH97" s="68">
        <f t="shared" si="21"/>
        <v>2.1782907322355542E-2</v>
      </c>
      <c r="AI97" s="68">
        <f t="shared" si="22"/>
        <v>1.3882483930232012E-4</v>
      </c>
      <c r="AJ97" s="68">
        <f t="shared" si="23"/>
        <v>23.230580922887853</v>
      </c>
      <c r="AK97" s="68"/>
      <c r="AL97" s="68"/>
      <c r="AM97" s="68"/>
      <c r="AN97" s="68"/>
      <c r="AO97" s="68"/>
      <c r="AP97" s="68"/>
      <c r="AQ97" s="68"/>
      <c r="AR97" s="46"/>
      <c r="AS97" s="46"/>
      <c r="AT97" s="46"/>
      <c r="AU97" s="46"/>
      <c r="AV97" s="46"/>
    </row>
    <row r="98" spans="2:48" x14ac:dyDescent="0.35">
      <c r="B98" s="554"/>
      <c r="C98" s="556"/>
      <c r="D98" s="555"/>
      <c r="E98" s="68"/>
      <c r="F98" s="68"/>
      <c r="G98" s="68">
        <f t="shared" si="27"/>
        <v>11</v>
      </c>
      <c r="H98" s="68">
        <f t="shared" si="0"/>
        <v>4.0999999999999996</v>
      </c>
      <c r="I98" s="536">
        <f t="shared" si="1"/>
        <v>3.9354584809130262E-4</v>
      </c>
      <c r="J98" s="68">
        <f t="shared" si="2"/>
        <v>0.46488199999999996</v>
      </c>
      <c r="K98" s="68">
        <f t="shared" si="3"/>
        <v>1.7721070352649297</v>
      </c>
      <c r="L98" s="536">
        <f t="shared" si="24"/>
        <v>2.9369890352649297</v>
      </c>
      <c r="M98" s="68">
        <f t="shared" si="4"/>
        <v>1.3216450658692183E-3</v>
      </c>
      <c r="N98" s="68">
        <f t="shared" si="5"/>
        <v>4.623359362872774E-3</v>
      </c>
      <c r="O98" s="68">
        <f t="shared" si="6"/>
        <v>1.3965361432506887E-4</v>
      </c>
      <c r="P98" s="68">
        <f t="shared" si="7"/>
        <v>6.0846580430670612</v>
      </c>
      <c r="Q98" s="68">
        <f t="shared" si="28"/>
        <v>5.995673629278274</v>
      </c>
      <c r="R98" s="68">
        <f t="shared" si="8"/>
        <v>2.9</v>
      </c>
      <c r="S98" s="536">
        <f t="shared" si="9"/>
        <v>7.220213435008855E-4</v>
      </c>
      <c r="T98" s="68">
        <f t="shared" si="10"/>
        <v>0.25338915892055841</v>
      </c>
      <c r="U98" s="68">
        <f t="shared" si="11"/>
        <v>1.6256036096364965</v>
      </c>
      <c r="V98" s="536">
        <f t="shared" si="25"/>
        <v>2.5789927685570548</v>
      </c>
      <c r="W98" s="68">
        <f t="shared" si="12"/>
        <v>1.1605467458506746E-3</v>
      </c>
      <c r="X98" s="68">
        <f t="shared" si="13"/>
        <v>7.4483512945305317E-3</v>
      </c>
      <c r="Y98" s="68">
        <f t="shared" si="14"/>
        <v>1.3946966804763948E-4</v>
      </c>
      <c r="Z98" s="68">
        <f t="shared" si="15"/>
        <v>8.748551654706274</v>
      </c>
      <c r="AA98" s="68">
        <f t="shared" si="29"/>
        <v>2.3106492929095008</v>
      </c>
      <c r="AB98" s="68">
        <f t="shared" si="16"/>
        <v>1.1000000000000001</v>
      </c>
      <c r="AC98" s="536">
        <f t="shared" si="17"/>
        <v>1.8735012458569063E-3</v>
      </c>
      <c r="AD98" s="68">
        <f t="shared" si="18"/>
        <v>9.7652660416941317E-2</v>
      </c>
      <c r="AE98" s="68">
        <f t="shared" si="19"/>
        <v>2.1090584200435929</v>
      </c>
      <c r="AF98" s="536">
        <f t="shared" si="26"/>
        <v>2.9067110804605343</v>
      </c>
      <c r="AG98" s="68">
        <f t="shared" si="20"/>
        <v>1.3080199862072403E-3</v>
      </c>
      <c r="AH98" s="68">
        <f t="shared" si="21"/>
        <v>2.1782907322355542E-2</v>
      </c>
      <c r="AI98" s="68">
        <f t="shared" si="22"/>
        <v>1.3882483930232012E-4</v>
      </c>
      <c r="AJ98" s="68">
        <f t="shared" si="23"/>
        <v>23.230580922887853</v>
      </c>
      <c r="AK98" s="68"/>
      <c r="AL98" s="68"/>
      <c r="AM98" s="68"/>
      <c r="AN98" s="68"/>
      <c r="AO98" s="68"/>
      <c r="AP98" s="68"/>
      <c r="AQ98" s="68"/>
      <c r="AR98" s="46"/>
      <c r="AS98" s="46"/>
      <c r="AT98" s="46"/>
      <c r="AU98" s="46"/>
      <c r="AV98" s="46"/>
    </row>
    <row r="99" spans="2:48" x14ac:dyDescent="0.35">
      <c r="B99" s="554"/>
      <c r="C99" s="556"/>
      <c r="D99" s="555"/>
      <c r="E99" s="68"/>
      <c r="F99" s="68"/>
      <c r="G99" s="68">
        <f t="shared" si="27"/>
        <v>11</v>
      </c>
      <c r="H99" s="68">
        <f t="shared" si="0"/>
        <v>4.0999999999999996</v>
      </c>
      <c r="I99" s="536">
        <f t="shared" si="1"/>
        <v>3.9354584809130262E-4</v>
      </c>
      <c r="J99" s="68">
        <f t="shared" si="2"/>
        <v>0.46488199999999996</v>
      </c>
      <c r="K99" s="68">
        <f t="shared" si="3"/>
        <v>1.7721070352649297</v>
      </c>
      <c r="L99" s="536">
        <f t="shared" si="24"/>
        <v>2.9369890352649297</v>
      </c>
      <c r="M99" s="68">
        <f t="shared" si="4"/>
        <v>1.3216450658692183E-3</v>
      </c>
      <c r="N99" s="68">
        <f t="shared" si="5"/>
        <v>4.623359362872774E-3</v>
      </c>
      <c r="O99" s="68">
        <f t="shared" si="6"/>
        <v>1.3965361432506887E-4</v>
      </c>
      <c r="P99" s="68">
        <f t="shared" si="7"/>
        <v>6.0846580430670612</v>
      </c>
      <c r="Q99" s="68">
        <f t="shared" si="28"/>
        <v>4.995673629278274</v>
      </c>
      <c r="R99" s="68">
        <f t="shared" si="8"/>
        <v>2.2000000000000002</v>
      </c>
      <c r="S99" s="536">
        <f t="shared" si="9"/>
        <v>8.665506696901138E-4</v>
      </c>
      <c r="T99" s="68">
        <f t="shared" si="10"/>
        <v>0.21112715892055842</v>
      </c>
      <c r="U99" s="68">
        <f t="shared" si="11"/>
        <v>1.9510058937467467</v>
      </c>
      <c r="V99" s="536">
        <f t="shared" si="25"/>
        <v>2.8621330526673052</v>
      </c>
      <c r="W99" s="68">
        <f t="shared" si="12"/>
        <v>1.2879598737002872E-3</v>
      </c>
      <c r="X99" s="68">
        <f t="shared" si="13"/>
        <v>9.9207332541242522E-3</v>
      </c>
      <c r="Y99" s="68">
        <f t="shared" si="14"/>
        <v>1.3938873162497352E-4</v>
      </c>
      <c r="Z99" s="68">
        <f t="shared" si="15"/>
        <v>11.348346742149609</v>
      </c>
      <c r="AA99" s="68">
        <f t="shared" si="29"/>
        <v>2.3106492929095008</v>
      </c>
      <c r="AB99" s="68">
        <f t="shared" si="16"/>
        <v>1.1000000000000001</v>
      </c>
      <c r="AC99" s="536">
        <f t="shared" si="17"/>
        <v>1.8735012458569063E-3</v>
      </c>
      <c r="AD99" s="68">
        <f t="shared" si="18"/>
        <v>9.7652660416941317E-2</v>
      </c>
      <c r="AE99" s="68">
        <f t="shared" si="19"/>
        <v>2.1090584200435929</v>
      </c>
      <c r="AF99" s="536">
        <f t="shared" si="26"/>
        <v>2.9067110804605343</v>
      </c>
      <c r="AG99" s="68">
        <f t="shared" si="20"/>
        <v>1.3080199862072403E-3</v>
      </c>
      <c r="AH99" s="68">
        <f t="shared" si="21"/>
        <v>2.1782907322355542E-2</v>
      </c>
      <c r="AI99" s="68">
        <f t="shared" si="22"/>
        <v>1.3882483930232012E-4</v>
      </c>
      <c r="AJ99" s="68">
        <f t="shared" si="23"/>
        <v>23.230580922887853</v>
      </c>
      <c r="AK99" s="68"/>
      <c r="AL99" s="68"/>
      <c r="AM99" s="68"/>
      <c r="AN99" s="68"/>
      <c r="AO99" s="68"/>
      <c r="AP99" s="68"/>
      <c r="AQ99" s="68"/>
      <c r="AR99" s="46"/>
      <c r="AS99" s="46"/>
      <c r="AT99" s="46"/>
      <c r="AU99" s="46"/>
      <c r="AV99" s="46"/>
    </row>
    <row r="100" spans="2:48" x14ac:dyDescent="0.35">
      <c r="B100" s="554"/>
      <c r="C100" s="556"/>
      <c r="D100" s="555"/>
      <c r="E100" s="68"/>
      <c r="F100" s="68"/>
      <c r="G100" s="68">
        <f t="shared" si="27"/>
        <v>11</v>
      </c>
      <c r="H100" s="68">
        <f t="shared" si="0"/>
        <v>4.0999999999999996</v>
      </c>
      <c r="I100" s="536">
        <f t="shared" si="1"/>
        <v>3.9354584809130262E-4</v>
      </c>
      <c r="J100" s="68">
        <f t="shared" si="2"/>
        <v>0.46488199999999996</v>
      </c>
      <c r="K100" s="68">
        <f t="shared" si="3"/>
        <v>1.7721070352649297</v>
      </c>
      <c r="L100" s="536">
        <f t="shared" si="24"/>
        <v>2.9369890352649297</v>
      </c>
      <c r="M100" s="68">
        <f t="shared" si="4"/>
        <v>1.3216450658692183E-3</v>
      </c>
      <c r="N100" s="68">
        <f t="shared" si="5"/>
        <v>4.623359362872774E-3</v>
      </c>
      <c r="O100" s="68">
        <f t="shared" si="6"/>
        <v>1.3965361432506887E-4</v>
      </c>
      <c r="P100" s="68">
        <f t="shared" si="7"/>
        <v>6.0846580430670612</v>
      </c>
      <c r="Q100" s="68">
        <f t="shared" si="28"/>
        <v>4.995673629278274</v>
      </c>
      <c r="R100" s="68">
        <f t="shared" si="8"/>
        <v>2.2000000000000002</v>
      </c>
      <c r="S100" s="536">
        <f t="shared" si="9"/>
        <v>8.665506696901138E-4</v>
      </c>
      <c r="T100" s="68">
        <f t="shared" si="10"/>
        <v>0.21112715892055842</v>
      </c>
      <c r="U100" s="68">
        <f t="shared" si="11"/>
        <v>1.9510058937467467</v>
      </c>
      <c r="V100" s="536">
        <f t="shared" si="25"/>
        <v>2.8621330526673052</v>
      </c>
      <c r="W100" s="68">
        <f t="shared" si="12"/>
        <v>1.2879598737002872E-3</v>
      </c>
      <c r="X100" s="68">
        <f t="shared" si="13"/>
        <v>9.9207332541242522E-3</v>
      </c>
      <c r="Y100" s="68">
        <f t="shared" si="14"/>
        <v>1.3938873162497352E-4</v>
      </c>
      <c r="Z100" s="68">
        <f t="shared" si="15"/>
        <v>11.348346742149609</v>
      </c>
      <c r="AA100" s="68">
        <f t="shared" si="29"/>
        <v>2.3106492929095008</v>
      </c>
      <c r="AB100" s="68">
        <f t="shared" si="16"/>
        <v>1.1000000000000001</v>
      </c>
      <c r="AC100" s="536">
        <f t="shared" si="17"/>
        <v>1.8735012458569063E-3</v>
      </c>
      <c r="AD100" s="68">
        <f t="shared" si="18"/>
        <v>9.7652660416941317E-2</v>
      </c>
      <c r="AE100" s="68">
        <f t="shared" si="19"/>
        <v>2.1090584200435929</v>
      </c>
      <c r="AF100" s="536">
        <f t="shared" si="26"/>
        <v>2.9067110804605343</v>
      </c>
      <c r="AG100" s="68">
        <f t="shared" si="20"/>
        <v>1.3080199862072403E-3</v>
      </c>
      <c r="AH100" s="68">
        <f t="shared" si="21"/>
        <v>2.1782907322355542E-2</v>
      </c>
      <c r="AI100" s="68">
        <f t="shared" si="22"/>
        <v>1.3882483930232012E-4</v>
      </c>
      <c r="AJ100" s="68">
        <f t="shared" si="23"/>
        <v>23.230580922887853</v>
      </c>
      <c r="AK100" s="68"/>
      <c r="AL100" s="68"/>
      <c r="AM100" s="68"/>
      <c r="AN100" s="68"/>
      <c r="AO100" s="68"/>
      <c r="AP100" s="68"/>
      <c r="AQ100" s="68"/>
      <c r="AR100" s="46"/>
      <c r="AS100" s="46"/>
      <c r="AT100" s="46"/>
      <c r="AU100" s="46"/>
    </row>
    <row r="101" spans="2:48" x14ac:dyDescent="0.35">
      <c r="B101" s="554"/>
      <c r="C101" s="556"/>
      <c r="D101" s="555"/>
      <c r="E101" s="68"/>
      <c r="F101" s="68"/>
      <c r="G101" s="68">
        <f t="shared" si="27"/>
        <v>11</v>
      </c>
      <c r="H101" s="68">
        <f t="shared" si="0"/>
        <v>4.0999999999999996</v>
      </c>
      <c r="I101" s="536">
        <f t="shared" si="1"/>
        <v>3.9354584809130262E-4</v>
      </c>
      <c r="J101" s="68">
        <f t="shared" si="2"/>
        <v>0.46488199999999996</v>
      </c>
      <c r="K101" s="68">
        <f t="shared" si="3"/>
        <v>1.7721070352649297</v>
      </c>
      <c r="L101" s="536">
        <f t="shared" si="24"/>
        <v>2.9369890352649297</v>
      </c>
      <c r="M101" s="68">
        <f t="shared" si="4"/>
        <v>1.3216450658692183E-3</v>
      </c>
      <c r="N101" s="68">
        <f t="shared" si="5"/>
        <v>4.623359362872774E-3</v>
      </c>
      <c r="O101" s="68">
        <f t="shared" si="6"/>
        <v>1.3965361432506887E-4</v>
      </c>
      <c r="P101" s="68">
        <f t="shared" si="7"/>
        <v>6.0846580430670612</v>
      </c>
      <c r="Q101" s="68">
        <f t="shared" si="28"/>
        <v>4.995673629278274</v>
      </c>
      <c r="R101" s="68">
        <f t="shared" si="8"/>
        <v>2.2000000000000002</v>
      </c>
      <c r="S101" s="536">
        <f t="shared" si="9"/>
        <v>8.665506696901138E-4</v>
      </c>
      <c r="T101" s="68">
        <f t="shared" si="10"/>
        <v>0.21112715892055842</v>
      </c>
      <c r="U101" s="68">
        <f t="shared" si="11"/>
        <v>1.9510058937467467</v>
      </c>
      <c r="V101" s="536">
        <f t="shared" si="25"/>
        <v>2.8621330526673052</v>
      </c>
      <c r="W101" s="68">
        <f t="shared" si="12"/>
        <v>1.2879598737002872E-3</v>
      </c>
      <c r="X101" s="68">
        <f t="shared" si="13"/>
        <v>9.9207332541242522E-3</v>
      </c>
      <c r="Y101" s="68">
        <f t="shared" si="14"/>
        <v>1.3938873162497352E-4</v>
      </c>
      <c r="Z101" s="68">
        <f t="shared" si="15"/>
        <v>11.348346742149609</v>
      </c>
      <c r="AA101" s="68">
        <f t="shared" si="29"/>
        <v>2.3106492929095008</v>
      </c>
      <c r="AB101" s="68">
        <f t="shared" si="16"/>
        <v>1.1000000000000001</v>
      </c>
      <c r="AC101" s="536">
        <f t="shared" si="17"/>
        <v>1.8735012458569063E-3</v>
      </c>
      <c r="AD101" s="68">
        <f t="shared" si="18"/>
        <v>9.7652660416941317E-2</v>
      </c>
      <c r="AE101" s="68">
        <f t="shared" si="19"/>
        <v>2.1090584200435929</v>
      </c>
      <c r="AF101" s="536">
        <f t="shared" si="26"/>
        <v>2.9067110804605343</v>
      </c>
      <c r="AG101" s="68">
        <f t="shared" si="20"/>
        <v>1.3080199862072403E-3</v>
      </c>
      <c r="AH101" s="68">
        <f t="shared" si="21"/>
        <v>2.1782907322355542E-2</v>
      </c>
      <c r="AI101" s="68">
        <f t="shared" si="22"/>
        <v>1.3882483930232012E-4</v>
      </c>
      <c r="AJ101" s="68">
        <f t="shared" si="23"/>
        <v>23.230580922887853</v>
      </c>
      <c r="AK101" s="68"/>
      <c r="AL101" s="68"/>
      <c r="AM101" s="68"/>
      <c r="AN101" s="68"/>
      <c r="AO101" s="68"/>
      <c r="AP101" s="68"/>
      <c r="AQ101" s="68"/>
      <c r="AR101" s="46"/>
      <c r="AS101" s="46"/>
      <c r="AT101" s="46"/>
      <c r="AU101" s="46"/>
    </row>
    <row r="102" spans="2:48" x14ac:dyDescent="0.35">
      <c r="B102" s="554"/>
      <c r="C102" s="556"/>
      <c r="D102" s="555"/>
      <c r="E102" s="68"/>
      <c r="F102" s="68"/>
      <c r="G102" s="68">
        <f t="shared" si="27"/>
        <v>11</v>
      </c>
      <c r="H102" s="68">
        <f t="shared" si="0"/>
        <v>4.0999999999999996</v>
      </c>
      <c r="I102" s="536">
        <f t="shared" si="1"/>
        <v>3.9354584809130262E-4</v>
      </c>
      <c r="J102" s="68">
        <f t="shared" si="2"/>
        <v>0.46488199999999996</v>
      </c>
      <c r="K102" s="68">
        <f t="shared" si="3"/>
        <v>1.7721070352649297</v>
      </c>
      <c r="L102" s="536">
        <f t="shared" si="24"/>
        <v>2.9369890352649297</v>
      </c>
      <c r="M102" s="68">
        <f t="shared" si="4"/>
        <v>1.3216450658692183E-3</v>
      </c>
      <c r="N102" s="68">
        <f t="shared" si="5"/>
        <v>4.623359362872774E-3</v>
      </c>
      <c r="O102" s="68">
        <f t="shared" si="6"/>
        <v>1.3965361432506887E-4</v>
      </c>
      <c r="P102" s="68">
        <f t="shared" si="7"/>
        <v>6.0846580430670612</v>
      </c>
      <c r="Q102" s="68">
        <f t="shared" si="28"/>
        <v>4.995673629278274</v>
      </c>
      <c r="R102" s="68">
        <f t="shared" si="8"/>
        <v>2.2000000000000002</v>
      </c>
      <c r="S102" s="536">
        <f t="shared" si="9"/>
        <v>8.665506696901138E-4</v>
      </c>
      <c r="T102" s="68">
        <f t="shared" si="10"/>
        <v>0.21112715892055842</v>
      </c>
      <c r="U102" s="68">
        <f t="shared" si="11"/>
        <v>1.9510058937467467</v>
      </c>
      <c r="V102" s="536">
        <f t="shared" si="25"/>
        <v>2.8621330526673052</v>
      </c>
      <c r="W102" s="68">
        <f t="shared" si="12"/>
        <v>1.2879598737002872E-3</v>
      </c>
      <c r="X102" s="68">
        <f t="shared" si="13"/>
        <v>9.9207332541242522E-3</v>
      </c>
      <c r="Y102" s="68">
        <f t="shared" si="14"/>
        <v>1.3938873162497352E-4</v>
      </c>
      <c r="Z102" s="68">
        <f t="shared" si="15"/>
        <v>11.348346742149609</v>
      </c>
      <c r="AA102" s="68">
        <f t="shared" si="29"/>
        <v>2.3106492929095008</v>
      </c>
      <c r="AB102" s="68">
        <f t="shared" si="16"/>
        <v>1.1000000000000001</v>
      </c>
      <c r="AC102" s="536">
        <f t="shared" si="17"/>
        <v>1.8735012458569063E-3</v>
      </c>
      <c r="AD102" s="68">
        <f t="shared" si="18"/>
        <v>9.7652660416941317E-2</v>
      </c>
      <c r="AE102" s="68">
        <f t="shared" si="19"/>
        <v>2.1090584200435929</v>
      </c>
      <c r="AF102" s="536">
        <f t="shared" si="26"/>
        <v>2.9067110804605343</v>
      </c>
      <c r="AG102" s="68">
        <f t="shared" si="20"/>
        <v>1.3080199862072403E-3</v>
      </c>
      <c r="AH102" s="68">
        <f t="shared" si="21"/>
        <v>2.1782907322355542E-2</v>
      </c>
      <c r="AI102" s="68">
        <f t="shared" si="22"/>
        <v>1.3882483930232012E-4</v>
      </c>
      <c r="AJ102" s="68">
        <f t="shared" si="23"/>
        <v>23.230580922887853</v>
      </c>
      <c r="AK102" s="68"/>
      <c r="AL102" s="68"/>
      <c r="AM102" s="68"/>
      <c r="AN102" s="68"/>
      <c r="AO102" s="68"/>
      <c r="AP102" s="68"/>
      <c r="AQ102" s="68"/>
      <c r="AR102" s="46"/>
      <c r="AS102" s="46"/>
      <c r="AT102" s="46"/>
      <c r="AU102" s="46"/>
    </row>
    <row r="103" spans="2:48" x14ac:dyDescent="0.35">
      <c r="B103" s="554"/>
      <c r="C103" s="556"/>
      <c r="D103" s="555"/>
      <c r="E103" s="68"/>
      <c r="F103" s="68"/>
      <c r="G103" s="68">
        <f t="shared" si="27"/>
        <v>11</v>
      </c>
      <c r="H103" s="68">
        <f t="shared" si="0"/>
        <v>4.0999999999999996</v>
      </c>
      <c r="I103" s="536">
        <f t="shared" si="1"/>
        <v>3.9354584809130262E-4</v>
      </c>
      <c r="J103" s="68">
        <f t="shared" si="2"/>
        <v>0.46488199999999996</v>
      </c>
      <c r="K103" s="68">
        <f t="shared" si="3"/>
        <v>1.7721070352649297</v>
      </c>
      <c r="L103" s="536">
        <f t="shared" si="24"/>
        <v>2.9369890352649297</v>
      </c>
      <c r="M103" s="68">
        <f t="shared" si="4"/>
        <v>1.3216450658692183E-3</v>
      </c>
      <c r="N103" s="68">
        <f t="shared" si="5"/>
        <v>4.623359362872774E-3</v>
      </c>
      <c r="O103" s="68">
        <f t="shared" si="6"/>
        <v>1.3965361432506887E-4</v>
      </c>
      <c r="P103" s="68">
        <f t="shared" si="7"/>
        <v>6.0846580430670612</v>
      </c>
      <c r="Q103" s="68">
        <f t="shared" si="28"/>
        <v>4.995673629278274</v>
      </c>
      <c r="R103" s="68">
        <f t="shared" si="8"/>
        <v>2.2000000000000002</v>
      </c>
      <c r="S103" s="536">
        <f t="shared" si="9"/>
        <v>8.665506696901138E-4</v>
      </c>
      <c r="T103" s="68">
        <f t="shared" si="10"/>
        <v>0.21112715892055842</v>
      </c>
      <c r="U103" s="68">
        <f t="shared" si="11"/>
        <v>1.9510058937467467</v>
      </c>
      <c r="V103" s="536">
        <f t="shared" si="25"/>
        <v>2.8621330526673052</v>
      </c>
      <c r="W103" s="68">
        <f t="shared" si="12"/>
        <v>1.2879598737002872E-3</v>
      </c>
      <c r="X103" s="68">
        <f t="shared" si="13"/>
        <v>9.9207332541242522E-3</v>
      </c>
      <c r="Y103" s="68">
        <f t="shared" si="14"/>
        <v>1.3938873162497352E-4</v>
      </c>
      <c r="Z103" s="68">
        <f t="shared" si="15"/>
        <v>11.348346742149609</v>
      </c>
      <c r="AA103" s="68">
        <f t="shared" si="29"/>
        <v>2.3106492929095008</v>
      </c>
      <c r="AB103" s="68">
        <f t="shared" si="16"/>
        <v>1.1000000000000001</v>
      </c>
      <c r="AC103" s="536">
        <f t="shared" si="17"/>
        <v>1.8735012458569063E-3</v>
      </c>
      <c r="AD103" s="68">
        <f t="shared" si="18"/>
        <v>9.7652660416941317E-2</v>
      </c>
      <c r="AE103" s="68">
        <f t="shared" si="19"/>
        <v>2.1090584200435929</v>
      </c>
      <c r="AF103" s="536">
        <f t="shared" si="26"/>
        <v>2.9067110804605343</v>
      </c>
      <c r="AG103" s="68">
        <f t="shared" si="20"/>
        <v>1.3080199862072403E-3</v>
      </c>
      <c r="AH103" s="68">
        <f t="shared" si="21"/>
        <v>2.1782907322355542E-2</v>
      </c>
      <c r="AI103" s="68">
        <f t="shared" si="22"/>
        <v>1.3882483930232012E-4</v>
      </c>
      <c r="AJ103" s="68">
        <f t="shared" si="23"/>
        <v>23.230580922887853</v>
      </c>
      <c r="AK103" s="68"/>
      <c r="AL103" s="68"/>
      <c r="AM103" s="68"/>
      <c r="AN103" s="68"/>
      <c r="AO103" s="68"/>
      <c r="AP103" s="68"/>
      <c r="AQ103" s="68"/>
      <c r="AR103" s="46"/>
      <c r="AS103" s="46"/>
      <c r="AT103" s="46"/>
      <c r="AU103" s="46"/>
    </row>
    <row r="104" spans="2:48" x14ac:dyDescent="0.35">
      <c r="B104" s="554"/>
      <c r="C104" s="556"/>
      <c r="D104" s="555"/>
      <c r="E104" s="68"/>
      <c r="F104" s="68"/>
      <c r="G104" s="68">
        <f t="shared" si="27"/>
        <v>11</v>
      </c>
      <c r="H104" s="68">
        <f t="shared" si="0"/>
        <v>4.0999999999999996</v>
      </c>
      <c r="I104" s="536">
        <f t="shared" si="1"/>
        <v>3.9354584809130262E-4</v>
      </c>
      <c r="J104" s="68">
        <f t="shared" si="2"/>
        <v>0.46488199999999996</v>
      </c>
      <c r="K104" s="68">
        <f t="shared" si="3"/>
        <v>1.7721070352649297</v>
      </c>
      <c r="L104" s="536">
        <f t="shared" si="24"/>
        <v>2.9369890352649297</v>
      </c>
      <c r="M104" s="68">
        <f t="shared" si="4"/>
        <v>1.3216450658692183E-3</v>
      </c>
      <c r="N104" s="68">
        <f t="shared" si="5"/>
        <v>4.623359362872774E-3</v>
      </c>
      <c r="O104" s="68">
        <f t="shared" si="6"/>
        <v>1.3965361432506887E-4</v>
      </c>
      <c r="P104" s="68">
        <f t="shared" si="7"/>
        <v>6.0846580430670612</v>
      </c>
      <c r="Q104" s="68">
        <f t="shared" si="28"/>
        <v>4.995673629278274</v>
      </c>
      <c r="R104" s="68">
        <f t="shared" si="8"/>
        <v>2.2000000000000002</v>
      </c>
      <c r="S104" s="536">
        <f t="shared" si="9"/>
        <v>8.665506696901138E-4</v>
      </c>
      <c r="T104" s="68">
        <f t="shared" si="10"/>
        <v>0.21112715892055842</v>
      </c>
      <c r="U104" s="68">
        <f t="shared" si="11"/>
        <v>1.9510058937467467</v>
      </c>
      <c r="V104" s="536">
        <f t="shared" si="25"/>
        <v>2.8621330526673052</v>
      </c>
      <c r="W104" s="68">
        <f t="shared" si="12"/>
        <v>1.2879598737002872E-3</v>
      </c>
      <c r="X104" s="68">
        <f t="shared" si="13"/>
        <v>9.9207332541242522E-3</v>
      </c>
      <c r="Y104" s="68">
        <f t="shared" si="14"/>
        <v>1.3938873162497352E-4</v>
      </c>
      <c r="Z104" s="68">
        <f t="shared" si="15"/>
        <v>11.348346742149609</v>
      </c>
      <c r="AA104" s="68">
        <f t="shared" si="29"/>
        <v>2.3106492929095008</v>
      </c>
      <c r="AB104" s="68">
        <f t="shared" si="16"/>
        <v>1.1000000000000001</v>
      </c>
      <c r="AC104" s="536">
        <f t="shared" si="17"/>
        <v>1.8735012458569063E-3</v>
      </c>
      <c r="AD104" s="68">
        <f t="shared" si="18"/>
        <v>9.7652660416941317E-2</v>
      </c>
      <c r="AE104" s="68">
        <f t="shared" si="19"/>
        <v>2.1090584200435929</v>
      </c>
      <c r="AF104" s="536">
        <f t="shared" si="26"/>
        <v>2.9067110804605343</v>
      </c>
      <c r="AG104" s="68">
        <f t="shared" si="20"/>
        <v>1.3080199862072403E-3</v>
      </c>
      <c r="AH104" s="68">
        <f t="shared" si="21"/>
        <v>2.1782907322355542E-2</v>
      </c>
      <c r="AI104" s="68">
        <f t="shared" si="22"/>
        <v>1.3882483930232012E-4</v>
      </c>
      <c r="AJ104" s="68">
        <f t="shared" si="23"/>
        <v>23.230580922887853</v>
      </c>
      <c r="AK104" s="68"/>
      <c r="AL104" s="68"/>
      <c r="AM104" s="68"/>
      <c r="AN104" s="68"/>
      <c r="AO104" s="68"/>
      <c r="AP104" s="68"/>
      <c r="AQ104" s="68"/>
      <c r="AR104" s="46"/>
      <c r="AS104" s="46"/>
      <c r="AT104" s="46"/>
      <c r="AU104" s="46"/>
    </row>
    <row r="105" spans="2:48" x14ac:dyDescent="0.35">
      <c r="B105" s="554"/>
      <c r="C105" s="556"/>
      <c r="D105" s="555"/>
      <c r="E105" s="68"/>
      <c r="F105" s="68"/>
      <c r="G105" s="68">
        <f t="shared" si="27"/>
        <v>11</v>
      </c>
      <c r="H105" s="68">
        <f t="shared" si="0"/>
        <v>4.0999999999999996</v>
      </c>
      <c r="I105" s="536">
        <f t="shared" si="1"/>
        <v>3.9354584809130262E-4</v>
      </c>
      <c r="J105" s="68">
        <f t="shared" si="2"/>
        <v>0.46488199999999996</v>
      </c>
      <c r="K105" s="68">
        <f t="shared" si="3"/>
        <v>1.7721070352649297</v>
      </c>
      <c r="L105" s="536">
        <f t="shared" si="24"/>
        <v>2.9369890352649297</v>
      </c>
      <c r="M105" s="68">
        <f t="shared" si="4"/>
        <v>1.3216450658692183E-3</v>
      </c>
      <c r="N105" s="68">
        <f t="shared" si="5"/>
        <v>4.623359362872774E-3</v>
      </c>
      <c r="O105" s="68">
        <f t="shared" si="6"/>
        <v>1.3965361432506887E-4</v>
      </c>
      <c r="P105" s="68">
        <f t="shared" si="7"/>
        <v>6.0846580430670612</v>
      </c>
      <c r="Q105" s="68">
        <f t="shared" si="28"/>
        <v>4.995673629278274</v>
      </c>
      <c r="R105" s="68">
        <f t="shared" si="8"/>
        <v>2.2000000000000002</v>
      </c>
      <c r="S105" s="536">
        <f t="shared" si="9"/>
        <v>8.665506696901138E-4</v>
      </c>
      <c r="T105" s="68">
        <f t="shared" si="10"/>
        <v>0.21112715892055842</v>
      </c>
      <c r="U105" s="68">
        <f t="shared" si="11"/>
        <v>1.9510058937467467</v>
      </c>
      <c r="V105" s="536">
        <f t="shared" si="25"/>
        <v>2.8621330526673052</v>
      </c>
      <c r="W105" s="68">
        <f t="shared" si="12"/>
        <v>1.2879598737002872E-3</v>
      </c>
      <c r="X105" s="68">
        <f t="shared" si="13"/>
        <v>9.9207332541242522E-3</v>
      </c>
      <c r="Y105" s="68">
        <f t="shared" si="14"/>
        <v>1.3938873162497352E-4</v>
      </c>
      <c r="Z105" s="68">
        <f t="shared" si="15"/>
        <v>11.348346742149609</v>
      </c>
      <c r="AA105" s="68">
        <f t="shared" si="29"/>
        <v>2.3106492929095008</v>
      </c>
      <c r="AB105" s="68">
        <f t="shared" si="16"/>
        <v>1.1000000000000001</v>
      </c>
      <c r="AC105" s="536">
        <f t="shared" si="17"/>
        <v>1.8735012458569063E-3</v>
      </c>
      <c r="AD105" s="68">
        <f t="shared" si="18"/>
        <v>9.7652660416941317E-2</v>
      </c>
      <c r="AE105" s="68">
        <f t="shared" si="19"/>
        <v>2.1090584200435929</v>
      </c>
      <c r="AF105" s="536">
        <f t="shared" si="26"/>
        <v>2.9067110804605343</v>
      </c>
      <c r="AG105" s="68">
        <f t="shared" si="20"/>
        <v>1.3080199862072403E-3</v>
      </c>
      <c r="AH105" s="68">
        <f t="shared" si="21"/>
        <v>2.1782907322355542E-2</v>
      </c>
      <c r="AI105" s="68">
        <f t="shared" si="22"/>
        <v>1.3882483930232012E-4</v>
      </c>
      <c r="AJ105" s="68">
        <f t="shared" si="23"/>
        <v>23.230580922887853</v>
      </c>
      <c r="AK105" s="68"/>
      <c r="AL105" s="68"/>
      <c r="AM105" s="68"/>
      <c r="AN105" s="68"/>
      <c r="AO105" s="68"/>
      <c r="AP105" s="68"/>
      <c r="AQ105" s="68"/>
      <c r="AR105" s="46"/>
      <c r="AS105" s="46"/>
      <c r="AT105" s="46"/>
      <c r="AU105" s="46"/>
    </row>
    <row r="106" spans="2:48" x14ac:dyDescent="0.35">
      <c r="B106" s="554"/>
      <c r="C106" s="556"/>
      <c r="D106" s="555"/>
      <c r="E106" s="68"/>
      <c r="F106" s="68"/>
      <c r="G106" s="68">
        <f t="shared" si="27"/>
        <v>11</v>
      </c>
      <c r="H106" s="68">
        <f t="shared" si="0"/>
        <v>4.0999999999999996</v>
      </c>
      <c r="I106" s="536">
        <f t="shared" si="1"/>
        <v>3.9354584809130262E-4</v>
      </c>
      <c r="J106" s="68">
        <f t="shared" si="2"/>
        <v>0.46488199999999996</v>
      </c>
      <c r="K106" s="68">
        <f t="shared" si="3"/>
        <v>1.7721070352649297</v>
      </c>
      <c r="L106" s="536">
        <f t="shared" si="24"/>
        <v>2.9369890352649297</v>
      </c>
      <c r="M106" s="68">
        <f t="shared" si="4"/>
        <v>1.3216450658692183E-3</v>
      </c>
      <c r="N106" s="68">
        <f t="shared" si="5"/>
        <v>4.623359362872774E-3</v>
      </c>
      <c r="O106" s="68">
        <f t="shared" si="6"/>
        <v>1.3965361432506887E-4</v>
      </c>
      <c r="P106" s="68">
        <f t="shared" si="7"/>
        <v>6.0846580430670612</v>
      </c>
      <c r="Q106" s="68">
        <f t="shared" si="28"/>
        <v>4.995673629278274</v>
      </c>
      <c r="R106" s="68">
        <f t="shared" si="8"/>
        <v>2.2000000000000002</v>
      </c>
      <c r="S106" s="536">
        <f t="shared" si="9"/>
        <v>8.665506696901138E-4</v>
      </c>
      <c r="T106" s="68">
        <f t="shared" si="10"/>
        <v>0.21112715892055842</v>
      </c>
      <c r="U106" s="68">
        <f t="shared" si="11"/>
        <v>1.9510058937467467</v>
      </c>
      <c r="V106" s="536">
        <f t="shared" si="25"/>
        <v>2.8621330526673052</v>
      </c>
      <c r="W106" s="68">
        <f t="shared" si="12"/>
        <v>1.2879598737002872E-3</v>
      </c>
      <c r="X106" s="68">
        <f t="shared" si="13"/>
        <v>9.9207332541242522E-3</v>
      </c>
      <c r="Y106" s="68">
        <f t="shared" si="14"/>
        <v>1.3938873162497352E-4</v>
      </c>
      <c r="Z106" s="68">
        <f t="shared" si="15"/>
        <v>11.348346742149609</v>
      </c>
      <c r="AA106" s="68">
        <f t="shared" si="29"/>
        <v>2.3106492929095008</v>
      </c>
      <c r="AB106" s="68">
        <f t="shared" si="16"/>
        <v>1.1000000000000001</v>
      </c>
      <c r="AC106" s="536">
        <f t="shared" si="17"/>
        <v>1.8735012458569063E-3</v>
      </c>
      <c r="AD106" s="68">
        <f t="shared" si="18"/>
        <v>9.7652660416941317E-2</v>
      </c>
      <c r="AE106" s="68">
        <f t="shared" si="19"/>
        <v>2.1090584200435929</v>
      </c>
      <c r="AF106" s="536">
        <f t="shared" si="26"/>
        <v>2.9067110804605343</v>
      </c>
      <c r="AG106" s="68">
        <f t="shared" si="20"/>
        <v>1.3080199862072403E-3</v>
      </c>
      <c r="AH106" s="68">
        <f t="shared" si="21"/>
        <v>2.1782907322355542E-2</v>
      </c>
      <c r="AI106" s="68">
        <f t="shared" si="22"/>
        <v>1.3882483930232012E-4</v>
      </c>
      <c r="AJ106" s="68">
        <f t="shared" si="23"/>
        <v>23.230580922887853</v>
      </c>
      <c r="AK106" s="68"/>
      <c r="AL106" s="68"/>
      <c r="AM106" s="68"/>
      <c r="AN106" s="68"/>
      <c r="AO106" s="68"/>
      <c r="AP106" s="68"/>
      <c r="AQ106" s="68"/>
      <c r="AR106" s="46"/>
      <c r="AS106" s="46"/>
      <c r="AT106" s="46"/>
      <c r="AU106" s="46"/>
    </row>
    <row r="107" spans="2:48" x14ac:dyDescent="0.35">
      <c r="B107" s="554"/>
      <c r="C107" s="556"/>
      <c r="D107" s="555"/>
      <c r="E107" s="68"/>
      <c r="F107" s="68"/>
      <c r="G107" s="68">
        <f t="shared" si="27"/>
        <v>11</v>
      </c>
      <c r="H107" s="68">
        <f t="shared" si="0"/>
        <v>4.0999999999999996</v>
      </c>
      <c r="I107" s="536">
        <f t="shared" si="1"/>
        <v>3.9354584809130262E-4</v>
      </c>
      <c r="J107" s="68">
        <f t="shared" si="2"/>
        <v>0.46488199999999996</v>
      </c>
      <c r="K107" s="68">
        <f t="shared" si="3"/>
        <v>1.7721070352649297</v>
      </c>
      <c r="L107" s="536">
        <f t="shared" si="24"/>
        <v>2.9369890352649297</v>
      </c>
      <c r="M107" s="68">
        <f t="shared" si="4"/>
        <v>1.3216450658692183E-3</v>
      </c>
      <c r="N107" s="68">
        <f t="shared" si="5"/>
        <v>4.623359362872774E-3</v>
      </c>
      <c r="O107" s="68">
        <f t="shared" si="6"/>
        <v>1.3965361432506887E-4</v>
      </c>
      <c r="P107" s="68">
        <f t="shared" si="7"/>
        <v>6.0846580430670612</v>
      </c>
      <c r="Q107" s="68">
        <f t="shared" si="28"/>
        <v>4.995673629278274</v>
      </c>
      <c r="R107" s="68">
        <f t="shared" si="8"/>
        <v>2.2000000000000002</v>
      </c>
      <c r="S107" s="536">
        <f t="shared" si="9"/>
        <v>8.665506696901138E-4</v>
      </c>
      <c r="T107" s="68">
        <f t="shared" si="10"/>
        <v>0.21112715892055842</v>
      </c>
      <c r="U107" s="68">
        <f t="shared" si="11"/>
        <v>1.9510058937467467</v>
      </c>
      <c r="V107" s="536">
        <f t="shared" si="25"/>
        <v>2.8621330526673052</v>
      </c>
      <c r="W107" s="68">
        <f t="shared" si="12"/>
        <v>1.2879598737002872E-3</v>
      </c>
      <c r="X107" s="68">
        <f t="shared" si="13"/>
        <v>9.9207332541242522E-3</v>
      </c>
      <c r="Y107" s="68">
        <f t="shared" si="14"/>
        <v>1.3938873162497352E-4</v>
      </c>
      <c r="Z107" s="68">
        <f t="shared" si="15"/>
        <v>11.348346742149609</v>
      </c>
      <c r="AA107" s="68">
        <f t="shared" si="29"/>
        <v>2.3106492929095008</v>
      </c>
      <c r="AB107" s="68">
        <f t="shared" si="16"/>
        <v>1.1000000000000001</v>
      </c>
      <c r="AC107" s="536">
        <f t="shared" si="17"/>
        <v>1.8735012458569063E-3</v>
      </c>
      <c r="AD107" s="68">
        <f t="shared" si="18"/>
        <v>9.7652660416941317E-2</v>
      </c>
      <c r="AE107" s="68">
        <f t="shared" si="19"/>
        <v>2.1090584200435929</v>
      </c>
      <c r="AF107" s="536">
        <f t="shared" si="26"/>
        <v>2.9067110804605343</v>
      </c>
      <c r="AG107" s="68">
        <f t="shared" si="20"/>
        <v>1.3080199862072403E-3</v>
      </c>
      <c r="AH107" s="68">
        <f t="shared" si="21"/>
        <v>2.1782907322355542E-2</v>
      </c>
      <c r="AI107" s="68">
        <f t="shared" si="22"/>
        <v>1.3882483930232012E-4</v>
      </c>
      <c r="AJ107" s="68">
        <f t="shared" si="23"/>
        <v>23.230580922887853</v>
      </c>
      <c r="AK107" s="68"/>
      <c r="AL107" s="68"/>
      <c r="AM107" s="68"/>
      <c r="AN107" s="68"/>
      <c r="AO107" s="68"/>
      <c r="AP107" s="68"/>
      <c r="AQ107" s="68"/>
      <c r="AR107" s="46"/>
      <c r="AS107" s="46"/>
      <c r="AT107" s="46"/>
      <c r="AU107" s="46"/>
    </row>
    <row r="108" spans="2:48" x14ac:dyDescent="0.35">
      <c r="B108" s="554"/>
      <c r="C108" s="556"/>
      <c r="D108" s="555"/>
      <c r="E108" s="68"/>
      <c r="F108" s="68"/>
      <c r="G108" s="68">
        <f t="shared" si="27"/>
        <v>11</v>
      </c>
      <c r="H108" s="68">
        <f t="shared" si="0"/>
        <v>4.0999999999999996</v>
      </c>
      <c r="I108" s="536">
        <f t="shared" si="1"/>
        <v>3.9354584809130262E-4</v>
      </c>
      <c r="J108" s="68">
        <f t="shared" si="2"/>
        <v>0.46488199999999996</v>
      </c>
      <c r="K108" s="68">
        <f t="shared" si="3"/>
        <v>1.7721070352649297</v>
      </c>
      <c r="L108" s="536">
        <f t="shared" si="24"/>
        <v>2.9369890352649297</v>
      </c>
      <c r="M108" s="68">
        <f t="shared" si="4"/>
        <v>1.3216450658692183E-3</v>
      </c>
      <c r="N108" s="68">
        <f t="shared" si="5"/>
        <v>4.623359362872774E-3</v>
      </c>
      <c r="O108" s="68">
        <f t="shared" si="6"/>
        <v>1.3965361432506887E-4</v>
      </c>
      <c r="P108" s="68">
        <f t="shared" si="7"/>
        <v>6.0846580430670612</v>
      </c>
      <c r="Q108" s="68">
        <f t="shared" si="28"/>
        <v>4.995673629278274</v>
      </c>
      <c r="R108" s="68">
        <f t="shared" si="8"/>
        <v>2.2000000000000002</v>
      </c>
      <c r="S108" s="536">
        <f t="shared" si="9"/>
        <v>8.665506696901138E-4</v>
      </c>
      <c r="T108" s="68">
        <f t="shared" si="10"/>
        <v>0.21112715892055842</v>
      </c>
      <c r="U108" s="68">
        <f t="shared" si="11"/>
        <v>1.9510058937467467</v>
      </c>
      <c r="V108" s="536">
        <f t="shared" si="25"/>
        <v>2.8621330526673052</v>
      </c>
      <c r="W108" s="68">
        <f t="shared" si="12"/>
        <v>1.2879598737002872E-3</v>
      </c>
      <c r="X108" s="68">
        <f t="shared" si="13"/>
        <v>9.9207332541242522E-3</v>
      </c>
      <c r="Y108" s="68">
        <f t="shared" si="14"/>
        <v>1.3938873162497352E-4</v>
      </c>
      <c r="Z108" s="68">
        <f t="shared" si="15"/>
        <v>11.348346742149609</v>
      </c>
      <c r="AA108" s="68">
        <f t="shared" si="29"/>
        <v>2.3106492929095008</v>
      </c>
      <c r="AB108" s="68">
        <f t="shared" si="16"/>
        <v>1.1000000000000001</v>
      </c>
      <c r="AC108" s="536">
        <f t="shared" si="17"/>
        <v>1.8735012458569063E-3</v>
      </c>
      <c r="AD108" s="68">
        <f t="shared" si="18"/>
        <v>9.7652660416941317E-2</v>
      </c>
      <c r="AE108" s="68">
        <f t="shared" si="19"/>
        <v>2.1090584200435929</v>
      </c>
      <c r="AF108" s="536">
        <f t="shared" si="26"/>
        <v>2.9067110804605343</v>
      </c>
      <c r="AG108" s="68">
        <f t="shared" si="20"/>
        <v>1.3080199862072403E-3</v>
      </c>
      <c r="AH108" s="68">
        <f t="shared" si="21"/>
        <v>2.1782907322355542E-2</v>
      </c>
      <c r="AI108" s="68">
        <f t="shared" si="22"/>
        <v>1.3882483930232012E-4</v>
      </c>
      <c r="AJ108" s="68">
        <f t="shared" si="23"/>
        <v>23.230580922887853</v>
      </c>
      <c r="AK108" s="68"/>
      <c r="AL108" s="68"/>
      <c r="AM108" s="68"/>
      <c r="AN108" s="68"/>
      <c r="AO108" s="68"/>
      <c r="AP108" s="68"/>
      <c r="AQ108" s="68"/>
      <c r="AR108" s="46"/>
      <c r="AS108" s="46"/>
      <c r="AT108" s="46"/>
      <c r="AU108" s="46"/>
    </row>
    <row r="109" spans="2:48" x14ac:dyDescent="0.35">
      <c r="B109" s="554"/>
      <c r="C109" s="556"/>
      <c r="D109" s="555"/>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row>
    <row r="110" spans="2:48" x14ac:dyDescent="0.35">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row>
    <row r="111" spans="2:48" ht="18.5" x14ac:dyDescent="0.45">
      <c r="B111" s="3" t="s">
        <v>588</v>
      </c>
      <c r="AB111" s="68"/>
      <c r="AC111" s="68"/>
      <c r="AD111" s="68"/>
      <c r="AE111" s="68"/>
      <c r="AF111" s="68"/>
      <c r="AG111" s="68"/>
      <c r="AH111" s="68"/>
      <c r="AI111" s="68"/>
      <c r="AJ111" s="68"/>
      <c r="AK111" s="68"/>
      <c r="AL111" s="68"/>
      <c r="AM111" s="68"/>
      <c r="AN111" s="68"/>
      <c r="AO111" s="68"/>
      <c r="AP111" s="68"/>
      <c r="AQ111" s="68"/>
    </row>
    <row r="112" spans="2:48" ht="18.5" x14ac:dyDescent="0.45">
      <c r="B112" s="3"/>
    </row>
    <row r="113" spans="1:33" ht="130.5" customHeight="1" x14ac:dyDescent="0.35"/>
    <row r="115" spans="1:33" x14ac:dyDescent="0.35">
      <c r="B115" s="8" t="s">
        <v>539</v>
      </c>
      <c r="C115" s="131">
        <f>C16</f>
        <v>2.8114739012787093</v>
      </c>
      <c r="D115" s="8" t="s">
        <v>202</v>
      </c>
      <c r="E115" s="239" t="s">
        <v>535</v>
      </c>
    </row>
    <row r="116" spans="1:33" ht="16.5" x14ac:dyDescent="0.45">
      <c r="B116" s="8" t="s">
        <v>1087</v>
      </c>
      <c r="C116" s="35">
        <v>30</v>
      </c>
      <c r="D116" s="240" t="s">
        <v>537</v>
      </c>
      <c r="E116" s="239"/>
    </row>
    <row r="117" spans="1:33" x14ac:dyDescent="0.35">
      <c r="B117" s="8" t="s">
        <v>538</v>
      </c>
      <c r="C117" s="35">
        <v>10</v>
      </c>
      <c r="D117" s="240" t="s">
        <v>537</v>
      </c>
      <c r="E117" s="68" t="str">
        <f>IF(C117+C116&gt;360,"Angle of Gap + Event is too large!","")</f>
        <v/>
      </c>
    </row>
    <row r="118" spans="1:33" x14ac:dyDescent="0.35">
      <c r="B118" s="8" t="s">
        <v>536</v>
      </c>
      <c r="C118" s="21">
        <f>360/(C116+C117)</f>
        <v>9</v>
      </c>
      <c r="D118" s="8"/>
      <c r="E118" s="239"/>
    </row>
    <row r="119" spans="1:33" x14ac:dyDescent="0.35">
      <c r="B119" s="8" t="s">
        <v>532</v>
      </c>
      <c r="C119" s="35">
        <v>3</v>
      </c>
      <c r="D119" s="8"/>
      <c r="E119" s="56" t="s">
        <v>604</v>
      </c>
    </row>
    <row r="120" spans="1:33" x14ac:dyDescent="0.35">
      <c r="A120" s="46"/>
      <c r="B120" s="115" t="s">
        <v>534</v>
      </c>
      <c r="C120" s="273">
        <f>C16*60000/C119/C118</f>
        <v>6247.7197806193544</v>
      </c>
      <c r="D120" s="115" t="s">
        <v>533</v>
      </c>
      <c r="E120" s="46"/>
      <c r="F120" s="46"/>
      <c r="G120" s="46"/>
      <c r="H120" s="46"/>
      <c r="I120" s="46"/>
      <c r="J120" s="46"/>
      <c r="K120" s="46"/>
      <c r="L120" s="46"/>
      <c r="M120" s="46"/>
      <c r="N120" s="46"/>
      <c r="O120" s="46"/>
      <c r="P120" s="46"/>
      <c r="Q120" s="46"/>
      <c r="R120" s="46"/>
      <c r="S120" s="46"/>
      <c r="T120" s="46"/>
      <c r="U120" s="46"/>
    </row>
    <row r="121" spans="1:33" x14ac:dyDescent="0.35">
      <c r="A121" s="46"/>
      <c r="B121" s="46"/>
      <c r="C121" s="46"/>
      <c r="D121" s="46"/>
      <c r="E121" s="46"/>
      <c r="F121" s="46"/>
      <c r="G121" s="46"/>
      <c r="H121" s="46"/>
      <c r="I121" s="46"/>
      <c r="J121" s="46"/>
      <c r="K121" s="46"/>
      <c r="L121" s="46"/>
      <c r="M121" s="46"/>
      <c r="N121" s="46"/>
      <c r="O121" s="46"/>
      <c r="P121" s="46"/>
      <c r="Q121" s="46"/>
      <c r="R121" s="46"/>
      <c r="S121" s="46"/>
      <c r="T121" s="46"/>
      <c r="U121" s="46"/>
    </row>
    <row r="122" spans="1:33" x14ac:dyDescent="0.35">
      <c r="A122" s="46"/>
      <c r="B122" s="46"/>
      <c r="C122" s="46"/>
      <c r="D122" s="46"/>
      <c r="E122" s="46"/>
      <c r="F122" s="46"/>
      <c r="G122" s="46"/>
      <c r="H122" s="46"/>
      <c r="I122" s="46"/>
      <c r="J122" s="46"/>
      <c r="K122" s="46"/>
      <c r="L122" s="46"/>
      <c r="M122" s="46"/>
      <c r="N122" s="46"/>
      <c r="O122" s="46"/>
      <c r="P122" s="46"/>
      <c r="Q122" s="46"/>
      <c r="R122" s="46"/>
      <c r="S122" s="46"/>
      <c r="T122" s="46"/>
      <c r="U122" s="46"/>
    </row>
    <row r="123" spans="1:33" x14ac:dyDescent="0.35">
      <c r="A123" s="133"/>
      <c r="B123" s="133"/>
      <c r="C123" s="133"/>
      <c r="D123" s="133"/>
      <c r="E123" s="133"/>
      <c r="F123" s="133"/>
      <c r="G123" s="133"/>
      <c r="H123" s="133"/>
      <c r="I123" s="133"/>
      <c r="J123" s="133"/>
      <c r="K123" s="133"/>
      <c r="L123" s="133"/>
      <c r="M123" s="133"/>
      <c r="N123" s="133"/>
      <c r="O123" s="133"/>
      <c r="P123" s="133"/>
      <c r="Q123" s="133"/>
      <c r="R123" s="46"/>
      <c r="S123" s="134" t="str">
        <f>CONCATENATE("Switching Distance (",D23,")")</f>
        <v>Switching Distance (mm)</v>
      </c>
      <c r="T123" s="134"/>
      <c r="U123" s="134"/>
      <c r="V123" s="134"/>
      <c r="W123" s="134"/>
      <c r="X123" s="134"/>
      <c r="Y123" s="134"/>
      <c r="Z123" s="134"/>
      <c r="AA123" s="134"/>
      <c r="AB123" s="134"/>
      <c r="AC123" s="134"/>
      <c r="AD123" s="134"/>
      <c r="AE123" s="134"/>
      <c r="AF123" s="134"/>
      <c r="AG123" s="46"/>
    </row>
    <row r="124" spans="1:33" hidden="1" x14ac:dyDescent="0.35">
      <c r="A124" s="133"/>
      <c r="B124" s="477" t="s">
        <v>430</v>
      </c>
      <c r="C124" s="477" t="s">
        <v>429</v>
      </c>
      <c r="D124" s="477" t="s">
        <v>428</v>
      </c>
      <c r="E124" s="477" t="s">
        <v>431</v>
      </c>
      <c r="F124" s="477" t="s">
        <v>432</v>
      </c>
      <c r="G124" s="477"/>
      <c r="H124" s="477"/>
      <c r="I124" s="477"/>
      <c r="J124" s="477"/>
      <c r="K124" s="477"/>
      <c r="L124" s="477"/>
      <c r="M124" s="477"/>
      <c r="N124" s="477"/>
      <c r="O124" s="477"/>
      <c r="P124" s="477"/>
      <c r="Q124" s="477"/>
      <c r="R124" s="477"/>
      <c r="S124" s="477" t="s">
        <v>451</v>
      </c>
      <c r="T124" s="477" t="s">
        <v>452</v>
      </c>
      <c r="U124" s="477" t="s">
        <v>453</v>
      </c>
      <c r="V124" s="477" t="s">
        <v>454</v>
      </c>
      <c r="W124" s="477" t="s">
        <v>455</v>
      </c>
      <c r="X124" s="477" t="s">
        <v>456</v>
      </c>
      <c r="Y124" s="477" t="s">
        <v>457</v>
      </c>
      <c r="Z124" s="135" t="str">
        <f>C23&amp;D23</f>
        <v>9mm</v>
      </c>
      <c r="AA124" s="135"/>
      <c r="AB124" s="135"/>
      <c r="AC124" s="135"/>
      <c r="AD124" s="135"/>
      <c r="AE124" s="135"/>
      <c r="AF124" s="135"/>
      <c r="AG124" s="46"/>
    </row>
    <row r="125" spans="1:33" hidden="1" x14ac:dyDescent="0.35">
      <c r="A125" s="133"/>
      <c r="B125" s="474">
        <v>250000</v>
      </c>
      <c r="C125" s="474">
        <f>1.3/(2*PI()*C$8*0.001*$B125*10^-6)</f>
        <v>137.93428401297598</v>
      </c>
      <c r="D125" s="60">
        <f>2/((2*PI()*$B125*10^-6)^2*33)*10^6</f>
        <v>24562.711186021286</v>
      </c>
      <c r="E125" s="463">
        <f>C14*1000000</f>
        <v>12170882.689518223</v>
      </c>
      <c r="F125" s="475">
        <f>C10</f>
        <v>6</v>
      </c>
      <c r="G125" s="475"/>
      <c r="H125" s="475"/>
      <c r="I125" s="475"/>
      <c r="J125" s="60"/>
      <c r="K125" s="60"/>
      <c r="L125" s="60"/>
      <c r="M125" s="60"/>
      <c r="N125" s="60"/>
      <c r="O125" s="60"/>
      <c r="P125" s="60"/>
      <c r="Q125" s="60"/>
      <c r="R125" s="60"/>
      <c r="S125" s="60">
        <v>15</v>
      </c>
      <c r="T125" s="60">
        <v>4.0773946360153248</v>
      </c>
      <c r="U125" s="60">
        <v>3.73639846743295</v>
      </c>
      <c r="V125" s="60">
        <f>T125/100*$C$23</f>
        <v>0.36696551724137921</v>
      </c>
      <c r="W125" s="60">
        <f>U125/100*$C$23</f>
        <v>0.33627586206896548</v>
      </c>
      <c r="X125" s="60">
        <f>$C$40</f>
        <v>1.4</v>
      </c>
      <c r="Y125" s="475">
        <f>$C$25</f>
        <v>1.2</v>
      </c>
      <c r="Z125" s="134"/>
      <c r="AA125" s="134"/>
      <c r="AB125" s="134"/>
      <c r="AC125" s="134"/>
      <c r="AD125" s="134"/>
      <c r="AE125" s="134"/>
      <c r="AF125" s="134"/>
      <c r="AG125" s="46"/>
    </row>
    <row r="126" spans="1:33" hidden="1" x14ac:dyDescent="0.35">
      <c r="A126" s="133"/>
      <c r="B126" s="474">
        <v>500000</v>
      </c>
      <c r="C126" s="474">
        <f t="shared" ref="C126:C189" si="30">1.3/(2*PI()*C$8*0.001*$B126*10^-6)</f>
        <v>68.96714200648799</v>
      </c>
      <c r="D126" s="60">
        <f t="shared" ref="D126:D189" si="31">2/((2*PI()*$B126*10^-6)^2*33)*10^6</f>
        <v>6140.6777965053216</v>
      </c>
      <c r="E126" s="463">
        <f>1000000000/(PI()*SQRT(2*F126*C$13))</f>
        <v>12595240.046250511</v>
      </c>
      <c r="F126" s="476">
        <f>F125-(F$125-F$129)/4</f>
        <v>5.6025082593606239</v>
      </c>
      <c r="G126" s="476"/>
      <c r="H126" s="476"/>
      <c r="I126" s="476"/>
      <c r="J126" s="60"/>
      <c r="K126" s="60"/>
      <c r="L126" s="60"/>
      <c r="M126" s="60"/>
      <c r="N126" s="60"/>
      <c r="O126" s="60"/>
      <c r="P126" s="60"/>
      <c r="Q126" s="60"/>
      <c r="R126" s="60"/>
      <c r="S126" s="60">
        <v>14</v>
      </c>
      <c r="T126" s="60">
        <v>8.5272030651341009</v>
      </c>
      <c r="U126" s="60">
        <v>7.9954022988505749</v>
      </c>
      <c r="V126" s="60">
        <f t="shared" ref="V126:W138" si="32">T126/100*$C$23</f>
        <v>0.7674482758620691</v>
      </c>
      <c r="W126" s="60">
        <f t="shared" si="32"/>
        <v>0.71958620689655173</v>
      </c>
      <c r="X126" s="60">
        <f t="shared" ref="X126:X139" si="33">$C$40</f>
        <v>1.4</v>
      </c>
      <c r="Y126" s="475">
        <f t="shared" ref="Y126:Y139" si="34">$C$25</f>
        <v>1.2</v>
      </c>
      <c r="Z126" s="134"/>
      <c r="AA126" s="134"/>
      <c r="AB126" s="134"/>
      <c r="AC126" s="134"/>
      <c r="AD126" s="134"/>
      <c r="AE126" s="134"/>
      <c r="AF126" s="134"/>
      <c r="AG126" s="46"/>
    </row>
    <row r="127" spans="1:33" hidden="1" x14ac:dyDescent="0.35">
      <c r="A127" s="133"/>
      <c r="B127" s="474">
        <f t="shared" ref="B127:B158" si="35">B126+B$125</f>
        <v>750000</v>
      </c>
      <c r="C127" s="474">
        <f t="shared" si="30"/>
        <v>45.978094670991986</v>
      </c>
      <c r="D127" s="60">
        <f t="shared" si="31"/>
        <v>2729.1901317801421</v>
      </c>
      <c r="E127" s="463">
        <f>1000000000/(PI()*SQRT(2*F127*C$13))</f>
        <v>13067323.583234638</v>
      </c>
      <c r="F127" s="476">
        <f>F126-(F$125-F$129)/4</f>
        <v>5.2050165187212478</v>
      </c>
      <c r="G127" s="476"/>
      <c r="H127" s="476"/>
      <c r="I127" s="476"/>
      <c r="J127" s="60"/>
      <c r="K127" s="60"/>
      <c r="L127" s="60"/>
      <c r="M127" s="60"/>
      <c r="N127" s="60"/>
      <c r="O127" s="60"/>
      <c r="P127" s="60"/>
      <c r="Q127" s="60"/>
      <c r="R127" s="60"/>
      <c r="S127" s="60">
        <v>13</v>
      </c>
      <c r="T127" s="60">
        <v>12.209961685823755</v>
      </c>
      <c r="U127" s="60">
        <v>11.578160919540201</v>
      </c>
      <c r="V127" s="60">
        <f t="shared" si="32"/>
        <v>1.0988965517241378</v>
      </c>
      <c r="W127" s="60">
        <f t="shared" si="32"/>
        <v>1.0420344827586181</v>
      </c>
      <c r="X127" s="60">
        <f t="shared" si="33"/>
        <v>1.4</v>
      </c>
      <c r="Y127" s="475">
        <f t="shared" si="34"/>
        <v>1.2</v>
      </c>
      <c r="Z127" s="134"/>
      <c r="AA127" s="134"/>
      <c r="AB127" s="134"/>
      <c r="AC127" s="134"/>
      <c r="AD127" s="134"/>
      <c r="AE127" s="134"/>
      <c r="AF127" s="134"/>
      <c r="AG127" s="46"/>
    </row>
    <row r="128" spans="1:33" hidden="1" x14ac:dyDescent="0.35">
      <c r="A128" s="133"/>
      <c r="B128" s="474">
        <f t="shared" si="35"/>
        <v>1000000</v>
      </c>
      <c r="C128" s="474">
        <f t="shared" si="30"/>
        <v>34.483571003243995</v>
      </c>
      <c r="D128" s="60">
        <f t="shared" si="31"/>
        <v>1535.1694491263304</v>
      </c>
      <c r="E128" s="463">
        <f>1000000000/(PI()*SQRT(2*F128*C$13))</f>
        <v>13596807.093993297</v>
      </c>
      <c r="F128" s="476">
        <f>F127-(F$125-F$129)/4</f>
        <v>4.8075247780818717</v>
      </c>
      <c r="G128" s="476"/>
      <c r="H128" s="476"/>
      <c r="I128" s="476"/>
      <c r="J128" s="60"/>
      <c r="K128" s="60"/>
      <c r="L128" s="60"/>
      <c r="M128" s="60"/>
      <c r="N128" s="60"/>
      <c r="O128" s="60"/>
      <c r="P128" s="60"/>
      <c r="Q128" s="60"/>
      <c r="R128" s="60"/>
      <c r="S128" s="60">
        <v>12</v>
      </c>
      <c r="T128" s="60">
        <v>15.424137931034485</v>
      </c>
      <c r="U128" s="60">
        <v>14.71455938697318</v>
      </c>
      <c r="V128" s="60">
        <f t="shared" si="32"/>
        <v>1.3881724137931035</v>
      </c>
      <c r="W128" s="60">
        <f t="shared" si="32"/>
        <v>1.3243103448275861</v>
      </c>
      <c r="X128" s="60">
        <f t="shared" si="33"/>
        <v>1.4</v>
      </c>
      <c r="Y128" s="475">
        <f t="shared" si="34"/>
        <v>1.2</v>
      </c>
      <c r="Z128" s="134"/>
      <c r="AA128" s="134"/>
      <c r="AB128" s="134"/>
      <c r="AC128" s="134"/>
      <c r="AD128" s="134"/>
      <c r="AE128" s="134"/>
      <c r="AF128" s="134"/>
      <c r="AG128" s="46"/>
    </row>
    <row r="129" spans="1:33" hidden="1" x14ac:dyDescent="0.35">
      <c r="A129" s="133"/>
      <c r="B129" s="474">
        <f t="shared" si="35"/>
        <v>1250000</v>
      </c>
      <c r="C129" s="474">
        <f t="shared" si="30"/>
        <v>27.586856802595197</v>
      </c>
      <c r="D129" s="60">
        <f t="shared" si="31"/>
        <v>982.50844744085134</v>
      </c>
      <c r="E129" s="463">
        <f>C31*1000000</f>
        <v>14196352.685462618</v>
      </c>
      <c r="F129" s="476">
        <f>C30</f>
        <v>4.4100330374424939</v>
      </c>
      <c r="G129" s="476"/>
      <c r="H129" s="476"/>
      <c r="I129" s="476"/>
      <c r="J129" s="60"/>
      <c r="K129" s="60"/>
      <c r="L129" s="60"/>
      <c r="M129" s="60"/>
      <c r="N129" s="60"/>
      <c r="O129" s="60"/>
      <c r="P129" s="60"/>
      <c r="Q129" s="60"/>
      <c r="R129" s="60"/>
      <c r="S129" s="60">
        <v>11</v>
      </c>
      <c r="T129" s="60">
        <v>18.627203065134101</v>
      </c>
      <c r="U129" s="60">
        <v>17.736015325670497</v>
      </c>
      <c r="V129" s="60">
        <f t="shared" si="32"/>
        <v>1.6764482758620691</v>
      </c>
      <c r="W129" s="60">
        <f t="shared" si="32"/>
        <v>1.5962413793103445</v>
      </c>
      <c r="X129" s="60">
        <f t="shared" si="33"/>
        <v>1.4</v>
      </c>
      <c r="Y129" s="475">
        <f t="shared" si="34"/>
        <v>1.2</v>
      </c>
      <c r="Z129" s="134"/>
      <c r="AA129" s="134"/>
      <c r="AB129" s="134"/>
      <c r="AC129" s="134"/>
      <c r="AD129" s="134"/>
      <c r="AE129" s="134"/>
      <c r="AF129" s="134"/>
      <c r="AG129" s="46"/>
    </row>
    <row r="130" spans="1:33" hidden="1" x14ac:dyDescent="0.35">
      <c r="A130" s="133"/>
      <c r="B130" s="474">
        <f t="shared" si="35"/>
        <v>1500000</v>
      </c>
      <c r="C130" s="474">
        <f t="shared" si="30"/>
        <v>22.989047335495993</v>
      </c>
      <c r="D130" s="60">
        <f t="shared" si="31"/>
        <v>682.29753294503553</v>
      </c>
      <c r="E130" s="463"/>
      <c r="F130" s="60"/>
      <c r="G130" s="60"/>
      <c r="H130" s="60"/>
      <c r="I130" s="60"/>
      <c r="J130" s="60"/>
      <c r="K130" s="60"/>
      <c r="L130" s="60"/>
      <c r="M130" s="60"/>
      <c r="N130" s="60"/>
      <c r="O130" s="60"/>
      <c r="P130" s="60"/>
      <c r="Q130" s="60"/>
      <c r="R130" s="60"/>
      <c r="S130" s="60">
        <v>10</v>
      </c>
      <c r="T130" s="60">
        <v>21.622605363984675</v>
      </c>
      <c r="U130" s="60">
        <v>20.666666666666668</v>
      </c>
      <c r="V130" s="60">
        <f t="shared" si="32"/>
        <v>1.9460344827586209</v>
      </c>
      <c r="W130" s="60">
        <f t="shared" si="32"/>
        <v>1.8599999999999999</v>
      </c>
      <c r="X130" s="60">
        <f t="shared" si="33"/>
        <v>1.4</v>
      </c>
      <c r="Y130" s="475">
        <f t="shared" si="34"/>
        <v>1.2</v>
      </c>
      <c r="Z130" s="134"/>
      <c r="AA130" s="134"/>
      <c r="AB130" s="134"/>
      <c r="AC130" s="134"/>
      <c r="AD130" s="134"/>
      <c r="AE130" s="134"/>
      <c r="AF130" s="134"/>
      <c r="AG130" s="46"/>
    </row>
    <row r="131" spans="1:33" hidden="1" x14ac:dyDescent="0.35">
      <c r="A131" s="133"/>
      <c r="B131" s="474">
        <f t="shared" si="35"/>
        <v>1750000</v>
      </c>
      <c r="C131" s="474">
        <f t="shared" si="30"/>
        <v>19.704897716139428</v>
      </c>
      <c r="D131" s="60">
        <f t="shared" si="31"/>
        <v>501.27982012288322</v>
      </c>
      <c r="E131" s="463"/>
      <c r="F131" s="60"/>
      <c r="G131" s="60"/>
      <c r="H131" s="60"/>
      <c r="I131" s="60"/>
      <c r="J131" s="60"/>
      <c r="K131" s="60"/>
      <c r="L131" s="60"/>
      <c r="M131" s="60"/>
      <c r="N131" s="60"/>
      <c r="O131" s="60"/>
      <c r="P131" s="60"/>
      <c r="Q131" s="60"/>
      <c r="R131" s="60"/>
      <c r="S131" s="60">
        <v>9</v>
      </c>
      <c r="T131" s="60">
        <v>24.501149425287355</v>
      </c>
      <c r="U131" s="60">
        <v>23.232183908045972</v>
      </c>
      <c r="V131" s="60">
        <f t="shared" si="32"/>
        <v>2.205103448275862</v>
      </c>
      <c r="W131" s="60">
        <f t="shared" si="32"/>
        <v>2.0908965517241374</v>
      </c>
      <c r="X131" s="60">
        <f t="shared" si="33"/>
        <v>1.4</v>
      </c>
      <c r="Y131" s="475">
        <f t="shared" si="34"/>
        <v>1.2</v>
      </c>
      <c r="Z131" s="134"/>
      <c r="AA131" s="134"/>
      <c r="AB131" s="134"/>
      <c r="AC131" s="134"/>
      <c r="AD131" s="134"/>
      <c r="AE131" s="134"/>
      <c r="AF131" s="134"/>
      <c r="AG131" s="46"/>
    </row>
    <row r="132" spans="1:33" hidden="1" x14ac:dyDescent="0.35">
      <c r="A132" s="133"/>
      <c r="B132" s="474">
        <f t="shared" si="35"/>
        <v>2000000</v>
      </c>
      <c r="C132" s="474">
        <f t="shared" si="30"/>
        <v>17.241785501621997</v>
      </c>
      <c r="D132" s="60">
        <f t="shared" si="31"/>
        <v>383.7923622815826</v>
      </c>
      <c r="E132" s="463">
        <f>1000000000/(PI()*SQRT(2*F132*C$13))</f>
        <v>13318021.257948814</v>
      </c>
      <c r="F132" s="60">
        <f>C10*C44</f>
        <v>5.0109029987802671</v>
      </c>
      <c r="G132" s="60"/>
      <c r="H132" s="60"/>
      <c r="I132" s="60"/>
      <c r="J132" s="60" t="s">
        <v>437</v>
      </c>
      <c r="K132" s="60"/>
      <c r="L132" s="60"/>
      <c r="M132" s="60"/>
      <c r="N132" s="60"/>
      <c r="O132" s="60"/>
      <c r="P132" s="60"/>
      <c r="Q132" s="60"/>
      <c r="R132" s="60"/>
      <c r="S132" s="60">
        <v>8</v>
      </c>
      <c r="T132" s="60">
        <v>27.383524904214564</v>
      </c>
      <c r="U132" s="60">
        <v>25.91072796934866</v>
      </c>
      <c r="V132" s="60">
        <f t="shared" si="32"/>
        <v>2.4645172413793106</v>
      </c>
      <c r="W132" s="60">
        <f t="shared" si="32"/>
        <v>2.3319655172413789</v>
      </c>
      <c r="X132" s="60">
        <f t="shared" si="33"/>
        <v>1.4</v>
      </c>
      <c r="Y132" s="475">
        <f t="shared" si="34"/>
        <v>1.2</v>
      </c>
      <c r="Z132" s="134"/>
      <c r="AA132" s="134"/>
      <c r="AB132" s="134"/>
      <c r="AC132" s="134"/>
      <c r="AD132" s="134"/>
      <c r="AE132" s="134"/>
      <c r="AF132" s="134"/>
      <c r="AG132" s="46"/>
    </row>
    <row r="133" spans="1:33" hidden="1" x14ac:dyDescent="0.35">
      <c r="A133" s="133"/>
      <c r="B133" s="474">
        <f t="shared" si="35"/>
        <v>2250000</v>
      </c>
      <c r="C133" s="474">
        <f t="shared" si="30"/>
        <v>15.32603155699733</v>
      </c>
      <c r="D133" s="60">
        <f t="shared" si="31"/>
        <v>303.24334797557145</v>
      </c>
      <c r="E133" s="463">
        <f>1000000000/(PI()*SQRT(2*F133*C$13))</f>
        <v>13882331.893091129</v>
      </c>
      <c r="F133" s="60">
        <f>C10*C54</f>
        <v>4.6118009774880893</v>
      </c>
      <c r="G133" s="60"/>
      <c r="H133" s="60"/>
      <c r="I133" s="60"/>
      <c r="J133" s="60" t="s">
        <v>438</v>
      </c>
      <c r="K133" s="60"/>
      <c r="L133" s="60"/>
      <c r="M133" s="60"/>
      <c r="N133" s="60"/>
      <c r="O133" s="60"/>
      <c r="P133" s="60"/>
      <c r="Q133" s="60"/>
      <c r="R133" s="60"/>
      <c r="S133" s="60">
        <v>7</v>
      </c>
      <c r="T133" s="60">
        <v>30.434482758620693</v>
      </c>
      <c r="U133" s="60">
        <v>28.681992337164754</v>
      </c>
      <c r="V133" s="60">
        <f t="shared" si="32"/>
        <v>2.7391034482758623</v>
      </c>
      <c r="W133" s="60">
        <f t="shared" si="32"/>
        <v>2.5813793103448277</v>
      </c>
      <c r="X133" s="60">
        <f t="shared" si="33"/>
        <v>1.4</v>
      </c>
      <c r="Y133" s="475">
        <f t="shared" si="34"/>
        <v>1.2</v>
      </c>
      <c r="Z133" s="134"/>
      <c r="AA133" s="134"/>
      <c r="AB133" s="134"/>
      <c r="AC133" s="134"/>
      <c r="AD133" s="134"/>
      <c r="AE133" s="134"/>
      <c r="AF133" s="134"/>
      <c r="AG133" s="46"/>
    </row>
    <row r="134" spans="1:33" hidden="1" x14ac:dyDescent="0.35">
      <c r="A134" s="133"/>
      <c r="B134" s="474">
        <f t="shared" si="35"/>
        <v>2500000</v>
      </c>
      <c r="C134" s="474">
        <f t="shared" si="30"/>
        <v>13.793428401297598</v>
      </c>
      <c r="D134" s="60">
        <f t="shared" si="31"/>
        <v>245.62711186021284</v>
      </c>
      <c r="E134" s="60"/>
      <c r="F134" s="60"/>
      <c r="G134" s="60"/>
      <c r="H134" s="60"/>
      <c r="I134" s="60"/>
      <c r="J134" s="60"/>
      <c r="K134" s="60"/>
      <c r="L134" s="60"/>
      <c r="M134" s="60"/>
      <c r="N134" s="60"/>
      <c r="O134" s="60"/>
      <c r="P134" s="60"/>
      <c r="Q134" s="60"/>
      <c r="R134" s="60"/>
      <c r="S134" s="60">
        <v>6</v>
      </c>
      <c r="T134" s="60">
        <v>33.48735632183908</v>
      </c>
      <c r="U134" s="60">
        <v>31.35325670498084</v>
      </c>
      <c r="V134" s="60">
        <f t="shared" si="32"/>
        <v>3.0138620689655173</v>
      </c>
      <c r="W134" s="60">
        <f t="shared" si="32"/>
        <v>2.8217931034482757</v>
      </c>
      <c r="X134" s="60">
        <f t="shared" si="33"/>
        <v>1.4</v>
      </c>
      <c r="Y134" s="475">
        <f t="shared" si="34"/>
        <v>1.2</v>
      </c>
      <c r="Z134" s="134"/>
      <c r="AA134" s="134"/>
      <c r="AB134" s="134"/>
      <c r="AC134" s="134"/>
      <c r="AD134" s="134"/>
      <c r="AE134" s="134"/>
      <c r="AF134" s="134"/>
      <c r="AG134" s="46"/>
    </row>
    <row r="135" spans="1:33" hidden="1" x14ac:dyDescent="0.35">
      <c r="A135" s="133"/>
      <c r="B135" s="474">
        <f t="shared" si="35"/>
        <v>2750000</v>
      </c>
      <c r="C135" s="474">
        <f t="shared" si="30"/>
        <v>12.539480364815997</v>
      </c>
      <c r="D135" s="60">
        <f t="shared" si="31"/>
        <v>202.99761310761392</v>
      </c>
      <c r="E135" s="60"/>
      <c r="F135" s="60"/>
      <c r="G135" s="60"/>
      <c r="H135" s="60"/>
      <c r="I135" s="60"/>
      <c r="J135" s="60"/>
      <c r="K135" s="60"/>
      <c r="L135" s="60"/>
      <c r="M135" s="60"/>
      <c r="N135" s="60"/>
      <c r="O135" s="60"/>
      <c r="P135" s="60"/>
      <c r="Q135" s="60"/>
      <c r="R135" s="60"/>
      <c r="S135" s="60">
        <v>5</v>
      </c>
      <c r="T135" s="60">
        <v>36.708812260536398</v>
      </c>
      <c r="U135" s="60">
        <v>33.976245210727967</v>
      </c>
      <c r="V135" s="60">
        <f t="shared" si="32"/>
        <v>3.3037931034482759</v>
      </c>
      <c r="W135" s="60">
        <f t="shared" si="32"/>
        <v>3.0578620689655169</v>
      </c>
      <c r="X135" s="60">
        <f t="shared" si="33"/>
        <v>1.4</v>
      </c>
      <c r="Y135" s="475">
        <f t="shared" si="34"/>
        <v>1.2</v>
      </c>
      <c r="Z135" s="134"/>
      <c r="AA135" s="134"/>
      <c r="AB135" s="134"/>
      <c r="AC135" s="134"/>
      <c r="AD135" s="134"/>
      <c r="AE135" s="134"/>
      <c r="AF135" s="134"/>
      <c r="AG135" s="46"/>
    </row>
    <row r="136" spans="1:33" hidden="1" x14ac:dyDescent="0.35">
      <c r="A136" s="133"/>
      <c r="B136" s="474">
        <f t="shared" si="35"/>
        <v>3000000</v>
      </c>
      <c r="C136" s="474">
        <f t="shared" si="30"/>
        <v>11.494523667747996</v>
      </c>
      <c r="D136" s="60">
        <f t="shared" si="31"/>
        <v>170.57438323625888</v>
      </c>
      <c r="E136" s="60"/>
      <c r="F136" s="60"/>
      <c r="G136" s="60"/>
      <c r="H136" s="60"/>
      <c r="I136" s="60"/>
      <c r="J136" s="60"/>
      <c r="K136" s="60"/>
      <c r="L136" s="60"/>
      <c r="M136" s="60"/>
      <c r="N136" s="60"/>
      <c r="O136" s="60"/>
      <c r="P136" s="60"/>
      <c r="Q136" s="60"/>
      <c r="R136" s="60"/>
      <c r="S136" s="60">
        <v>4</v>
      </c>
      <c r="T136" s="60">
        <v>40.039463601532567</v>
      </c>
      <c r="U136" s="60">
        <v>36.918007662835244</v>
      </c>
      <c r="V136" s="60">
        <f t="shared" si="32"/>
        <v>3.6035517241379309</v>
      </c>
      <c r="W136" s="60">
        <f t="shared" si="32"/>
        <v>3.3226206896551722</v>
      </c>
      <c r="X136" s="60">
        <f t="shared" si="33"/>
        <v>1.4</v>
      </c>
      <c r="Y136" s="475">
        <f t="shared" si="34"/>
        <v>1.2</v>
      </c>
      <c r="Z136" s="134"/>
      <c r="AA136" s="134"/>
      <c r="AB136" s="134"/>
      <c r="AC136" s="134"/>
      <c r="AD136" s="134"/>
      <c r="AE136" s="134"/>
      <c r="AF136" s="134"/>
      <c r="AG136" s="46"/>
    </row>
    <row r="137" spans="1:33" hidden="1" x14ac:dyDescent="0.35">
      <c r="A137" s="133"/>
      <c r="B137" s="474">
        <f t="shared" si="35"/>
        <v>3250000</v>
      </c>
      <c r="C137" s="474">
        <f t="shared" si="30"/>
        <v>10.610329539459689</v>
      </c>
      <c r="D137" s="60">
        <f t="shared" si="31"/>
        <v>145.34148630781823</v>
      </c>
      <c r="E137" s="60"/>
      <c r="F137" s="60"/>
      <c r="G137" s="60"/>
      <c r="H137" s="60"/>
      <c r="I137" s="60"/>
      <c r="J137" s="60"/>
      <c r="K137" s="60"/>
      <c r="L137" s="60"/>
      <c r="M137" s="60"/>
      <c r="N137" s="60"/>
      <c r="O137" s="60"/>
      <c r="P137" s="60"/>
      <c r="Q137" s="60"/>
      <c r="R137" s="60"/>
      <c r="S137" s="60">
        <v>3</v>
      </c>
      <c r="T137" s="60">
        <v>43.125670498084297</v>
      </c>
      <c r="U137" s="60">
        <v>39.567049808429118</v>
      </c>
      <c r="V137" s="60">
        <f t="shared" si="32"/>
        <v>3.8813103448275865</v>
      </c>
      <c r="W137" s="60">
        <f t="shared" si="32"/>
        <v>3.5610344827586204</v>
      </c>
      <c r="X137" s="60">
        <f t="shared" si="33"/>
        <v>1.4</v>
      </c>
      <c r="Y137" s="475">
        <f t="shared" si="34"/>
        <v>1.2</v>
      </c>
      <c r="Z137" s="134"/>
      <c r="AA137" s="134"/>
      <c r="AB137" s="134"/>
      <c r="AC137" s="134"/>
      <c r="AD137" s="134"/>
      <c r="AE137" s="134"/>
      <c r="AF137" s="134"/>
      <c r="AG137" s="46"/>
    </row>
    <row r="138" spans="1:33" hidden="1" x14ac:dyDescent="0.35">
      <c r="A138" s="133"/>
      <c r="B138" s="474">
        <f t="shared" si="35"/>
        <v>3500000</v>
      </c>
      <c r="C138" s="474">
        <f t="shared" si="30"/>
        <v>9.8524488580697138</v>
      </c>
      <c r="D138" s="60">
        <f t="shared" si="31"/>
        <v>125.31995503072081</v>
      </c>
      <c r="E138" s="60"/>
      <c r="F138" s="60"/>
      <c r="G138" s="60"/>
      <c r="H138" s="60"/>
      <c r="I138" s="60"/>
      <c r="J138" s="60"/>
      <c r="K138" s="60"/>
      <c r="L138" s="60"/>
      <c r="M138" s="60"/>
      <c r="N138" s="60"/>
      <c r="O138" s="60"/>
      <c r="P138" s="60"/>
      <c r="Q138" s="60"/>
      <c r="R138" s="60"/>
      <c r="S138" s="60">
        <v>2</v>
      </c>
      <c r="T138" s="60">
        <v>46.011877394636009</v>
      </c>
      <c r="U138" s="60">
        <v>41.769731800766287</v>
      </c>
      <c r="V138" s="60">
        <f t="shared" si="32"/>
        <v>4.141068965517241</v>
      </c>
      <c r="W138" s="60">
        <f t="shared" si="32"/>
        <v>3.7592758620689657</v>
      </c>
      <c r="X138" s="60">
        <f t="shared" si="33"/>
        <v>1.4</v>
      </c>
      <c r="Y138" s="475">
        <f t="shared" si="34"/>
        <v>1.2</v>
      </c>
      <c r="Z138" s="134"/>
      <c r="AA138" s="134"/>
      <c r="AB138" s="134"/>
      <c r="AC138" s="134"/>
      <c r="AD138" s="134"/>
      <c r="AE138" s="134"/>
      <c r="AF138" s="134"/>
      <c r="AG138" s="46"/>
    </row>
    <row r="139" spans="1:33" hidden="1" x14ac:dyDescent="0.35">
      <c r="A139" s="133"/>
      <c r="B139" s="474">
        <f t="shared" si="35"/>
        <v>3750000</v>
      </c>
      <c r="C139" s="474">
        <f t="shared" si="30"/>
        <v>9.1956189341983983</v>
      </c>
      <c r="D139" s="60">
        <f t="shared" si="31"/>
        <v>109.16760527120572</v>
      </c>
      <c r="E139" s="60"/>
      <c r="F139" s="60"/>
      <c r="G139" s="60"/>
      <c r="H139" s="60"/>
      <c r="I139" s="60"/>
      <c r="J139" s="60"/>
      <c r="K139" s="60"/>
      <c r="L139" s="60"/>
      <c r="M139" s="60"/>
      <c r="N139" s="60"/>
      <c r="O139" s="60"/>
      <c r="P139" s="60"/>
      <c r="Q139" s="60"/>
      <c r="R139" s="60"/>
      <c r="S139" s="60">
        <v>1</v>
      </c>
      <c r="T139" s="60">
        <v>49.546360153256707</v>
      </c>
      <c r="U139" s="60">
        <v>44.563218390804593</v>
      </c>
      <c r="V139" s="60">
        <f>T139/100*$C$23</f>
        <v>4.4591724137931035</v>
      </c>
      <c r="W139" s="60">
        <f>U139/100*$C$23</f>
        <v>4.0106896551724134</v>
      </c>
      <c r="X139" s="60">
        <f t="shared" si="33"/>
        <v>1.4</v>
      </c>
      <c r="Y139" s="475">
        <f t="shared" si="34"/>
        <v>1.2</v>
      </c>
      <c r="Z139" s="134"/>
      <c r="AA139" s="134"/>
      <c r="AB139" s="134"/>
      <c r="AC139" s="134"/>
      <c r="AD139" s="134"/>
      <c r="AE139" s="134"/>
      <c r="AF139" s="134"/>
      <c r="AG139" s="46"/>
    </row>
    <row r="140" spans="1:33" hidden="1" x14ac:dyDescent="0.35">
      <c r="A140" s="133"/>
      <c r="B140" s="474">
        <f t="shared" si="35"/>
        <v>4000000</v>
      </c>
      <c r="C140" s="474">
        <f t="shared" si="30"/>
        <v>8.6208927508109987</v>
      </c>
      <c r="D140" s="60">
        <f t="shared" si="31"/>
        <v>95.948090570395649</v>
      </c>
      <c r="E140" s="60"/>
      <c r="F140" s="60"/>
      <c r="G140" s="60"/>
      <c r="H140" s="60"/>
      <c r="I140" s="60"/>
      <c r="J140" s="60"/>
      <c r="K140" s="60"/>
      <c r="L140" s="60"/>
      <c r="M140" s="60"/>
      <c r="N140" s="60"/>
      <c r="O140" s="60"/>
      <c r="P140" s="60"/>
      <c r="Q140" s="60"/>
      <c r="R140" s="60"/>
      <c r="S140" s="60"/>
      <c r="T140" s="60"/>
      <c r="U140" s="60"/>
      <c r="V140" s="60"/>
      <c r="W140" s="60"/>
      <c r="X140" s="60"/>
      <c r="Y140" s="60"/>
      <c r="Z140" s="134"/>
      <c r="AA140" s="134"/>
      <c r="AB140" s="134"/>
      <c r="AC140" s="134"/>
      <c r="AD140" s="134"/>
      <c r="AE140" s="134"/>
      <c r="AF140" s="134"/>
      <c r="AG140" s="46"/>
    </row>
    <row r="141" spans="1:33" hidden="1" x14ac:dyDescent="0.35">
      <c r="A141" s="133"/>
      <c r="B141" s="474">
        <f t="shared" si="35"/>
        <v>4250000</v>
      </c>
      <c r="C141" s="474">
        <f t="shared" si="30"/>
        <v>8.1137814125279988</v>
      </c>
      <c r="D141" s="60">
        <f t="shared" si="31"/>
        <v>84.992080228447335</v>
      </c>
      <c r="E141" s="60"/>
      <c r="F141" s="60"/>
      <c r="G141" s="60"/>
      <c r="H141" s="60"/>
      <c r="I141" s="60"/>
      <c r="J141" s="60"/>
      <c r="K141" s="60"/>
      <c r="L141" s="60"/>
      <c r="M141" s="60"/>
      <c r="N141" s="60"/>
      <c r="O141" s="60"/>
      <c r="P141" s="60"/>
      <c r="Q141" s="60"/>
      <c r="R141" s="60"/>
      <c r="S141" s="60"/>
      <c r="T141" s="60"/>
      <c r="U141" s="60"/>
      <c r="V141" s="60"/>
      <c r="W141" s="60"/>
      <c r="X141" s="60"/>
      <c r="Y141" s="60"/>
      <c r="Z141" s="134"/>
      <c r="AA141" s="134"/>
      <c r="AB141" s="134"/>
      <c r="AC141" s="134"/>
      <c r="AD141" s="134"/>
      <c r="AE141" s="134"/>
      <c r="AF141" s="134"/>
    </row>
    <row r="142" spans="1:33" hidden="1" x14ac:dyDescent="0.35">
      <c r="A142" s="133"/>
      <c r="B142" s="474">
        <f t="shared" si="35"/>
        <v>4500000</v>
      </c>
      <c r="C142" s="474">
        <f t="shared" si="30"/>
        <v>7.6630157784986652</v>
      </c>
      <c r="D142" s="60">
        <f t="shared" si="31"/>
        <v>75.810836993892863</v>
      </c>
      <c r="E142" s="60"/>
      <c r="F142" s="60"/>
      <c r="G142" s="60"/>
      <c r="H142" s="60"/>
      <c r="I142" s="60"/>
      <c r="J142" s="60"/>
      <c r="K142" s="60"/>
      <c r="L142" s="60"/>
      <c r="M142" s="60"/>
      <c r="N142" s="60"/>
      <c r="O142" s="60"/>
      <c r="P142" s="60"/>
      <c r="Q142" s="60"/>
      <c r="R142" s="60"/>
      <c r="S142" s="60"/>
      <c r="T142" s="60"/>
      <c r="U142" s="60"/>
      <c r="V142" s="60"/>
      <c r="W142" s="60"/>
      <c r="X142" s="60"/>
      <c r="Y142" s="60"/>
    </row>
    <row r="143" spans="1:33" hidden="1" x14ac:dyDescent="0.35">
      <c r="A143" s="133"/>
      <c r="B143" s="474">
        <f t="shared" si="35"/>
        <v>4750000</v>
      </c>
      <c r="C143" s="474">
        <f t="shared" si="30"/>
        <v>7.2596991585776829</v>
      </c>
      <c r="D143" s="60">
        <f t="shared" si="31"/>
        <v>68.040751207815177</v>
      </c>
      <c r="E143" s="60"/>
      <c r="F143" s="60"/>
      <c r="G143" s="60"/>
      <c r="H143" s="60"/>
      <c r="I143" s="60"/>
      <c r="J143" s="60"/>
      <c r="K143" s="60"/>
      <c r="L143" s="60"/>
      <c r="M143" s="60"/>
      <c r="N143" s="60"/>
      <c r="O143" s="60"/>
      <c r="P143" s="60"/>
      <c r="Q143" s="60"/>
      <c r="R143" s="60"/>
      <c r="S143" s="60"/>
      <c r="T143" s="60"/>
      <c r="U143" s="60"/>
      <c r="V143" s="60"/>
      <c r="W143" s="60"/>
      <c r="X143" s="60"/>
      <c r="Y143" s="60"/>
    </row>
    <row r="144" spans="1:33" hidden="1" x14ac:dyDescent="0.35">
      <c r="A144" s="34"/>
      <c r="B144" s="474">
        <f t="shared" si="35"/>
        <v>5000000</v>
      </c>
      <c r="C144" s="474">
        <f t="shared" si="30"/>
        <v>6.8967142006487991</v>
      </c>
      <c r="D144" s="60">
        <f t="shared" si="31"/>
        <v>61.406777965053209</v>
      </c>
      <c r="E144" s="60"/>
      <c r="F144" s="60"/>
      <c r="G144" s="60"/>
      <c r="H144" s="60"/>
      <c r="I144" s="60"/>
      <c r="J144" s="60"/>
      <c r="K144" s="60"/>
      <c r="L144" s="60"/>
      <c r="M144" s="60"/>
      <c r="N144" s="60"/>
      <c r="O144" s="60"/>
      <c r="P144" s="60"/>
      <c r="Q144" s="60"/>
      <c r="R144" s="60"/>
      <c r="S144" s="60"/>
      <c r="T144" s="60"/>
      <c r="U144" s="60"/>
      <c r="V144" s="60"/>
      <c r="W144" s="60"/>
      <c r="X144" s="60"/>
      <c r="Y144" s="60"/>
    </row>
    <row r="145" spans="1:25" hidden="1" x14ac:dyDescent="0.35">
      <c r="A145" s="34"/>
      <c r="B145" s="474">
        <f t="shared" si="35"/>
        <v>5250000</v>
      </c>
      <c r="C145" s="474">
        <f t="shared" si="30"/>
        <v>6.5682992387131414</v>
      </c>
      <c r="D145" s="60">
        <f t="shared" si="31"/>
        <v>55.697757791431471</v>
      </c>
      <c r="E145" s="60"/>
      <c r="F145" s="60"/>
      <c r="G145" s="60"/>
      <c r="H145" s="60"/>
      <c r="I145" s="60"/>
      <c r="J145" s="60"/>
      <c r="K145" s="60"/>
      <c r="L145" s="60"/>
      <c r="M145" s="60"/>
      <c r="N145" s="60"/>
      <c r="O145" s="60"/>
      <c r="P145" s="60"/>
      <c r="Q145" s="60"/>
      <c r="R145" s="60"/>
      <c r="S145" s="60"/>
      <c r="T145" s="60"/>
      <c r="U145" s="60"/>
      <c r="V145" s="60"/>
      <c r="W145" s="60"/>
      <c r="X145" s="60"/>
      <c r="Y145" s="60"/>
    </row>
    <row r="146" spans="1:25" hidden="1" x14ac:dyDescent="0.35">
      <c r="A146" s="34"/>
      <c r="B146" s="474">
        <f t="shared" si="35"/>
        <v>5500000</v>
      </c>
      <c r="C146" s="474">
        <f t="shared" si="30"/>
        <v>6.2697401824079986</v>
      </c>
      <c r="D146" s="60">
        <f t="shared" si="31"/>
        <v>50.749403276903479</v>
      </c>
      <c r="E146" s="60"/>
      <c r="F146" s="60"/>
      <c r="G146" s="60"/>
      <c r="H146" s="60"/>
      <c r="I146" s="60"/>
      <c r="J146" s="60"/>
      <c r="K146" s="60"/>
      <c r="L146" s="60"/>
      <c r="M146" s="60"/>
      <c r="N146" s="60"/>
      <c r="O146" s="60"/>
      <c r="P146" s="60"/>
      <c r="Q146" s="60"/>
      <c r="R146" s="60"/>
      <c r="S146" s="60"/>
      <c r="T146" s="60"/>
      <c r="U146" s="60"/>
      <c r="V146" s="60"/>
      <c r="W146" s="60"/>
      <c r="X146" s="60"/>
      <c r="Y146" s="60"/>
    </row>
    <row r="147" spans="1:25" hidden="1" x14ac:dyDescent="0.35">
      <c r="A147" s="34"/>
      <c r="B147" s="474">
        <f t="shared" si="35"/>
        <v>5750000</v>
      </c>
      <c r="C147" s="474">
        <f t="shared" si="30"/>
        <v>5.997142783172869</v>
      </c>
      <c r="D147" s="60">
        <f t="shared" si="31"/>
        <v>46.432346287374834</v>
      </c>
      <c r="E147" s="60"/>
      <c r="F147" s="60"/>
      <c r="G147" s="60"/>
      <c r="H147" s="60"/>
      <c r="I147" s="60"/>
      <c r="J147" s="60"/>
      <c r="K147" s="60"/>
      <c r="L147" s="60"/>
      <c r="M147" s="60"/>
      <c r="N147" s="60"/>
      <c r="O147" s="60"/>
      <c r="P147" s="60"/>
      <c r="Q147" s="60"/>
      <c r="R147" s="60"/>
      <c r="S147" s="60"/>
      <c r="T147" s="60"/>
      <c r="U147" s="60"/>
      <c r="V147" s="60"/>
      <c r="W147" s="60"/>
      <c r="X147" s="60"/>
      <c r="Y147" s="60"/>
    </row>
    <row r="148" spans="1:25" hidden="1" x14ac:dyDescent="0.35">
      <c r="A148" s="34"/>
      <c r="B148" s="474">
        <f t="shared" si="35"/>
        <v>6000000</v>
      </c>
      <c r="C148" s="474">
        <f t="shared" si="30"/>
        <v>5.7472618338739982</v>
      </c>
      <c r="D148" s="60">
        <f t="shared" si="31"/>
        <v>42.64359580906472</v>
      </c>
      <c r="E148" s="60"/>
      <c r="F148" s="60"/>
      <c r="G148" s="60"/>
      <c r="H148" s="60"/>
      <c r="I148" s="60"/>
      <c r="J148" s="60"/>
      <c r="K148" s="60"/>
      <c r="L148" s="60"/>
      <c r="M148" s="60"/>
      <c r="N148" s="60"/>
      <c r="O148" s="60"/>
      <c r="P148" s="60"/>
      <c r="Q148" s="60"/>
      <c r="R148" s="60"/>
      <c r="S148" s="60"/>
      <c r="T148" s="60"/>
      <c r="U148" s="60"/>
      <c r="V148" s="60"/>
      <c r="W148" s="60"/>
      <c r="X148" s="60"/>
      <c r="Y148" s="60"/>
    </row>
    <row r="149" spans="1:25" hidden="1" x14ac:dyDescent="0.35">
      <c r="A149" s="34"/>
      <c r="B149" s="474">
        <f t="shared" si="35"/>
        <v>6250000</v>
      </c>
      <c r="C149" s="474">
        <f t="shared" si="30"/>
        <v>5.5173713605190384</v>
      </c>
      <c r="D149" s="60">
        <f t="shared" si="31"/>
        <v>39.300337897634058</v>
      </c>
      <c r="E149" s="60"/>
      <c r="F149" s="60"/>
      <c r="G149" s="60"/>
      <c r="H149" s="60"/>
      <c r="I149" s="60"/>
      <c r="J149" s="60"/>
      <c r="K149" s="60"/>
      <c r="L149" s="60"/>
      <c r="M149" s="60"/>
      <c r="N149" s="60"/>
      <c r="O149" s="60"/>
      <c r="P149" s="60"/>
      <c r="Q149" s="60"/>
      <c r="R149" s="60"/>
      <c r="S149" s="60"/>
      <c r="T149" s="60"/>
      <c r="U149" s="60"/>
      <c r="V149" s="60"/>
      <c r="W149" s="60"/>
      <c r="X149" s="60"/>
      <c r="Y149" s="60"/>
    </row>
    <row r="150" spans="1:25" hidden="1" x14ac:dyDescent="0.35">
      <c r="A150" s="34"/>
      <c r="B150" s="474">
        <f t="shared" si="35"/>
        <v>6500000</v>
      </c>
      <c r="C150" s="474">
        <f t="shared" si="30"/>
        <v>5.3051647697298447</v>
      </c>
      <c r="D150" s="60">
        <f t="shared" si="31"/>
        <v>36.335371576954557</v>
      </c>
      <c r="E150" s="60"/>
      <c r="F150" s="60"/>
      <c r="G150" s="60"/>
      <c r="H150" s="60"/>
      <c r="I150" s="60"/>
      <c r="J150" s="60"/>
      <c r="K150" s="60"/>
      <c r="L150" s="60"/>
      <c r="M150" s="60"/>
      <c r="N150" s="60"/>
      <c r="O150" s="60"/>
      <c r="P150" s="60"/>
      <c r="Q150" s="60"/>
      <c r="R150" s="60"/>
      <c r="S150" s="60"/>
      <c r="T150" s="60"/>
      <c r="U150" s="60"/>
      <c r="V150" s="60"/>
      <c r="W150" s="60"/>
      <c r="X150" s="60"/>
      <c r="Y150" s="60"/>
    </row>
    <row r="151" spans="1:25" hidden="1" x14ac:dyDescent="0.35">
      <c r="A151" s="34"/>
      <c r="B151" s="474">
        <f t="shared" si="35"/>
        <v>6750000</v>
      </c>
      <c r="C151" s="474">
        <f t="shared" si="30"/>
        <v>5.1086771856657771</v>
      </c>
      <c r="D151" s="60">
        <f t="shared" si="31"/>
        <v>33.693705330619039</v>
      </c>
      <c r="E151" s="60"/>
      <c r="F151" s="60"/>
      <c r="G151" s="60"/>
      <c r="H151" s="60"/>
      <c r="I151" s="60"/>
      <c r="J151" s="60"/>
      <c r="K151" s="60"/>
      <c r="L151" s="60"/>
      <c r="M151" s="60"/>
      <c r="N151" s="60"/>
      <c r="O151" s="60"/>
      <c r="P151" s="60"/>
      <c r="Q151" s="60"/>
      <c r="R151" s="60"/>
      <c r="S151" s="60"/>
      <c r="T151" s="60"/>
      <c r="U151" s="60"/>
      <c r="V151" s="60"/>
      <c r="W151" s="60"/>
      <c r="X151" s="60"/>
      <c r="Y151" s="60"/>
    </row>
    <row r="152" spans="1:25" hidden="1" x14ac:dyDescent="0.35">
      <c r="A152" s="34"/>
      <c r="B152" s="474">
        <f t="shared" si="35"/>
        <v>7000000</v>
      </c>
      <c r="C152" s="474">
        <f t="shared" si="30"/>
        <v>4.9262244290348569</v>
      </c>
      <c r="D152" s="60">
        <f t="shared" si="31"/>
        <v>31.329988757680201</v>
      </c>
      <c r="E152" s="60"/>
      <c r="F152" s="60"/>
      <c r="G152" s="60"/>
      <c r="H152" s="60"/>
      <c r="I152" s="60"/>
      <c r="J152" s="60"/>
      <c r="K152" s="60"/>
      <c r="L152" s="60"/>
      <c r="M152" s="60"/>
      <c r="N152" s="60"/>
      <c r="O152" s="60"/>
      <c r="P152" s="60"/>
      <c r="Q152" s="60"/>
      <c r="R152" s="60"/>
      <c r="S152" s="60"/>
      <c r="T152" s="60"/>
      <c r="U152" s="60"/>
      <c r="V152" s="60"/>
      <c r="W152" s="60"/>
      <c r="X152" s="60"/>
      <c r="Y152" s="60"/>
    </row>
    <row r="153" spans="1:25" hidden="1" x14ac:dyDescent="0.35">
      <c r="A153" s="34"/>
      <c r="B153" s="474">
        <f t="shared" si="35"/>
        <v>7250000</v>
      </c>
      <c r="C153" s="474">
        <f t="shared" si="30"/>
        <v>4.7563546211371026</v>
      </c>
      <c r="D153" s="60">
        <f t="shared" si="31"/>
        <v>29.206553134389154</v>
      </c>
      <c r="E153" s="60"/>
      <c r="F153" s="60"/>
      <c r="G153" s="60"/>
      <c r="H153" s="60"/>
      <c r="I153" s="60"/>
      <c r="J153" s="60"/>
      <c r="K153" s="60"/>
      <c r="L153" s="60"/>
      <c r="M153" s="60"/>
      <c r="N153" s="60"/>
      <c r="O153" s="60"/>
      <c r="P153" s="60"/>
      <c r="Q153" s="60"/>
      <c r="R153" s="60"/>
      <c r="S153" s="60"/>
      <c r="T153" s="60"/>
      <c r="U153" s="60"/>
      <c r="V153" s="60"/>
      <c r="W153" s="60"/>
      <c r="X153" s="60"/>
      <c r="Y153" s="60"/>
    </row>
    <row r="154" spans="1:25" hidden="1" x14ac:dyDescent="0.35">
      <c r="A154" s="34"/>
      <c r="B154" s="474">
        <f t="shared" si="35"/>
        <v>7500000</v>
      </c>
      <c r="C154" s="474">
        <f t="shared" si="30"/>
        <v>4.5978094670991991</v>
      </c>
      <c r="D154" s="60">
        <f t="shared" si="31"/>
        <v>27.291901317801429</v>
      </c>
      <c r="E154" s="60"/>
      <c r="F154" s="60"/>
      <c r="G154" s="60"/>
      <c r="H154" s="60"/>
      <c r="I154" s="60"/>
      <c r="J154" s="60"/>
      <c r="K154" s="60"/>
      <c r="L154" s="60"/>
      <c r="M154" s="60"/>
      <c r="N154" s="60"/>
      <c r="O154" s="60"/>
      <c r="P154" s="60"/>
      <c r="Q154" s="60"/>
      <c r="R154" s="60"/>
      <c r="S154" s="60"/>
      <c r="T154" s="60"/>
      <c r="U154" s="60"/>
      <c r="V154" s="60"/>
      <c r="W154" s="60"/>
      <c r="X154" s="60"/>
      <c r="Y154" s="60"/>
    </row>
    <row r="155" spans="1:25" hidden="1" x14ac:dyDescent="0.35">
      <c r="A155" s="34"/>
      <c r="B155" s="474">
        <f t="shared" si="35"/>
        <v>7750000</v>
      </c>
      <c r="C155" s="474">
        <f t="shared" si="30"/>
        <v>4.4494930326766449</v>
      </c>
      <c r="D155" s="60">
        <f t="shared" si="31"/>
        <v>25.559532971926409</v>
      </c>
      <c r="E155" s="60"/>
      <c r="F155" s="60"/>
      <c r="G155" s="60"/>
      <c r="H155" s="60"/>
      <c r="I155" s="60"/>
      <c r="J155" s="60"/>
      <c r="K155" s="60"/>
      <c r="L155" s="60"/>
      <c r="M155" s="60"/>
      <c r="N155" s="60"/>
      <c r="O155" s="60"/>
      <c r="P155" s="60"/>
      <c r="Q155" s="60"/>
      <c r="R155" s="60"/>
      <c r="S155" s="60"/>
      <c r="T155" s="60"/>
      <c r="U155" s="60"/>
      <c r="V155" s="60"/>
      <c r="W155" s="60"/>
      <c r="X155" s="60"/>
      <c r="Y155" s="60"/>
    </row>
    <row r="156" spans="1:25" hidden="1" x14ac:dyDescent="0.35">
      <c r="A156" s="34"/>
      <c r="B156" s="474">
        <f t="shared" si="35"/>
        <v>8000000</v>
      </c>
      <c r="C156" s="474">
        <f t="shared" si="30"/>
        <v>4.3104463754054994</v>
      </c>
      <c r="D156" s="60">
        <f t="shared" si="31"/>
        <v>23.987022642598912</v>
      </c>
      <c r="E156" s="60"/>
      <c r="F156" s="60"/>
      <c r="G156" s="60"/>
      <c r="H156" s="60"/>
      <c r="I156" s="60"/>
      <c r="J156" s="60"/>
      <c r="K156" s="60"/>
      <c r="L156" s="60"/>
      <c r="M156" s="60"/>
      <c r="N156" s="60"/>
      <c r="O156" s="60"/>
      <c r="P156" s="60"/>
      <c r="Q156" s="60"/>
      <c r="R156" s="60"/>
      <c r="S156" s="60"/>
      <c r="T156" s="60"/>
      <c r="U156" s="60"/>
      <c r="V156" s="60"/>
      <c r="W156" s="60"/>
      <c r="X156" s="60"/>
      <c r="Y156" s="60"/>
    </row>
    <row r="157" spans="1:25" hidden="1" x14ac:dyDescent="0.35">
      <c r="A157" s="34"/>
      <c r="B157" s="474">
        <f t="shared" si="35"/>
        <v>8250000</v>
      </c>
      <c r="C157" s="474">
        <f t="shared" si="30"/>
        <v>4.179826788271999</v>
      </c>
      <c r="D157" s="60">
        <f t="shared" si="31"/>
        <v>22.55529034529043</v>
      </c>
      <c r="E157" s="60"/>
      <c r="F157" s="60"/>
      <c r="G157" s="60"/>
      <c r="H157" s="60"/>
      <c r="I157" s="60"/>
      <c r="J157" s="60"/>
      <c r="K157" s="60"/>
      <c r="L157" s="60"/>
      <c r="M157" s="60"/>
      <c r="N157" s="60"/>
      <c r="O157" s="60"/>
      <c r="P157" s="60"/>
      <c r="Q157" s="60"/>
      <c r="R157" s="60"/>
      <c r="S157" s="60"/>
      <c r="T157" s="60"/>
      <c r="U157" s="60"/>
      <c r="V157" s="60"/>
      <c r="W157" s="60"/>
      <c r="X157" s="60"/>
      <c r="Y157" s="60"/>
    </row>
    <row r="158" spans="1:25" hidden="1" x14ac:dyDescent="0.35">
      <c r="A158" s="34"/>
      <c r="B158" s="474">
        <f t="shared" si="35"/>
        <v>8500000</v>
      </c>
      <c r="C158" s="474">
        <f t="shared" si="30"/>
        <v>4.0568907062639994</v>
      </c>
      <c r="D158" s="60">
        <f t="shared" si="31"/>
        <v>21.248020057111834</v>
      </c>
      <c r="E158" s="60"/>
      <c r="F158" s="60"/>
      <c r="G158" s="60"/>
      <c r="H158" s="60"/>
      <c r="I158" s="60"/>
      <c r="J158" s="60"/>
      <c r="K158" s="60"/>
      <c r="L158" s="60"/>
      <c r="M158" s="60"/>
      <c r="N158" s="60"/>
      <c r="O158" s="60"/>
      <c r="P158" s="60"/>
      <c r="Q158" s="60"/>
      <c r="R158" s="60"/>
      <c r="S158" s="60"/>
      <c r="T158" s="60"/>
      <c r="U158" s="60"/>
      <c r="V158" s="60"/>
      <c r="W158" s="60"/>
      <c r="X158" s="60"/>
      <c r="Y158" s="60"/>
    </row>
    <row r="159" spans="1:25" hidden="1" x14ac:dyDescent="0.35">
      <c r="A159" s="34"/>
      <c r="B159" s="474">
        <f t="shared" ref="B159:B191" si="36">B158+B$125</f>
        <v>8750000</v>
      </c>
      <c r="C159" s="474">
        <f t="shared" si="30"/>
        <v>3.9409795432278845</v>
      </c>
      <c r="D159" s="60">
        <f t="shared" si="31"/>
        <v>20.051192804915331</v>
      </c>
      <c r="E159" s="60"/>
      <c r="F159" s="60"/>
      <c r="G159" s="60"/>
      <c r="H159" s="60"/>
      <c r="I159" s="60"/>
      <c r="J159" s="60"/>
      <c r="K159" s="60"/>
      <c r="L159" s="60"/>
      <c r="M159" s="60"/>
      <c r="N159" s="60"/>
      <c r="O159" s="60"/>
      <c r="P159" s="60"/>
      <c r="Q159" s="60"/>
      <c r="R159" s="60"/>
      <c r="S159" s="60"/>
      <c r="T159" s="60"/>
      <c r="U159" s="60"/>
      <c r="V159" s="60"/>
      <c r="W159" s="60"/>
      <c r="X159" s="60"/>
      <c r="Y159" s="60"/>
    </row>
    <row r="160" spans="1:25" hidden="1" x14ac:dyDescent="0.35">
      <c r="A160" s="34"/>
      <c r="B160" s="474">
        <f t="shared" si="36"/>
        <v>9000000</v>
      </c>
      <c r="C160" s="474">
        <f t="shared" si="30"/>
        <v>3.8315078892493326</v>
      </c>
      <c r="D160" s="60">
        <f t="shared" si="31"/>
        <v>18.952709248473216</v>
      </c>
      <c r="E160" s="60"/>
      <c r="F160" s="60"/>
      <c r="G160" s="60"/>
      <c r="H160" s="60"/>
      <c r="I160" s="60"/>
      <c r="J160" s="60"/>
      <c r="K160" s="60"/>
      <c r="L160" s="60"/>
      <c r="M160" s="60"/>
      <c r="N160" s="60"/>
      <c r="O160" s="60"/>
      <c r="P160" s="60"/>
      <c r="Q160" s="60"/>
      <c r="R160" s="60"/>
      <c r="S160" s="60"/>
      <c r="T160" s="60"/>
      <c r="U160" s="60"/>
      <c r="V160" s="60"/>
      <c r="W160" s="60"/>
      <c r="X160" s="60"/>
      <c r="Y160" s="60"/>
    </row>
    <row r="161" spans="1:25" hidden="1" x14ac:dyDescent="0.35">
      <c r="A161" s="34"/>
      <c r="B161" s="474">
        <f t="shared" si="36"/>
        <v>9250000</v>
      </c>
      <c r="C161" s="474">
        <f t="shared" si="30"/>
        <v>3.7279536219723237</v>
      </c>
      <c r="D161" s="60">
        <f t="shared" si="31"/>
        <v>17.942082677882603</v>
      </c>
      <c r="E161" s="60"/>
      <c r="F161" s="60"/>
      <c r="G161" s="60"/>
      <c r="H161" s="60"/>
      <c r="I161" s="60"/>
      <c r="J161" s="60"/>
      <c r="K161" s="60"/>
      <c r="L161" s="60"/>
      <c r="M161" s="60"/>
      <c r="N161" s="60"/>
      <c r="O161" s="60"/>
      <c r="P161" s="60"/>
      <c r="Q161" s="60"/>
      <c r="R161" s="60"/>
      <c r="S161" s="60"/>
      <c r="T161" s="60"/>
      <c r="U161" s="60"/>
      <c r="V161" s="60"/>
      <c r="W161" s="60"/>
      <c r="X161" s="60"/>
      <c r="Y161" s="60"/>
    </row>
    <row r="162" spans="1:25" hidden="1" x14ac:dyDescent="0.35">
      <c r="A162" s="34"/>
      <c r="B162" s="474">
        <f t="shared" si="36"/>
        <v>9500000</v>
      </c>
      <c r="C162" s="474">
        <f t="shared" si="30"/>
        <v>3.6298495792888414</v>
      </c>
      <c r="D162" s="60">
        <f t="shared" si="31"/>
        <v>17.010187801953794</v>
      </c>
      <c r="E162" s="60"/>
      <c r="F162" s="60"/>
      <c r="G162" s="60"/>
      <c r="H162" s="60"/>
      <c r="I162" s="60"/>
      <c r="J162" s="60"/>
      <c r="K162" s="60"/>
      <c r="L162" s="60"/>
      <c r="M162" s="60"/>
      <c r="N162" s="60"/>
      <c r="O162" s="60"/>
      <c r="P162" s="60"/>
      <c r="Q162" s="60"/>
      <c r="R162" s="60"/>
      <c r="S162" s="60"/>
      <c r="T162" s="60"/>
      <c r="U162" s="60"/>
      <c r="V162" s="60"/>
      <c r="W162" s="60"/>
      <c r="X162" s="60"/>
      <c r="Y162" s="60"/>
    </row>
    <row r="163" spans="1:25" hidden="1" x14ac:dyDescent="0.35">
      <c r="A163" s="34"/>
      <c r="B163" s="474">
        <f t="shared" si="36"/>
        <v>9750000</v>
      </c>
      <c r="C163" s="474">
        <f t="shared" si="30"/>
        <v>3.5367765131532298</v>
      </c>
      <c r="D163" s="60">
        <f t="shared" si="31"/>
        <v>16.149054034202027</v>
      </c>
      <c r="E163" s="60"/>
      <c r="F163" s="60"/>
      <c r="G163" s="60"/>
      <c r="H163" s="60"/>
      <c r="I163" s="60"/>
      <c r="J163" s="60"/>
      <c r="K163" s="60"/>
      <c r="L163" s="60"/>
      <c r="M163" s="60"/>
      <c r="N163" s="60"/>
      <c r="O163" s="60"/>
      <c r="P163" s="60"/>
      <c r="Q163" s="60"/>
      <c r="R163" s="60"/>
      <c r="S163" s="60"/>
      <c r="T163" s="60"/>
      <c r="U163" s="60"/>
      <c r="V163" s="60"/>
      <c r="W163" s="60"/>
      <c r="X163" s="60"/>
      <c r="Y163" s="60"/>
    </row>
    <row r="164" spans="1:25" hidden="1" x14ac:dyDescent="0.35">
      <c r="A164" s="34"/>
      <c r="B164" s="474">
        <f t="shared" si="36"/>
        <v>10000000</v>
      </c>
      <c r="C164" s="474">
        <f t="shared" si="30"/>
        <v>3.4483571003243996</v>
      </c>
      <c r="D164" s="60">
        <f t="shared" si="31"/>
        <v>15.351694491263302</v>
      </c>
      <c r="E164" s="60"/>
      <c r="F164" s="60"/>
      <c r="G164" s="60"/>
      <c r="H164" s="60"/>
      <c r="I164" s="60"/>
      <c r="J164" s="60"/>
      <c r="K164" s="60"/>
      <c r="L164" s="60"/>
      <c r="M164" s="60"/>
      <c r="N164" s="60"/>
      <c r="O164" s="60"/>
      <c r="P164" s="60"/>
      <c r="Q164" s="60"/>
      <c r="R164" s="60"/>
      <c r="S164" s="60"/>
      <c r="T164" s="60"/>
      <c r="U164" s="60"/>
      <c r="V164" s="60"/>
      <c r="W164" s="60"/>
      <c r="X164" s="60"/>
      <c r="Y164" s="60"/>
    </row>
    <row r="165" spans="1:25" hidden="1" x14ac:dyDescent="0.35">
      <c r="A165" s="34"/>
      <c r="B165" s="474">
        <f t="shared" si="36"/>
        <v>10250000</v>
      </c>
      <c r="C165" s="474">
        <f t="shared" si="30"/>
        <v>3.3642508295847797</v>
      </c>
      <c r="D165" s="60">
        <f t="shared" si="31"/>
        <v>14.611963822737229</v>
      </c>
      <c r="E165" s="60"/>
      <c r="F165" s="60"/>
      <c r="G165" s="60"/>
      <c r="H165" s="60"/>
      <c r="I165" s="60"/>
      <c r="J165" s="60"/>
      <c r="K165" s="60"/>
      <c r="L165" s="60"/>
      <c r="M165" s="60"/>
      <c r="N165" s="60"/>
      <c r="O165" s="60"/>
      <c r="P165" s="60"/>
      <c r="Q165" s="60"/>
      <c r="R165" s="60"/>
      <c r="S165" s="60"/>
      <c r="T165" s="60"/>
      <c r="U165" s="60"/>
      <c r="V165" s="60"/>
      <c r="W165" s="60"/>
      <c r="X165" s="60"/>
      <c r="Y165" s="60"/>
    </row>
    <row r="166" spans="1:25" hidden="1" x14ac:dyDescent="0.35">
      <c r="A166" s="34"/>
      <c r="B166" s="474">
        <f t="shared" si="36"/>
        <v>10500000</v>
      </c>
      <c r="C166" s="474">
        <f t="shared" si="30"/>
        <v>3.2841496193565707</v>
      </c>
      <c r="D166" s="60">
        <f t="shared" si="31"/>
        <v>13.924439447857868</v>
      </c>
      <c r="E166" s="60"/>
      <c r="F166" s="60"/>
      <c r="G166" s="60"/>
      <c r="H166" s="60"/>
      <c r="I166" s="60"/>
      <c r="J166" s="60"/>
      <c r="K166" s="60"/>
      <c r="L166" s="60"/>
      <c r="M166" s="60"/>
      <c r="N166" s="60"/>
      <c r="O166" s="60"/>
      <c r="P166" s="60"/>
      <c r="Q166" s="60"/>
      <c r="R166" s="60"/>
      <c r="S166" s="60"/>
      <c r="T166" s="60"/>
      <c r="U166" s="60"/>
      <c r="V166" s="60"/>
      <c r="W166" s="60"/>
      <c r="X166" s="60"/>
      <c r="Y166" s="60"/>
    </row>
    <row r="167" spans="1:25" hidden="1" x14ac:dyDescent="0.35">
      <c r="A167" s="34"/>
      <c r="B167" s="474">
        <f t="shared" si="36"/>
        <v>10750000</v>
      </c>
      <c r="C167" s="474">
        <f t="shared" si="30"/>
        <v>3.2077740468133946</v>
      </c>
      <c r="D167" s="60">
        <f t="shared" si="31"/>
        <v>13.284321896171596</v>
      </c>
      <c r="E167" s="60"/>
      <c r="F167" s="60"/>
      <c r="G167" s="60"/>
      <c r="H167" s="60"/>
      <c r="I167" s="60"/>
      <c r="J167" s="60"/>
      <c r="K167" s="60"/>
      <c r="L167" s="60"/>
      <c r="M167" s="60"/>
      <c r="N167" s="60"/>
      <c r="O167" s="60"/>
      <c r="P167" s="60"/>
      <c r="Q167" s="60"/>
      <c r="R167" s="60"/>
      <c r="S167" s="60"/>
      <c r="T167" s="60"/>
      <c r="U167" s="60"/>
      <c r="V167" s="60"/>
      <c r="W167" s="60"/>
      <c r="X167" s="60"/>
      <c r="Y167" s="60"/>
    </row>
    <row r="168" spans="1:25" hidden="1" x14ac:dyDescent="0.35">
      <c r="A168" s="34"/>
      <c r="B168" s="474">
        <f t="shared" si="36"/>
        <v>11000000</v>
      </c>
      <c r="C168" s="474">
        <f t="shared" si="30"/>
        <v>3.1348700912039993</v>
      </c>
      <c r="D168" s="60">
        <f t="shared" si="31"/>
        <v>12.68735081922587</v>
      </c>
      <c r="E168" s="60"/>
      <c r="F168" s="60"/>
      <c r="G168" s="60"/>
      <c r="H168" s="60"/>
      <c r="I168" s="60"/>
      <c r="J168" s="60"/>
      <c r="K168" s="60"/>
      <c r="L168" s="60"/>
      <c r="M168" s="60"/>
      <c r="N168" s="60"/>
      <c r="O168" s="60"/>
      <c r="P168" s="60"/>
      <c r="Q168" s="60"/>
      <c r="R168" s="60"/>
      <c r="S168" s="60"/>
      <c r="T168" s="60"/>
      <c r="U168" s="60"/>
      <c r="V168" s="60"/>
      <c r="W168" s="60"/>
      <c r="X168" s="60"/>
      <c r="Y168" s="60"/>
    </row>
    <row r="169" spans="1:25" hidden="1" x14ac:dyDescent="0.35">
      <c r="A169" s="34"/>
      <c r="B169" s="474">
        <f t="shared" si="36"/>
        <v>11250000</v>
      </c>
      <c r="C169" s="474">
        <f t="shared" si="30"/>
        <v>3.0652063113994661</v>
      </c>
      <c r="D169" s="60">
        <f t="shared" si="31"/>
        <v>12.129733919022854</v>
      </c>
      <c r="E169" s="60"/>
      <c r="F169" s="60"/>
      <c r="G169" s="60"/>
      <c r="H169" s="60"/>
      <c r="I169" s="60"/>
      <c r="J169" s="60"/>
      <c r="K169" s="60"/>
      <c r="L169" s="60"/>
      <c r="M169" s="60"/>
      <c r="N169" s="60"/>
      <c r="O169" s="60"/>
      <c r="P169" s="60"/>
      <c r="Q169" s="60"/>
      <c r="R169" s="60"/>
      <c r="S169" s="60"/>
      <c r="T169" s="60"/>
      <c r="U169" s="60"/>
      <c r="V169" s="60"/>
      <c r="W169" s="60"/>
      <c r="X169" s="60"/>
      <c r="Y169" s="60"/>
    </row>
    <row r="170" spans="1:25" hidden="1" x14ac:dyDescent="0.35">
      <c r="A170" s="34"/>
      <c r="B170" s="474">
        <f t="shared" si="36"/>
        <v>11500000</v>
      </c>
      <c r="C170" s="474">
        <f t="shared" si="30"/>
        <v>2.9985713915864345</v>
      </c>
      <c r="D170" s="60">
        <f t="shared" si="31"/>
        <v>11.608086571843709</v>
      </c>
      <c r="E170" s="60"/>
      <c r="F170" s="60"/>
      <c r="G170" s="60"/>
      <c r="H170" s="60"/>
      <c r="I170" s="60"/>
      <c r="J170" s="60"/>
      <c r="K170" s="60"/>
      <c r="L170" s="60"/>
      <c r="M170" s="60"/>
      <c r="N170" s="60"/>
      <c r="O170" s="60"/>
      <c r="P170" s="60"/>
      <c r="Q170" s="60"/>
      <c r="R170" s="60"/>
      <c r="S170" s="60"/>
      <c r="T170" s="60"/>
      <c r="U170" s="60"/>
      <c r="V170" s="60"/>
      <c r="W170" s="60"/>
      <c r="X170" s="60"/>
      <c r="Y170" s="60"/>
    </row>
    <row r="171" spans="1:25" hidden="1" x14ac:dyDescent="0.35">
      <c r="A171" s="34"/>
      <c r="B171" s="474">
        <f t="shared" si="36"/>
        <v>11750000</v>
      </c>
      <c r="C171" s="474">
        <f t="shared" si="30"/>
        <v>2.9347720002760842</v>
      </c>
      <c r="D171" s="60">
        <f t="shared" si="31"/>
        <v>11.119380346772871</v>
      </c>
      <c r="E171" s="60"/>
      <c r="F171" s="60"/>
      <c r="G171" s="60"/>
      <c r="H171" s="60"/>
      <c r="I171" s="60"/>
      <c r="J171" s="60"/>
      <c r="K171" s="60"/>
      <c r="L171" s="60"/>
      <c r="M171" s="60"/>
      <c r="N171" s="60"/>
      <c r="O171" s="60"/>
      <c r="P171" s="60"/>
      <c r="Q171" s="60"/>
      <c r="R171" s="60"/>
      <c r="S171" s="60"/>
      <c r="T171" s="60"/>
      <c r="U171" s="60"/>
      <c r="V171" s="60"/>
      <c r="W171" s="60"/>
      <c r="X171" s="60"/>
      <c r="Y171" s="60"/>
    </row>
    <row r="172" spans="1:25" hidden="1" x14ac:dyDescent="0.35">
      <c r="A172" s="34"/>
      <c r="B172" s="474">
        <f t="shared" si="36"/>
        <v>12000000</v>
      </c>
      <c r="C172" s="474">
        <f t="shared" si="30"/>
        <v>2.8736309169369991</v>
      </c>
      <c r="D172" s="60">
        <f t="shared" si="31"/>
        <v>10.66089895226618</v>
      </c>
      <c r="E172" s="60"/>
      <c r="F172" s="60"/>
      <c r="G172" s="60"/>
      <c r="H172" s="60"/>
      <c r="I172" s="60"/>
      <c r="J172" s="60"/>
      <c r="K172" s="60"/>
      <c r="L172" s="60"/>
      <c r="M172" s="60"/>
      <c r="N172" s="60"/>
      <c r="O172" s="60"/>
      <c r="P172" s="60"/>
      <c r="Q172" s="60"/>
      <c r="R172" s="60"/>
      <c r="S172" s="60"/>
      <c r="T172" s="60"/>
      <c r="U172" s="60"/>
      <c r="V172" s="60"/>
      <c r="W172" s="60"/>
      <c r="X172" s="60"/>
      <c r="Y172" s="60"/>
    </row>
    <row r="173" spans="1:25" hidden="1" x14ac:dyDescent="0.35">
      <c r="A173" s="34"/>
      <c r="B173" s="474">
        <f t="shared" si="36"/>
        <v>12250000</v>
      </c>
      <c r="C173" s="474">
        <f t="shared" si="30"/>
        <v>2.814985388019918</v>
      </c>
      <c r="D173" s="60">
        <f t="shared" si="31"/>
        <v>10.23020041067109</v>
      </c>
      <c r="E173" s="60"/>
      <c r="F173" s="60"/>
      <c r="G173" s="60"/>
      <c r="H173" s="60"/>
      <c r="I173" s="60"/>
      <c r="J173" s="60"/>
      <c r="K173" s="60"/>
      <c r="L173" s="60"/>
      <c r="M173" s="60"/>
      <c r="N173" s="60"/>
      <c r="O173" s="60"/>
      <c r="P173" s="60"/>
      <c r="Q173" s="60"/>
      <c r="R173" s="60"/>
      <c r="S173" s="60"/>
      <c r="T173" s="60"/>
      <c r="U173" s="60"/>
      <c r="V173" s="60"/>
      <c r="W173" s="60"/>
      <c r="X173" s="60"/>
      <c r="Y173" s="60"/>
    </row>
    <row r="174" spans="1:25" hidden="1" x14ac:dyDescent="0.35">
      <c r="A174" s="34"/>
      <c r="B174" s="474">
        <f t="shared" si="36"/>
        <v>12500000</v>
      </c>
      <c r="C174" s="474">
        <f t="shared" si="30"/>
        <v>2.7586856802595192</v>
      </c>
      <c r="D174" s="60">
        <f t="shared" si="31"/>
        <v>9.8250844744085146</v>
      </c>
      <c r="E174" s="60"/>
      <c r="F174" s="60"/>
      <c r="G174" s="60"/>
      <c r="H174" s="60"/>
      <c r="I174" s="60"/>
      <c r="J174" s="60"/>
      <c r="K174" s="60"/>
      <c r="L174" s="60"/>
      <c r="M174" s="60"/>
      <c r="N174" s="60"/>
      <c r="O174" s="60"/>
      <c r="P174" s="60"/>
      <c r="Q174" s="60"/>
      <c r="R174" s="60"/>
      <c r="S174" s="60"/>
      <c r="T174" s="60"/>
      <c r="U174" s="60"/>
      <c r="V174" s="60"/>
      <c r="W174" s="60"/>
      <c r="X174" s="60"/>
      <c r="Y174" s="60"/>
    </row>
    <row r="175" spans="1:25" hidden="1" x14ac:dyDescent="0.35">
      <c r="A175" s="34"/>
      <c r="B175" s="474">
        <f t="shared" si="36"/>
        <v>12750000</v>
      </c>
      <c r="C175" s="474">
        <f t="shared" si="30"/>
        <v>2.7045938041759996</v>
      </c>
      <c r="D175" s="60">
        <f t="shared" si="31"/>
        <v>9.4435644698274821</v>
      </c>
      <c r="E175" s="60"/>
      <c r="F175" s="60"/>
      <c r="G175" s="60"/>
      <c r="H175" s="60"/>
      <c r="I175" s="60"/>
      <c r="J175" s="60"/>
      <c r="K175" s="60"/>
      <c r="L175" s="60"/>
      <c r="M175" s="60"/>
      <c r="N175" s="60"/>
      <c r="O175" s="60"/>
      <c r="P175" s="60"/>
      <c r="Q175" s="60"/>
      <c r="R175" s="60"/>
      <c r="S175" s="60"/>
      <c r="T175" s="60"/>
      <c r="U175" s="60"/>
      <c r="V175" s="60"/>
      <c r="W175" s="60"/>
      <c r="X175" s="60"/>
      <c r="Y175" s="60"/>
    </row>
    <row r="176" spans="1:25" hidden="1" x14ac:dyDescent="0.35">
      <c r="A176" s="34"/>
      <c r="B176" s="474">
        <f t="shared" si="36"/>
        <v>13000000</v>
      </c>
      <c r="C176" s="474">
        <f t="shared" si="30"/>
        <v>2.6525823848649224</v>
      </c>
      <c r="D176" s="60">
        <f t="shared" si="31"/>
        <v>9.0838428942386393</v>
      </c>
      <c r="E176" s="60"/>
      <c r="F176" s="60"/>
      <c r="G176" s="60"/>
      <c r="H176" s="60"/>
      <c r="I176" s="60"/>
      <c r="J176" s="60"/>
      <c r="K176" s="60"/>
      <c r="L176" s="60"/>
      <c r="M176" s="60"/>
      <c r="N176" s="60"/>
      <c r="O176" s="60"/>
      <c r="P176" s="60"/>
      <c r="Q176" s="60"/>
      <c r="R176" s="60"/>
      <c r="S176" s="60"/>
      <c r="T176" s="60"/>
      <c r="U176" s="60"/>
      <c r="V176" s="60"/>
      <c r="W176" s="60"/>
      <c r="X176" s="60"/>
      <c r="Y176" s="60"/>
    </row>
    <row r="177" spans="1:25" hidden="1" x14ac:dyDescent="0.35">
      <c r="A177" s="34"/>
      <c r="B177" s="474">
        <f t="shared" si="36"/>
        <v>13250000</v>
      </c>
      <c r="C177" s="474">
        <f t="shared" si="30"/>
        <v>2.6025336606221878</v>
      </c>
      <c r="D177" s="60">
        <f t="shared" si="31"/>
        <v>8.7442902050627573</v>
      </c>
      <c r="E177" s="60"/>
      <c r="F177" s="60"/>
      <c r="G177" s="60"/>
      <c r="H177" s="60"/>
      <c r="I177" s="60"/>
      <c r="J177" s="60"/>
      <c r="K177" s="60"/>
      <c r="L177" s="60"/>
      <c r="M177" s="60"/>
      <c r="N177" s="60"/>
      <c r="O177" s="60"/>
      <c r="P177" s="60"/>
      <c r="Q177" s="60"/>
      <c r="R177" s="60"/>
      <c r="S177" s="60"/>
      <c r="T177" s="60"/>
      <c r="U177" s="60"/>
      <c r="V177" s="60"/>
      <c r="W177" s="60"/>
      <c r="X177" s="60"/>
      <c r="Y177" s="60"/>
    </row>
    <row r="178" spans="1:25" hidden="1" x14ac:dyDescent="0.35">
      <c r="A178" s="34"/>
      <c r="B178" s="474">
        <f t="shared" si="36"/>
        <v>13500000</v>
      </c>
      <c r="C178" s="474">
        <f t="shared" si="30"/>
        <v>2.5543385928328886</v>
      </c>
      <c r="D178" s="60">
        <f t="shared" si="31"/>
        <v>8.4234263326547598</v>
      </c>
      <c r="E178" s="60"/>
      <c r="F178" s="60"/>
      <c r="G178" s="60"/>
      <c r="H178" s="60"/>
      <c r="I178" s="60"/>
      <c r="J178" s="60"/>
      <c r="K178" s="60"/>
      <c r="L178" s="60"/>
      <c r="M178" s="60"/>
      <c r="N178" s="60"/>
      <c r="O178" s="60"/>
      <c r="P178" s="60"/>
      <c r="Q178" s="60"/>
      <c r="R178" s="60"/>
      <c r="S178" s="60"/>
      <c r="T178" s="60"/>
      <c r="U178" s="60"/>
      <c r="V178" s="60"/>
      <c r="W178" s="60"/>
      <c r="X178" s="60"/>
      <c r="Y178" s="60"/>
    </row>
    <row r="179" spans="1:25" hidden="1" x14ac:dyDescent="0.35">
      <c r="A179" s="34"/>
      <c r="B179" s="474">
        <f t="shared" si="36"/>
        <v>13750000</v>
      </c>
      <c r="C179" s="474">
        <f t="shared" si="30"/>
        <v>2.5078960729631996</v>
      </c>
      <c r="D179" s="60">
        <f t="shared" si="31"/>
        <v>8.1199045243045536</v>
      </c>
      <c r="E179" s="60"/>
      <c r="F179" s="60"/>
      <c r="G179" s="60"/>
      <c r="H179" s="60"/>
      <c r="I179" s="60"/>
      <c r="J179" s="60"/>
      <c r="K179" s="60"/>
      <c r="L179" s="60"/>
      <c r="M179" s="60"/>
      <c r="N179" s="60"/>
      <c r="O179" s="60"/>
      <c r="P179" s="60"/>
      <c r="Q179" s="60"/>
      <c r="R179" s="60"/>
      <c r="S179" s="60"/>
      <c r="T179" s="60"/>
      <c r="U179" s="60"/>
      <c r="V179" s="60"/>
      <c r="W179" s="60"/>
      <c r="X179" s="60"/>
      <c r="Y179" s="60"/>
    </row>
    <row r="180" spans="1:25" hidden="1" x14ac:dyDescent="0.35">
      <c r="A180" s="34"/>
      <c r="B180" s="474">
        <f t="shared" si="36"/>
        <v>14000000</v>
      </c>
      <c r="C180" s="474">
        <f t="shared" si="30"/>
        <v>2.4631122145174285</v>
      </c>
      <c r="D180" s="60">
        <f t="shared" si="31"/>
        <v>7.8324971894200504</v>
      </c>
      <c r="E180" s="60"/>
      <c r="F180" s="60"/>
      <c r="G180" s="60"/>
      <c r="H180" s="60"/>
      <c r="I180" s="60"/>
      <c r="J180" s="60"/>
      <c r="K180" s="60"/>
      <c r="L180" s="60"/>
      <c r="M180" s="60"/>
      <c r="N180" s="60"/>
      <c r="O180" s="60"/>
      <c r="P180" s="60"/>
      <c r="Q180" s="60"/>
      <c r="R180" s="60"/>
      <c r="S180" s="60"/>
      <c r="T180" s="60"/>
      <c r="U180" s="60"/>
      <c r="V180" s="60"/>
      <c r="W180" s="60"/>
      <c r="X180" s="60"/>
      <c r="Y180" s="60"/>
    </row>
    <row r="181" spans="1:25" hidden="1" x14ac:dyDescent="0.35">
      <c r="A181" s="34"/>
      <c r="B181" s="474">
        <f t="shared" si="36"/>
        <v>14250000</v>
      </c>
      <c r="C181" s="474">
        <f t="shared" si="30"/>
        <v>2.4198997195258944</v>
      </c>
      <c r="D181" s="60">
        <f t="shared" si="31"/>
        <v>7.560083467535021</v>
      </c>
      <c r="E181" s="60"/>
      <c r="F181" s="60"/>
      <c r="G181" s="60"/>
      <c r="H181" s="60"/>
      <c r="I181" s="60"/>
      <c r="J181" s="60"/>
      <c r="K181" s="60"/>
      <c r="L181" s="60"/>
      <c r="M181" s="60"/>
      <c r="N181" s="60"/>
      <c r="O181" s="60"/>
      <c r="P181" s="60"/>
      <c r="Q181" s="60"/>
      <c r="R181" s="60"/>
      <c r="S181" s="60"/>
      <c r="T181" s="60"/>
      <c r="U181" s="60"/>
      <c r="V181" s="60"/>
      <c r="W181" s="60"/>
      <c r="X181" s="60"/>
      <c r="Y181" s="60"/>
    </row>
    <row r="182" spans="1:25" hidden="1" x14ac:dyDescent="0.35">
      <c r="A182" s="34"/>
      <c r="B182" s="474">
        <f t="shared" si="36"/>
        <v>14500000</v>
      </c>
      <c r="C182" s="474">
        <f t="shared" si="30"/>
        <v>2.3781773105685513</v>
      </c>
      <c r="D182" s="60">
        <f t="shared" si="31"/>
        <v>7.3016382835972884</v>
      </c>
      <c r="E182" s="60"/>
      <c r="F182" s="60"/>
      <c r="G182" s="60"/>
      <c r="H182" s="60"/>
      <c r="I182" s="60"/>
      <c r="J182" s="60"/>
      <c r="K182" s="60"/>
      <c r="L182" s="60"/>
      <c r="M182" s="60"/>
      <c r="N182" s="60"/>
      <c r="O182" s="60"/>
      <c r="P182" s="60"/>
      <c r="Q182" s="60"/>
      <c r="R182" s="60"/>
      <c r="S182" s="60"/>
      <c r="T182" s="60"/>
      <c r="U182" s="60"/>
      <c r="V182" s="60"/>
      <c r="W182" s="60"/>
      <c r="X182" s="60"/>
      <c r="Y182" s="60"/>
    </row>
    <row r="183" spans="1:25" hidden="1" x14ac:dyDescent="0.35">
      <c r="A183" s="34"/>
      <c r="B183" s="474">
        <f t="shared" si="36"/>
        <v>14750000</v>
      </c>
      <c r="C183" s="474">
        <f t="shared" si="30"/>
        <v>2.3378692205589147</v>
      </c>
      <c r="D183" s="60">
        <f t="shared" si="31"/>
        <v>7.0562226906122607</v>
      </c>
      <c r="E183" s="60"/>
      <c r="F183" s="60"/>
      <c r="G183" s="60"/>
      <c r="H183" s="60"/>
      <c r="I183" s="60"/>
      <c r="J183" s="60"/>
      <c r="K183" s="60"/>
      <c r="L183" s="60"/>
      <c r="M183" s="60"/>
      <c r="N183" s="60"/>
      <c r="O183" s="60"/>
      <c r="P183" s="60"/>
      <c r="Q183" s="60"/>
      <c r="R183" s="60"/>
      <c r="S183" s="60"/>
      <c r="T183" s="60"/>
      <c r="U183" s="60"/>
      <c r="V183" s="60"/>
      <c r="W183" s="60"/>
      <c r="X183" s="60"/>
      <c r="Y183" s="60"/>
    </row>
    <row r="184" spans="1:25" hidden="1" x14ac:dyDescent="0.35">
      <c r="A184" s="34"/>
      <c r="B184" s="474">
        <f t="shared" si="36"/>
        <v>15000000</v>
      </c>
      <c r="C184" s="474">
        <f t="shared" si="30"/>
        <v>2.2989047335495996</v>
      </c>
      <c r="D184" s="60">
        <f t="shared" si="31"/>
        <v>6.8229753294503572</v>
      </c>
      <c r="E184" s="60"/>
      <c r="F184" s="60"/>
      <c r="G184" s="60"/>
      <c r="H184" s="60"/>
      <c r="I184" s="60"/>
      <c r="J184" s="60"/>
      <c r="K184" s="60"/>
      <c r="L184" s="60"/>
      <c r="M184" s="60"/>
      <c r="N184" s="60"/>
      <c r="O184" s="60"/>
      <c r="P184" s="60"/>
      <c r="Q184" s="60"/>
      <c r="R184" s="60"/>
      <c r="S184" s="60"/>
      <c r="T184" s="60"/>
      <c r="U184" s="60"/>
      <c r="V184" s="60"/>
      <c r="W184" s="60"/>
      <c r="X184" s="60"/>
      <c r="Y184" s="60"/>
    </row>
    <row r="185" spans="1:25" hidden="1" x14ac:dyDescent="0.35">
      <c r="A185" s="34"/>
      <c r="B185" s="474">
        <f t="shared" si="36"/>
        <v>15250000</v>
      </c>
      <c r="C185" s="474">
        <f t="shared" si="30"/>
        <v>2.261217770704524</v>
      </c>
      <c r="D185" s="60">
        <f t="shared" si="31"/>
        <v>6.6011048605270854</v>
      </c>
      <c r="E185" s="60"/>
      <c r="F185" s="60"/>
      <c r="G185" s="60"/>
      <c r="H185" s="60"/>
      <c r="I185" s="60"/>
      <c r="J185" s="60"/>
      <c r="K185" s="60"/>
      <c r="L185" s="60"/>
      <c r="M185" s="60"/>
      <c r="N185" s="60"/>
      <c r="O185" s="60"/>
      <c r="P185" s="60"/>
      <c r="Q185" s="60"/>
      <c r="R185" s="60"/>
      <c r="S185" s="60"/>
      <c r="T185" s="60"/>
      <c r="U185" s="60"/>
      <c r="V185" s="60"/>
      <c r="W185" s="60"/>
      <c r="X185" s="60"/>
      <c r="Y185" s="60"/>
    </row>
    <row r="186" spans="1:25" hidden="1" x14ac:dyDescent="0.35">
      <c r="A186" s="34"/>
      <c r="B186" s="474">
        <f t="shared" si="36"/>
        <v>15500000</v>
      </c>
      <c r="C186" s="474">
        <f t="shared" si="30"/>
        <v>2.2247465163383224</v>
      </c>
      <c r="D186" s="60">
        <f t="shared" si="31"/>
        <v>6.3898832429816022</v>
      </c>
      <c r="E186" s="60"/>
      <c r="F186" s="60"/>
      <c r="G186" s="60"/>
      <c r="H186" s="60"/>
      <c r="I186" s="60"/>
      <c r="J186" s="60"/>
      <c r="K186" s="60"/>
      <c r="L186" s="60"/>
      <c r="M186" s="60"/>
      <c r="N186" s="60"/>
      <c r="O186" s="60"/>
      <c r="P186" s="60"/>
      <c r="Q186" s="60"/>
      <c r="R186" s="60"/>
      <c r="S186" s="60"/>
      <c r="T186" s="60"/>
      <c r="U186" s="60"/>
      <c r="V186" s="60"/>
      <c r="W186" s="60"/>
      <c r="X186" s="60"/>
      <c r="Y186" s="60"/>
    </row>
    <row r="187" spans="1:25" hidden="1" x14ac:dyDescent="0.35">
      <c r="A187" s="34"/>
      <c r="B187" s="474">
        <f t="shared" si="36"/>
        <v>15750000</v>
      </c>
      <c r="C187" s="474">
        <f t="shared" si="30"/>
        <v>2.1894330795710473</v>
      </c>
      <c r="D187" s="60">
        <f t="shared" si="31"/>
        <v>6.1886397546034981</v>
      </c>
      <c r="E187" s="60"/>
      <c r="F187" s="60"/>
      <c r="G187" s="60"/>
      <c r="H187" s="60"/>
      <c r="I187" s="60"/>
      <c r="J187" s="60"/>
      <c r="K187" s="60"/>
      <c r="L187" s="60"/>
      <c r="M187" s="60"/>
      <c r="N187" s="60"/>
      <c r="O187" s="60"/>
      <c r="P187" s="60"/>
      <c r="Q187" s="60"/>
      <c r="R187" s="60"/>
      <c r="S187" s="60"/>
      <c r="T187" s="60"/>
      <c r="U187" s="60"/>
      <c r="V187" s="60"/>
      <c r="W187" s="60"/>
      <c r="X187" s="60"/>
      <c r="Y187" s="60"/>
    </row>
    <row r="188" spans="1:25" hidden="1" x14ac:dyDescent="0.35">
      <c r="A188" s="34"/>
      <c r="B188" s="474">
        <f t="shared" si="36"/>
        <v>16000000</v>
      </c>
      <c r="C188" s="474">
        <f t="shared" si="30"/>
        <v>2.1552231877027497</v>
      </c>
      <c r="D188" s="60">
        <f t="shared" si="31"/>
        <v>5.9967556606497281</v>
      </c>
      <c r="E188" s="60"/>
      <c r="F188" s="60"/>
      <c r="G188" s="60"/>
      <c r="H188" s="60"/>
      <c r="I188" s="60"/>
      <c r="J188" s="60"/>
      <c r="K188" s="60"/>
      <c r="L188" s="60"/>
      <c r="M188" s="60"/>
      <c r="N188" s="60"/>
      <c r="O188" s="60"/>
      <c r="P188" s="60"/>
      <c r="Q188" s="60"/>
      <c r="R188" s="60"/>
      <c r="S188" s="60"/>
      <c r="T188" s="60"/>
      <c r="U188" s="60"/>
      <c r="V188" s="60"/>
      <c r="W188" s="60"/>
      <c r="X188" s="60"/>
      <c r="Y188" s="60"/>
    </row>
    <row r="189" spans="1:25" hidden="1" x14ac:dyDescent="0.35">
      <c r="A189" s="34"/>
      <c r="B189" s="474">
        <f t="shared" si="36"/>
        <v>16250000</v>
      </c>
      <c r="C189" s="474">
        <f t="shared" si="30"/>
        <v>2.1220659078919382</v>
      </c>
      <c r="D189" s="60">
        <f t="shared" si="31"/>
        <v>5.813659452312729</v>
      </c>
      <c r="E189" s="60"/>
      <c r="F189" s="60"/>
      <c r="G189" s="60"/>
      <c r="H189" s="60"/>
      <c r="I189" s="60"/>
      <c r="J189" s="60"/>
      <c r="K189" s="60"/>
      <c r="L189" s="60"/>
      <c r="M189" s="60"/>
      <c r="N189" s="60"/>
      <c r="O189" s="60"/>
      <c r="P189" s="60"/>
      <c r="Q189" s="60"/>
      <c r="R189" s="60"/>
      <c r="S189" s="60"/>
      <c r="T189" s="60"/>
      <c r="U189" s="60"/>
      <c r="V189" s="60"/>
      <c r="W189" s="60"/>
      <c r="X189" s="60"/>
      <c r="Y189" s="60"/>
    </row>
    <row r="190" spans="1:25" hidden="1" x14ac:dyDescent="0.35">
      <c r="A190" s="34"/>
      <c r="B190" s="474">
        <f t="shared" si="36"/>
        <v>16500000</v>
      </c>
      <c r="C190" s="474">
        <f t="shared" ref="C190:C203" si="37">1.3/(2*PI()*C$8*0.001*$B190*10^-6)</f>
        <v>2.0899133941359995</v>
      </c>
      <c r="D190" s="60">
        <f t="shared" ref="D190:D203" si="38">2/((2*PI()*$B190*10^-6)^2*33)*10^6</f>
        <v>5.6388225863226076</v>
      </c>
      <c r="E190" s="60"/>
      <c r="F190" s="60"/>
      <c r="G190" s="60"/>
      <c r="H190" s="60"/>
      <c r="I190" s="60"/>
      <c r="J190" s="60"/>
      <c r="K190" s="60"/>
      <c r="L190" s="60"/>
      <c r="M190" s="60"/>
      <c r="N190" s="60"/>
      <c r="O190" s="60"/>
      <c r="P190" s="60"/>
      <c r="Q190" s="60"/>
      <c r="R190" s="60"/>
      <c r="S190" s="60"/>
      <c r="T190" s="60"/>
      <c r="U190" s="60"/>
      <c r="V190" s="60"/>
      <c r="W190" s="60"/>
      <c r="X190" s="60"/>
      <c r="Y190" s="60"/>
    </row>
    <row r="191" spans="1:25" hidden="1" x14ac:dyDescent="0.35">
      <c r="A191" s="34"/>
      <c r="B191" s="474">
        <f t="shared" si="36"/>
        <v>16750000</v>
      </c>
      <c r="C191" s="474">
        <f t="shared" si="37"/>
        <v>2.0587206569100895</v>
      </c>
      <c r="D191" s="60">
        <f t="shared" si="38"/>
        <v>5.4717556663001288</v>
      </c>
      <c r="E191" s="60"/>
      <c r="F191" s="60"/>
      <c r="G191" s="60"/>
      <c r="H191" s="60"/>
      <c r="I191" s="60"/>
      <c r="J191" s="60"/>
      <c r="K191" s="60"/>
      <c r="L191" s="60"/>
      <c r="M191" s="60"/>
      <c r="N191" s="60"/>
      <c r="O191" s="60"/>
      <c r="P191" s="60"/>
      <c r="Q191" s="60"/>
      <c r="R191" s="60"/>
      <c r="S191" s="60"/>
      <c r="T191" s="60"/>
      <c r="U191" s="60"/>
      <c r="V191" s="60"/>
      <c r="W191" s="60"/>
      <c r="X191" s="60"/>
      <c r="Y191" s="60"/>
    </row>
    <row r="192" spans="1:25" hidden="1" x14ac:dyDescent="0.35">
      <c r="A192" s="34"/>
      <c r="B192" s="474">
        <f t="shared" ref="B192:B203" si="39">B191+B$125</f>
        <v>17000000</v>
      </c>
      <c r="C192" s="474">
        <f t="shared" si="37"/>
        <v>2.0284453531319997</v>
      </c>
      <c r="D192" s="60">
        <f t="shared" si="38"/>
        <v>5.3120050142779585</v>
      </c>
      <c r="E192" s="60"/>
      <c r="F192" s="60"/>
      <c r="G192" s="60"/>
      <c r="H192" s="60"/>
      <c r="I192" s="60"/>
      <c r="J192" s="60"/>
      <c r="K192" s="60"/>
      <c r="L192" s="60"/>
      <c r="M192" s="60"/>
      <c r="N192" s="60"/>
      <c r="O192" s="60"/>
      <c r="P192" s="60"/>
      <c r="Q192" s="60"/>
      <c r="R192" s="60"/>
      <c r="S192" s="60"/>
      <c r="T192" s="60"/>
      <c r="U192" s="60"/>
      <c r="V192" s="60"/>
      <c r="W192" s="60"/>
      <c r="X192" s="60"/>
      <c r="Y192" s="60"/>
    </row>
    <row r="193" spans="1:25" hidden="1" x14ac:dyDescent="0.35">
      <c r="A193" s="34"/>
      <c r="B193" s="474">
        <f t="shared" si="39"/>
        <v>17250000</v>
      </c>
      <c r="C193" s="474">
        <f t="shared" si="37"/>
        <v>1.9990475943909563</v>
      </c>
      <c r="D193" s="60">
        <f t="shared" si="38"/>
        <v>5.1591495874860911</v>
      </c>
      <c r="E193" s="60"/>
      <c r="F193" s="60"/>
      <c r="G193" s="60"/>
      <c r="H193" s="60"/>
      <c r="I193" s="60"/>
      <c r="J193" s="60"/>
      <c r="K193" s="60"/>
      <c r="L193" s="60"/>
      <c r="M193" s="60"/>
      <c r="N193" s="60"/>
      <c r="O193" s="60"/>
      <c r="P193" s="60"/>
      <c r="Q193" s="60"/>
      <c r="R193" s="60"/>
      <c r="S193" s="60"/>
      <c r="T193" s="60"/>
      <c r="U193" s="60"/>
      <c r="V193" s="60"/>
      <c r="W193" s="60"/>
      <c r="X193" s="60"/>
      <c r="Y193" s="60"/>
    </row>
    <row r="194" spans="1:25" hidden="1" x14ac:dyDescent="0.35">
      <c r="A194" s="34"/>
      <c r="B194" s="474">
        <f t="shared" si="39"/>
        <v>17500000</v>
      </c>
      <c r="C194" s="474">
        <f t="shared" si="37"/>
        <v>1.9704897716139422</v>
      </c>
      <c r="D194" s="60">
        <f t="shared" si="38"/>
        <v>5.0127982012288328</v>
      </c>
      <c r="E194" s="60"/>
      <c r="F194" s="60"/>
      <c r="G194" s="60"/>
      <c r="H194" s="60"/>
      <c r="I194" s="60"/>
      <c r="J194" s="60"/>
      <c r="K194" s="60"/>
      <c r="L194" s="60"/>
      <c r="M194" s="60"/>
      <c r="N194" s="60"/>
      <c r="O194" s="60"/>
      <c r="P194" s="60"/>
      <c r="Q194" s="60"/>
      <c r="R194" s="60"/>
      <c r="S194" s="60"/>
      <c r="T194" s="60"/>
      <c r="U194" s="60"/>
      <c r="V194" s="60"/>
      <c r="W194" s="60"/>
      <c r="X194" s="60"/>
      <c r="Y194" s="60"/>
    </row>
    <row r="195" spans="1:25" hidden="1" x14ac:dyDescent="0.35">
      <c r="A195" s="34"/>
      <c r="B195" s="474">
        <f t="shared" si="39"/>
        <v>17750000</v>
      </c>
      <c r="C195" s="474">
        <f t="shared" si="37"/>
        <v>1.9427363945489573</v>
      </c>
      <c r="D195" s="60">
        <f t="shared" si="38"/>
        <v>4.8725870236106497</v>
      </c>
      <c r="E195" s="60"/>
      <c r="F195" s="60"/>
      <c r="G195" s="60"/>
      <c r="H195" s="60"/>
      <c r="I195" s="60"/>
      <c r="J195" s="60"/>
      <c r="K195" s="60"/>
      <c r="L195" s="60"/>
      <c r="M195" s="60"/>
      <c r="N195" s="60"/>
      <c r="O195" s="60"/>
      <c r="P195" s="60"/>
      <c r="Q195" s="60"/>
      <c r="R195" s="60"/>
      <c r="S195" s="60"/>
      <c r="T195" s="60"/>
      <c r="U195" s="60"/>
      <c r="V195" s="60"/>
      <c r="W195" s="60"/>
      <c r="X195" s="60"/>
      <c r="Y195" s="60"/>
    </row>
    <row r="196" spans="1:25" hidden="1" x14ac:dyDescent="0.35">
      <c r="A196" s="34"/>
      <c r="B196" s="474">
        <f t="shared" si="39"/>
        <v>18000000</v>
      </c>
      <c r="C196" s="474">
        <f t="shared" si="37"/>
        <v>1.9157539446246663</v>
      </c>
      <c r="D196" s="60">
        <f t="shared" si="38"/>
        <v>4.738177312118304</v>
      </c>
      <c r="E196" s="60"/>
      <c r="F196" s="60"/>
      <c r="G196" s="60"/>
      <c r="H196" s="60"/>
      <c r="I196" s="60"/>
      <c r="J196" s="60"/>
      <c r="K196" s="60"/>
      <c r="L196" s="60"/>
      <c r="M196" s="60"/>
      <c r="N196" s="60"/>
      <c r="O196" s="60"/>
      <c r="P196" s="60"/>
      <c r="Q196" s="60"/>
      <c r="R196" s="60"/>
      <c r="S196" s="60"/>
      <c r="T196" s="60"/>
      <c r="U196" s="60"/>
      <c r="V196" s="60"/>
      <c r="W196" s="60"/>
      <c r="X196" s="60"/>
      <c r="Y196" s="60"/>
    </row>
    <row r="197" spans="1:25" hidden="1" x14ac:dyDescent="0.35">
      <c r="A197" s="34"/>
      <c r="B197" s="474">
        <f t="shared" si="39"/>
        <v>18250000</v>
      </c>
      <c r="C197" s="474">
        <f t="shared" si="37"/>
        <v>1.8895107399037805</v>
      </c>
      <c r="D197" s="60">
        <f t="shared" si="38"/>
        <v>4.6092533657386534</v>
      </c>
      <c r="E197" s="60"/>
      <c r="F197" s="60"/>
      <c r="G197" s="60"/>
      <c r="H197" s="60"/>
      <c r="I197" s="60"/>
      <c r="J197" s="60"/>
      <c r="K197" s="60"/>
      <c r="L197" s="60"/>
      <c r="M197" s="60"/>
      <c r="N197" s="60"/>
      <c r="O197" s="60"/>
      <c r="P197" s="60"/>
      <c r="Q197" s="60"/>
      <c r="R197" s="60"/>
      <c r="S197" s="60"/>
      <c r="T197" s="60"/>
      <c r="U197" s="60"/>
      <c r="V197" s="60"/>
      <c r="W197" s="60"/>
      <c r="X197" s="60"/>
      <c r="Y197" s="60"/>
    </row>
    <row r="198" spans="1:25" hidden="1" x14ac:dyDescent="0.35">
      <c r="A198" s="34"/>
      <c r="B198" s="474">
        <f t="shared" si="39"/>
        <v>18500000</v>
      </c>
      <c r="C198" s="474">
        <f t="shared" si="37"/>
        <v>1.8639768109861619</v>
      </c>
      <c r="D198" s="60">
        <f t="shared" si="38"/>
        <v>4.4855206694706506</v>
      </c>
      <c r="E198" s="60"/>
      <c r="F198" s="60"/>
      <c r="G198" s="60"/>
      <c r="H198" s="60"/>
      <c r="I198" s="60"/>
      <c r="J198" s="60"/>
      <c r="K198" s="60"/>
      <c r="L198" s="60"/>
      <c r="M198" s="60"/>
      <c r="N198" s="60"/>
      <c r="O198" s="60"/>
      <c r="P198" s="60"/>
      <c r="Q198" s="60"/>
      <c r="R198" s="60"/>
      <c r="S198" s="60"/>
      <c r="T198" s="60"/>
      <c r="U198" s="60"/>
      <c r="V198" s="60"/>
      <c r="W198" s="60"/>
      <c r="X198" s="60"/>
      <c r="Y198" s="60"/>
    </row>
    <row r="199" spans="1:25" hidden="1" x14ac:dyDescent="0.35">
      <c r="A199" s="34"/>
      <c r="B199" s="474">
        <f t="shared" si="39"/>
        <v>18750000</v>
      </c>
      <c r="C199" s="474">
        <f t="shared" si="37"/>
        <v>1.8391237868396799</v>
      </c>
      <c r="D199" s="60">
        <f t="shared" si="38"/>
        <v>4.3667042108482281</v>
      </c>
      <c r="E199" s="60"/>
      <c r="F199" s="60"/>
      <c r="G199" s="60"/>
      <c r="H199" s="60"/>
      <c r="I199" s="60"/>
      <c r="J199" s="60"/>
      <c r="K199" s="60"/>
      <c r="L199" s="60"/>
      <c r="M199" s="60"/>
      <c r="N199" s="60"/>
      <c r="O199" s="60"/>
      <c r="P199" s="60"/>
      <c r="Q199" s="60"/>
      <c r="R199" s="60"/>
      <c r="S199" s="60"/>
      <c r="T199" s="60"/>
      <c r="U199" s="60"/>
      <c r="V199" s="60"/>
      <c r="W199" s="60"/>
      <c r="X199" s="60"/>
      <c r="Y199" s="60"/>
    </row>
    <row r="200" spans="1:25" hidden="1" x14ac:dyDescent="0.35">
      <c r="A200" s="34"/>
      <c r="B200" s="474">
        <f t="shared" si="39"/>
        <v>19000000</v>
      </c>
      <c r="C200" s="474">
        <f t="shared" si="37"/>
        <v>1.8149247896444207</v>
      </c>
      <c r="D200" s="60">
        <f t="shared" si="38"/>
        <v>4.2525469504884486</v>
      </c>
      <c r="E200" s="60"/>
      <c r="F200" s="60"/>
      <c r="G200" s="60"/>
      <c r="H200" s="60"/>
      <c r="I200" s="60"/>
      <c r="J200" s="60"/>
      <c r="K200" s="60"/>
      <c r="L200" s="60"/>
      <c r="M200" s="60"/>
      <c r="N200" s="60"/>
      <c r="O200" s="60"/>
      <c r="P200" s="60"/>
      <c r="Q200" s="60"/>
      <c r="R200" s="60"/>
      <c r="S200" s="60"/>
      <c r="T200" s="60"/>
      <c r="U200" s="60"/>
      <c r="V200" s="60"/>
      <c r="W200" s="60"/>
      <c r="X200" s="60"/>
      <c r="Y200" s="60"/>
    </row>
    <row r="201" spans="1:25" hidden="1" x14ac:dyDescent="0.35">
      <c r="A201" s="34"/>
      <c r="B201" s="474">
        <f t="shared" si="39"/>
        <v>19250000</v>
      </c>
      <c r="C201" s="474">
        <f t="shared" si="37"/>
        <v>1.7913543378308565</v>
      </c>
      <c r="D201" s="60">
        <f t="shared" si="38"/>
        <v>4.1428084307676301</v>
      </c>
      <c r="E201" s="60"/>
      <c r="F201" s="60"/>
      <c r="G201" s="60"/>
      <c r="H201" s="60"/>
      <c r="I201" s="60"/>
      <c r="J201" s="60"/>
      <c r="K201" s="60"/>
      <c r="L201" s="60"/>
      <c r="M201" s="60"/>
      <c r="N201" s="60"/>
      <c r="O201" s="60"/>
      <c r="P201" s="60"/>
      <c r="Q201" s="60"/>
      <c r="R201" s="60"/>
      <c r="S201" s="60"/>
      <c r="T201" s="60"/>
      <c r="U201" s="60"/>
      <c r="V201" s="60"/>
      <c r="W201" s="60"/>
      <c r="X201" s="60"/>
      <c r="Y201" s="60"/>
    </row>
    <row r="202" spans="1:25" hidden="1" x14ac:dyDescent="0.35">
      <c r="A202" s="34"/>
      <c r="B202" s="474">
        <f t="shared" si="39"/>
        <v>19500000</v>
      </c>
      <c r="C202" s="474">
        <f t="shared" si="37"/>
        <v>1.7683882565766149</v>
      </c>
      <c r="D202" s="60">
        <f t="shared" si="38"/>
        <v>4.0372635085505069</v>
      </c>
      <c r="E202" s="60"/>
      <c r="F202" s="60"/>
      <c r="G202" s="60"/>
      <c r="H202" s="60"/>
      <c r="I202" s="60"/>
      <c r="J202" s="60"/>
      <c r="K202" s="60"/>
      <c r="L202" s="60"/>
      <c r="M202" s="60"/>
      <c r="N202" s="60"/>
      <c r="O202" s="60"/>
      <c r="P202" s="60"/>
      <c r="Q202" s="60"/>
      <c r="R202" s="60"/>
      <c r="S202" s="60"/>
      <c r="T202" s="60"/>
      <c r="U202" s="60"/>
      <c r="V202" s="60"/>
      <c r="W202" s="60"/>
      <c r="X202" s="60"/>
      <c r="Y202" s="60"/>
    </row>
    <row r="203" spans="1:25" hidden="1" x14ac:dyDescent="0.35">
      <c r="A203" s="46"/>
      <c r="B203" s="474">
        <f t="shared" si="39"/>
        <v>19750000</v>
      </c>
      <c r="C203" s="474">
        <f t="shared" si="37"/>
        <v>1.7460035951009616</v>
      </c>
      <c r="D203" s="60">
        <f t="shared" si="38"/>
        <v>3.9357011994906719</v>
      </c>
      <c r="E203" s="60"/>
      <c r="F203" s="60"/>
      <c r="G203" s="60"/>
      <c r="H203" s="60"/>
      <c r="I203" s="60"/>
      <c r="J203" s="60"/>
      <c r="K203" s="60"/>
      <c r="L203" s="60"/>
      <c r="M203" s="60"/>
      <c r="N203" s="60"/>
      <c r="O203" s="60"/>
      <c r="P203" s="60"/>
      <c r="Q203" s="60"/>
      <c r="R203" s="60"/>
      <c r="S203" s="60"/>
      <c r="T203" s="60"/>
      <c r="U203" s="60"/>
      <c r="V203" s="60"/>
      <c r="W203" s="60"/>
      <c r="X203" s="60"/>
      <c r="Y203" s="60"/>
    </row>
    <row r="204" spans="1:25" x14ac:dyDescent="0.35">
      <c r="A204" s="46"/>
      <c r="B204" s="46"/>
      <c r="C204" s="46"/>
      <c r="D204" s="46"/>
      <c r="E204" s="46"/>
      <c r="F204" s="46"/>
      <c r="G204" s="46"/>
      <c r="H204" s="46"/>
      <c r="I204" s="46"/>
      <c r="J204" s="46"/>
      <c r="K204" s="46"/>
      <c r="L204" s="46"/>
      <c r="M204" s="46"/>
      <c r="N204" s="46"/>
      <c r="O204" s="46"/>
      <c r="P204" s="46"/>
      <c r="Q204" s="46"/>
      <c r="R204" s="46"/>
      <c r="S204" s="46"/>
      <c r="T204" s="46"/>
      <c r="U204" s="46"/>
      <c r="V204" s="46"/>
      <c r="W204" s="46"/>
    </row>
    <row r="205" spans="1:25" x14ac:dyDescent="0.35">
      <c r="A205" s="46"/>
      <c r="B205" s="46"/>
      <c r="C205" s="46"/>
      <c r="D205" s="46"/>
      <c r="E205" s="46"/>
      <c r="F205" s="46"/>
      <c r="G205" s="46"/>
      <c r="H205" s="46"/>
      <c r="I205" s="46"/>
      <c r="J205" s="46"/>
      <c r="K205" s="46"/>
      <c r="L205" s="46"/>
      <c r="M205" s="46"/>
      <c r="N205" s="46"/>
      <c r="O205" s="46"/>
      <c r="P205" s="46"/>
      <c r="Q205" s="46"/>
      <c r="R205" s="46"/>
      <c r="S205" s="46"/>
      <c r="T205" s="46"/>
      <c r="U205" s="46"/>
      <c r="V205" s="46"/>
      <c r="W205" s="46"/>
    </row>
    <row r="206" spans="1:25" x14ac:dyDescent="0.35">
      <c r="A206" s="46"/>
      <c r="B206" s="46"/>
      <c r="C206" s="46"/>
      <c r="D206" s="46"/>
      <c r="E206" s="46"/>
      <c r="F206" s="46"/>
      <c r="G206" s="46"/>
      <c r="H206" s="46"/>
      <c r="I206" s="46"/>
      <c r="J206" s="46"/>
      <c r="K206" s="46"/>
      <c r="L206" s="46"/>
      <c r="M206" s="46"/>
      <c r="N206" s="46"/>
      <c r="O206" s="46"/>
      <c r="P206" s="46"/>
      <c r="Q206" s="46"/>
      <c r="R206" s="46"/>
      <c r="S206" s="46"/>
      <c r="T206" s="46"/>
      <c r="U206" s="46"/>
      <c r="V206" s="46"/>
      <c r="W206" s="46"/>
    </row>
    <row r="207" spans="1:25" x14ac:dyDescent="0.35">
      <c r="B207" s="46"/>
      <c r="C207" s="46"/>
      <c r="D207" s="46"/>
      <c r="E207" s="46"/>
      <c r="F207" s="46"/>
      <c r="G207" s="46"/>
      <c r="H207" s="46"/>
      <c r="I207" s="46"/>
      <c r="J207" s="46"/>
      <c r="K207" s="46"/>
      <c r="L207" s="46"/>
      <c r="M207" s="46"/>
      <c r="N207" s="46"/>
      <c r="O207" s="46"/>
      <c r="P207" s="46"/>
      <c r="Q207" s="46"/>
      <c r="R207" s="46"/>
      <c r="S207" s="46"/>
      <c r="T207" s="46"/>
      <c r="U207" s="46"/>
      <c r="V207" s="46"/>
      <c r="W207" s="46"/>
    </row>
    <row r="208" spans="1:25" x14ac:dyDescent="0.35">
      <c r="B208" s="46"/>
      <c r="C208" s="46"/>
      <c r="D208" s="46"/>
      <c r="E208" s="46"/>
      <c r="F208" s="46"/>
      <c r="G208" s="46"/>
      <c r="H208" s="46"/>
      <c r="I208" s="46"/>
      <c r="J208" s="46"/>
      <c r="K208" s="46"/>
      <c r="L208" s="46"/>
      <c r="M208" s="46"/>
      <c r="N208" s="46"/>
      <c r="O208" s="46"/>
      <c r="P208" s="46"/>
      <c r="Q208" s="46"/>
      <c r="R208" s="46"/>
      <c r="S208" s="46"/>
      <c r="T208" s="46"/>
      <c r="U208" s="46"/>
      <c r="V208" s="46"/>
      <c r="W208" s="46"/>
    </row>
    <row r="209" spans="2:23" x14ac:dyDescent="0.35">
      <c r="B209" s="46"/>
      <c r="C209" s="46"/>
      <c r="D209" s="46"/>
      <c r="E209" s="46"/>
      <c r="F209" s="46"/>
      <c r="G209" s="46"/>
      <c r="H209" s="46"/>
      <c r="I209" s="46"/>
      <c r="J209" s="46"/>
      <c r="K209" s="46"/>
      <c r="L209" s="46"/>
      <c r="M209" s="46"/>
      <c r="N209" s="46"/>
      <c r="O209" s="46"/>
      <c r="P209" s="46"/>
      <c r="Q209" s="46"/>
      <c r="R209" s="46"/>
      <c r="S209" s="46"/>
      <c r="T209" s="46"/>
      <c r="U209" s="46"/>
      <c r="V209" s="46"/>
      <c r="W209" s="46"/>
    </row>
    <row r="210" spans="2:23" x14ac:dyDescent="0.35">
      <c r="B210" s="46"/>
      <c r="C210" s="46"/>
      <c r="D210" s="46"/>
      <c r="E210" s="46"/>
      <c r="F210" s="46"/>
      <c r="G210" s="46"/>
      <c r="H210" s="46"/>
      <c r="I210" s="46"/>
      <c r="J210" s="46"/>
      <c r="K210" s="46"/>
      <c r="L210" s="46"/>
      <c r="M210" s="46"/>
      <c r="N210" s="46"/>
      <c r="O210" s="46"/>
      <c r="P210" s="46"/>
      <c r="Q210" s="46"/>
      <c r="R210" s="46"/>
      <c r="S210" s="46"/>
      <c r="T210" s="46"/>
      <c r="U210" s="46"/>
      <c r="V210" s="46"/>
      <c r="W210" s="46"/>
    </row>
    <row r="211" spans="2:23" x14ac:dyDescent="0.35">
      <c r="B211" s="46"/>
      <c r="C211" s="46"/>
      <c r="D211" s="46"/>
      <c r="E211" s="46"/>
      <c r="F211" s="46"/>
      <c r="G211" s="46"/>
      <c r="H211" s="46"/>
      <c r="I211" s="46"/>
      <c r="J211" s="46"/>
      <c r="K211" s="46"/>
      <c r="L211" s="46"/>
      <c r="M211" s="46"/>
      <c r="N211" s="46"/>
      <c r="O211" s="46"/>
      <c r="P211" s="46"/>
      <c r="Q211" s="46"/>
      <c r="R211" s="46"/>
      <c r="S211" s="46"/>
      <c r="T211" s="46"/>
      <c r="U211" s="46"/>
      <c r="V211" s="46"/>
      <c r="W211" s="46"/>
    </row>
    <row r="212" spans="2:23" x14ac:dyDescent="0.35">
      <c r="B212" s="46"/>
      <c r="C212" s="46"/>
      <c r="D212" s="46"/>
      <c r="E212" s="46"/>
      <c r="F212" s="46"/>
      <c r="G212" s="46"/>
      <c r="H212" s="46"/>
      <c r="I212" s="46"/>
      <c r="J212" s="46"/>
      <c r="K212" s="46"/>
      <c r="L212" s="46"/>
      <c r="M212" s="46"/>
      <c r="N212" s="46"/>
      <c r="O212" s="46"/>
      <c r="P212" s="46"/>
      <c r="Q212" s="46"/>
      <c r="R212" s="46"/>
      <c r="S212" s="46"/>
      <c r="T212" s="46"/>
      <c r="U212" s="46"/>
      <c r="V212" s="46"/>
      <c r="W212" s="46"/>
    </row>
    <row r="213" spans="2:23" x14ac:dyDescent="0.35">
      <c r="B213" s="46"/>
      <c r="C213" s="46"/>
      <c r="D213" s="46"/>
      <c r="E213" s="46"/>
      <c r="F213" s="46"/>
      <c r="G213" s="46"/>
      <c r="H213" s="46"/>
      <c r="I213" s="46"/>
      <c r="J213" s="46"/>
      <c r="K213" s="46"/>
      <c r="L213" s="46"/>
      <c r="M213" s="46"/>
      <c r="N213" s="46"/>
      <c r="O213" s="46"/>
      <c r="P213" s="46"/>
      <c r="Q213" s="46"/>
      <c r="R213" s="46"/>
      <c r="S213" s="46"/>
      <c r="T213" s="46"/>
      <c r="U213" s="46"/>
      <c r="V213" s="46"/>
      <c r="W213" s="46"/>
    </row>
    <row r="214" spans="2:23" x14ac:dyDescent="0.35">
      <c r="B214" s="46"/>
      <c r="C214" s="46"/>
      <c r="D214" s="46"/>
      <c r="E214" s="46"/>
      <c r="F214" s="46"/>
      <c r="G214" s="46"/>
      <c r="H214" s="46"/>
      <c r="I214" s="46"/>
      <c r="J214" s="46"/>
      <c r="K214" s="46"/>
      <c r="L214" s="46"/>
      <c r="M214" s="46"/>
      <c r="N214" s="46"/>
      <c r="O214" s="46"/>
      <c r="P214" s="46"/>
      <c r="Q214" s="46"/>
      <c r="R214" s="46"/>
      <c r="S214" s="46"/>
      <c r="T214" s="46"/>
      <c r="U214" s="46"/>
      <c r="V214" s="46"/>
      <c r="W214" s="46"/>
    </row>
    <row r="215" spans="2:23" x14ac:dyDescent="0.35">
      <c r="B215" s="46"/>
      <c r="C215" s="46"/>
      <c r="D215" s="46"/>
      <c r="E215" s="46"/>
      <c r="F215" s="46"/>
      <c r="G215" s="46"/>
      <c r="H215" s="46"/>
      <c r="I215" s="46"/>
      <c r="J215" s="46"/>
      <c r="K215" s="46"/>
      <c r="L215" s="46"/>
      <c r="M215" s="46"/>
      <c r="N215" s="46"/>
      <c r="O215" s="46"/>
      <c r="P215" s="46"/>
      <c r="Q215" s="46"/>
      <c r="R215" s="46"/>
      <c r="S215" s="46"/>
      <c r="T215" s="46"/>
      <c r="U215" s="46"/>
      <c r="V215" s="46"/>
      <c r="W215" s="46"/>
    </row>
    <row r="216" spans="2:23" x14ac:dyDescent="0.35">
      <c r="B216" s="46"/>
      <c r="C216" s="46"/>
      <c r="D216" s="46"/>
      <c r="E216" s="46"/>
      <c r="F216" s="46"/>
      <c r="G216" s="46"/>
      <c r="H216" s="46"/>
      <c r="I216" s="46"/>
      <c r="J216" s="46"/>
      <c r="K216" s="46"/>
      <c r="L216" s="46"/>
      <c r="M216" s="46"/>
      <c r="N216" s="46"/>
      <c r="O216" s="46"/>
      <c r="P216" s="46"/>
      <c r="Q216" s="46"/>
      <c r="R216" s="46"/>
      <c r="S216" s="46"/>
      <c r="T216" s="46"/>
      <c r="U216" s="46"/>
      <c r="V216" s="46"/>
      <c r="W216" s="46"/>
    </row>
    <row r="217" spans="2:23" x14ac:dyDescent="0.35">
      <c r="B217" s="46"/>
      <c r="C217" s="46"/>
      <c r="D217" s="46"/>
      <c r="E217" s="46"/>
      <c r="F217" s="46"/>
      <c r="G217" s="46"/>
      <c r="H217" s="46"/>
      <c r="I217" s="46"/>
      <c r="J217" s="46"/>
      <c r="K217" s="46"/>
      <c r="L217" s="46"/>
      <c r="M217" s="46"/>
      <c r="N217" s="46"/>
      <c r="O217" s="46"/>
      <c r="P217" s="46"/>
      <c r="Q217" s="46"/>
      <c r="R217" s="46"/>
      <c r="S217" s="46"/>
      <c r="T217" s="46"/>
      <c r="U217" s="46"/>
      <c r="V217" s="46"/>
      <c r="W217" s="46"/>
    </row>
    <row r="218" spans="2:23" x14ac:dyDescent="0.35">
      <c r="B218" s="46"/>
      <c r="C218" s="46"/>
      <c r="D218" s="46"/>
      <c r="E218" s="46"/>
      <c r="F218" s="46"/>
      <c r="G218" s="46"/>
      <c r="H218" s="46"/>
      <c r="I218" s="46"/>
      <c r="J218" s="46"/>
      <c r="K218" s="46"/>
      <c r="L218" s="46"/>
      <c r="M218" s="46"/>
      <c r="N218" s="46"/>
      <c r="O218" s="46"/>
      <c r="P218" s="46"/>
      <c r="Q218" s="46"/>
      <c r="R218" s="46"/>
      <c r="S218" s="46"/>
      <c r="T218" s="46"/>
      <c r="U218" s="46"/>
      <c r="V218" s="46"/>
      <c r="W218" s="46"/>
    </row>
    <row r="219" spans="2:23" x14ac:dyDescent="0.35">
      <c r="B219" s="46"/>
      <c r="C219" s="46"/>
      <c r="D219" s="46"/>
      <c r="E219" s="46"/>
      <c r="F219" s="46"/>
      <c r="G219" s="46"/>
      <c r="H219" s="46"/>
      <c r="I219" s="46"/>
      <c r="J219" s="46"/>
      <c r="K219" s="46"/>
      <c r="L219" s="46"/>
      <c r="M219" s="46"/>
      <c r="N219" s="46"/>
      <c r="O219" s="46"/>
      <c r="P219" s="46"/>
      <c r="Q219" s="46"/>
      <c r="R219" s="46"/>
      <c r="S219" s="46"/>
      <c r="T219" s="46"/>
      <c r="U219" s="46"/>
      <c r="V219" s="46"/>
      <c r="W219" s="46"/>
    </row>
    <row r="220" spans="2:23" x14ac:dyDescent="0.35">
      <c r="B220" s="46"/>
      <c r="C220" s="46"/>
      <c r="D220" s="46"/>
      <c r="E220" s="46"/>
      <c r="F220" s="46"/>
      <c r="G220" s="46"/>
      <c r="H220" s="46"/>
      <c r="I220" s="46"/>
      <c r="J220" s="46"/>
      <c r="K220" s="46"/>
      <c r="L220" s="46"/>
      <c r="M220" s="46"/>
      <c r="N220" s="46"/>
      <c r="O220" s="46"/>
      <c r="P220" s="46"/>
      <c r="Q220" s="46"/>
      <c r="R220" s="46"/>
      <c r="S220" s="46"/>
      <c r="T220" s="46"/>
      <c r="U220" s="46"/>
      <c r="V220" s="46"/>
      <c r="W220" s="46"/>
    </row>
    <row r="221" spans="2:23" x14ac:dyDescent="0.35">
      <c r="B221" s="46"/>
      <c r="C221" s="46"/>
      <c r="D221" s="46"/>
      <c r="E221" s="46"/>
      <c r="F221" s="46"/>
      <c r="G221" s="46"/>
      <c r="H221" s="46"/>
      <c r="I221" s="46"/>
      <c r="J221" s="46"/>
      <c r="K221" s="46"/>
      <c r="L221" s="46"/>
      <c r="M221" s="46"/>
      <c r="N221" s="46"/>
      <c r="O221" s="46"/>
      <c r="P221" s="46"/>
      <c r="Q221" s="46"/>
      <c r="R221" s="46"/>
      <c r="S221" s="46"/>
      <c r="T221" s="46"/>
      <c r="U221" s="46"/>
      <c r="V221" s="46"/>
      <c r="W221" s="46"/>
    </row>
    <row r="222" spans="2:23" x14ac:dyDescent="0.35">
      <c r="B222" s="46"/>
      <c r="C222" s="46"/>
      <c r="D222" s="46"/>
      <c r="E222" s="46"/>
      <c r="F222" s="46"/>
      <c r="G222" s="46"/>
      <c r="H222" s="46"/>
      <c r="I222" s="46"/>
      <c r="J222" s="46"/>
      <c r="K222" s="46"/>
      <c r="L222" s="46"/>
      <c r="M222" s="46"/>
      <c r="N222" s="46"/>
      <c r="O222" s="46"/>
      <c r="P222" s="46"/>
      <c r="Q222" s="46"/>
      <c r="R222" s="46"/>
      <c r="S222" s="46"/>
      <c r="T222" s="46"/>
      <c r="U222" s="46"/>
      <c r="V222" s="46"/>
      <c r="W222" s="46"/>
    </row>
    <row r="223" spans="2:23" x14ac:dyDescent="0.35">
      <c r="B223" s="46"/>
      <c r="C223" s="46"/>
      <c r="D223" s="46"/>
      <c r="E223" s="46"/>
      <c r="F223" s="46"/>
      <c r="G223" s="46"/>
      <c r="H223" s="46"/>
      <c r="I223" s="46"/>
      <c r="J223" s="46"/>
      <c r="K223" s="46"/>
      <c r="L223" s="46"/>
      <c r="M223" s="46"/>
      <c r="N223" s="46"/>
      <c r="O223" s="46"/>
      <c r="P223" s="46"/>
      <c r="Q223" s="46"/>
      <c r="R223" s="46"/>
      <c r="S223" s="46"/>
      <c r="T223" s="46"/>
      <c r="U223" s="46"/>
      <c r="V223" s="46"/>
      <c r="W223" s="46"/>
    </row>
  </sheetData>
  <sheetProtection algorithmName="SHA-512" hashValue="uawDORQUorMxjSD1UYYm2nVZdcpl6D6n2h1I3mLXbJlVVztH5QcaZEdnUSHz1TaJr7PQQ00hMWPAgvxEdiWwxQ==" saltValue="bI1ILlKXFViaM/F6lVxpzQ==" spinCount="100000" sheet="1" objects="1" scenarios="1"/>
  <conditionalFormatting sqref="E13">
    <cfRule type="expression" dxfId="21" priority="1">
      <formula>IF(C13&gt;33,1,0)</formula>
    </cfRule>
  </conditionalFormatting>
  <conditionalFormatting sqref="E25">
    <cfRule type="expression" dxfId="20" priority="2">
      <formula>IF(E25="This must be closer than Switch-On Distance",1,0)</formula>
    </cfRule>
  </conditionalFormatting>
  <dataValidations count="11">
    <dataValidation type="list" allowBlank="1" showInputMessage="1" showErrorMessage="1" sqref="D23 D25 D51 D49 D40" xr:uid="{00000000-0002-0000-0700-000000000000}">
      <formula1>"mm, mil"</formula1>
    </dataValidation>
    <dataValidation type="list" allowBlank="1" showInputMessage="1" showErrorMessage="1" sqref="C7" xr:uid="{00000000-0002-0000-0700-000001000000}">
      <formula1>"1.8, 3.3"</formula1>
    </dataValidation>
    <dataValidation type="decimal" operator="greaterThan" allowBlank="1" showInputMessage="1" showErrorMessage="1" sqref="C10:C12 C25" xr:uid="{00000000-0002-0000-0700-000002000000}">
      <formula1>0</formula1>
    </dataValidation>
    <dataValidation type="decimal" errorStyle="warning" operator="greaterThan" allowBlank="1" showInputMessage="1" showErrorMessage="1" errorTitle="Sensor Inductance" error="The inductance of a 4.00mm spiral may be too low for the LDC0851 to support." sqref="C23" xr:uid="{00000000-0002-0000-0700-000003000000}">
      <formula1>4</formula1>
    </dataValidation>
    <dataValidation type="decimal" errorStyle="warning" allowBlank="1" showInputMessage="1" showErrorMessage="1" error="The width of  cannot be more than 180 degrees._x000a_" sqref="C117" xr:uid="{00000000-0002-0000-0700-000004000000}">
      <formula1>0.001</formula1>
      <formula2>360</formula2>
    </dataValidation>
    <dataValidation type="decimal" errorStyle="warning" operator="greaterThan" allowBlank="1" showInputMessage="1" showErrorMessage="1" error="Missing counts can occur if the oversample ratio is not &gt;2. A minimum of 3 is recommended." sqref="C119" xr:uid="{00000000-0002-0000-0700-000005000000}">
      <formula1>2.5</formula1>
    </dataValidation>
    <dataValidation errorStyle="warning" operator="greaterThanOrEqual" allowBlank="1" showInputMessage="1" showErrorMessage="1" error="Most systems have at least 1 event per rotation._x000a_" sqref="C118" xr:uid="{00000000-0002-0000-0700-000006000000}"/>
    <dataValidation type="decimal" errorStyle="warning" allowBlank="1" showInputMessage="1" showErrorMessage="1" error="The width of one gear tooth cannot be more than 180 degrees._x000a_" sqref="C116" xr:uid="{00000000-0002-0000-0700-000007000000}">
      <formula1>0.001</formula1>
      <formula2>360</formula2>
    </dataValidation>
    <dataValidation type="decimal" errorStyle="warning" allowBlank="1" showInputMessage="1" showErrorMessage="1" error="This switching distance is either closer than the closest target distance or too far based on the sensor size. " sqref="C40" xr:uid="{00000000-0002-0000-0700-000008000000}">
      <formula1>C25</formula1>
      <formula2>C23/2</formula2>
    </dataValidation>
    <dataValidation type="decimal" allowBlank="1" showInputMessage="1" showErrorMessage="1" sqref="C65" xr:uid="{00000000-0002-0000-0700-000009000000}">
      <formula1>0.001</formula1>
      <formula2>1000000</formula2>
    </dataValidation>
    <dataValidation type="decimal" allowBlank="1" showInputMessage="1" showErrorMessage="1" sqref="C66" xr:uid="{00000000-0002-0000-0700-00000A000000}">
      <formula1>0.001</formula1>
      <formula2>C16*1000</formula2>
    </dataValidation>
  </dataValidations>
  <hyperlinks>
    <hyperlink ref="D2" location="Contents!A1" display="Return to Main Page" xr:uid="{00000000-0004-0000-0700-000000000000}"/>
    <hyperlink ref="C64" r:id="rId1" xr:uid="{00000000-0004-0000-0700-000001000000}"/>
  </hyperlinks>
  <pageMargins left="0.7" right="0.7" top="0.75" bottom="0.75" header="0.3" footer="0.3"/>
  <pageSetup orientation="portrait" r:id="rId2"/>
  <ignoredErrors>
    <ignoredError sqref="C50" formula="1"/>
  </ignoredErrors>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4</xdr:col>
                <xdr:colOff>685800</xdr:colOff>
                <xdr:row>2</xdr:row>
                <xdr:rowOff>133350</xdr:rowOff>
              </from>
              <to>
                <xdr:col>4</xdr:col>
                <xdr:colOff>1422400</xdr:colOff>
                <xdr:row>6</xdr:row>
                <xdr:rowOff>0</xdr:rowOff>
              </to>
            </anchor>
          </objectPr>
        </oleObject>
      </mc:Choice>
      <mc:Fallback>
        <oleObject progId="Acrobat Document" dvAspect="DVASPECT_ICON" shapeId="41998" r:id="rId5"/>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theme="4" tint="0.59999389629810485"/>
  </sheetPr>
  <dimension ref="B2:S450"/>
  <sheetViews>
    <sheetView showGridLines="0" showRowColHeaders="0" zoomScaleNormal="100" workbookViewId="0">
      <selection activeCell="I6" sqref="I6"/>
    </sheetView>
  </sheetViews>
  <sheetFormatPr defaultRowHeight="14.5" x14ac:dyDescent="0.35"/>
  <cols>
    <col min="1" max="1" width="4.26953125" customWidth="1"/>
    <col min="2" max="2" width="4.54296875" customWidth="1"/>
    <col min="3" max="3" width="32" customWidth="1"/>
    <col min="4" max="4" width="15.1796875" customWidth="1"/>
    <col min="5" max="5" width="7.453125" customWidth="1"/>
    <col min="6" max="6" width="2.54296875" customWidth="1"/>
    <col min="7" max="13" width="8.81640625" customWidth="1"/>
    <col min="14" max="14" width="25.453125" customWidth="1"/>
    <col min="19" max="19" width="10.81640625" bestFit="1" customWidth="1"/>
  </cols>
  <sheetData>
    <row r="2" spans="2:19" ht="18.5" x14ac:dyDescent="0.45">
      <c r="B2" s="3" t="s">
        <v>1098</v>
      </c>
      <c r="D2" s="14" t="s">
        <v>198</v>
      </c>
    </row>
    <row r="3" spans="2:19" x14ac:dyDescent="0.35">
      <c r="B3" s="23"/>
    </row>
    <row r="4" spans="2:19" ht="9.65" customHeight="1" x14ac:dyDescent="0.35">
      <c r="B4" s="23"/>
      <c r="P4" s="647"/>
      <c r="Q4" s="647"/>
      <c r="R4" s="647"/>
      <c r="S4" s="647"/>
    </row>
    <row r="5" spans="2:19" x14ac:dyDescent="0.35">
      <c r="B5" s="28" t="s">
        <v>1106</v>
      </c>
    </row>
    <row r="6" spans="2:19" x14ac:dyDescent="0.35">
      <c r="B6" s="28"/>
      <c r="C6" t="s">
        <v>1099</v>
      </c>
      <c r="D6" s="489">
        <v>1.2</v>
      </c>
      <c r="E6" s="648" t="s">
        <v>1501</v>
      </c>
      <c r="G6" s="68" t="str">
        <f>IF((D22-D23)&lt;1,"Inner Diameter is too large","")</f>
        <v/>
      </c>
      <c r="Q6" s="287"/>
    </row>
    <row r="7" spans="2:19" x14ac:dyDescent="0.35">
      <c r="B7" s="28"/>
      <c r="C7" t="s">
        <v>1100</v>
      </c>
      <c r="D7" s="489">
        <v>0.5</v>
      </c>
      <c r="E7" s="649"/>
      <c r="Q7" s="287"/>
    </row>
    <row r="8" spans="2:19" x14ac:dyDescent="0.35">
      <c r="B8" s="28"/>
      <c r="C8" t="s">
        <v>1128</v>
      </c>
      <c r="D8" s="490">
        <v>16</v>
      </c>
      <c r="E8" s="268"/>
      <c r="G8" s="68" t="str">
        <f>IF(MOD(D8,4)&gt;0,"Must be a multiple of 4","")</f>
        <v/>
      </c>
      <c r="Q8" s="287"/>
    </row>
    <row r="9" spans="2:19" x14ac:dyDescent="0.35">
      <c r="B9" s="28"/>
      <c r="C9" t="s">
        <v>1161</v>
      </c>
      <c r="D9" s="489">
        <v>0.5</v>
      </c>
      <c r="E9" s="35" t="s">
        <v>34</v>
      </c>
      <c r="G9" s="68"/>
      <c r="Q9" s="287"/>
    </row>
    <row r="10" spans="2:19" x14ac:dyDescent="0.35">
      <c r="B10" s="28"/>
      <c r="C10" t="s">
        <v>1144</v>
      </c>
      <c r="D10" s="492">
        <v>50</v>
      </c>
      <c r="E10" s="545" t="s">
        <v>533</v>
      </c>
      <c r="G10" s="68"/>
      <c r="Q10" s="287"/>
    </row>
    <row r="11" spans="2:19" x14ac:dyDescent="0.35">
      <c r="B11" s="28" t="s">
        <v>1107</v>
      </c>
      <c r="D11" s="494"/>
      <c r="E11" s="493"/>
      <c r="G11" s="68"/>
      <c r="Q11" s="287"/>
    </row>
    <row r="12" spans="2:19" x14ac:dyDescent="0.35">
      <c r="B12" s="28"/>
      <c r="C12" t="s">
        <v>1127</v>
      </c>
      <c r="D12" s="489">
        <v>24</v>
      </c>
      <c r="E12" s="35" t="s">
        <v>614</v>
      </c>
      <c r="G12" s="68"/>
      <c r="Q12" s="287"/>
    </row>
    <row r="13" spans="2:19" x14ac:dyDescent="0.35">
      <c r="B13" s="28"/>
      <c r="C13" t="s">
        <v>1101</v>
      </c>
      <c r="D13" s="489">
        <v>0</v>
      </c>
      <c r="E13" s="35" t="s">
        <v>614</v>
      </c>
      <c r="G13" s="68"/>
      <c r="Q13" s="287"/>
    </row>
    <row r="14" spans="2:19" x14ac:dyDescent="0.35">
      <c r="B14" s="495"/>
      <c r="C14" t="s">
        <v>1104</v>
      </c>
      <c r="D14" s="503">
        <v>4</v>
      </c>
      <c r="E14" s="648" t="s">
        <v>614</v>
      </c>
      <c r="Q14" s="287"/>
    </row>
    <row r="15" spans="2:19" x14ac:dyDescent="0.35">
      <c r="B15" s="495"/>
      <c r="C15" t="s">
        <v>1105</v>
      </c>
      <c r="D15" s="503">
        <v>4</v>
      </c>
      <c r="E15" s="649"/>
      <c r="Q15" s="287"/>
    </row>
    <row r="16" spans="2:19" x14ac:dyDescent="0.35">
      <c r="B16" s="495"/>
      <c r="C16" s="5" t="s">
        <v>1125</v>
      </c>
      <c r="D16" s="503">
        <v>8</v>
      </c>
      <c r="E16" s="544" t="s">
        <v>614</v>
      </c>
      <c r="Q16" s="287"/>
    </row>
    <row r="17" spans="2:17" x14ac:dyDescent="0.35">
      <c r="B17" s="495"/>
      <c r="C17" s="5" t="s">
        <v>1172</v>
      </c>
      <c r="D17" s="543">
        <v>40</v>
      </c>
      <c r="E17" s="546" t="str">
        <f>IF(D19=4,E16,"N/A")</f>
        <v>mil</v>
      </c>
      <c r="Q17" s="287"/>
    </row>
    <row r="18" spans="2:17" x14ac:dyDescent="0.35">
      <c r="B18" s="495"/>
      <c r="C18" s="5" t="s">
        <v>1173</v>
      </c>
      <c r="D18" s="543">
        <v>8</v>
      </c>
      <c r="E18" s="546" t="str">
        <f>IF(D19=4,E17,"N/A")</f>
        <v>mil</v>
      </c>
      <c r="Q18" s="287"/>
    </row>
    <row r="19" spans="2:17" x14ac:dyDescent="0.35">
      <c r="B19" s="495"/>
      <c r="C19" s="5" t="s">
        <v>1140</v>
      </c>
      <c r="D19" s="506">
        <v>4</v>
      </c>
      <c r="E19" s="416"/>
      <c r="Q19" s="287"/>
    </row>
    <row r="20" spans="2:17" x14ac:dyDescent="0.35">
      <c r="B20" s="495"/>
      <c r="C20" s="5" t="s">
        <v>1137</v>
      </c>
      <c r="D20" s="489">
        <v>1</v>
      </c>
      <c r="E20" s="544" t="s">
        <v>53</v>
      </c>
      <c r="Q20" s="287"/>
    </row>
    <row r="21" spans="2:17" hidden="1" x14ac:dyDescent="0.35">
      <c r="B21" s="497" t="s">
        <v>1145</v>
      </c>
      <c r="C21" s="59"/>
      <c r="D21" s="491"/>
      <c r="E21" s="293"/>
      <c r="Q21" s="287"/>
    </row>
    <row r="22" spans="2:17" hidden="1" x14ac:dyDescent="0.35">
      <c r="B22" s="495"/>
      <c r="C22" s="5" t="s">
        <v>1099</v>
      </c>
      <c r="D22" s="498">
        <f>IF(E6="inch",D6*25.4,D6)</f>
        <v>30.479999999999997</v>
      </c>
      <c r="E22" s="496" t="s">
        <v>34</v>
      </c>
      <c r="Q22" s="287"/>
    </row>
    <row r="23" spans="2:17" hidden="1" x14ac:dyDescent="0.35">
      <c r="B23" s="495"/>
      <c r="C23" s="5" t="s">
        <v>1100</v>
      </c>
      <c r="D23" s="498">
        <f>IF(E6="inch",D7*25.4,D7)</f>
        <v>12.7</v>
      </c>
      <c r="E23" s="496" t="s">
        <v>34</v>
      </c>
      <c r="Q23" s="287"/>
    </row>
    <row r="24" spans="2:17" hidden="1" x14ac:dyDescent="0.35">
      <c r="B24" s="495"/>
      <c r="C24" s="5" t="s">
        <v>1101</v>
      </c>
      <c r="D24" s="499">
        <f>IF(E13="mil",D13*0.0254,IF(E13="µm",D13*0.001,D13))</f>
        <v>0</v>
      </c>
      <c r="E24" s="496" t="s">
        <v>34</v>
      </c>
      <c r="I24" s="566"/>
      <c r="Q24" s="287"/>
    </row>
    <row r="25" spans="2:17" hidden="1" x14ac:dyDescent="0.35">
      <c r="B25" s="495"/>
      <c r="C25" s="5" t="s">
        <v>1102</v>
      </c>
      <c r="D25" s="499">
        <f>IF(E14="mil",D14*0.0254,IF(E14="µm",D14*0.001,D14))</f>
        <v>0.1016</v>
      </c>
      <c r="E25" s="496" t="s">
        <v>34</v>
      </c>
      <c r="Q25" s="287"/>
    </row>
    <row r="26" spans="2:17" hidden="1" x14ac:dyDescent="0.35">
      <c r="B26" s="495"/>
      <c r="C26" s="5" t="s">
        <v>1103</v>
      </c>
      <c r="D26" s="499">
        <f>IF(E14="mil",D15*0.0254,IF(E14="µm",D15*0.001,D15))</f>
        <v>0.1016</v>
      </c>
      <c r="E26" s="496" t="s">
        <v>34</v>
      </c>
      <c r="Q26" s="287"/>
    </row>
    <row r="27" spans="2:17" hidden="1" x14ac:dyDescent="0.35">
      <c r="B27" s="495"/>
      <c r="C27" s="5" t="s">
        <v>1121</v>
      </c>
      <c r="D27" s="504">
        <f>D19</f>
        <v>4</v>
      </c>
      <c r="E27" s="496"/>
      <c r="H27" s="565"/>
      <c r="Q27" s="287"/>
    </row>
    <row r="28" spans="2:17" hidden="1" x14ac:dyDescent="0.35">
      <c r="B28" s="495"/>
      <c r="C28" s="5" t="str">
        <f>C16</f>
        <v>PCB thickness between Layer1 &amp; Layer2</v>
      </c>
      <c r="D28" s="499">
        <f>IF(E16="mil",D16*0.0254,IF(E16="µm",D16*0.001,D16))</f>
        <v>0.20319999999999999</v>
      </c>
      <c r="E28" s="496" t="s">
        <v>34</v>
      </c>
      <c r="Q28" s="287"/>
    </row>
    <row r="29" spans="2:17" hidden="1" x14ac:dyDescent="0.35">
      <c r="B29" s="495"/>
      <c r="C29" s="5" t="s">
        <v>1172</v>
      </c>
      <c r="D29" s="499">
        <f>IF(E17="mil",D17*0.0254,IF(E17="µm",D17*0.001,D17))</f>
        <v>1.016</v>
      </c>
      <c r="E29" s="496" t="s">
        <v>34</v>
      </c>
      <c r="Q29" s="287"/>
    </row>
    <row r="30" spans="2:17" hidden="1" x14ac:dyDescent="0.35">
      <c r="B30" s="495"/>
      <c r="C30" s="5" t="s">
        <v>1173</v>
      </c>
      <c r="D30" s="499">
        <f>IF(E18="mil",D18*0.0254,IF(E18="µm",D18*0.001,D18))</f>
        <v>0.20319999999999999</v>
      </c>
      <c r="E30" s="496" t="s">
        <v>34</v>
      </c>
      <c r="K30" s="78"/>
      <c r="Q30" s="287"/>
    </row>
    <row r="31" spans="2:17" hidden="1" x14ac:dyDescent="0.35">
      <c r="B31" s="495"/>
      <c r="C31" s="5" t="s">
        <v>1122</v>
      </c>
      <c r="D31" s="499">
        <f>IF(E9="mil",D9*0.0254,IF(E9="µm",D9*0.001,D9))</f>
        <v>0.5</v>
      </c>
      <c r="E31" s="496" t="s">
        <v>34</v>
      </c>
      <c r="Q31" s="287"/>
    </row>
    <row r="32" spans="2:17" hidden="1" x14ac:dyDescent="0.35">
      <c r="B32" s="495"/>
      <c r="C32" s="5" t="s">
        <v>1129</v>
      </c>
      <c r="D32" s="499">
        <f>IF(E12="mil",D12*0.0254,IF(E12="µm",D12*0.001,D12))</f>
        <v>0.60959999999999992</v>
      </c>
      <c r="E32" s="496" t="s">
        <v>34</v>
      </c>
      <c r="Q32" s="287"/>
    </row>
    <row r="33" spans="2:17" hidden="1" x14ac:dyDescent="0.35">
      <c r="B33" s="495"/>
      <c r="C33" s="5" t="s">
        <v>1136</v>
      </c>
      <c r="D33" s="507">
        <f>IF(E20="µm",0.001*D20, IF(E20="mil",D20*0.0254,D20*0.0347))</f>
        <v>3.4700000000000002E-2</v>
      </c>
      <c r="E33" s="496" t="s">
        <v>34</v>
      </c>
      <c r="Q33" s="287"/>
    </row>
    <row r="34" spans="2:17" hidden="1" x14ac:dyDescent="0.35">
      <c r="B34" s="495"/>
      <c r="C34" s="5" t="s">
        <v>1108</v>
      </c>
      <c r="D34" s="498">
        <f>360/D8</f>
        <v>22.5</v>
      </c>
      <c r="E34" s="508" t="s">
        <v>537</v>
      </c>
      <c r="Q34" s="287"/>
    </row>
    <row r="35" spans="2:17" hidden="1" x14ac:dyDescent="0.35">
      <c r="B35" s="495"/>
      <c r="C35" s="5" t="s">
        <v>1506</v>
      </c>
      <c r="D35" s="499">
        <f>((D22-D24)*PI()/D8)-(D26*0.5)</f>
        <v>5.9339340050885552</v>
      </c>
      <c r="E35" s="496" t="s">
        <v>34</v>
      </c>
      <c r="Q35" s="287"/>
    </row>
    <row r="36" spans="2:17" hidden="1" x14ac:dyDescent="0.35">
      <c r="B36" s="495"/>
      <c r="C36" s="5" t="s">
        <v>1507</v>
      </c>
      <c r="D36" s="499">
        <f>((D23-D24)*PI()/D8)-(D26*0.5)</f>
        <v>2.442839168786898</v>
      </c>
      <c r="E36" s="496" t="s">
        <v>34</v>
      </c>
      <c r="Q36" s="287"/>
    </row>
    <row r="37" spans="2:17" hidden="1" x14ac:dyDescent="0.35">
      <c r="B37" s="495"/>
      <c r="C37" s="5" t="s">
        <v>1109</v>
      </c>
      <c r="D37" s="499">
        <f>(D22-D23)/2-2*D24</f>
        <v>8.8899999999999988</v>
      </c>
      <c r="E37" s="496" t="s">
        <v>34</v>
      </c>
      <c r="Q37" s="287"/>
    </row>
    <row r="38" spans="2:17" hidden="1" x14ac:dyDescent="0.35">
      <c r="B38" s="495"/>
      <c r="C38" s="5" t="s">
        <v>1110</v>
      </c>
      <c r="D38" s="499">
        <f>D35/D37</f>
        <v>0.66748414005495571</v>
      </c>
      <c r="E38" s="496"/>
      <c r="Q38" s="287"/>
    </row>
    <row r="39" spans="2:17" hidden="1" x14ac:dyDescent="0.35">
      <c r="B39" s="495"/>
      <c r="C39" s="5" t="s">
        <v>1111</v>
      </c>
      <c r="D39" s="499">
        <f>IF(D38&lt;0.4,0.4,D38)</f>
        <v>0.66748414005495571</v>
      </c>
      <c r="E39" s="496"/>
      <c r="Q39" s="287"/>
    </row>
    <row r="40" spans="2:17" hidden="1" x14ac:dyDescent="0.35">
      <c r="B40" s="495"/>
      <c r="C40" s="5" t="s">
        <v>1509</v>
      </c>
      <c r="D40" s="499">
        <f>ATAN(0.5*(D35-D36)/D37)</f>
        <v>0.19388305158888441</v>
      </c>
      <c r="E40" s="496" t="s">
        <v>1508</v>
      </c>
      <c r="Q40" s="287"/>
    </row>
    <row r="41" spans="2:17" hidden="1" x14ac:dyDescent="0.35">
      <c r="B41" s="495"/>
      <c r="C41" s="5" t="s">
        <v>1373</v>
      </c>
      <c r="D41" s="498">
        <f>IF(E10="SPS",D10,3*D10*D8/60)</f>
        <v>40</v>
      </c>
      <c r="E41" s="496" t="s">
        <v>628</v>
      </c>
      <c r="Q41" s="287"/>
    </row>
    <row r="42" spans="2:17" hidden="1" x14ac:dyDescent="0.35">
      <c r="B42" s="501" t="s">
        <v>1120</v>
      </c>
      <c r="C42" s="59"/>
      <c r="D42" s="499">
        <f>IF(E54="mm",D33, IF(E54="mil",D54*0.0254,D54*0.0347))</f>
        <v>0.2429</v>
      </c>
      <c r="E42" s="496"/>
      <c r="Q42" s="287"/>
    </row>
    <row r="43" spans="2:17" hidden="1" x14ac:dyDescent="0.35">
      <c r="B43" s="495"/>
      <c r="C43" s="5" t="s">
        <v>1209</v>
      </c>
      <c r="D43" s="499">
        <f>MIN(D35,D37)</f>
        <v>5.9339340050885552</v>
      </c>
      <c r="E43" s="496" t="s">
        <v>34</v>
      </c>
      <c r="Q43" s="287"/>
    </row>
    <row r="44" spans="2:17" hidden="1" x14ac:dyDescent="0.35">
      <c r="B44" s="495"/>
      <c r="C44" s="5" t="s">
        <v>1112</v>
      </c>
      <c r="D44" s="499">
        <f>D32</f>
        <v>0.60959999999999992</v>
      </c>
      <c r="E44" s="496" t="s">
        <v>34</v>
      </c>
      <c r="Q44" s="287"/>
    </row>
    <row r="45" spans="2:17" hidden="1" x14ac:dyDescent="0.35">
      <c r="B45" s="495"/>
      <c r="C45" s="5" t="s">
        <v>1503</v>
      </c>
      <c r="D45" s="499">
        <f>D44+2*D26</f>
        <v>0.81279999999999997</v>
      </c>
      <c r="E45" s="496"/>
      <c r="Q45" s="287"/>
    </row>
    <row r="46" spans="2:17" hidden="1" x14ac:dyDescent="0.35">
      <c r="B46" s="495"/>
      <c r="C46" s="5" t="s">
        <v>1113</v>
      </c>
      <c r="D46" s="499">
        <f>(D43-D44-2*D26)/2</f>
        <v>2.5605670025442779</v>
      </c>
      <c r="E46" s="496" t="s">
        <v>34</v>
      </c>
      <c r="Q46" s="287"/>
    </row>
    <row r="47" spans="2:17" hidden="1" x14ac:dyDescent="0.35">
      <c r="B47" s="495"/>
      <c r="C47" s="5" t="s">
        <v>1504</v>
      </c>
      <c r="D47" s="504">
        <f>FLOOR((D37-D45/2)/2/(D25+D26),1)</f>
        <v>20</v>
      </c>
      <c r="E47" s="496"/>
      <c r="Q47" s="287"/>
    </row>
    <row r="48" spans="2:17" hidden="1" x14ac:dyDescent="0.35">
      <c r="B48" s="495"/>
      <c r="C48" s="5" t="s">
        <v>1510</v>
      </c>
      <c r="D48" s="507">
        <f>D25*(1/COS(D40)-TAN(D40))</f>
        <v>8.3590865032274156E-2</v>
      </c>
      <c r="E48" s="496" t="s">
        <v>34</v>
      </c>
      <c r="Q48" s="287"/>
    </row>
    <row r="49" spans="2:17" hidden="1" x14ac:dyDescent="0.35">
      <c r="B49" s="495"/>
      <c r="C49" s="5" t="s">
        <v>1511</v>
      </c>
      <c r="D49" s="507">
        <f>D26*(1/COS(D40)-TAN(D40))</f>
        <v>8.3590865032274156E-2</v>
      </c>
      <c r="E49" s="496" t="s">
        <v>34</v>
      </c>
      <c r="Q49" s="287"/>
    </row>
    <row r="50" spans="2:17" hidden="1" x14ac:dyDescent="0.35">
      <c r="B50" s="495"/>
      <c r="C50" s="5" t="s">
        <v>1505</v>
      </c>
      <c r="D50" s="509">
        <f>FLOOR((D36-D49)/2/(D48+D49)+1,1)</f>
        <v>8</v>
      </c>
      <c r="E50" s="496"/>
      <c r="Q50" s="287"/>
    </row>
    <row r="51" spans="2:17" hidden="1" x14ac:dyDescent="0.35">
      <c r="B51" s="495"/>
      <c r="C51" s="5" t="s">
        <v>1513</v>
      </c>
      <c r="D51" s="509">
        <f>D25*(1+1/SIN(PI()/2-D40))</f>
        <v>0.20513997838256937</v>
      </c>
      <c r="E51" s="496"/>
      <c r="Q51" s="287"/>
    </row>
    <row r="52" spans="2:17" hidden="1" x14ac:dyDescent="0.35">
      <c r="B52" s="495"/>
      <c r="C52" s="5" t="s">
        <v>1514</v>
      </c>
      <c r="D52" s="509">
        <f>D26*(1+1/SIN(PI()/2-D40))</f>
        <v>0.20513997838256937</v>
      </c>
      <c r="E52" s="496"/>
      <c r="Q52" s="287"/>
    </row>
    <row r="53" spans="2:17" hidden="1" x14ac:dyDescent="0.35">
      <c r="B53" s="495"/>
      <c r="C53" s="5" t="s">
        <v>1512</v>
      </c>
      <c r="D53" s="509">
        <f>FLOOR((D35-D44)/2/(D51+D52)+1,1)</f>
        <v>7</v>
      </c>
      <c r="E53" s="496"/>
      <c r="Q53" s="287"/>
    </row>
    <row r="54" spans="2:17" hidden="1" x14ac:dyDescent="0.35">
      <c r="B54" s="495"/>
      <c r="C54" s="5" t="s">
        <v>1126</v>
      </c>
      <c r="D54" s="509">
        <f>MIN(D53,D50,D47)</f>
        <v>7</v>
      </c>
      <c r="E54" s="496"/>
      <c r="G54" s="68" t="s">
        <v>1187</v>
      </c>
      <c r="Q54" s="287"/>
    </row>
    <row r="55" spans="2:17" hidden="1" x14ac:dyDescent="0.35">
      <c r="B55" s="495"/>
      <c r="C55" s="5" t="s">
        <v>1114</v>
      </c>
      <c r="D55" s="499">
        <f>D43-2*D54*D25-2*(D54)*D26</f>
        <v>3.0891340050885558</v>
      </c>
      <c r="E55" s="496" t="s">
        <v>34</v>
      </c>
      <c r="Q55" s="287"/>
    </row>
    <row r="56" spans="2:17" hidden="1" x14ac:dyDescent="0.35">
      <c r="B56" s="495"/>
      <c r="C56" s="5" t="s">
        <v>1115</v>
      </c>
      <c r="D56" s="499">
        <f>IF(D39&gt;1,D39,1/D39)</f>
        <v>1.498162937500908</v>
      </c>
      <c r="E56" s="496"/>
      <c r="Q56" s="287"/>
    </row>
    <row r="57" spans="2:17" hidden="1" x14ac:dyDescent="0.35">
      <c r="B57" s="495"/>
      <c r="C57" s="5" t="s">
        <v>1116</v>
      </c>
      <c r="D57" s="499">
        <f>1+(4*(D56-1)/PI())</f>
        <v>1.6342807517475875</v>
      </c>
      <c r="E57" s="496"/>
      <c r="Q57" s="287"/>
    </row>
    <row r="58" spans="2:17" hidden="1" x14ac:dyDescent="0.35">
      <c r="B58" s="495"/>
      <c r="C58" s="5" t="s">
        <v>1119</v>
      </c>
      <c r="D58" s="498">
        <f>MAX(0,D57*(D43+D55)/2)</f>
        <v>7.3731131853709284</v>
      </c>
      <c r="E58" s="496" t="s">
        <v>34</v>
      </c>
      <c r="Q58" s="287"/>
    </row>
    <row r="59" spans="2:17" hidden="1" x14ac:dyDescent="0.35">
      <c r="B59" s="495"/>
      <c r="C59" s="5" t="s">
        <v>1388</v>
      </c>
      <c r="D59" s="498">
        <f>(D55+D43)/2</f>
        <v>4.5115340050885555</v>
      </c>
      <c r="E59" s="496" t="s">
        <v>34</v>
      </c>
      <c r="Q59" s="287"/>
    </row>
    <row r="60" spans="2:17" hidden="1" x14ac:dyDescent="0.35">
      <c r="B60" s="495"/>
      <c r="C60" s="5" t="s">
        <v>1117</v>
      </c>
      <c r="D60" s="499">
        <f>(D43-D55)/(D43+D55)</f>
        <v>0.31528078883937832</v>
      </c>
      <c r="E60" s="496" t="s">
        <v>34</v>
      </c>
      <c r="Q60" s="287"/>
    </row>
    <row r="61" spans="2:17" hidden="1" x14ac:dyDescent="0.35">
      <c r="B61" s="495"/>
      <c r="C61" s="5" t="s">
        <v>1118</v>
      </c>
      <c r="D61" s="499">
        <f>0.5*4*PI()*0.0001*D54*D54*D58*(LN(2.46/D60)+0.2*D60*D60)</f>
        <v>0.47087475494525965</v>
      </c>
      <c r="E61" s="95" t="s">
        <v>1174</v>
      </c>
      <c r="Q61" s="287"/>
    </row>
    <row r="62" spans="2:17" hidden="1" x14ac:dyDescent="0.35">
      <c r="B62" s="495"/>
      <c r="C62" s="5" t="s">
        <v>1130</v>
      </c>
      <c r="D62" s="510">
        <f>D54*(D56-1)*2*D43+PI()*D54*(D43+D55)/2</f>
        <v>140.59873853640738</v>
      </c>
      <c r="E62" s="95" t="s">
        <v>34</v>
      </c>
      <c r="G62" s="68"/>
      <c r="M62" s="78"/>
      <c r="N62" s="13"/>
      <c r="Q62" s="287"/>
    </row>
    <row r="63" spans="2:17" hidden="1" x14ac:dyDescent="0.35">
      <c r="B63" s="495"/>
      <c r="C63" s="5" t="s">
        <v>1131</v>
      </c>
      <c r="D63" s="511">
        <v>20</v>
      </c>
      <c r="E63" s="505" t="s">
        <v>121</v>
      </c>
      <c r="G63" s="68" t="s">
        <v>1139</v>
      </c>
      <c r="Q63" s="287"/>
    </row>
    <row r="64" spans="2:17" hidden="1" x14ac:dyDescent="0.35">
      <c r="B64" s="495"/>
      <c r="C64" s="5" t="s">
        <v>1135</v>
      </c>
      <c r="D64" s="512">
        <v>1.6800000000000002E-8</v>
      </c>
      <c r="E64" s="505" t="s">
        <v>108</v>
      </c>
      <c r="G64" s="68"/>
      <c r="N64" s="13"/>
      <c r="Q64" s="287"/>
    </row>
    <row r="65" spans="2:17" hidden="1" x14ac:dyDescent="0.35">
      <c r="B65" s="495"/>
      <c r="C65" s="5" t="s">
        <v>1133</v>
      </c>
      <c r="D65" s="510">
        <v>0.39300000000000002</v>
      </c>
      <c r="E65" s="505" t="s">
        <v>1134</v>
      </c>
      <c r="G65" s="68"/>
      <c r="Q65" s="287"/>
    </row>
    <row r="66" spans="2:17" hidden="1" x14ac:dyDescent="0.35">
      <c r="B66" s="495"/>
      <c r="C66" s="5" t="s">
        <v>1132</v>
      </c>
      <c r="D66" s="512">
        <f>D64*(1+(D65/100)*(D63-20))</f>
        <v>1.6800000000000002E-8</v>
      </c>
      <c r="E66" s="505" t="s">
        <v>108</v>
      </c>
      <c r="G66" s="68"/>
      <c r="M66" s="78"/>
      <c r="N66" s="13"/>
      <c r="Q66" s="287"/>
    </row>
    <row r="67" spans="2:17" hidden="1" x14ac:dyDescent="0.35">
      <c r="B67" s="495"/>
      <c r="C67" s="5" t="s">
        <v>1138</v>
      </c>
      <c r="D67" s="499">
        <f>D66*D62*0.001*D27/(D25*0.001*D33*0.001)</f>
        <v>2.6799550788668278</v>
      </c>
      <c r="E67" s="505" t="s">
        <v>77</v>
      </c>
      <c r="G67" s="68"/>
      <c r="Q67" s="287"/>
    </row>
    <row r="68" spans="2:17" hidden="1" x14ac:dyDescent="0.35">
      <c r="B68" s="495"/>
      <c r="C68" s="6" t="s">
        <v>1221</v>
      </c>
      <c r="D68" s="523">
        <f>D54</f>
        <v>7</v>
      </c>
      <c r="E68" s="6"/>
      <c r="G68" s="68"/>
      <c r="Q68" s="287"/>
    </row>
    <row r="69" spans="2:17" hidden="1" x14ac:dyDescent="0.35">
      <c r="B69" s="495"/>
      <c r="C69" s="6" t="s">
        <v>1222</v>
      </c>
      <c r="D69" s="524">
        <f>D61</f>
        <v>0.47087475494525965</v>
      </c>
      <c r="E69" s="17" t="s">
        <v>96</v>
      </c>
      <c r="G69" s="68"/>
      <c r="Q69" s="287"/>
    </row>
    <row r="70" spans="2:17" hidden="1" x14ac:dyDescent="0.35">
      <c r="B70" s="495"/>
      <c r="C70" s="6" t="s">
        <v>1121</v>
      </c>
      <c r="D70" s="525">
        <f>D27</f>
        <v>4</v>
      </c>
      <c r="E70" s="6"/>
      <c r="G70" s="68"/>
      <c r="Q70" s="287"/>
    </row>
    <row r="71" spans="2:17" hidden="1" x14ac:dyDescent="0.35">
      <c r="B71" s="495"/>
      <c r="C71" s="6" t="s">
        <v>1223</v>
      </c>
      <c r="D71" s="540">
        <f>D9</f>
        <v>0.5</v>
      </c>
      <c r="E71" s="6" t="s">
        <v>34</v>
      </c>
      <c r="G71" s="68"/>
      <c r="Q71" s="287"/>
    </row>
    <row r="72" spans="2:17" hidden="1" x14ac:dyDescent="0.35">
      <c r="B72" s="495"/>
      <c r="C72" s="6" t="s">
        <v>1224</v>
      </c>
      <c r="D72" s="541">
        <f>D86</f>
        <v>0.1</v>
      </c>
      <c r="E72" s="6" t="s">
        <v>34</v>
      </c>
      <c r="G72" s="68"/>
      <c r="Q72" s="287"/>
    </row>
    <row r="73" spans="2:17" hidden="1" x14ac:dyDescent="0.35">
      <c r="B73" s="495"/>
      <c r="C73" s="6" t="s">
        <v>1225</v>
      </c>
      <c r="D73" s="541">
        <f>D85</f>
        <v>0.1</v>
      </c>
      <c r="E73" s="6" t="s">
        <v>34</v>
      </c>
      <c r="G73" s="68"/>
      <c r="Q73" s="287"/>
    </row>
    <row r="74" spans="2:17" hidden="1" x14ac:dyDescent="0.35">
      <c r="B74" s="495"/>
      <c r="C74" s="6" t="s">
        <v>1226</v>
      </c>
      <c r="D74" s="541">
        <f>D84</f>
        <v>0.1</v>
      </c>
      <c r="E74" s="6" t="s">
        <v>34</v>
      </c>
      <c r="G74" s="68"/>
      <c r="Q74" s="287"/>
    </row>
    <row r="75" spans="2:17" hidden="1" x14ac:dyDescent="0.35">
      <c r="B75" s="495"/>
      <c r="C75" s="6" t="s">
        <v>1227</v>
      </c>
      <c r="D75" s="541">
        <f>D83</f>
        <v>0.1</v>
      </c>
      <c r="E75" s="6" t="s">
        <v>34</v>
      </c>
      <c r="G75" s="68"/>
      <c r="Q75" s="287"/>
    </row>
    <row r="76" spans="2:17" hidden="1" x14ac:dyDescent="0.35">
      <c r="B76" s="495"/>
      <c r="C76" s="6" t="s">
        <v>1228</v>
      </c>
      <c r="D76" s="541">
        <f>D82</f>
        <v>0.20319999999999999</v>
      </c>
      <c r="E76" s="6" t="s">
        <v>34</v>
      </c>
      <c r="G76" s="68"/>
      <c r="Q76" s="287"/>
    </row>
    <row r="77" spans="2:17" hidden="1" x14ac:dyDescent="0.35">
      <c r="B77" s="495"/>
      <c r="C77" s="6" t="s">
        <v>1229</v>
      </c>
      <c r="D77" s="541">
        <f>D81</f>
        <v>1.016</v>
      </c>
      <c r="E77" s="6" t="s">
        <v>34</v>
      </c>
      <c r="G77" s="68"/>
      <c r="Q77" s="287"/>
    </row>
    <row r="78" spans="2:17" hidden="1" x14ac:dyDescent="0.35">
      <c r="B78" s="495"/>
      <c r="C78" s="6" t="s">
        <v>1230</v>
      </c>
      <c r="D78" s="541">
        <f>D80</f>
        <v>0.20319999999999999</v>
      </c>
      <c r="E78" s="6" t="s">
        <v>34</v>
      </c>
      <c r="G78" s="68"/>
      <c r="Q78" s="287"/>
    </row>
    <row r="79" spans="2:17" hidden="1" x14ac:dyDescent="0.35">
      <c r="B79" s="495"/>
      <c r="C79" s="6" t="s">
        <v>1231</v>
      </c>
      <c r="D79" s="542">
        <f>2*D71</f>
        <v>1</v>
      </c>
      <c r="E79" s="6" t="s">
        <v>34</v>
      </c>
      <c r="G79" s="68"/>
      <c r="Q79" s="287"/>
    </row>
    <row r="80" spans="2:17" hidden="1" x14ac:dyDescent="0.35">
      <c r="B80" s="495"/>
      <c r="C80" s="6" t="s">
        <v>1232</v>
      </c>
      <c r="D80" s="524">
        <f>D28</f>
        <v>0.20319999999999999</v>
      </c>
      <c r="E80" s="6" t="s">
        <v>34</v>
      </c>
      <c r="G80" s="68"/>
      <c r="Q80" s="287"/>
    </row>
    <row r="81" spans="2:17" hidden="1" x14ac:dyDescent="0.35">
      <c r="B81" s="495"/>
      <c r="C81" s="6" t="s">
        <v>1233</v>
      </c>
      <c r="D81" s="524">
        <f>D29</f>
        <v>1.016</v>
      </c>
      <c r="E81" s="6" t="s">
        <v>34</v>
      </c>
      <c r="G81" s="68"/>
      <c r="Q81" s="287"/>
    </row>
    <row r="82" spans="2:17" hidden="1" x14ac:dyDescent="0.35">
      <c r="B82" s="495"/>
      <c r="C82" s="6" t="s">
        <v>1234</v>
      </c>
      <c r="D82" s="524">
        <f>D30</f>
        <v>0.20319999999999999</v>
      </c>
      <c r="E82" s="6" t="s">
        <v>34</v>
      </c>
      <c r="G82" s="68"/>
      <c r="Q82" s="287"/>
    </row>
    <row r="83" spans="2:17" hidden="1" x14ac:dyDescent="0.35">
      <c r="B83" s="495"/>
      <c r="C83" s="6" t="s">
        <v>1235</v>
      </c>
      <c r="D83" s="524">
        <v>0.1</v>
      </c>
      <c r="E83" s="6" t="s">
        <v>34</v>
      </c>
      <c r="F83" t="s">
        <v>1396</v>
      </c>
      <c r="G83" s="68"/>
      <c r="Q83" s="287"/>
    </row>
    <row r="84" spans="2:17" hidden="1" x14ac:dyDescent="0.35">
      <c r="B84" s="495"/>
      <c r="C84" s="6" t="s">
        <v>1236</v>
      </c>
      <c r="D84" s="524">
        <v>0.1</v>
      </c>
      <c r="E84" s="6" t="s">
        <v>34</v>
      </c>
      <c r="F84" t="s">
        <v>1396</v>
      </c>
      <c r="G84" s="68"/>
      <c r="Q84" s="287"/>
    </row>
    <row r="85" spans="2:17" hidden="1" x14ac:dyDescent="0.35">
      <c r="B85" s="495"/>
      <c r="C85" s="6" t="s">
        <v>1237</v>
      </c>
      <c r="D85" s="524">
        <v>0.1</v>
      </c>
      <c r="E85" s="6" t="s">
        <v>34</v>
      </c>
      <c r="F85" t="s">
        <v>1396</v>
      </c>
      <c r="G85" s="68"/>
      <c r="Q85" s="287"/>
    </row>
    <row r="86" spans="2:17" hidden="1" x14ac:dyDescent="0.35">
      <c r="B86" s="495"/>
      <c r="C86" s="6" t="s">
        <v>1238</v>
      </c>
      <c r="D86" s="524">
        <v>0.1</v>
      </c>
      <c r="E86" s="6" t="s">
        <v>34</v>
      </c>
      <c r="F86" t="s">
        <v>1396</v>
      </c>
      <c r="G86" s="68"/>
      <c r="Q86" s="287"/>
    </row>
    <row r="87" spans="2:17" hidden="1" x14ac:dyDescent="0.35">
      <c r="B87" s="495"/>
      <c r="C87" s="6" t="s">
        <v>1239</v>
      </c>
      <c r="D87" s="524">
        <f>1.5625*D68^2/(1.67*D68^2-5.84*D68+65)</f>
        <v>0.72262859839546956</v>
      </c>
      <c r="E87" s="6"/>
      <c r="G87" s="68"/>
      <c r="Q87" s="287"/>
    </row>
    <row r="88" spans="2:17" hidden="1" x14ac:dyDescent="0.35">
      <c r="B88" s="495"/>
      <c r="C88" s="6" t="s">
        <v>1240</v>
      </c>
      <c r="D88" s="527">
        <f>(2*SUM(D95:D122))</f>
        <v>7.7548646698262669</v>
      </c>
      <c r="E88" s="6"/>
      <c r="G88" s="68"/>
      <c r="Q88" s="287"/>
    </row>
    <row r="89" spans="2:17" hidden="1" x14ac:dyDescent="0.35">
      <c r="B89" s="495"/>
      <c r="C89" s="6" t="s">
        <v>1241</v>
      </c>
      <c r="D89" s="527">
        <f>D88*D87+D70</f>
        <v>9.6038869871031007</v>
      </c>
      <c r="E89" s="6"/>
      <c r="G89" s="68"/>
      <c r="Q89" s="287"/>
    </row>
    <row r="90" spans="2:17" hidden="1" x14ac:dyDescent="0.35">
      <c r="B90" s="495"/>
      <c r="C90" s="106" t="s">
        <v>1242</v>
      </c>
      <c r="D90" s="528">
        <f>D89*D69</f>
        <v>4.5222279315741405</v>
      </c>
      <c r="E90" s="6"/>
      <c r="G90" s="68"/>
      <c r="Q90" s="287"/>
    </row>
    <row r="91" spans="2:17" hidden="1" x14ac:dyDescent="0.35">
      <c r="B91" s="495"/>
      <c r="C91" s="6" t="s">
        <v>1243</v>
      </c>
      <c r="D91" s="527">
        <f>SUM(D124:D186)</f>
        <v>-5.4359484643440474</v>
      </c>
      <c r="E91" s="6"/>
      <c r="G91" s="68"/>
      <c r="Q91" s="287"/>
    </row>
    <row r="92" spans="2:17" hidden="1" x14ac:dyDescent="0.35">
      <c r="B92" s="495"/>
      <c r="C92" s="6" t="s">
        <v>1244</v>
      </c>
      <c r="D92" s="527">
        <f>(D88+D91)*D87+D70</f>
        <v>5.6757151673641566</v>
      </c>
      <c r="E92" s="6"/>
      <c r="G92" s="68"/>
      <c r="Q92" s="287"/>
    </row>
    <row r="93" spans="2:17" hidden="1" x14ac:dyDescent="0.35">
      <c r="B93" s="495"/>
      <c r="C93" s="106" t="s">
        <v>1245</v>
      </c>
      <c r="D93" s="528">
        <f>D92*D69</f>
        <v>2.6725509885716905</v>
      </c>
      <c r="E93" s="6"/>
      <c r="G93" s="68"/>
      <c r="Q93" s="287"/>
    </row>
    <row r="94" spans="2:17" hidden="1" x14ac:dyDescent="0.35">
      <c r="B94" s="495"/>
      <c r="C94" s="6"/>
      <c r="D94" s="527"/>
      <c r="E94" s="6"/>
      <c r="G94" s="68"/>
      <c r="Q94" s="287"/>
    </row>
    <row r="95" spans="2:17" hidden="1" x14ac:dyDescent="0.35">
      <c r="B95" s="495"/>
      <c r="C95" s="6" t="s">
        <v>1246</v>
      </c>
      <c r="D95" s="527">
        <f>IF(2&gt;D70,0,1/((0.184*ABS(SUM(D80:D80))^3-0.525*(SUM(D80:D80))^2+1.038*ABS(SUM(D80:D80))+1.001)))</f>
        <v>0.83907539439398404</v>
      </c>
      <c r="E95" s="6"/>
      <c r="G95" s="68"/>
      <c r="Q95" s="287"/>
    </row>
    <row r="96" spans="2:17" hidden="1" x14ac:dyDescent="0.35">
      <c r="B96" s="495"/>
      <c r="C96" s="6" t="s">
        <v>1247</v>
      </c>
      <c r="D96" s="527">
        <f>IF(3&gt;D70,0,1/((0.184*ABS(SUM(D80:D81))^3-0.525*(SUM(D80:D81))^2+1.038*ABS(SUM(D80:D81))+1.001)))</f>
        <v>0.54957035292869783</v>
      </c>
      <c r="E96" s="6"/>
      <c r="G96" s="68"/>
      <c r="Q96" s="287"/>
    </row>
    <row r="97" spans="2:17" hidden="1" x14ac:dyDescent="0.35">
      <c r="B97" s="495"/>
      <c r="C97" s="6" t="s">
        <v>1248</v>
      </c>
      <c r="D97" s="527">
        <f>IF(4&gt;D70,0,1/((0.184*ABS(SUM(D80:D82))^3-0.525*(SUM(D80:D82))^2+1.038*ABS(SUM(D80:D82))+1.001)))</f>
        <v>0.51419681671857798</v>
      </c>
      <c r="E97" s="6"/>
      <c r="G97" s="68"/>
      <c r="Q97" s="287"/>
    </row>
    <row r="98" spans="2:17" hidden="1" x14ac:dyDescent="0.35">
      <c r="B98" s="495"/>
      <c r="C98" s="6" t="s">
        <v>1249</v>
      </c>
      <c r="D98" s="527">
        <f>IF(5&gt;D70,0,1/((0.184*ABS(SUM(D80:D83))^3-0.525*(SUM(D80:D83))^2+1.038*ABS(SUM(D80:D83))+1.001)))</f>
        <v>0</v>
      </c>
      <c r="E98" s="6"/>
      <c r="G98" s="68"/>
      <c r="Q98" s="287"/>
    </row>
    <row r="99" spans="2:17" hidden="1" x14ac:dyDescent="0.35">
      <c r="B99" s="495"/>
      <c r="C99" s="6" t="s">
        <v>1250</v>
      </c>
      <c r="D99" s="527">
        <f>IF(6&gt;D70,0,1/((0.184*ABS(SUM(D80:D84))^3-0.525*(SUM(D80:D84))^2+1.038*ABS(SUM(D80:D84))+1.001)))</f>
        <v>0</v>
      </c>
      <c r="E99" s="6"/>
      <c r="G99" s="68"/>
      <c r="Q99" s="287"/>
    </row>
    <row r="100" spans="2:17" hidden="1" x14ac:dyDescent="0.35">
      <c r="B100" s="495"/>
      <c r="C100" s="6" t="s">
        <v>1251</v>
      </c>
      <c r="D100" s="527">
        <f>IF(7&gt;D70,0,1/((0.184*ABS(SUM(D80:D85))^3-0.525*(SUM(D80:D85))^2+1.038*ABS(SUM(D80:D85))+1.001)))</f>
        <v>0</v>
      </c>
      <c r="E100" s="6"/>
      <c r="G100" s="68"/>
      <c r="Q100" s="287"/>
    </row>
    <row r="101" spans="2:17" hidden="1" x14ac:dyDescent="0.35">
      <c r="B101" s="495"/>
      <c r="C101" s="6" t="s">
        <v>1252</v>
      </c>
      <c r="D101" s="527">
        <f>IF(8&gt;D70,0,1/((0.184*ABS(SUM(D80:D86))^3-0.525*(SUM(D80:D86))^2+1.038*ABS(SUM(D80:D86))+1.001)))</f>
        <v>0</v>
      </c>
      <c r="E101" s="6"/>
      <c r="G101" s="68"/>
      <c r="Q101" s="287"/>
    </row>
    <row r="102" spans="2:17" hidden="1" x14ac:dyDescent="0.35">
      <c r="B102" s="495"/>
      <c r="C102" s="6" t="s">
        <v>1253</v>
      </c>
      <c r="D102" s="527">
        <f>IF(3&gt;D70,0,1/((0.184*ABS(SUM(D81:D81))^3-0.525*(SUM(D81:D81))^2+1.038*ABS(SUM(D81:D81))+1.001)))</f>
        <v>0.58594402354919184</v>
      </c>
      <c r="E102" s="6"/>
      <c r="G102" s="68"/>
      <c r="Q102" s="287"/>
    </row>
    <row r="103" spans="2:17" hidden="1" x14ac:dyDescent="0.35">
      <c r="B103" s="495"/>
      <c r="C103" s="6" t="s">
        <v>1254</v>
      </c>
      <c r="D103" s="527">
        <f>IF(4&gt;D70,0,1/((0.184*ABS(SUM(D81:D82))^3-0.525*(SUM(D81:D82))^2+1.038*ABS(SUM(D81:D82))+1.001)))</f>
        <v>0.54957035292869783</v>
      </c>
      <c r="E103" s="6"/>
      <c r="G103" s="68"/>
      <c r="Q103" s="287"/>
    </row>
    <row r="104" spans="2:17" hidden="1" x14ac:dyDescent="0.35">
      <c r="B104" s="495"/>
      <c r="C104" s="6" t="s">
        <v>1255</v>
      </c>
      <c r="D104" s="527">
        <f>IF(5&gt;D70,0,1/((0.184*ABS(SUM(D81:D83))^3-0.525*(SUM(D81:D83))^2+1.038*ABS(SUM(D81:D83))+1.001)))</f>
        <v>0</v>
      </c>
      <c r="E104" s="6"/>
      <c r="G104" s="68"/>
      <c r="Q104" s="287"/>
    </row>
    <row r="105" spans="2:17" hidden="1" x14ac:dyDescent="0.35">
      <c r="B105" s="495"/>
      <c r="C105" s="6" t="s">
        <v>1256</v>
      </c>
      <c r="D105" s="527">
        <f>IF(6&gt;D70,0,1/((0.184*ABS(SUM(D81:D84))^3-0.525*(SUM(D81:D84))^2+1.038*ABS(SUM(D81:D84))+1.001)))</f>
        <v>0</v>
      </c>
      <c r="E105" s="6"/>
      <c r="G105" s="68"/>
      <c r="Q105" s="287"/>
    </row>
    <row r="106" spans="2:17" hidden="1" x14ac:dyDescent="0.35">
      <c r="B106" s="495"/>
      <c r="C106" s="6" t="s">
        <v>1257</v>
      </c>
      <c r="D106" s="527">
        <f>IF(7&gt;D70,0,1/((0.184*ABS(SUM(D81:D85))^3-0.525*(SUM(D81:D85))^2+1.038*ABS(SUM(D81:D85))+1.001)))</f>
        <v>0</v>
      </c>
      <c r="E106" s="6"/>
      <c r="G106" s="68"/>
      <c r="Q106" s="287"/>
    </row>
    <row r="107" spans="2:17" hidden="1" x14ac:dyDescent="0.35">
      <c r="B107" s="495"/>
      <c r="C107" s="6" t="s">
        <v>1258</v>
      </c>
      <c r="D107" s="527">
        <f>IF(8&gt;D70,0,1/((0.184*ABS(SUM(D81:D86))^3-0.525*(SUM(D81:D86))^2+1.038*ABS(SUM(D81:D86))+1.001)))</f>
        <v>0</v>
      </c>
      <c r="E107" s="6"/>
      <c r="G107" s="68"/>
      <c r="Q107" s="287"/>
    </row>
    <row r="108" spans="2:17" hidden="1" x14ac:dyDescent="0.35">
      <c r="B108" s="495"/>
      <c r="C108" s="6" t="s">
        <v>1259</v>
      </c>
      <c r="D108" s="527">
        <f>IF(4&gt;D70,0,1/((0.184*ABS(SUM(D82:D82))^3-0.525*(SUM(D82:D82))^2+1.038*ABS(SUM(D82:D82))+1.001)))</f>
        <v>0.83907539439398404</v>
      </c>
      <c r="E108" s="6"/>
      <c r="G108" s="68"/>
      <c r="Q108" s="287"/>
    </row>
    <row r="109" spans="2:17" hidden="1" x14ac:dyDescent="0.35">
      <c r="B109" s="495"/>
      <c r="C109" s="6" t="s">
        <v>1260</v>
      </c>
      <c r="D109" s="527">
        <f>IF(5&gt;D70,0,1/((0.184*ABS(SUM(D82:D83))^3-0.525*(SUM(D82:D83))^2+1.038*ABS(SUM(D82:D83))+1.001)))</f>
        <v>0</v>
      </c>
      <c r="E109" s="6"/>
      <c r="G109" s="68"/>
      <c r="Q109" s="287"/>
    </row>
    <row r="110" spans="2:17" hidden="1" x14ac:dyDescent="0.35">
      <c r="B110" s="495"/>
      <c r="C110" s="6" t="s">
        <v>1261</v>
      </c>
      <c r="D110" s="527">
        <f>IF(6&gt;D70,0,1/((0.184*ABS(SUM(D82:D84))^3-0.525*(SUM(D82:D84))^2+1.038*ABS(SUM(D82:D84))+1.001)))</f>
        <v>0</v>
      </c>
      <c r="E110" s="6"/>
      <c r="G110" s="68"/>
      <c r="Q110" s="287"/>
    </row>
    <row r="111" spans="2:17" hidden="1" x14ac:dyDescent="0.35">
      <c r="B111" s="495"/>
      <c r="C111" s="6" t="s">
        <v>1262</v>
      </c>
      <c r="D111" s="527">
        <f>IF(7&gt;D70,0,1/((0.184*ABS(SUM(D82:D85))^3-0.525*(SUM(D82:D85))^2+1.038*ABS(SUM(D82:D85))+1.001)))</f>
        <v>0</v>
      </c>
      <c r="E111" s="6"/>
      <c r="G111" s="68"/>
      <c r="Q111" s="287"/>
    </row>
    <row r="112" spans="2:17" hidden="1" x14ac:dyDescent="0.35">
      <c r="B112" s="495"/>
      <c r="C112" s="6" t="s">
        <v>1263</v>
      </c>
      <c r="D112" s="527">
        <f>IF(8&gt;D70,0,1/((0.184*ABS(SUM(D82:D86))^3-0.525*(SUM(D82:D86))^2+1.038*ABS(SUM(D82:D86))+1.001)))</f>
        <v>0</v>
      </c>
      <c r="E112" s="6"/>
      <c r="G112" s="68"/>
      <c r="Q112" s="287"/>
    </row>
    <row r="113" spans="2:17" hidden="1" x14ac:dyDescent="0.35">
      <c r="B113" s="495"/>
      <c r="C113" s="6" t="s">
        <v>1264</v>
      </c>
      <c r="D113" s="527">
        <f>IF(5&gt;D70,0,1/((0.184*ABS(SUM(D83:D83))^3-0.525*(SUM(D83:D83))^2+1.038*ABS(SUM(D83:D83))+1.001)))</f>
        <v>0</v>
      </c>
      <c r="E113" s="6"/>
      <c r="G113" s="68"/>
      <c r="Q113" s="287"/>
    </row>
    <row r="114" spans="2:17" hidden="1" x14ac:dyDescent="0.35">
      <c r="B114" s="495"/>
      <c r="C114" s="6" t="s">
        <v>1265</v>
      </c>
      <c r="D114" s="527">
        <f>IF(6&gt;D70,0,1/((0.184*ABS(SUM(D83:D84))^3-0.525*(SUM(D83:D84))^2+1.038*ABS(SUM(D83:D84))+1.001)))</f>
        <v>0</v>
      </c>
      <c r="E114" s="6"/>
      <c r="G114" s="68"/>
      <c r="Q114" s="287"/>
    </row>
    <row r="115" spans="2:17" hidden="1" x14ac:dyDescent="0.35">
      <c r="B115" s="495"/>
      <c r="C115" s="6" t="s">
        <v>1266</v>
      </c>
      <c r="D115" s="527">
        <f>IF(7&gt;D70,0,1/((0.184*ABS(SUM(D83:D85))^3-0.525*(SUM(D83:D85))^2+1.038*ABS(SUM(D83:D85))+1.001)))</f>
        <v>0</v>
      </c>
      <c r="E115" s="6"/>
      <c r="G115" s="68"/>
      <c r="Q115" s="287"/>
    </row>
    <row r="116" spans="2:17" hidden="1" x14ac:dyDescent="0.35">
      <c r="B116" s="495"/>
      <c r="C116" s="6" t="s">
        <v>1267</v>
      </c>
      <c r="D116" s="527">
        <f>IF(8&gt;D70,0,1/((0.184*ABS(SUM(D83:D86))^3-0.525*(SUM(D83:D86))^2+1.038*ABS(SUM(D83:D86))+1.001)))</f>
        <v>0</v>
      </c>
      <c r="E116" s="6"/>
      <c r="G116" s="68"/>
      <c r="Q116" s="287"/>
    </row>
    <row r="117" spans="2:17" hidden="1" x14ac:dyDescent="0.35">
      <c r="B117" s="495"/>
      <c r="C117" s="6" t="s">
        <v>1268</v>
      </c>
      <c r="D117" s="527">
        <f>IF(6&gt;D70,0,1/((0.184*ABS(SUM(D84:D84))^3-0.525*(SUM(D84:D84))^2+1.038*ABS(SUM(D84:D84))+1.001)))</f>
        <v>0</v>
      </c>
      <c r="E117" s="6"/>
      <c r="G117" s="68"/>
      <c r="Q117" s="287"/>
    </row>
    <row r="118" spans="2:17" hidden="1" x14ac:dyDescent="0.35">
      <c r="B118" s="495"/>
      <c r="C118" s="6" t="s">
        <v>1269</v>
      </c>
      <c r="D118" s="527">
        <f>IF(7&gt;D70,0,1/((0.184*ABS(SUM(D84:D85))^3-0.525*(SUM(D84:D85))^2+1.038*ABS(SUM(D84:D85))+1.001)))</f>
        <v>0</v>
      </c>
      <c r="E118" s="6"/>
      <c r="G118" s="68"/>
      <c r="Q118" s="287"/>
    </row>
    <row r="119" spans="2:17" hidden="1" x14ac:dyDescent="0.35">
      <c r="B119" s="495"/>
      <c r="C119" s="6" t="s">
        <v>1270</v>
      </c>
      <c r="D119" s="527">
        <f>IF(8&gt;D70,0,1/((0.184*ABS(SUM(D84:D86))^3-0.525*(SUM(D84:D86))^2+1.038*ABS(SUM(D84:D86))+1.001)))</f>
        <v>0</v>
      </c>
      <c r="E119" s="6"/>
      <c r="G119" s="68"/>
      <c r="Q119" s="287"/>
    </row>
    <row r="120" spans="2:17" hidden="1" x14ac:dyDescent="0.35">
      <c r="B120" s="495"/>
      <c r="C120" s="6" t="s">
        <v>1271</v>
      </c>
      <c r="D120" s="527">
        <f>IF(7&gt;D70,0,1/((0.184*ABS(SUM(D85:D85))^3-0.525*(SUM(D85:D85))^2+1.038*ABS(SUM(D85:D85))+1.001)))</f>
        <v>0</v>
      </c>
      <c r="E120" s="6"/>
      <c r="G120" s="68"/>
      <c r="Q120" s="287"/>
    </row>
    <row r="121" spans="2:17" hidden="1" x14ac:dyDescent="0.35">
      <c r="B121" s="495"/>
      <c r="C121" s="6" t="s">
        <v>1272</v>
      </c>
      <c r="D121" s="527">
        <f>IF(8&gt;D70,0,1/((0.184*ABS(SUM(D85:D86))^3-0.525*(SUM(D85:D86))^2+1.038*ABS(SUM(D85:D86))+1.001)))</f>
        <v>0</v>
      </c>
      <c r="E121" s="6"/>
      <c r="G121" s="68"/>
      <c r="Q121" s="287"/>
    </row>
    <row r="122" spans="2:17" hidden="1" x14ac:dyDescent="0.35">
      <c r="B122" s="495"/>
      <c r="C122" s="6" t="s">
        <v>1273</v>
      </c>
      <c r="D122" s="527">
        <f>IF(8&gt;D70,0,1/((0.184*ABS(SUM(D86:D86))^3-0.525*(SUM(D86:D86))^2+1.038*ABS(SUM(D86:D86))+1.001)))</f>
        <v>0</v>
      </c>
      <c r="E122" s="6"/>
      <c r="G122" s="68"/>
      <c r="Q122" s="287"/>
    </row>
    <row r="123" spans="2:17" hidden="1" x14ac:dyDescent="0.35">
      <c r="B123" s="495"/>
      <c r="C123" s="6"/>
      <c r="D123" s="527"/>
      <c r="E123" s="6"/>
      <c r="G123" s="68"/>
      <c r="Q123" s="287"/>
    </row>
    <row r="124" spans="2:17" hidden="1" x14ac:dyDescent="0.35">
      <c r="B124" s="495"/>
      <c r="C124" s="6" t="s">
        <v>1274</v>
      </c>
      <c r="D124" s="527">
        <f>IF(1&gt;D70,0,-1/((0.184*ABS(SUM(D79:D79))^3-0.525*(SUM(D79:D79))^2+1.038*ABS(SUM(D79:D79))+1.001)))</f>
        <v>-0.58892815076560656</v>
      </c>
      <c r="E124" s="6"/>
      <c r="G124" s="68"/>
      <c r="Q124" s="287"/>
    </row>
    <row r="125" spans="2:17" hidden="1" x14ac:dyDescent="0.35">
      <c r="B125" s="495"/>
      <c r="C125" s="6" t="s">
        <v>1275</v>
      </c>
      <c r="D125" s="527">
        <f>IF(2&gt;D70,0,-1/((0.184*ABS(SUM(D79:D80))^3-0.525*(SUM(D79:D80))^2+1.038*ABS(SUM(D79:D80))+1.001)))</f>
        <v>-0.55236819802929826</v>
      </c>
      <c r="E125" s="6"/>
      <c r="G125" s="68"/>
      <c r="Q125" s="287"/>
    </row>
    <row r="126" spans="2:17" hidden="1" x14ac:dyDescent="0.35">
      <c r="B126" s="495"/>
      <c r="C126" s="6" t="s">
        <v>1276</v>
      </c>
      <c r="D126" s="527">
        <f>IF(3&gt;D70,0,-1/((0.184*ABS(SUM(D79:D81))^3-0.525*(SUM(D79:D81))^2+1.038*ABS(SUM(D79:D81))+1.001)))</f>
        <v>-0.3663055591516397</v>
      </c>
      <c r="E126" s="6"/>
      <c r="G126" s="68"/>
      <c r="Q126" s="287"/>
    </row>
    <row r="127" spans="2:17" hidden="1" x14ac:dyDescent="0.35">
      <c r="B127" s="495"/>
      <c r="C127" s="6" t="s">
        <v>1277</v>
      </c>
      <c r="D127" s="527">
        <f>IF(4&gt;D70,0,-1/((0.184*ABS(SUM(D79:D82))^3-0.525*(SUM(D79:D82))^2+1.038*ABS(SUM(D79:D82))+1.001)))</f>
        <v>-0.32784264399765972</v>
      </c>
      <c r="E127" s="6"/>
      <c r="G127" s="68"/>
      <c r="Q127" s="287"/>
    </row>
    <row r="128" spans="2:17" hidden="1" x14ac:dyDescent="0.35">
      <c r="B128" s="495"/>
      <c r="C128" s="6" t="s">
        <v>1278</v>
      </c>
      <c r="D128" s="527">
        <f>IF(5&gt;D70,0,-1/((0.184*ABS(SUM(D79:D83))^3-0.525*(SUM(D79:D83))^2+1.038*ABS(SUM(D79:D83))+1.001)))</f>
        <v>0</v>
      </c>
      <c r="E128" s="6"/>
      <c r="G128" s="68"/>
      <c r="Q128" s="287"/>
    </row>
    <row r="129" spans="2:17" hidden="1" x14ac:dyDescent="0.35">
      <c r="B129" s="495"/>
      <c r="C129" s="6" t="s">
        <v>1279</v>
      </c>
      <c r="D129" s="527">
        <f>IF(6&gt;D70,0,-1/((0.184*ABS(SUM(D79:D84))^3-0.525*(SUM(D79:D84))^2+1.038*ABS(SUM(D79:D84))+1.001)))</f>
        <v>0</v>
      </c>
      <c r="E129" s="6"/>
      <c r="G129" s="68"/>
      <c r="Q129" s="287"/>
    </row>
    <row r="130" spans="2:17" hidden="1" x14ac:dyDescent="0.35">
      <c r="B130" s="495"/>
      <c r="C130" s="6" t="s">
        <v>1280</v>
      </c>
      <c r="D130" s="527">
        <f>IF(7&gt;D70,0,-1/((0.184*ABS(SUM(D79:D85))^3-0.525*(SUM(D79:D85))^2+1.038*ABS(SUM(D79:D85))+1.001)))</f>
        <v>0</v>
      </c>
      <c r="E130" s="6"/>
      <c r="G130" s="68"/>
      <c r="Q130" s="287"/>
    </row>
    <row r="131" spans="2:17" hidden="1" x14ac:dyDescent="0.35">
      <c r="B131" s="495"/>
      <c r="C131" s="6" t="s">
        <v>1281</v>
      </c>
      <c r="D131" s="527">
        <f>IF(8&gt;D70,0,-1/((0.184*ABS(SUM(D79:D86))^3-0.525*(SUM(D79:D86))^2+1.038*ABS(SUM(D79:D86))+1.001)))</f>
        <v>0</v>
      </c>
      <c r="E131" s="6"/>
      <c r="G131" s="68"/>
      <c r="Q131" s="287"/>
    </row>
    <row r="132" spans="2:17" hidden="1" x14ac:dyDescent="0.35">
      <c r="B132" s="495"/>
      <c r="C132" s="6" t="s">
        <v>1282</v>
      </c>
      <c r="D132" s="527">
        <f>IF(2&gt;D70,0,-1/((0.184*ABS(SUM(D78:D79))^3-0.525*(SUM(D78:D79))^2+1.038*ABS(SUM(D78:D79))+1.001)))</f>
        <v>-0.55236819802929826</v>
      </c>
      <c r="E132" s="6"/>
      <c r="G132" s="68"/>
      <c r="Q132" s="287"/>
    </row>
    <row r="133" spans="2:17" hidden="1" x14ac:dyDescent="0.35">
      <c r="B133" s="495"/>
      <c r="C133" s="6" t="s">
        <v>1283</v>
      </c>
      <c r="D133" s="527">
        <f>IF(2&gt;D70,0,-1/((0.184*ABS(SUM(D78:D80))^3-0.525*(SUM(D78:D80))^2+1.038*ABS(SUM(D78:D80))+1.001)))</f>
        <v>-0.51699205914397361</v>
      </c>
      <c r="E133" s="6"/>
      <c r="G133" s="68"/>
      <c r="Q133" s="287"/>
    </row>
    <row r="134" spans="2:17" hidden="1" x14ac:dyDescent="0.35">
      <c r="B134" s="495"/>
      <c r="C134" s="6" t="s">
        <v>1284</v>
      </c>
      <c r="D134" s="527">
        <f>IF(3&gt;D70,0,-1/((0.184*ABS(SUM(D78:D81))^3-0.525*(SUM(D78:D81))^2+1.038*ABS(SUM(D78:D81))+1.001)))</f>
        <v>-0.32784264399765961</v>
      </c>
      <c r="E134" s="6"/>
      <c r="G134" s="68"/>
      <c r="Q134" s="287"/>
    </row>
    <row r="135" spans="2:17" hidden="1" x14ac:dyDescent="0.35">
      <c r="B135" s="495"/>
      <c r="C135" s="6" t="s">
        <v>1285</v>
      </c>
      <c r="D135" s="527">
        <f>IF(4&gt;D70,0,-1/((0.184*ABS(SUM(D78:D82))^3-0.525*(SUM(D78:D82))^2+1.038*ABS(SUM(D78:D82))+1.001)))</f>
        <v>-0.29090102542494017</v>
      </c>
      <c r="E135" s="6"/>
      <c r="G135" s="68"/>
      <c r="Q135" s="287"/>
    </row>
    <row r="136" spans="2:17" hidden="1" x14ac:dyDescent="0.35">
      <c r="B136" s="495"/>
      <c r="C136" s="6" t="s">
        <v>1286</v>
      </c>
      <c r="D136" s="527">
        <f>IF(5&gt;D70,0,-1/((0.184*ABS(SUM(D78:D83))^3-0.525*(SUM(D78:D83))^2+1.038*ABS(SUM(D78:D83))+1.001)))</f>
        <v>0</v>
      </c>
      <c r="E136" s="6"/>
      <c r="G136" s="68"/>
      <c r="Q136" s="287"/>
    </row>
    <row r="137" spans="2:17" hidden="1" x14ac:dyDescent="0.35">
      <c r="B137" s="495"/>
      <c r="C137" s="6" t="s">
        <v>1287</v>
      </c>
      <c r="D137" s="527">
        <f>IF(6&gt;D70,0,-1/((0.184*ABS(SUM(D78:D84))^3-0.525*(SUM(D78:D84))^2+1.038*ABS(SUM(D78:D84))+1.001)))</f>
        <v>0</v>
      </c>
      <c r="E137" s="6"/>
      <c r="G137" s="68"/>
      <c r="Q137" s="287"/>
    </row>
    <row r="138" spans="2:17" hidden="1" x14ac:dyDescent="0.35">
      <c r="B138" s="495"/>
      <c r="C138" s="6" t="s">
        <v>1288</v>
      </c>
      <c r="D138" s="527">
        <f>IF(7&gt;D70,0,-1/((0.184*ABS(SUM(D78:D85))^3-0.525*(SUM(D78:D85))^2+1.038*ABS(SUM(D78:D85))+1.001)))</f>
        <v>0</v>
      </c>
      <c r="E138" s="6"/>
      <c r="G138" s="68"/>
      <c r="Q138" s="287"/>
    </row>
    <row r="139" spans="2:17" hidden="1" x14ac:dyDescent="0.35">
      <c r="B139" s="495"/>
      <c r="C139" s="6" t="s">
        <v>1289</v>
      </c>
      <c r="D139" s="527">
        <f>IF(8&gt;D70,0,-1/((0.184*ABS(SUM(D78:D86))^3-0.525*(SUM(D78:D86))^2+1.038*ABS(SUM(D78:D86))+1.001)))</f>
        <v>0</v>
      </c>
      <c r="E139" s="6"/>
      <c r="G139" s="68"/>
      <c r="Q139" s="287"/>
    </row>
    <row r="140" spans="2:17" hidden="1" x14ac:dyDescent="0.35">
      <c r="B140" s="495"/>
      <c r="C140" s="6" t="s">
        <v>1290</v>
      </c>
      <c r="D140" s="527">
        <f>IF(3&gt;D70,0,-1/((0.184*ABS(SUM(D77:D79))^3-0.525*(SUM(D77:D79))^2+1.038*ABS(SUM(D77:D79))+1.001)))</f>
        <v>-0.3663055591516397</v>
      </c>
      <c r="E140" s="6"/>
      <c r="G140" s="68"/>
      <c r="Q140" s="287"/>
    </row>
    <row r="141" spans="2:17" hidden="1" x14ac:dyDescent="0.35">
      <c r="B141" s="495"/>
      <c r="C141" s="6" t="s">
        <v>1291</v>
      </c>
      <c r="D141" s="527">
        <f>IF(3&gt;D70,0,-1/((0.184*ABS(SUM(D77:D80))^3-0.525*(SUM(D77:D80))^2+1.038*ABS(SUM(D77:D80))+1.001)))</f>
        <v>-0.32784264399765972</v>
      </c>
      <c r="E141" s="6"/>
      <c r="G141" s="68"/>
      <c r="Q141" s="287"/>
    </row>
    <row r="142" spans="2:17" hidden="1" x14ac:dyDescent="0.35">
      <c r="B142" s="495"/>
      <c r="C142" s="6" t="s">
        <v>1292</v>
      </c>
      <c r="D142" s="527">
        <f>IF(3&gt;D70,0,-1/((0.184*ABS(SUM(D77:D81))^3-0.525*(SUM(D77:D81))^2+1.038*ABS(SUM(D77:D81))+1.001)))</f>
        <v>-0.17114654333727214</v>
      </c>
      <c r="E142" s="6"/>
      <c r="G142" s="68"/>
      <c r="Q142" s="287"/>
    </row>
    <row r="143" spans="2:17" hidden="1" x14ac:dyDescent="0.35">
      <c r="B143" s="495"/>
      <c r="C143" s="6" t="s">
        <v>1293</v>
      </c>
      <c r="D143" s="527">
        <f>IF(4&gt;D70,0,-1/((0.184*ABS(SUM(D77:D82))^3-0.525*(SUM(D77:D82))^2+1.038*ABS(SUM(D77:D82))+1.001)))</f>
        <v>-0.14915169503849171</v>
      </c>
      <c r="E143" s="6"/>
      <c r="G143" s="68"/>
      <c r="Q143" s="287"/>
    </row>
    <row r="144" spans="2:17" hidden="1" x14ac:dyDescent="0.35">
      <c r="B144" s="495"/>
      <c r="C144" s="6" t="s">
        <v>1294</v>
      </c>
      <c r="D144" s="527">
        <f>IF(5&gt;D70,0,-1/((0.184*ABS(SUM(D77:D83))^3-0.525*(SUM(D77:D83))^2+1.038*ABS(SUM(D77:D83))+1.001)))</f>
        <v>0</v>
      </c>
      <c r="E144" s="6"/>
      <c r="G144" s="68"/>
      <c r="Q144" s="287"/>
    </row>
    <row r="145" spans="2:17" hidden="1" x14ac:dyDescent="0.35">
      <c r="B145" s="495"/>
      <c r="C145" s="6" t="s">
        <v>1295</v>
      </c>
      <c r="D145" s="527">
        <f>IF(6&gt;D70,0,-1/((0.184*ABS(SUM(D77:D84))^3-0.525*(SUM(D77:D84))^2+1.038*ABS(SUM(D77:D84))+1.001)))</f>
        <v>0</v>
      </c>
      <c r="E145" s="6"/>
      <c r="G145" s="68"/>
      <c r="Q145" s="287"/>
    </row>
    <row r="146" spans="2:17" hidden="1" x14ac:dyDescent="0.35">
      <c r="B146" s="495"/>
      <c r="C146" s="6" t="s">
        <v>1296</v>
      </c>
      <c r="D146" s="527">
        <f>IF(7&gt;D70,0,-1/((0.184*ABS(SUM(D77:D85))^3-0.525*(SUM(D77:D85))^2+1.038*ABS(SUM(D77:D85))+1.001)))</f>
        <v>0</v>
      </c>
      <c r="E146" s="6"/>
      <c r="G146" s="68"/>
      <c r="Q146" s="287"/>
    </row>
    <row r="147" spans="2:17" hidden="1" x14ac:dyDescent="0.35">
      <c r="B147" s="495"/>
      <c r="C147" s="6" t="s">
        <v>1297</v>
      </c>
      <c r="D147" s="527">
        <f>IF(8&gt;D70,0,-1/((0.184*ABS(SUM(D77:D86))^3-0.525*(SUM(D77:D86))^2+1.038*ABS(SUM(D77:D86))+1.001)))</f>
        <v>0</v>
      </c>
      <c r="E147" s="6"/>
      <c r="G147" s="68"/>
      <c r="Q147" s="287"/>
    </row>
    <row r="148" spans="2:17" hidden="1" x14ac:dyDescent="0.35">
      <c r="B148" s="495"/>
      <c r="C148" s="6" t="s">
        <v>1298</v>
      </c>
      <c r="D148" s="527">
        <f>IF(4&gt;D70,0,-1/((0.184*ABS(SUM(D76:D79))^3-0.525*(SUM(D76:D79))^2+1.038*ABS(SUM(D76:D79))+1.001)))</f>
        <v>-0.32784264399765961</v>
      </c>
      <c r="E148" s="6"/>
      <c r="G148" s="68"/>
      <c r="Q148" s="287"/>
    </row>
    <row r="149" spans="2:17" hidden="1" x14ac:dyDescent="0.35">
      <c r="B149" s="495"/>
      <c r="C149" s="6" t="s">
        <v>1299</v>
      </c>
      <c r="D149" s="527">
        <f>IF(4&gt;D70,0,-1/((0.184*ABS(SUM(D76:D80))^3-0.525*(SUM(D76:D80))^2+1.038*ABS(SUM(D76:D80))+1.001)))</f>
        <v>-0.29090102542494017</v>
      </c>
      <c r="E149" s="6"/>
      <c r="G149" s="68"/>
      <c r="Q149" s="287"/>
    </row>
    <row r="150" spans="2:17" hidden="1" x14ac:dyDescent="0.35">
      <c r="B150" s="495"/>
      <c r="C150" s="6" t="s">
        <v>1300</v>
      </c>
      <c r="D150" s="527">
        <f>IF(4&gt;D70,0,-1/((0.184*ABS(SUM(D76:D81))^3-0.525*(SUM(D76:D81))^2+1.038*ABS(SUM(D76:D81))+1.001)))</f>
        <v>-0.14915169503849168</v>
      </c>
      <c r="E150" s="6"/>
      <c r="G150" s="68"/>
      <c r="Q150" s="287"/>
    </row>
    <row r="151" spans="2:17" hidden="1" x14ac:dyDescent="0.35">
      <c r="B151" s="495"/>
      <c r="C151" s="6" t="s">
        <v>1301</v>
      </c>
      <c r="D151" s="527">
        <f>IF(4&gt;D70,0,-1/((0.184*ABS(SUM(D76:D82))^3-0.525*(SUM(D76:D82))^2+1.038*ABS(SUM(D76:D82))+1.001)))</f>
        <v>-0.1300581798178165</v>
      </c>
      <c r="E151" s="6"/>
      <c r="G151" s="68"/>
      <c r="Q151" s="287"/>
    </row>
    <row r="152" spans="2:17" hidden="1" x14ac:dyDescent="0.35">
      <c r="B152" s="495"/>
      <c r="C152" s="6" t="s">
        <v>1302</v>
      </c>
      <c r="D152" s="527">
        <f>IF(5&gt;D70,0,-1/((0.184*ABS(SUM(D76:D83))^3-0.525*(SUM(D76:D83))^2+1.038*ABS(SUM(D76:D83))+1.001)))</f>
        <v>0</v>
      </c>
      <c r="E152" s="6"/>
      <c r="G152" s="68"/>
      <c r="Q152" s="287"/>
    </row>
    <row r="153" spans="2:17" hidden="1" x14ac:dyDescent="0.35">
      <c r="B153" s="495"/>
      <c r="C153" s="6" t="s">
        <v>1303</v>
      </c>
      <c r="D153" s="527">
        <f>IF(6&gt;D70,0,-1/((0.184*ABS(SUM(D76:D84))^3-0.525*(SUM(D76:D84))^2+1.038*ABS(SUM(D76:D84))+1.001)))</f>
        <v>0</v>
      </c>
      <c r="E153" s="6"/>
      <c r="G153" s="68"/>
      <c r="Q153" s="287"/>
    </row>
    <row r="154" spans="2:17" hidden="1" x14ac:dyDescent="0.35">
      <c r="B154" s="495"/>
      <c r="C154" s="6" t="s">
        <v>1304</v>
      </c>
      <c r="D154" s="527">
        <f>IF(7&gt;D70,0,-1/((0.184*ABS(SUM(D76:D85))^3-0.525*(SUM(D76:D85))^2+1.038*ABS(SUM(D76:D85))+1.001)))</f>
        <v>0</v>
      </c>
      <c r="E154" s="6"/>
      <c r="G154" s="68"/>
      <c r="Q154" s="287"/>
    </row>
    <row r="155" spans="2:17" hidden="1" x14ac:dyDescent="0.35">
      <c r="B155" s="495"/>
      <c r="C155" s="6" t="s">
        <v>1305</v>
      </c>
      <c r="D155" s="527">
        <f>IF(8&gt;D70,0,-1/((0.184*ABS(SUM(D76:D86))^3-0.525*(SUM(D76:D86))^2+1.038*ABS(SUM(D76:D86))+1.001)))</f>
        <v>0</v>
      </c>
      <c r="E155" s="6"/>
      <c r="G155" s="68"/>
      <c r="Q155" s="287"/>
    </row>
    <row r="156" spans="2:17" hidden="1" x14ac:dyDescent="0.35">
      <c r="B156" s="495"/>
      <c r="C156" s="6" t="s">
        <v>1306</v>
      </c>
      <c r="D156" s="527">
        <f>IF(5&gt;D70,0,-1/((0.184*ABS(SUM(D75:D79))^3-0.525*(SUM(D75:D79))^2+1.038*ABS(SUM(D75:D79))+1.001)))</f>
        <v>0</v>
      </c>
      <c r="E156" s="6"/>
      <c r="G156" s="68"/>
      <c r="Q156" s="287"/>
    </row>
    <row r="157" spans="2:17" hidden="1" x14ac:dyDescent="0.35">
      <c r="B157" s="495"/>
      <c r="C157" s="6" t="s">
        <v>1307</v>
      </c>
      <c r="D157" s="527">
        <f>IF(5&gt;D70,0,-1/((0.184*ABS(SUM(D75:D80))^3-0.525*(SUM(D75:D80))^2+1.038*ABS(SUM(D75:D80))+1.001)))</f>
        <v>0</v>
      </c>
      <c r="E157" s="6"/>
      <c r="G157" s="68"/>
      <c r="Q157" s="287"/>
    </row>
    <row r="158" spans="2:17" hidden="1" x14ac:dyDescent="0.35">
      <c r="B158" s="495"/>
      <c r="C158" s="6" t="s">
        <v>1308</v>
      </c>
      <c r="D158" s="527">
        <f>IF(5&gt;D70,0,-1/((0.184*ABS(SUM(D75:D81))^3-0.525*(SUM(D75:D81))^2+1.038*ABS(SUM(D75:D81))+1.001)))</f>
        <v>0</v>
      </c>
      <c r="E158" s="6"/>
      <c r="G158" s="68"/>
      <c r="Q158" s="287"/>
    </row>
    <row r="159" spans="2:17" hidden="1" x14ac:dyDescent="0.35">
      <c r="B159" s="495"/>
      <c r="C159" s="6" t="s">
        <v>1309</v>
      </c>
      <c r="D159" s="526">
        <f>IF(5&gt;D70,0,-1/((0.184*ABS(SUM(D75:D82))^3-0.525*(SUM(D75:D82))^2+1.038*ABS(SUM(D75:D82))+1.001)))</f>
        <v>0</v>
      </c>
      <c r="E159" s="6"/>
      <c r="G159" s="68"/>
      <c r="Q159" s="287"/>
    </row>
    <row r="160" spans="2:17" hidden="1" x14ac:dyDescent="0.35">
      <c r="B160" s="495"/>
      <c r="C160" s="6" t="s">
        <v>1310</v>
      </c>
      <c r="D160" s="526">
        <f>IF(5&gt;D70,0,-1/((0.184*ABS(SUM(D75:D83))^3-0.525*(SUM(D75:D83))^2+1.038*ABS(SUM(D75:D83))+1.001)))</f>
        <v>0</v>
      </c>
      <c r="E160" s="6"/>
      <c r="G160" s="68"/>
      <c r="Q160" s="287"/>
    </row>
    <row r="161" spans="2:17" hidden="1" x14ac:dyDescent="0.35">
      <c r="B161" s="495"/>
      <c r="C161" s="6" t="s">
        <v>1311</v>
      </c>
      <c r="D161" s="526">
        <f>IF(6&gt;D70,0,-1/((0.184*ABS(SUM(D75:D84))^3-0.525*(SUM(D75:D84))^2+1.038*ABS(SUM(D75:D84))+1.001)))</f>
        <v>0</v>
      </c>
      <c r="E161" s="6"/>
      <c r="G161" s="68"/>
      <c r="Q161" s="287"/>
    </row>
    <row r="162" spans="2:17" hidden="1" x14ac:dyDescent="0.35">
      <c r="B162" s="495"/>
      <c r="C162" s="6" t="s">
        <v>1312</v>
      </c>
      <c r="D162" s="526">
        <f>IF(7&gt;D70,0,-1/((0.184*ABS(SUM(D75:D85))^3-0.525*(SUM(D75:D85))^2+1.038*ABS(SUM(D75:D85))+1.001)))</f>
        <v>0</v>
      </c>
      <c r="E162" s="6"/>
      <c r="G162" s="68"/>
      <c r="Q162" s="287"/>
    </row>
    <row r="163" spans="2:17" hidden="1" x14ac:dyDescent="0.35">
      <c r="B163" s="495"/>
      <c r="C163" s="6" t="s">
        <v>1313</v>
      </c>
      <c r="D163" s="526">
        <f>IF(8&gt;D70,0,-1/((0.184*ABS(SUM(D75:D86))^3-0.525*(SUM(D75:D86))^2+1.038*ABS(SUM(D75:D86))+1.001)))</f>
        <v>0</v>
      </c>
      <c r="E163" s="6"/>
      <c r="G163" s="68"/>
      <c r="Q163" s="287"/>
    </row>
    <row r="164" spans="2:17" hidden="1" x14ac:dyDescent="0.35">
      <c r="B164" s="495"/>
      <c r="C164" s="6" t="s">
        <v>1314</v>
      </c>
      <c r="D164" s="526">
        <f>IF(6&gt;D70,0,-1/((0.184*ABS(SUM(D74:D79))^3-0.525*(SUM(D74:D79))^2+1.038*ABS(SUM(D74:D79))+1.001)))</f>
        <v>0</v>
      </c>
      <c r="E164" s="6"/>
      <c r="G164" s="68"/>
      <c r="Q164" s="287"/>
    </row>
    <row r="165" spans="2:17" hidden="1" x14ac:dyDescent="0.35">
      <c r="B165" s="495"/>
      <c r="C165" s="6" t="s">
        <v>1315</v>
      </c>
      <c r="D165" s="526">
        <f>IF(6&gt;D70,0,-1/((0.184*ABS(SUM(D74:D80))^3-0.525*(SUM(D74:D80))^2+1.038*ABS(SUM(D74:D80))+1.001)))</f>
        <v>0</v>
      </c>
      <c r="E165" s="6"/>
      <c r="G165" s="68"/>
      <c r="Q165" s="287"/>
    </row>
    <row r="166" spans="2:17" hidden="1" x14ac:dyDescent="0.35">
      <c r="B166" s="495"/>
      <c r="C166" s="6" t="s">
        <v>1316</v>
      </c>
      <c r="D166" s="526">
        <f>IF(6&gt;D70,0,-1/((0.184*ABS(SUM(D74:D81))^3-0.525*(SUM(D74:D81))^2+1.038*ABS(SUM(D74:D81))+1.001)))</f>
        <v>0</v>
      </c>
      <c r="E166" s="6"/>
      <c r="G166" s="68"/>
      <c r="Q166" s="287"/>
    </row>
    <row r="167" spans="2:17" hidden="1" x14ac:dyDescent="0.35">
      <c r="B167" s="495"/>
      <c r="C167" s="6" t="s">
        <v>1317</v>
      </c>
      <c r="D167" s="526">
        <f>IF(6&gt;D70,0,-1/((0.184*ABS(SUM(D74:D82))^3-0.525*(SUM(D74:D82))^2+1.038*ABS(SUM(D74:D82))+1.001)))</f>
        <v>0</v>
      </c>
      <c r="E167" s="6"/>
      <c r="G167" s="68"/>
      <c r="Q167" s="287"/>
    </row>
    <row r="168" spans="2:17" hidden="1" x14ac:dyDescent="0.35">
      <c r="B168" s="495"/>
      <c r="C168" s="6" t="s">
        <v>1318</v>
      </c>
      <c r="D168" s="526">
        <f>IF(6&gt;D70,0,-1/((0.184*ABS(SUM(D74:D83))^3-0.525*(SUM(D74:D83))^2+1.038*ABS(SUM(D74:D83))+1.001)))</f>
        <v>0</v>
      </c>
      <c r="E168" s="6"/>
      <c r="G168" s="68"/>
      <c r="Q168" s="287"/>
    </row>
    <row r="169" spans="2:17" hidden="1" x14ac:dyDescent="0.35">
      <c r="B169" s="495"/>
      <c r="C169" s="6" t="s">
        <v>1319</v>
      </c>
      <c r="D169" s="526">
        <f>IF(6&gt;D70,0,-1/((0.184*ABS(SUM(D74:D84))^3-0.525*(SUM(D74:D84))^2+1.038*ABS(SUM(D74:D84))+1.001)))</f>
        <v>0</v>
      </c>
      <c r="E169" s="6"/>
      <c r="G169" s="68"/>
      <c r="Q169" s="287"/>
    </row>
    <row r="170" spans="2:17" hidden="1" x14ac:dyDescent="0.35">
      <c r="B170" s="495"/>
      <c r="C170" s="6" t="s">
        <v>1320</v>
      </c>
      <c r="D170" s="526">
        <f>IF(7&gt;D70,0,-1/((0.184*ABS(SUM(D74:D85))^3-0.525*(SUM(D74:D85))^2+1.038*ABS(SUM(D74:D85))+1.001)))</f>
        <v>0</v>
      </c>
      <c r="E170" s="6"/>
      <c r="G170" s="68"/>
      <c r="Q170" s="287"/>
    </row>
    <row r="171" spans="2:17" hidden="1" x14ac:dyDescent="0.35">
      <c r="B171" s="495"/>
      <c r="C171" s="6" t="s">
        <v>1321</v>
      </c>
      <c r="D171" s="526">
        <f>IF(8&gt;D70,0,-1/((0.184*ABS(SUM(D74:D86))^3-0.525*(SUM(D74:D86))^2+1.038*ABS(SUM(D74:D86))+1.001)))</f>
        <v>0</v>
      </c>
      <c r="E171" s="6"/>
      <c r="G171" s="68"/>
      <c r="Q171" s="287"/>
    </row>
    <row r="172" spans="2:17" hidden="1" x14ac:dyDescent="0.35">
      <c r="B172" s="495"/>
      <c r="C172" s="6" t="s">
        <v>1322</v>
      </c>
      <c r="D172" s="526">
        <f>IF(7&gt;D70,0,-1/((0.184*ABS(SUM(D73:D79))^3-0.525*(SUM(D73:D79))^2+1.038*ABS(SUM(D73:D79))+1.001)))</f>
        <v>0</v>
      </c>
      <c r="E172" s="6"/>
      <c r="G172" s="68"/>
      <c r="Q172" s="287"/>
    </row>
    <row r="173" spans="2:17" hidden="1" x14ac:dyDescent="0.35">
      <c r="B173" s="495"/>
      <c r="C173" s="6" t="s">
        <v>1323</v>
      </c>
      <c r="D173" s="526">
        <f>IF(7&gt;D70,0,-1/((0.184*ABS(SUM(D73:D80))^3-0.525*(SUM(D73:D80))^2+1.038*ABS(SUM(D73:D80))+1.001)))</f>
        <v>0</v>
      </c>
      <c r="E173" s="6"/>
      <c r="G173" s="68"/>
      <c r="Q173" s="287"/>
    </row>
    <row r="174" spans="2:17" hidden="1" x14ac:dyDescent="0.35">
      <c r="B174" s="495"/>
      <c r="C174" s="6" t="s">
        <v>1324</v>
      </c>
      <c r="D174" s="526">
        <f>IF(7&gt;D70,0,-1/((0.184*ABS(SUM(D73:D81))^3-0.525*(SUM(D73:D81))^2+1.038*ABS(SUM(D73:D81))+1.001)))</f>
        <v>0</v>
      </c>
      <c r="E174" s="6"/>
      <c r="G174" s="68"/>
      <c r="Q174" s="287"/>
    </row>
    <row r="175" spans="2:17" hidden="1" x14ac:dyDescent="0.35">
      <c r="B175" s="495"/>
      <c r="C175" s="6" t="s">
        <v>1325</v>
      </c>
      <c r="D175" s="526">
        <f>IF(7&gt;D70,0,-1/((0.184*ABS(SUM(D73:D82))^3-0.525*(SUM(D73:D82))^2+1.038*ABS(SUM(D73:D82))+1.001)))</f>
        <v>0</v>
      </c>
      <c r="E175" s="6"/>
      <c r="G175" s="68"/>
      <c r="Q175" s="287"/>
    </row>
    <row r="176" spans="2:17" hidden="1" x14ac:dyDescent="0.35">
      <c r="B176" s="495"/>
      <c r="C176" s="6" t="s">
        <v>1326</v>
      </c>
      <c r="D176" s="526">
        <f>IF(7&gt;D70,0,-1/((0.184*ABS(SUM(D73:D83))^3-0.525*(SUM(D73:D83))^2+1.038*ABS(SUM(D73:D83))+1.001)))</f>
        <v>0</v>
      </c>
      <c r="E176" s="6"/>
      <c r="G176" s="68"/>
      <c r="Q176" s="287"/>
    </row>
    <row r="177" spans="2:17" hidden="1" x14ac:dyDescent="0.35">
      <c r="B177" s="495"/>
      <c r="C177" s="6" t="s">
        <v>1327</v>
      </c>
      <c r="D177" s="526">
        <f>IF(7&gt;D70,0,-1/((0.184*ABS(SUM(D73:D84))^3-0.525*(SUM(D73:D84))^2+1.038*ABS(SUM(D73:D84))+1.001)))</f>
        <v>0</v>
      </c>
      <c r="E177" s="6"/>
      <c r="G177" s="68"/>
      <c r="Q177" s="287"/>
    </row>
    <row r="178" spans="2:17" hidden="1" x14ac:dyDescent="0.35">
      <c r="B178" s="495"/>
      <c r="C178" s="6" t="s">
        <v>1328</v>
      </c>
      <c r="D178" s="526">
        <f>IF(7&gt;D70,0,-1/((0.184*ABS(SUM(D73:D85))^3-0.525*(SUM(D73:D85))^2+1.038*ABS(SUM(D73:D85))+1.001)))</f>
        <v>0</v>
      </c>
      <c r="E178" s="6"/>
      <c r="G178" s="68"/>
      <c r="Q178" s="287"/>
    </row>
    <row r="179" spans="2:17" hidden="1" x14ac:dyDescent="0.35">
      <c r="B179" s="495"/>
      <c r="C179" s="6" t="s">
        <v>1329</v>
      </c>
      <c r="D179" s="526">
        <f>IF(8&gt;D70,0,-1/((0.184*ABS(SUM(D73:D86))^3-0.525*(SUM(D73:D86))^2+1.038*ABS(SUM(D73:D86))+1.001)))</f>
        <v>0</v>
      </c>
      <c r="E179" s="6"/>
      <c r="G179" s="68"/>
      <c r="Q179" s="287"/>
    </row>
    <row r="180" spans="2:17" hidden="1" x14ac:dyDescent="0.35">
      <c r="B180" s="495"/>
      <c r="C180" s="6" t="s">
        <v>1330</v>
      </c>
      <c r="D180" s="526">
        <f>IF(8&gt;D70,0,-1/((0.184*ABS(SUM(D72:D80))^3-0.525*(SUM(D72:D80))^2+1.038*ABS(SUM(D72:D80))+1.001)))</f>
        <v>0</v>
      </c>
      <c r="E180" s="6"/>
      <c r="G180" s="68"/>
      <c r="Q180" s="287"/>
    </row>
    <row r="181" spans="2:17" hidden="1" x14ac:dyDescent="0.35">
      <c r="B181" s="495"/>
      <c r="C181" s="6" t="s">
        <v>1331</v>
      </c>
      <c r="D181" s="526">
        <f>IF(8&gt;D70,0,-1/((0.184*ABS(SUM(D72:D81))^3-0.525*(SUM(D72:D81))^2+1.038*ABS(SUM(D72:D81))+1.001)))</f>
        <v>0</v>
      </c>
      <c r="E181" s="6"/>
      <c r="G181" s="68"/>
      <c r="Q181" s="287"/>
    </row>
    <row r="182" spans="2:17" hidden="1" x14ac:dyDescent="0.35">
      <c r="B182" s="495"/>
      <c r="C182" s="6" t="s">
        <v>1332</v>
      </c>
      <c r="D182" s="526">
        <f>IF(8&gt;D70,0,-1/((0.184*ABS(SUM(D72:D82))^3-0.525*(SUM(D72:D82))^2+1.038*ABS(SUM(D72:D82))+1.001)))</f>
        <v>0</v>
      </c>
      <c r="E182" s="6"/>
      <c r="G182" s="68"/>
      <c r="Q182" s="287"/>
    </row>
    <row r="183" spans="2:17" hidden="1" x14ac:dyDescent="0.35">
      <c r="B183" s="495"/>
      <c r="C183" s="6" t="s">
        <v>1333</v>
      </c>
      <c r="D183" s="526">
        <f>IF(8&gt;D70,0,-1/((0.184*ABS(SUM(D72:D83))^3-0.525*(SUM(D72:D83))^2+1.038*ABS(SUM(D72:D83))+1.001)))</f>
        <v>0</v>
      </c>
      <c r="E183" s="6"/>
      <c r="G183" s="68"/>
      <c r="Q183" s="287"/>
    </row>
    <row r="184" spans="2:17" hidden="1" x14ac:dyDescent="0.35">
      <c r="B184" s="495"/>
      <c r="C184" s="6" t="s">
        <v>1334</v>
      </c>
      <c r="D184" s="526">
        <f>IF(8&gt;D70,0,-1/((0.184*ABS(SUM(D72:D84))^3-0.525*(SUM(D72:D84))^2+1.038*ABS(SUM(D72:D84))+1.001)))</f>
        <v>0</v>
      </c>
      <c r="E184" s="6"/>
      <c r="G184" s="68"/>
      <c r="Q184" s="287"/>
    </row>
    <row r="185" spans="2:17" hidden="1" x14ac:dyDescent="0.35">
      <c r="B185" s="495"/>
      <c r="C185" s="6" t="s">
        <v>1335</v>
      </c>
      <c r="D185" s="526">
        <f>IF(8&gt;D70,0,-1/((0.184*ABS(SUM(D72:D85))^3-0.525*(SUM(D72:D85))^2+1.038*ABS(SUM(D72:D85))+1.001)))</f>
        <v>0</v>
      </c>
      <c r="E185" s="6"/>
      <c r="G185" s="68"/>
      <c r="Q185" s="287"/>
    </row>
    <row r="186" spans="2:17" hidden="1" x14ac:dyDescent="0.35">
      <c r="B186" s="495"/>
      <c r="C186" s="6" t="s">
        <v>1336</v>
      </c>
      <c r="D186" s="526">
        <f>IF(8&gt;D70,0,-1/((0.184*ABS(SUM(D72:D86))^3-0.525*(SUM(D72:D86))^2+1.038*ABS(SUM(D72:D86))+1.001)))</f>
        <v>0</v>
      </c>
      <c r="E186" s="6"/>
      <c r="G186" s="68"/>
      <c r="Q186" s="287"/>
    </row>
    <row r="187" spans="2:17" hidden="1" x14ac:dyDescent="0.35">
      <c r="B187" s="495"/>
      <c r="C187" s="5"/>
      <c r="D187" s="499"/>
      <c r="E187" s="505"/>
      <c r="G187" s="68"/>
      <c r="Q187" s="287"/>
    </row>
    <row r="188" spans="2:17" hidden="1" x14ac:dyDescent="0.35">
      <c r="B188" s="495"/>
      <c r="C188" s="5" t="s">
        <v>1123</v>
      </c>
      <c r="D188" s="499">
        <f>D90</f>
        <v>4.5222279315741405</v>
      </c>
      <c r="E188" s="95" t="s">
        <v>1174</v>
      </c>
      <c r="Q188" s="287"/>
    </row>
    <row r="189" spans="2:17" hidden="1" x14ac:dyDescent="0.35">
      <c r="B189" s="495"/>
      <c r="C189" s="5" t="s">
        <v>1124</v>
      </c>
      <c r="D189" s="499">
        <f>D93</f>
        <v>2.6725509885716905</v>
      </c>
      <c r="E189" s="95" t="s">
        <v>1174</v>
      </c>
      <c r="Q189" s="287"/>
    </row>
    <row r="190" spans="2:17" hidden="1" x14ac:dyDescent="0.35">
      <c r="B190" s="495"/>
      <c r="C190" s="5"/>
      <c r="D190" s="499"/>
      <c r="E190" s="95"/>
      <c r="Q190" s="287"/>
    </row>
    <row r="191" spans="2:17" hidden="1" x14ac:dyDescent="0.35">
      <c r="B191" s="501" t="s">
        <v>1162</v>
      </c>
      <c r="C191" s="470"/>
      <c r="D191" s="498"/>
      <c r="E191" s="505"/>
      <c r="Q191" s="287"/>
    </row>
    <row r="192" spans="2:17" hidden="1" x14ac:dyDescent="0.35">
      <c r="B192" s="495"/>
      <c r="C192" s="5" t="s">
        <v>1158</v>
      </c>
      <c r="D192" s="498">
        <v>1</v>
      </c>
      <c r="E192" s="505" t="s">
        <v>243</v>
      </c>
      <c r="Q192" s="287"/>
    </row>
    <row r="193" spans="2:17" hidden="1" x14ac:dyDescent="0.35">
      <c r="B193" s="495"/>
      <c r="C193" s="5" t="s">
        <v>1160</v>
      </c>
      <c r="D193" s="498">
        <v>10</v>
      </c>
      <c r="E193" s="505" t="s">
        <v>0</v>
      </c>
      <c r="Q193" s="287"/>
    </row>
    <row r="194" spans="2:17" hidden="1" x14ac:dyDescent="0.35">
      <c r="B194" s="495"/>
      <c r="C194" s="5" t="s">
        <v>1169</v>
      </c>
      <c r="D194" s="498">
        <v>40</v>
      </c>
      <c r="E194" s="505" t="s">
        <v>0</v>
      </c>
      <c r="Q194" s="287"/>
    </row>
    <row r="195" spans="2:17" hidden="1" x14ac:dyDescent="0.35">
      <c r="B195" s="495"/>
      <c r="C195" s="5" t="s">
        <v>267</v>
      </c>
      <c r="D195" s="504">
        <v>1</v>
      </c>
      <c r="E195" s="496"/>
      <c r="Q195" s="287"/>
    </row>
    <row r="196" spans="2:17" hidden="1" x14ac:dyDescent="0.35">
      <c r="B196" s="495"/>
      <c r="C196" s="5" t="s">
        <v>1371</v>
      </c>
      <c r="D196" s="504">
        <f>400000/49</f>
        <v>8163.2653061224491</v>
      </c>
      <c r="E196" s="496" t="s">
        <v>405</v>
      </c>
      <c r="Q196" s="287"/>
    </row>
    <row r="197" spans="2:17" hidden="1" x14ac:dyDescent="0.35">
      <c r="B197" s="495"/>
      <c r="C197" s="5" t="s">
        <v>1171</v>
      </c>
      <c r="D197" s="504">
        <v>10</v>
      </c>
      <c r="E197" s="496" t="s">
        <v>1166</v>
      </c>
      <c r="Q197" s="287"/>
    </row>
    <row r="198" spans="2:17" hidden="1" x14ac:dyDescent="0.35">
      <c r="B198" s="495"/>
      <c r="C198" s="5" t="s">
        <v>1403</v>
      </c>
      <c r="D198" s="498">
        <v>0.55000000000000004</v>
      </c>
      <c r="E198" s="496" t="s">
        <v>376</v>
      </c>
      <c r="Q198" s="287"/>
    </row>
    <row r="199" spans="2:17" hidden="1" x14ac:dyDescent="0.35">
      <c r="B199" s="501" t="s">
        <v>1179</v>
      </c>
      <c r="C199" s="470"/>
      <c r="D199" s="498"/>
      <c r="E199" s="496"/>
      <c r="Q199" s="287"/>
    </row>
    <row r="200" spans="2:17" hidden="1" x14ac:dyDescent="0.35">
      <c r="B200" s="495"/>
      <c r="C200" s="5" t="s">
        <v>1180</v>
      </c>
      <c r="D200" s="499">
        <f>D193*0.95</f>
        <v>9.5</v>
      </c>
      <c r="E200" s="496" t="s">
        <v>0</v>
      </c>
      <c r="Q200" s="287"/>
    </row>
    <row r="201" spans="2:17" hidden="1" x14ac:dyDescent="0.35">
      <c r="B201" s="495"/>
      <c r="C201" s="5" t="s">
        <v>1142</v>
      </c>
      <c r="D201" s="507">
        <f>SQRT(D66/(4*PI()*PI()*10*D200))*10000</f>
        <v>2.1164741566498071E-2</v>
      </c>
      <c r="E201" s="496" t="s">
        <v>34</v>
      </c>
      <c r="Q201" s="287"/>
    </row>
    <row r="202" spans="2:17" hidden="1" x14ac:dyDescent="0.35">
      <c r="B202" s="495"/>
      <c r="C202" s="5" t="s">
        <v>1143</v>
      </c>
      <c r="D202" s="499">
        <f>D67*D33/(D201*(1-EXP(-D33/D201)))</f>
        <v>5.4519076733396012</v>
      </c>
      <c r="E202" s="505" t="s">
        <v>77</v>
      </c>
      <c r="Q202" s="287"/>
    </row>
    <row r="203" spans="2:17" hidden="1" x14ac:dyDescent="0.35">
      <c r="B203" s="495"/>
      <c r="C203" s="5" t="s">
        <v>1141</v>
      </c>
      <c r="D203" s="498">
        <f>0.001*(2*PI()*D200*D189)^2/D202</f>
        <v>4.6677808090293906</v>
      </c>
      <c r="E203" s="505" t="s">
        <v>243</v>
      </c>
      <c r="Q203" s="287"/>
    </row>
    <row r="204" spans="2:17" hidden="1" x14ac:dyDescent="0.35">
      <c r="B204" s="501" t="s">
        <v>1150</v>
      </c>
      <c r="C204" s="470"/>
      <c r="D204" s="498"/>
      <c r="E204" s="496"/>
      <c r="Q204" s="287"/>
    </row>
    <row r="205" spans="2:17" hidden="1" x14ac:dyDescent="0.35">
      <c r="B205" s="495"/>
      <c r="C205" s="5" t="s">
        <v>1147</v>
      </c>
      <c r="D205" s="498" t="s">
        <v>1146</v>
      </c>
      <c r="E205" s="496"/>
      <c r="Q205" s="287"/>
    </row>
    <row r="206" spans="2:17" hidden="1" x14ac:dyDescent="0.35">
      <c r="B206" s="495"/>
      <c r="C206" s="5" t="s">
        <v>69</v>
      </c>
      <c r="D206" s="498">
        <v>0.9</v>
      </c>
      <c r="E206" s="95" t="s">
        <v>1174</v>
      </c>
      <c r="G206" t="s">
        <v>1220</v>
      </c>
      <c r="Q206" s="287"/>
    </row>
    <row r="207" spans="2:17" hidden="1" x14ac:dyDescent="0.35">
      <c r="B207" s="495"/>
      <c r="C207" s="5" t="s">
        <v>1148</v>
      </c>
      <c r="D207" s="498">
        <v>20</v>
      </c>
      <c r="E207" s="496"/>
      <c r="Q207" s="287"/>
    </row>
    <row r="208" spans="2:17" hidden="1" x14ac:dyDescent="0.35">
      <c r="B208" s="495"/>
      <c r="C208" s="5" t="s">
        <v>1149</v>
      </c>
      <c r="D208" s="498">
        <v>3.2</v>
      </c>
      <c r="E208" s="505" t="s">
        <v>77</v>
      </c>
      <c r="Q208" s="287"/>
    </row>
    <row r="209" spans="2:17" hidden="1" x14ac:dyDescent="0.35">
      <c r="B209" s="495"/>
      <c r="C209" s="5" t="s">
        <v>1156</v>
      </c>
      <c r="D209" s="513">
        <f>IF(D203&lt;D192,1,0)</f>
        <v>0</v>
      </c>
      <c r="E209" s="505" t="s">
        <v>1157</v>
      </c>
      <c r="Q209" s="287"/>
    </row>
    <row r="210" spans="2:17" hidden="1" x14ac:dyDescent="0.35">
      <c r="B210" s="495"/>
      <c r="C210" s="5" t="s">
        <v>1215</v>
      </c>
      <c r="D210" s="513" t="str">
        <f>IF(D209=0,""," with 1µH fixed L")</f>
        <v/>
      </c>
      <c r="E210" s="505"/>
      <c r="Q210" s="287"/>
    </row>
    <row r="211" spans="2:17" hidden="1" x14ac:dyDescent="0.35">
      <c r="B211" s="501" t="s">
        <v>1163</v>
      </c>
      <c r="C211" s="470"/>
      <c r="D211" s="498"/>
      <c r="E211" s="505"/>
      <c r="Q211" s="287"/>
    </row>
    <row r="212" spans="2:17" hidden="1" x14ac:dyDescent="0.35">
      <c r="B212" s="495"/>
      <c r="C212" s="5" t="s">
        <v>1183</v>
      </c>
      <c r="D212" s="509">
        <f>1000000/((2*PI()*D200)^2*D221)</f>
        <v>105.01880036430549</v>
      </c>
      <c r="E212" s="505" t="s">
        <v>27</v>
      </c>
      <c r="Q212" s="287"/>
    </row>
    <row r="213" spans="2:17" hidden="1" x14ac:dyDescent="0.35">
      <c r="B213" s="495"/>
      <c r="C213" s="5" t="s">
        <v>1185</v>
      </c>
      <c r="D213" s="498">
        <f>D212/(10^(FLOOR(LOG(D212,10),1)))</f>
        <v>1.0501880036430549</v>
      </c>
      <c r="E213" s="505"/>
      <c r="Q213" s="287"/>
    </row>
    <row r="214" spans="2:17" hidden="1" x14ac:dyDescent="0.35">
      <c r="B214" s="495"/>
      <c r="C214" s="5" t="s">
        <v>1349</v>
      </c>
      <c r="D214" s="498">
        <f>VLOOKUP(D213,D$370:D$393,1,TRUE)</f>
        <v>1</v>
      </c>
      <c r="E214" s="496" t="s">
        <v>1352</v>
      </c>
      <c r="Q214" s="287"/>
    </row>
    <row r="215" spans="2:17" hidden="1" x14ac:dyDescent="0.35">
      <c r="B215" s="495"/>
      <c r="C215" s="5" t="s">
        <v>1350</v>
      </c>
      <c r="D215" s="498">
        <f>VLOOKUP(D213*1.07,D$370:D$393,1,TRUE)</f>
        <v>1.1000000000000001</v>
      </c>
      <c r="E215" s="496"/>
      <c r="Q215" s="287"/>
    </row>
    <row r="216" spans="2:17" hidden="1" x14ac:dyDescent="0.35">
      <c r="B216" s="495"/>
      <c r="C216" s="5" t="s">
        <v>1351</v>
      </c>
      <c r="D216" s="498">
        <f>IF(D213-D214&lt;D215-D213,D214,D215)</f>
        <v>1.1000000000000001</v>
      </c>
      <c r="E216" s="496"/>
      <c r="Q216" s="287"/>
    </row>
    <row r="217" spans="2:17" hidden="1" x14ac:dyDescent="0.35">
      <c r="B217" s="495"/>
      <c r="C217" s="5" t="s">
        <v>1184</v>
      </c>
      <c r="D217" s="509">
        <f>10^FLOOR(LOG(D212),1)*D216</f>
        <v>110.00000000000001</v>
      </c>
      <c r="E217" s="505" t="s">
        <v>27</v>
      </c>
      <c r="Q217" s="287"/>
    </row>
    <row r="218" spans="2:17" hidden="1" x14ac:dyDescent="0.35">
      <c r="B218" s="495"/>
      <c r="C218" s="5" t="s">
        <v>1375</v>
      </c>
      <c r="D218" s="504">
        <f>IF(D217&lt;5000,IF(D217&gt;50,1,0),0)</f>
        <v>1</v>
      </c>
      <c r="E218" s="505" t="s">
        <v>1157</v>
      </c>
      <c r="Q218" s="287"/>
    </row>
    <row r="219" spans="2:17" hidden="1" x14ac:dyDescent="0.35">
      <c r="B219" s="495"/>
      <c r="C219" s="5" t="s">
        <v>1151</v>
      </c>
      <c r="D219" s="498">
        <f>D206*D209+D188</f>
        <v>4.5222279315741405</v>
      </c>
      <c r="E219" s="95" t="s">
        <v>1174</v>
      </c>
      <c r="Q219" s="287"/>
    </row>
    <row r="220" spans="2:17" hidden="1" x14ac:dyDescent="0.35">
      <c r="B220" s="495"/>
      <c r="C220" s="5" t="s">
        <v>1152</v>
      </c>
      <c r="D220" s="499">
        <f>1000/(2*PI()*SQRT(D219*D217))</f>
        <v>7.1358804415174122</v>
      </c>
      <c r="E220" s="505" t="s">
        <v>0</v>
      </c>
      <c r="Q220" s="287"/>
    </row>
    <row r="221" spans="2:17" hidden="1" x14ac:dyDescent="0.35">
      <c r="B221" s="495"/>
      <c r="C221" s="5" t="s">
        <v>1153</v>
      </c>
      <c r="D221" s="498">
        <f>D206*D209+D189</f>
        <v>2.6725509885716905</v>
      </c>
      <c r="E221" s="95" t="s">
        <v>1174</v>
      </c>
      <c r="Q221" s="287"/>
    </row>
    <row r="222" spans="2:17" hidden="1" x14ac:dyDescent="0.35">
      <c r="B222" s="495"/>
      <c r="C222" s="5" t="s">
        <v>1154</v>
      </c>
      <c r="D222" s="499">
        <f>1000/(2*PI()*SQRT(D221*D217))</f>
        <v>9.2824109000344244</v>
      </c>
      <c r="E222" s="496" t="s">
        <v>0</v>
      </c>
      <c r="Q222" s="287"/>
    </row>
    <row r="223" spans="2:17" hidden="1" x14ac:dyDescent="0.35">
      <c r="B223" s="495"/>
      <c r="C223" s="5" t="s">
        <v>1182</v>
      </c>
      <c r="D223" s="499">
        <f>MAX(D222-D220,0.000000001)</f>
        <v>2.1465304585170122</v>
      </c>
      <c r="E223" s="496" t="s">
        <v>0</v>
      </c>
      <c r="Q223" s="287"/>
    </row>
    <row r="224" spans="2:17" hidden="1" x14ac:dyDescent="0.35">
      <c r="B224" s="495"/>
      <c r="C224" s="5" t="s">
        <v>1365</v>
      </c>
      <c r="D224" s="507">
        <f>SQRT(D66/(4*PI()*PI()*10*D220))*10000</f>
        <v>2.4420299724810659E-2</v>
      </c>
      <c r="E224" s="496" t="s">
        <v>34</v>
      </c>
      <c r="Q224" s="287"/>
    </row>
    <row r="225" spans="2:17" hidden="1" x14ac:dyDescent="0.35">
      <c r="B225" s="495"/>
      <c r="C225" s="5" t="s">
        <v>1364</v>
      </c>
      <c r="D225" s="499">
        <f>D67*D33/(D224*(1-EXP(-D33/D224)))</f>
        <v>5.0204388193834406</v>
      </c>
      <c r="E225" s="505" t="s">
        <v>77</v>
      </c>
      <c r="Q225" s="287"/>
    </row>
    <row r="226" spans="2:17" hidden="1" x14ac:dyDescent="0.35">
      <c r="B226" s="495"/>
      <c r="C226" s="5" t="s">
        <v>1155</v>
      </c>
      <c r="D226" s="499">
        <f>D208*D209+D202</f>
        <v>5.4519076733396012</v>
      </c>
      <c r="E226" s="505" t="s">
        <v>77</v>
      </c>
      <c r="Q226" s="287"/>
    </row>
    <row r="227" spans="2:17" hidden="1" x14ac:dyDescent="0.35">
      <c r="B227" s="495"/>
      <c r="C227" s="5" t="s">
        <v>1363</v>
      </c>
      <c r="D227" s="499">
        <f>0.001*(2*PI()*D222*D221)^2/D226</f>
        <v>4.4564067357072172</v>
      </c>
      <c r="E227" s="505" t="s">
        <v>243</v>
      </c>
      <c r="Q227" s="287"/>
    </row>
    <row r="228" spans="2:17" hidden="1" x14ac:dyDescent="0.35">
      <c r="B228" s="495"/>
      <c r="C228" s="5" t="s">
        <v>1196</v>
      </c>
      <c r="D228" s="498">
        <f>1000*(1/D225)*SQRT(D219/D217)</f>
        <v>40.386684570195001</v>
      </c>
      <c r="E228" s="505"/>
      <c r="Q228" s="287"/>
    </row>
    <row r="229" spans="2:17" hidden="1" x14ac:dyDescent="0.35">
      <c r="B229" s="495"/>
      <c r="C229" s="5" t="s">
        <v>1159</v>
      </c>
      <c r="D229" s="513">
        <f>IF(D227&lt;D192,0,1)</f>
        <v>1</v>
      </c>
      <c r="E229" s="505" t="s">
        <v>1157</v>
      </c>
      <c r="Q229" s="287"/>
    </row>
    <row r="230" spans="2:17" hidden="1" x14ac:dyDescent="0.35">
      <c r="B230" s="495"/>
      <c r="C230" s="5" t="s">
        <v>1404</v>
      </c>
      <c r="D230" s="498">
        <f>D198*PI()/(4*D227)</f>
        <v>9.693212839111387E-2</v>
      </c>
      <c r="E230" s="505" t="s">
        <v>244</v>
      </c>
      <c r="Q230" s="287"/>
    </row>
    <row r="231" spans="2:17" hidden="1" x14ac:dyDescent="0.35">
      <c r="B231" s="495"/>
      <c r="C231" s="5" t="s">
        <v>1406</v>
      </c>
      <c r="D231" s="509">
        <f>LOG(D230*200/PI())/LOG(1.160155)</f>
        <v>12.250413461520072</v>
      </c>
      <c r="E231" s="505"/>
      <c r="Q231" s="287"/>
    </row>
    <row r="232" spans="2:17" hidden="1" x14ac:dyDescent="0.35">
      <c r="B232" s="495"/>
      <c r="C232" s="5" t="s">
        <v>1405</v>
      </c>
      <c r="D232" s="504">
        <f>IF(D231&lt;0,0,IF(D231&gt;31,31,ROUND(D231,0)))</f>
        <v>12</v>
      </c>
      <c r="E232" s="505"/>
      <c r="Q232" s="287"/>
    </row>
    <row r="233" spans="2:17" hidden="1" x14ac:dyDescent="0.35">
      <c r="B233" s="495"/>
      <c r="C233" s="5" t="s">
        <v>1377</v>
      </c>
      <c r="D233" s="499" t="str">
        <f>IF(D229=1,"","Sensor RP too Low. ")</f>
        <v/>
      </c>
      <c r="E233" s="496"/>
      <c r="Q233" s="287"/>
    </row>
    <row r="234" spans="2:17" hidden="1" x14ac:dyDescent="0.35">
      <c r="B234" s="495"/>
      <c r="C234" s="5" t="s">
        <v>1164</v>
      </c>
      <c r="D234" s="499">
        <f>500/D41</f>
        <v>12.5</v>
      </c>
      <c r="E234" s="496" t="s">
        <v>1165</v>
      </c>
      <c r="Q234" s="287"/>
    </row>
    <row r="235" spans="2:17" hidden="1" x14ac:dyDescent="0.35">
      <c r="B235" s="495"/>
      <c r="C235" s="5" t="s">
        <v>1362</v>
      </c>
      <c r="D235" s="504">
        <f>40000*D234/16</f>
        <v>31250</v>
      </c>
      <c r="E235" s="496"/>
      <c r="Q235" s="287"/>
    </row>
    <row r="236" spans="2:17" hidden="1" x14ac:dyDescent="0.35">
      <c r="B236" s="495"/>
      <c r="C236" s="5" t="s">
        <v>1366</v>
      </c>
      <c r="D236" s="504">
        <f>CEILING(D228*D194/(D195*D220)/16,1)</f>
        <v>15</v>
      </c>
      <c r="E236" s="496" t="s">
        <v>945</v>
      </c>
      <c r="Q236" s="287"/>
    </row>
    <row r="237" spans="2:17" hidden="1" x14ac:dyDescent="0.35">
      <c r="B237" s="495"/>
      <c r="C237" s="5" t="s">
        <v>1170</v>
      </c>
      <c r="D237" s="509">
        <f>MAX(4096*D223/40,0.001)</f>
        <v>219.80471895214205</v>
      </c>
      <c r="E237" s="496" t="s">
        <v>1166</v>
      </c>
      <c r="Q237" s="287"/>
    </row>
    <row r="238" spans="2:17" hidden="1" x14ac:dyDescent="0.35">
      <c r="B238" s="495"/>
      <c r="C238" s="5" t="s">
        <v>1167</v>
      </c>
      <c r="D238" s="504">
        <f>CEILING(2*(10^(LOG((D223*1000000*0.01)/25317/D194,10)/-1.0023)/32)*(1.5*D222/D195),1)</f>
        <v>41</v>
      </c>
      <c r="E238" s="496" t="s">
        <v>945</v>
      </c>
      <c r="Q238" s="287"/>
    </row>
    <row r="239" spans="2:17" hidden="1" x14ac:dyDescent="0.35">
      <c r="B239" s="495"/>
      <c r="C239" s="5" t="s">
        <v>1369</v>
      </c>
      <c r="D239" s="504">
        <f>D238+D236</f>
        <v>56</v>
      </c>
      <c r="E239" s="496" t="s">
        <v>945</v>
      </c>
      <c r="Q239" s="287"/>
    </row>
    <row r="240" spans="2:17" hidden="1" x14ac:dyDescent="0.35">
      <c r="B240" s="495"/>
      <c r="C240" s="5" t="s">
        <v>1370</v>
      </c>
      <c r="D240" s="504">
        <f>(2*D239*16+8)*(D194/D195)</f>
        <v>72000</v>
      </c>
      <c r="E240" s="496" t="s">
        <v>405</v>
      </c>
      <c r="Q240" s="287"/>
    </row>
    <row r="241" spans="2:17" hidden="1" x14ac:dyDescent="0.35">
      <c r="B241" s="495"/>
      <c r="C241" s="5" t="s">
        <v>1372</v>
      </c>
      <c r="D241" s="504">
        <f>MIN(D196/2,D240)</f>
        <v>4081.6326530612246</v>
      </c>
      <c r="E241" s="496" t="s">
        <v>405</v>
      </c>
      <c r="Q241" s="287"/>
    </row>
    <row r="242" spans="2:17" hidden="1" x14ac:dyDescent="0.35">
      <c r="B242" s="495"/>
      <c r="C242" s="5" t="s">
        <v>1374</v>
      </c>
      <c r="D242" s="504">
        <f>IF(D239&lt;D235,1,0)</f>
        <v>1</v>
      </c>
      <c r="E242" s="496" t="s">
        <v>1168</v>
      </c>
      <c r="Q242" s="287"/>
    </row>
    <row r="243" spans="2:17" hidden="1" x14ac:dyDescent="0.35">
      <c r="B243" s="495"/>
      <c r="C243" s="5" t="s">
        <v>1377</v>
      </c>
      <c r="D243" s="504" t="str">
        <f>IF(D242=0,"LDC131x Max Sample Rate too low. ","")</f>
        <v/>
      </c>
      <c r="E243" s="496"/>
      <c r="Q243" s="287"/>
    </row>
    <row r="244" spans="2:17" hidden="1" x14ac:dyDescent="0.35">
      <c r="B244" s="495"/>
      <c r="C244" s="5" t="s">
        <v>1368</v>
      </c>
      <c r="D244" s="504">
        <f>IF(D237&gt;D197,1,0)</f>
        <v>1</v>
      </c>
      <c r="E244" s="496" t="s">
        <v>1168</v>
      </c>
      <c r="Q244" s="287"/>
    </row>
    <row r="245" spans="2:17" hidden="1" x14ac:dyDescent="0.35">
      <c r="B245" s="495"/>
      <c r="C245" s="5" t="s">
        <v>1377</v>
      </c>
      <c r="D245" s="504" t="str">
        <f>IF(D244=0, " LDC131x Resolution too low.","")</f>
        <v/>
      </c>
      <c r="E245" s="496"/>
      <c r="Q245" s="287"/>
    </row>
    <row r="246" spans="2:17" hidden="1" x14ac:dyDescent="0.35">
      <c r="B246" s="495"/>
      <c r="C246" s="514" t="s">
        <v>1208</v>
      </c>
      <c r="D246" s="513">
        <f>D244*D242*D229</f>
        <v>1</v>
      </c>
      <c r="E246" s="496" t="s">
        <v>1168</v>
      </c>
      <c r="Q246" s="287"/>
    </row>
    <row r="247" spans="2:17" hidden="1" x14ac:dyDescent="0.35">
      <c r="B247" s="495"/>
      <c r="C247" s="5"/>
      <c r="D247" s="500" t="str">
        <f>D243&amp;D233</f>
        <v/>
      </c>
      <c r="E247" s="293"/>
      <c r="Q247" s="287"/>
    </row>
    <row r="248" spans="2:17" hidden="1" x14ac:dyDescent="0.35">
      <c r="B248" s="501" t="s">
        <v>1178</v>
      </c>
      <c r="C248" s="470"/>
      <c r="D248" s="504"/>
      <c r="E248" s="496"/>
      <c r="Q248" s="287"/>
    </row>
    <row r="249" spans="2:17" hidden="1" x14ac:dyDescent="0.35">
      <c r="B249" s="495"/>
      <c r="C249" s="5" t="s">
        <v>1158</v>
      </c>
      <c r="D249" s="498">
        <v>0.35</v>
      </c>
      <c r="E249" s="505" t="s">
        <v>243</v>
      </c>
      <c r="Q249" s="287"/>
    </row>
    <row r="250" spans="2:17" hidden="1" x14ac:dyDescent="0.35">
      <c r="B250" s="495"/>
      <c r="C250" s="5" t="s">
        <v>1160</v>
      </c>
      <c r="D250" s="498">
        <v>30</v>
      </c>
      <c r="E250" s="505" t="s">
        <v>0</v>
      </c>
      <c r="Q250" s="287"/>
    </row>
    <row r="251" spans="2:17" hidden="1" x14ac:dyDescent="0.35">
      <c r="B251" s="495"/>
      <c r="C251" s="5" t="s">
        <v>1386</v>
      </c>
      <c r="D251" s="498">
        <v>4</v>
      </c>
      <c r="E251" s="505" t="s">
        <v>0</v>
      </c>
      <c r="Q251" s="287"/>
    </row>
    <row r="252" spans="2:17" hidden="1" x14ac:dyDescent="0.35">
      <c r="B252" s="495"/>
      <c r="C252" s="5" t="s">
        <v>1175</v>
      </c>
      <c r="D252" s="504">
        <v>500</v>
      </c>
      <c r="E252" s="496" t="s">
        <v>1176</v>
      </c>
      <c r="Q252" s="287"/>
    </row>
    <row r="253" spans="2:17" hidden="1" x14ac:dyDescent="0.35">
      <c r="B253" s="495"/>
      <c r="C253" s="5" t="s">
        <v>1191</v>
      </c>
      <c r="D253" s="504">
        <v>30</v>
      </c>
      <c r="E253" s="496"/>
      <c r="F253" s="5"/>
      <c r="G253" s="5"/>
      <c r="Q253" s="287"/>
    </row>
    <row r="254" spans="2:17" hidden="1" x14ac:dyDescent="0.35">
      <c r="B254" s="495"/>
      <c r="C254" s="5" t="s">
        <v>1376</v>
      </c>
      <c r="D254" s="504">
        <f>80*0.85</f>
        <v>68</v>
      </c>
      <c r="E254" s="496" t="s">
        <v>405</v>
      </c>
      <c r="F254" s="5"/>
      <c r="G254" s="5"/>
      <c r="Q254" s="287"/>
    </row>
    <row r="255" spans="2:17" hidden="1" x14ac:dyDescent="0.35">
      <c r="B255" s="495"/>
      <c r="C255" s="5" t="s">
        <v>1382</v>
      </c>
      <c r="D255" s="504">
        <v>30</v>
      </c>
      <c r="E255" s="496" t="s">
        <v>27</v>
      </c>
      <c r="F255" s="5"/>
      <c r="G255" s="5"/>
      <c r="Q255" s="287"/>
    </row>
    <row r="256" spans="2:17" hidden="1" x14ac:dyDescent="0.35">
      <c r="B256" s="495"/>
      <c r="C256" s="5" t="s">
        <v>1394</v>
      </c>
      <c r="D256" s="504">
        <f>160*1.25*1.08</f>
        <v>216</v>
      </c>
      <c r="E256" s="496"/>
      <c r="F256" s="5"/>
      <c r="G256" s="5"/>
      <c r="Q256" s="287"/>
    </row>
    <row r="257" spans="2:17" hidden="1" x14ac:dyDescent="0.35">
      <c r="B257" s="501" t="s">
        <v>1177</v>
      </c>
      <c r="C257" s="470"/>
      <c r="D257" s="498"/>
      <c r="E257" s="496"/>
      <c r="F257" s="5"/>
      <c r="G257" s="5"/>
      <c r="Q257" s="287"/>
    </row>
    <row r="258" spans="2:17" hidden="1" x14ac:dyDescent="0.35">
      <c r="B258" s="495"/>
      <c r="C258" s="5" t="s">
        <v>1181</v>
      </c>
      <c r="D258" s="499">
        <f>0.85*D250</f>
        <v>25.5</v>
      </c>
      <c r="E258" s="496" t="s">
        <v>0</v>
      </c>
      <c r="F258" s="5"/>
      <c r="G258" s="5"/>
      <c r="Q258" s="287"/>
    </row>
    <row r="259" spans="2:17" hidden="1" x14ac:dyDescent="0.35">
      <c r="B259" s="495"/>
      <c r="C259" s="5" t="s">
        <v>1189</v>
      </c>
      <c r="D259" s="499">
        <f>D188</f>
        <v>4.5222279315741405</v>
      </c>
      <c r="E259" s="95" t="s">
        <v>1174</v>
      </c>
      <c r="F259" s="5"/>
      <c r="G259" s="5"/>
      <c r="Q259" s="287"/>
    </row>
    <row r="260" spans="2:17" hidden="1" x14ac:dyDescent="0.35">
      <c r="B260" s="495"/>
      <c r="C260" s="5" t="s">
        <v>1188</v>
      </c>
      <c r="D260" s="499">
        <f>D189</f>
        <v>2.6725509885716905</v>
      </c>
      <c r="E260" s="95" t="s">
        <v>1174</v>
      </c>
      <c r="F260" s="5"/>
      <c r="G260" s="5"/>
      <c r="Q260" s="287"/>
    </row>
    <row r="261" spans="2:17" hidden="1" x14ac:dyDescent="0.35">
      <c r="B261" s="495"/>
      <c r="C261" s="5" t="s">
        <v>1383</v>
      </c>
      <c r="D261" s="509">
        <f>1000000/((2*PI()*D258)^2*D189)</f>
        <v>14.575850415807103</v>
      </c>
      <c r="E261" s="496" t="s">
        <v>27</v>
      </c>
      <c r="F261" s="5"/>
      <c r="G261" s="5"/>
      <c r="Q261" s="287"/>
    </row>
    <row r="262" spans="2:17" hidden="1" x14ac:dyDescent="0.35">
      <c r="B262" s="495"/>
      <c r="C262" s="5" t="s">
        <v>1384</v>
      </c>
      <c r="D262" s="509">
        <f>MAX(D261,D255)</f>
        <v>30</v>
      </c>
      <c r="E262" s="496" t="s">
        <v>27</v>
      </c>
      <c r="F262" s="5"/>
      <c r="G262" s="5"/>
      <c r="Q262" s="287"/>
    </row>
    <row r="263" spans="2:17" hidden="1" x14ac:dyDescent="0.35">
      <c r="B263" s="495"/>
      <c r="C263" s="5" t="s">
        <v>1185</v>
      </c>
      <c r="D263" s="509">
        <f>D262/(10^(FLOOR(LOG(D262,10),1)))</f>
        <v>3</v>
      </c>
      <c r="E263" s="505"/>
      <c r="F263" s="5"/>
      <c r="G263" s="5"/>
      <c r="Q263" s="287"/>
    </row>
    <row r="264" spans="2:17" hidden="1" x14ac:dyDescent="0.35">
      <c r="B264" s="495"/>
      <c r="C264" s="5" t="s">
        <v>1349</v>
      </c>
      <c r="D264" s="498">
        <f>VLOOKUP(D263,D$370:D$393,1,TRUE)</f>
        <v>3</v>
      </c>
      <c r="E264" s="496" t="s">
        <v>1352</v>
      </c>
      <c r="F264" s="5"/>
      <c r="G264" s="5"/>
      <c r="Q264" s="287"/>
    </row>
    <row r="265" spans="2:17" hidden="1" x14ac:dyDescent="0.35">
      <c r="B265" s="495"/>
      <c r="C265" s="5" t="s">
        <v>1350</v>
      </c>
      <c r="D265" s="498">
        <f>VLOOKUP(D263*1.06,D$370:D$393,1,TRUE)</f>
        <v>3</v>
      </c>
      <c r="E265" s="496"/>
      <c r="F265" s="5"/>
      <c r="G265" s="5"/>
      <c r="Q265" s="287"/>
    </row>
    <row r="266" spans="2:17" hidden="1" x14ac:dyDescent="0.35">
      <c r="B266" s="495"/>
      <c r="C266" s="5" t="s">
        <v>1351</v>
      </c>
      <c r="D266" s="498">
        <f>IF(D263-D264&lt;D265-D263,D264,D265)</f>
        <v>3</v>
      </c>
      <c r="E266" s="496"/>
      <c r="F266" s="5"/>
      <c r="G266" s="5"/>
      <c r="Q266" s="287"/>
    </row>
    <row r="267" spans="2:17" hidden="1" x14ac:dyDescent="0.35">
      <c r="B267" s="495"/>
      <c r="C267" s="5" t="s">
        <v>1184</v>
      </c>
      <c r="D267" s="509">
        <f>10^FLOOR(LOG(D262),1)*D266</f>
        <v>30</v>
      </c>
      <c r="E267" s="505" t="s">
        <v>27</v>
      </c>
      <c r="F267" s="5"/>
      <c r="G267" s="5"/>
      <c r="Q267" s="287"/>
    </row>
    <row r="268" spans="2:17" hidden="1" x14ac:dyDescent="0.35">
      <c r="B268" s="495"/>
      <c r="C268" s="5" t="s">
        <v>1381</v>
      </c>
      <c r="D268" s="504">
        <f>IF(D267&lt;5000,1,0)</f>
        <v>1</v>
      </c>
      <c r="E268" s="496" t="s">
        <v>1168</v>
      </c>
      <c r="F268" s="5"/>
      <c r="G268" s="5"/>
      <c r="Q268" s="287"/>
    </row>
    <row r="269" spans="2:17" hidden="1" x14ac:dyDescent="0.35">
      <c r="B269" s="495"/>
      <c r="C269" s="5" t="s">
        <v>1199</v>
      </c>
      <c r="D269" s="499">
        <f>1000/(2*PI()*SQRT(D259*D267))</f>
        <v>13.664170744834074</v>
      </c>
      <c r="E269" s="505" t="s">
        <v>0</v>
      </c>
      <c r="F269" s="5"/>
      <c r="G269" s="5"/>
      <c r="Q269" s="287"/>
    </row>
    <row r="270" spans="2:17" hidden="1" x14ac:dyDescent="0.35">
      <c r="B270" s="495"/>
      <c r="C270" s="5" t="s">
        <v>1192</v>
      </c>
      <c r="D270" s="499">
        <f>1000/(2*PI()*SQRT(D267*D260))</f>
        <v>17.774463642051732</v>
      </c>
      <c r="E270" s="505" t="s">
        <v>0</v>
      </c>
      <c r="F270" s="5"/>
      <c r="G270" s="5"/>
      <c r="Q270" s="287"/>
    </row>
    <row r="271" spans="2:17" hidden="1" x14ac:dyDescent="0.35">
      <c r="B271" s="495"/>
      <c r="C271" s="5" t="s">
        <v>1142</v>
      </c>
      <c r="D271" s="507">
        <f>SQRT(D66/(4*PI()*PI()*10*D270))*10000</f>
        <v>1.5473071068944282E-2</v>
      </c>
      <c r="E271" s="496" t="s">
        <v>34</v>
      </c>
      <c r="F271" s="5"/>
      <c r="G271" s="5"/>
      <c r="Q271" s="287"/>
    </row>
    <row r="272" spans="2:17" hidden="1" x14ac:dyDescent="0.35">
      <c r="B272" s="495"/>
      <c r="C272" s="5" t="s">
        <v>1143</v>
      </c>
      <c r="D272" s="498">
        <f>D67*D33/(D201*(1-EXP(-D33/D271)))</f>
        <v>4.9158050919199692</v>
      </c>
      <c r="E272" s="505" t="s">
        <v>77</v>
      </c>
      <c r="F272" s="5"/>
      <c r="G272" s="5"/>
      <c r="Q272" s="287"/>
    </row>
    <row r="273" spans="2:17" hidden="1" x14ac:dyDescent="0.35">
      <c r="B273" s="495"/>
      <c r="C273" s="5" t="s">
        <v>1141</v>
      </c>
      <c r="D273" s="498">
        <f>1000*D260/(D272*D267)</f>
        <v>18.122165400499163</v>
      </c>
      <c r="E273" s="505" t="s">
        <v>243</v>
      </c>
      <c r="F273" s="5"/>
      <c r="G273" s="5"/>
      <c r="Q273" s="287"/>
    </row>
    <row r="274" spans="2:17" hidden="1" x14ac:dyDescent="0.35">
      <c r="B274" s="495"/>
      <c r="C274" s="5" t="s">
        <v>1190</v>
      </c>
      <c r="D274" s="513">
        <f>IF(D273&gt;D249,1,0)</f>
        <v>1</v>
      </c>
      <c r="E274" s="496" t="s">
        <v>1168</v>
      </c>
      <c r="F274" s="5"/>
      <c r="G274" s="5"/>
      <c r="Q274" s="287"/>
    </row>
    <row r="275" spans="2:17" hidden="1" x14ac:dyDescent="0.35">
      <c r="B275" s="495"/>
      <c r="C275" s="5" t="s">
        <v>1389</v>
      </c>
      <c r="D275" s="499" t="str">
        <f>IF(D274=0," Sensor RP too Low.","")</f>
        <v/>
      </c>
      <c r="E275" s="496"/>
      <c r="F275" s="5"/>
      <c r="G275" s="5"/>
      <c r="Q275" s="287"/>
    </row>
    <row r="276" spans="2:17" hidden="1" x14ac:dyDescent="0.35">
      <c r="B276" s="495"/>
      <c r="C276" s="5" t="s">
        <v>1193</v>
      </c>
      <c r="D276" s="499">
        <f>1000/(2*PI()*SQRT(D267*D259))</f>
        <v>13.664170744834074</v>
      </c>
      <c r="E276" s="496" t="s">
        <v>0</v>
      </c>
      <c r="F276" s="5"/>
      <c r="G276" s="5"/>
      <c r="Q276" s="287"/>
    </row>
    <row r="277" spans="2:17" hidden="1" x14ac:dyDescent="0.35">
      <c r="B277" s="495"/>
      <c r="C277" s="5" t="s">
        <v>1385</v>
      </c>
      <c r="D277" s="513">
        <f>IF(D276&gt;D251,1,0)</f>
        <v>1</v>
      </c>
      <c r="E277" s="496" t="s">
        <v>1168</v>
      </c>
      <c r="F277" s="5"/>
      <c r="G277" s="5"/>
      <c r="Q277" s="287"/>
    </row>
    <row r="278" spans="2:17" hidden="1" x14ac:dyDescent="0.35">
      <c r="B278" s="495"/>
      <c r="C278" s="5" t="s">
        <v>1387</v>
      </c>
      <c r="D278" s="504" t="str">
        <f>IF(D277=0," Sensor Frequency too Low.","")</f>
        <v/>
      </c>
      <c r="E278" s="496"/>
      <c r="F278" s="5"/>
      <c r="G278" s="5"/>
      <c r="Q278" s="287"/>
    </row>
    <row r="279" spans="2:17" hidden="1" x14ac:dyDescent="0.35">
      <c r="B279" s="495"/>
      <c r="C279" s="5" t="s">
        <v>1194</v>
      </c>
      <c r="D279" s="499">
        <f>SQRT(D66/(4*PI()*PI()*10*D276))*10000</f>
        <v>1.7647497635772554E-2</v>
      </c>
      <c r="E279" s="496" t="s">
        <v>34</v>
      </c>
      <c r="F279" s="5"/>
      <c r="G279" s="5"/>
      <c r="Q279" s="287"/>
    </row>
    <row r="280" spans="2:17" hidden="1" x14ac:dyDescent="0.35">
      <c r="B280" s="495"/>
      <c r="C280" s="5" t="s">
        <v>1195</v>
      </c>
      <c r="D280" s="499">
        <f>D67*D33/(D201*(1-EXP(-D33/D279)))</f>
        <v>5.1089710128869186</v>
      </c>
      <c r="E280" s="505" t="s">
        <v>77</v>
      </c>
      <c r="F280" s="5"/>
      <c r="G280" s="5"/>
      <c r="Q280" s="287"/>
    </row>
    <row r="281" spans="2:17" hidden="1" x14ac:dyDescent="0.35">
      <c r="B281" s="495"/>
      <c r="C281" s="5" t="s">
        <v>1196</v>
      </c>
      <c r="D281" s="498">
        <f>1000*MAX(SQRT(D259/D267)/D280,SQRT(D260/D267)/D272)</f>
        <v>75.994499325018225</v>
      </c>
      <c r="E281" s="496"/>
      <c r="F281" s="5"/>
      <c r="G281" s="5"/>
      <c r="Q281" s="287"/>
    </row>
    <row r="282" spans="2:17" hidden="1" x14ac:dyDescent="0.35">
      <c r="B282" s="495"/>
      <c r="C282" s="5" t="s">
        <v>1202</v>
      </c>
      <c r="D282" s="504">
        <f>IF(D281&gt;D253,0,1)</f>
        <v>0</v>
      </c>
      <c r="E282" s="496" t="s">
        <v>1168</v>
      </c>
      <c r="F282" s="5"/>
      <c r="G282" s="5"/>
      <c r="Q282" s="287"/>
    </row>
    <row r="283" spans="2:17" hidden="1" x14ac:dyDescent="0.35">
      <c r="B283" s="495"/>
      <c r="C283" s="5" t="s">
        <v>1197</v>
      </c>
      <c r="D283" s="498">
        <f>IF(D282=0,((1000*SQRT(D259/D267))/30)-D280,0)</f>
        <v>7.8328187934588343</v>
      </c>
      <c r="E283" s="505" t="s">
        <v>77</v>
      </c>
      <c r="F283" s="5"/>
      <c r="G283" s="5"/>
      <c r="Q283" s="287"/>
    </row>
    <row r="284" spans="2:17" hidden="1" x14ac:dyDescent="0.35">
      <c r="B284" s="495"/>
      <c r="C284" s="5" t="s">
        <v>1377</v>
      </c>
      <c r="D284" s="498" t="str">
        <f>IF(D282=0,"Add "&amp;TEXT(D283,0.1)&amp;E283&amp;" Series R","")</f>
        <v>Add 8.1Ω Series R</v>
      </c>
      <c r="E284" s="505"/>
      <c r="F284" s="5"/>
      <c r="G284" s="5"/>
      <c r="Q284" s="287"/>
    </row>
    <row r="285" spans="2:17" hidden="1" x14ac:dyDescent="0.35">
      <c r="B285" s="495"/>
      <c r="C285" s="5" t="s">
        <v>1198</v>
      </c>
      <c r="D285" s="499">
        <f>D270-D269</f>
        <v>4.1102928972176578</v>
      </c>
      <c r="E285" s="496" t="s">
        <v>0</v>
      </c>
      <c r="F285" s="5"/>
      <c r="G285" s="5"/>
      <c r="Q285" s="287"/>
    </row>
    <row r="286" spans="2:17" hidden="1" x14ac:dyDescent="0.35">
      <c r="B286" s="495"/>
      <c r="C286" s="5" t="s">
        <v>1200</v>
      </c>
      <c r="D286" s="504">
        <f>100000*D285/D270</f>
        <v>23124.708458112444</v>
      </c>
      <c r="E286" s="496" t="s">
        <v>1176</v>
      </c>
      <c r="F286" s="5"/>
      <c r="G286" s="5"/>
      <c r="Q286" s="287"/>
    </row>
    <row r="287" spans="2:17" hidden="1" x14ac:dyDescent="0.35">
      <c r="B287" s="495"/>
      <c r="C287" s="5" t="s">
        <v>1201</v>
      </c>
      <c r="D287" s="504">
        <f>IF(D286&gt;D252,1,0)</f>
        <v>1</v>
      </c>
      <c r="E287" s="496" t="s">
        <v>1168</v>
      </c>
      <c r="F287" s="5"/>
      <c r="G287" s="5"/>
      <c r="Q287" s="287"/>
    </row>
    <row r="288" spans="2:17" hidden="1" x14ac:dyDescent="0.35">
      <c r="B288" s="495"/>
      <c r="C288" s="5" t="s">
        <v>1377</v>
      </c>
      <c r="D288" s="504" t="str">
        <f>IF(D287=0,"Sensor Δf too low","")</f>
        <v/>
      </c>
      <c r="E288" s="496"/>
      <c r="F288" s="5"/>
      <c r="G288" s="5"/>
      <c r="Q288" s="287"/>
    </row>
    <row r="289" spans="2:17" hidden="1" x14ac:dyDescent="0.35">
      <c r="B289" s="495"/>
      <c r="C289" s="5" t="s">
        <v>1393</v>
      </c>
      <c r="D289" s="504">
        <f>MIN(63,MAX(ROUND(LOG(D256/(D286*0.013),1.09),0),0))</f>
        <v>0</v>
      </c>
      <c r="E289" s="496"/>
      <c r="F289" s="5"/>
      <c r="G289" s="5"/>
      <c r="Q289" s="287"/>
    </row>
    <row r="290" spans="2:17" hidden="1" x14ac:dyDescent="0.35">
      <c r="B290" s="495"/>
      <c r="C290" s="5" t="s">
        <v>1206</v>
      </c>
      <c r="D290" s="504">
        <f>IF(D41&lt;D254,1,0)</f>
        <v>1</v>
      </c>
      <c r="E290" s="496" t="s">
        <v>1168</v>
      </c>
      <c r="F290" s="5"/>
      <c r="G290" s="5"/>
      <c r="Q290" s="287"/>
    </row>
    <row r="291" spans="2:17" hidden="1" x14ac:dyDescent="0.35">
      <c r="B291" s="495"/>
      <c r="C291" s="5" t="s">
        <v>1390</v>
      </c>
      <c r="D291" s="504" t="str">
        <f>IF(D290=0,"Sample Rate exceeds LDC2114 max","")</f>
        <v/>
      </c>
      <c r="E291" s="496"/>
      <c r="F291" s="5"/>
      <c r="G291" s="5"/>
      <c r="Q291" s="287"/>
    </row>
    <row r="292" spans="2:17" hidden="1" x14ac:dyDescent="0.35">
      <c r="B292" s="495"/>
      <c r="C292" s="5" t="s">
        <v>1203</v>
      </c>
      <c r="D292" s="513">
        <f>D287*D274*D290</f>
        <v>1</v>
      </c>
      <c r="E292" s="496" t="s">
        <v>1168</v>
      </c>
      <c r="F292" s="5"/>
      <c r="G292" s="5"/>
      <c r="Q292" s="287"/>
    </row>
    <row r="293" spans="2:17" hidden="1" x14ac:dyDescent="0.35">
      <c r="B293" s="495"/>
      <c r="C293" s="5" t="s">
        <v>1377</v>
      </c>
      <c r="D293" s="499" t="str">
        <f>D288&amp;" "&amp;D291&amp;D278&amp;D275</f>
        <v xml:space="preserve"> </v>
      </c>
      <c r="E293" s="508"/>
      <c r="F293" s="5"/>
      <c r="G293" s="5"/>
      <c r="Q293" s="287"/>
    </row>
    <row r="294" spans="2:17" hidden="1" x14ac:dyDescent="0.35">
      <c r="B294" s="501" t="s">
        <v>1344</v>
      </c>
      <c r="C294" s="470"/>
      <c r="D294" s="499"/>
      <c r="E294" s="496"/>
      <c r="F294" s="5"/>
      <c r="G294" s="5"/>
      <c r="Q294" s="287"/>
    </row>
    <row r="295" spans="2:17" hidden="1" x14ac:dyDescent="0.35">
      <c r="B295" s="495"/>
      <c r="C295" s="5" t="s">
        <v>789</v>
      </c>
      <c r="D295" s="499">
        <v>19</v>
      </c>
      <c r="E295" s="496" t="s">
        <v>0</v>
      </c>
      <c r="F295" s="5"/>
      <c r="G295" s="5"/>
      <c r="Q295" s="287"/>
    </row>
    <row r="296" spans="2:17" hidden="1" x14ac:dyDescent="0.35">
      <c r="B296" s="495"/>
      <c r="C296" s="5" t="s">
        <v>1337</v>
      </c>
      <c r="D296" s="499">
        <f>D353</f>
        <v>3.3</v>
      </c>
      <c r="E296" s="496" t="s">
        <v>377</v>
      </c>
      <c r="F296" s="5" t="s">
        <v>1338</v>
      </c>
      <c r="G296" s="5"/>
      <c r="Q296" s="287"/>
    </row>
    <row r="297" spans="2:17" hidden="1" x14ac:dyDescent="0.35">
      <c r="B297" s="495"/>
      <c r="C297" s="5" t="s">
        <v>1339</v>
      </c>
      <c r="D297" s="499">
        <f>IF(D296=1.8,4.35,6)</f>
        <v>6</v>
      </c>
      <c r="E297" s="496" t="s">
        <v>244</v>
      </c>
      <c r="F297" s="5"/>
      <c r="G297" s="5"/>
      <c r="Q297" s="287"/>
    </row>
    <row r="298" spans="2:17" hidden="1" x14ac:dyDescent="0.35">
      <c r="B298" s="495"/>
      <c r="C298" s="5" t="s">
        <v>1340</v>
      </c>
      <c r="D298" s="499">
        <f>1000/(4.83*19*D297)</f>
        <v>1.8161345392466675</v>
      </c>
      <c r="E298" s="95" t="s">
        <v>1174</v>
      </c>
      <c r="F298" s="5"/>
      <c r="G298" s="5"/>
      <c r="Q298" s="287"/>
    </row>
    <row r="299" spans="2:17" hidden="1" x14ac:dyDescent="0.35">
      <c r="B299" s="495"/>
      <c r="C299" s="5" t="s">
        <v>1341</v>
      </c>
      <c r="D299" s="499">
        <v>15</v>
      </c>
      <c r="E299" s="496" t="s">
        <v>0</v>
      </c>
      <c r="F299" s="5"/>
      <c r="G299" s="5"/>
      <c r="Q299" s="287"/>
    </row>
    <row r="300" spans="2:17" hidden="1" x14ac:dyDescent="0.35">
      <c r="B300" s="495"/>
      <c r="C300" s="5" t="s">
        <v>1342</v>
      </c>
      <c r="D300" s="499">
        <v>16</v>
      </c>
      <c r="E300" s="496" t="s">
        <v>27</v>
      </c>
      <c r="F300" s="5" t="s">
        <v>1343</v>
      </c>
      <c r="G300" s="5"/>
      <c r="Q300" s="287"/>
    </row>
    <row r="301" spans="2:17" hidden="1" x14ac:dyDescent="0.35">
      <c r="B301" s="495"/>
      <c r="C301" s="5"/>
      <c r="D301" s="499"/>
      <c r="E301" s="496"/>
      <c r="F301" s="5"/>
      <c r="G301" s="5"/>
      <c r="Q301" s="287"/>
    </row>
    <row r="302" spans="2:17" hidden="1" x14ac:dyDescent="0.35">
      <c r="B302" s="501" t="s">
        <v>1207</v>
      </c>
      <c r="C302" s="470"/>
      <c r="D302" s="499"/>
      <c r="E302" s="496"/>
      <c r="F302" s="5"/>
      <c r="G302" s="5"/>
      <c r="Q302" s="287"/>
    </row>
    <row r="303" spans="2:17" hidden="1" x14ac:dyDescent="0.35">
      <c r="B303" s="495"/>
      <c r="C303" s="5" t="s">
        <v>1354</v>
      </c>
      <c r="D303" s="499">
        <f>D189</f>
        <v>2.6725509885716905</v>
      </c>
      <c r="E303" s="95" t="s">
        <v>1174</v>
      </c>
      <c r="F303" s="5"/>
      <c r="G303" s="5"/>
      <c r="Q303" s="287"/>
    </row>
    <row r="304" spans="2:17" hidden="1" x14ac:dyDescent="0.35">
      <c r="B304" s="495"/>
      <c r="C304" s="5" t="s">
        <v>1357</v>
      </c>
      <c r="D304" s="499">
        <f>D188</f>
        <v>4.5222279315741405</v>
      </c>
      <c r="E304" s="95" t="s">
        <v>1174</v>
      </c>
      <c r="F304" s="5"/>
      <c r="G304" s="5"/>
      <c r="Q304" s="287"/>
    </row>
    <row r="305" spans="2:17" hidden="1" x14ac:dyDescent="0.35">
      <c r="B305" s="495"/>
      <c r="C305" s="5" t="s">
        <v>1345</v>
      </c>
      <c r="D305" s="513">
        <f>IF(D189&lt;D298,0,1)</f>
        <v>1</v>
      </c>
      <c r="E305" s="496" t="s">
        <v>1168</v>
      </c>
      <c r="F305" s="5"/>
      <c r="G305" s="5"/>
      <c r="Q305" s="287"/>
    </row>
    <row r="306" spans="2:17" hidden="1" x14ac:dyDescent="0.35">
      <c r="B306" s="495"/>
      <c r="C306" s="5" t="s">
        <v>1377</v>
      </c>
      <c r="D306" s="533" t="str">
        <f>IF(D305=0," LDC0851 sensor L too low.","")</f>
        <v/>
      </c>
      <c r="E306" s="496"/>
      <c r="F306" s="5"/>
      <c r="G306" s="5"/>
      <c r="Q306" s="287"/>
    </row>
    <row r="307" spans="2:17" hidden="1" x14ac:dyDescent="0.35">
      <c r="B307" s="495"/>
      <c r="C307" s="5" t="s">
        <v>1346</v>
      </c>
      <c r="D307" s="509">
        <f>1000000/(D303*D299*D299*2*PI()*PI())</f>
        <v>84.248415403365058</v>
      </c>
      <c r="E307" s="496" t="s">
        <v>27</v>
      </c>
      <c r="F307" s="5"/>
      <c r="G307" s="5"/>
      <c r="Q307" s="287"/>
    </row>
    <row r="308" spans="2:17" hidden="1" x14ac:dyDescent="0.35">
      <c r="B308" s="495"/>
      <c r="C308" s="5" t="s">
        <v>1347</v>
      </c>
      <c r="D308" s="509">
        <f>D307-D300</f>
        <v>68.248415403365058</v>
      </c>
      <c r="E308" s="496" t="s">
        <v>27</v>
      </c>
      <c r="F308" s="5"/>
      <c r="G308" s="5"/>
      <c r="Q308" s="287"/>
    </row>
    <row r="309" spans="2:17" hidden="1" x14ac:dyDescent="0.35">
      <c r="B309" s="495"/>
      <c r="C309" s="5" t="s">
        <v>1348</v>
      </c>
      <c r="D309" s="498">
        <f>D308/(10^(FLOOR(LOG(D308,10),1)))</f>
        <v>6.8248415403365055</v>
      </c>
      <c r="E309" s="496"/>
      <c r="F309" s="5"/>
      <c r="G309" s="5"/>
      <c r="Q309" s="287"/>
    </row>
    <row r="310" spans="2:17" hidden="1" x14ac:dyDescent="0.35">
      <c r="B310" s="495"/>
      <c r="C310" s="5" t="s">
        <v>1349</v>
      </c>
      <c r="D310" s="498">
        <f>VLOOKUP(D309,D$370:D$393,1,TRUE)</f>
        <v>6.8</v>
      </c>
      <c r="E310" s="496" t="s">
        <v>1352</v>
      </c>
      <c r="F310" s="5"/>
      <c r="G310" s="5"/>
      <c r="Q310" s="287"/>
    </row>
    <row r="311" spans="2:17" hidden="1" x14ac:dyDescent="0.35">
      <c r="B311" s="495"/>
      <c r="C311" s="5" t="s">
        <v>1350</v>
      </c>
      <c r="D311" s="498">
        <f>VLOOKUP(D309*1.07,D$370:D$393,1,TRUE)</f>
        <v>6.8</v>
      </c>
      <c r="E311" s="496"/>
      <c r="F311" s="5"/>
      <c r="G311" s="5"/>
      <c r="Q311" s="287"/>
    </row>
    <row r="312" spans="2:17" hidden="1" x14ac:dyDescent="0.35">
      <c r="B312" s="495"/>
      <c r="C312" s="5" t="s">
        <v>1351</v>
      </c>
      <c r="D312" s="498">
        <f>IF(D309-D310&lt;D311-D309,D310,D311)</f>
        <v>6.8</v>
      </c>
      <c r="E312" s="496"/>
      <c r="F312" s="5"/>
      <c r="G312" s="5"/>
      <c r="Q312" s="287"/>
    </row>
    <row r="313" spans="2:17" hidden="1" x14ac:dyDescent="0.35">
      <c r="B313" s="495"/>
      <c r="C313" s="5" t="s">
        <v>1184</v>
      </c>
      <c r="D313" s="509">
        <f>10^FLOOR(LOG(D308),1)*D312</f>
        <v>68</v>
      </c>
      <c r="E313" s="505" t="s">
        <v>27</v>
      </c>
      <c r="F313" s="5"/>
      <c r="G313" s="5"/>
      <c r="Q313" s="287"/>
    </row>
    <row r="314" spans="2:17" hidden="1" x14ac:dyDescent="0.35">
      <c r="B314" s="495"/>
      <c r="C314" s="5" t="s">
        <v>1346</v>
      </c>
      <c r="D314" s="509">
        <f>D313+D300</f>
        <v>84</v>
      </c>
      <c r="E314" s="496" t="s">
        <v>27</v>
      </c>
      <c r="F314" s="5"/>
      <c r="G314" s="5"/>
      <c r="Q314" s="287"/>
    </row>
    <row r="315" spans="2:17" hidden="1" x14ac:dyDescent="0.35">
      <c r="B315" s="495"/>
      <c r="C315" s="5" t="s">
        <v>1355</v>
      </c>
      <c r="D315" s="499">
        <f>1000/(PI()*SQRT(2*D314*D303))</f>
        <v>15.02216357259735</v>
      </c>
      <c r="E315" s="496" t="s">
        <v>0</v>
      </c>
      <c r="F315" s="5"/>
      <c r="G315" s="5"/>
      <c r="Q315" s="287"/>
    </row>
    <row r="316" spans="2:17" hidden="1" x14ac:dyDescent="0.35">
      <c r="B316" s="495"/>
      <c r="C316" s="5" t="s">
        <v>1353</v>
      </c>
      <c r="D316" s="499">
        <f>1000/(17.1*D315*D303)</f>
        <v>1.4566170975016657</v>
      </c>
      <c r="E316" s="496" t="s">
        <v>244</v>
      </c>
      <c r="F316" s="5"/>
      <c r="G316" s="5"/>
      <c r="Q316" s="287"/>
    </row>
    <row r="317" spans="2:17" hidden="1" x14ac:dyDescent="0.35">
      <c r="B317" s="495"/>
      <c r="C317" s="5" t="s">
        <v>1392</v>
      </c>
      <c r="D317" s="513">
        <f>IF(D316&lt;D297,1,0)</f>
        <v>1</v>
      </c>
      <c r="E317" s="496" t="s">
        <v>1168</v>
      </c>
      <c r="F317" s="5"/>
      <c r="G317" s="5"/>
      <c r="Q317" s="287"/>
    </row>
    <row r="318" spans="2:17" hidden="1" x14ac:dyDescent="0.35">
      <c r="B318" s="495"/>
      <c r="C318" s="5" t="s">
        <v>1377</v>
      </c>
      <c r="D318" s="533" t="str">
        <f>IF(D317=0," LDC0851 cannot drive sensor.","")</f>
        <v/>
      </c>
      <c r="E318" s="496"/>
      <c r="F318" s="5"/>
      <c r="G318" s="5"/>
      <c r="Q318" s="287"/>
    </row>
    <row r="319" spans="2:17" hidden="1" x14ac:dyDescent="0.35">
      <c r="B319" s="495"/>
      <c r="C319" s="5" t="s">
        <v>1356</v>
      </c>
      <c r="D319" s="499">
        <f>1000/(PI()*SQRT(2*D314*D304))</f>
        <v>11.548332042333442</v>
      </c>
      <c r="E319" s="496" t="s">
        <v>0</v>
      </c>
      <c r="F319" s="5"/>
      <c r="G319" s="5"/>
      <c r="Q319" s="287"/>
    </row>
    <row r="320" spans="2:17" hidden="1" x14ac:dyDescent="0.35">
      <c r="B320" s="495"/>
      <c r="C320" s="5" t="s">
        <v>1358</v>
      </c>
      <c r="D320" s="499">
        <f>231*D319</f>
        <v>2667.6647017790251</v>
      </c>
      <c r="E320" s="496" t="s">
        <v>405</v>
      </c>
      <c r="F320" s="5"/>
      <c r="G320" s="5"/>
      <c r="Q320" s="287"/>
    </row>
    <row r="321" spans="2:17" hidden="1" x14ac:dyDescent="0.35">
      <c r="B321" s="495"/>
      <c r="C321" s="5" t="s">
        <v>1359</v>
      </c>
      <c r="D321" s="513">
        <f>IF(D320&gt;D41,1,0)</f>
        <v>1</v>
      </c>
      <c r="E321" s="496" t="s">
        <v>1168</v>
      </c>
      <c r="F321" s="5"/>
      <c r="G321" s="5"/>
      <c r="Q321" s="287"/>
    </row>
    <row r="322" spans="2:17" hidden="1" x14ac:dyDescent="0.35">
      <c r="B322" s="495"/>
      <c r="C322" s="5" t="s">
        <v>1377</v>
      </c>
      <c r="D322" s="499" t="str">
        <f>IF(D321=0," LDC0851 sample rate too low.","")</f>
        <v/>
      </c>
      <c r="E322" s="496"/>
      <c r="F322" s="5"/>
      <c r="G322" s="5"/>
      <c r="Q322" s="287"/>
    </row>
    <row r="323" spans="2:17" hidden="1" x14ac:dyDescent="0.35">
      <c r="B323" s="495"/>
      <c r="C323" s="5" t="s">
        <v>1391</v>
      </c>
      <c r="D323" s="534" t="str">
        <f>D322&amp;D318&amp;D306</f>
        <v/>
      </c>
      <c r="E323" s="496"/>
      <c r="F323" s="5"/>
      <c r="G323" s="5"/>
      <c r="Q323" s="287"/>
    </row>
    <row r="324" spans="2:17" hidden="1" x14ac:dyDescent="0.35">
      <c r="B324" s="495"/>
      <c r="C324" s="5" t="s">
        <v>1414</v>
      </c>
      <c r="D324" s="499">
        <f>24.262*10^-12*D315*10^6+1.5*D315*10^6*D315*10^-12+0.0007</f>
        <v>1.402965830201163E-3</v>
      </c>
      <c r="E324" s="496"/>
      <c r="F324" s="5"/>
      <c r="G324" s="538">
        <f>D325-D316</f>
        <v>1.4029658302011632</v>
      </c>
      <c r="Q324" s="287"/>
    </row>
    <row r="325" spans="2:17" hidden="1" x14ac:dyDescent="0.35">
      <c r="B325" s="495"/>
      <c r="C325" s="5" t="s">
        <v>1413</v>
      </c>
      <c r="D325" s="499">
        <f>D324*1000+D316</f>
        <v>2.8595829277028288</v>
      </c>
      <c r="E325" s="496" t="s">
        <v>244</v>
      </c>
      <c r="F325" s="5"/>
      <c r="G325" s="5"/>
      <c r="Q325" s="287"/>
    </row>
    <row r="326" spans="2:17" x14ac:dyDescent="0.35">
      <c r="B326" s="495"/>
      <c r="C326" s="5"/>
      <c r="D326" s="529"/>
      <c r="E326" s="496"/>
      <c r="F326" s="5"/>
      <c r="G326" s="5"/>
      <c r="Q326" s="287"/>
    </row>
    <row r="327" spans="2:17" x14ac:dyDescent="0.35">
      <c r="B327" s="23"/>
      <c r="C327" t="s">
        <v>1210</v>
      </c>
      <c r="D327" s="42" t="str">
        <f>TEXT(D35,"0.00") &amp; " x " &amp;TEXT( D37,"0.00")</f>
        <v>5.93 x 8.89</v>
      </c>
      <c r="E327" s="5" t="s">
        <v>34</v>
      </c>
    </row>
    <row r="328" spans="2:17" x14ac:dyDescent="0.35">
      <c r="B328" s="23"/>
      <c r="C328" t="s">
        <v>1401</v>
      </c>
      <c r="D328" s="334">
        <f>D34</f>
        <v>22.5</v>
      </c>
      <c r="E328" s="508" t="s">
        <v>537</v>
      </c>
    </row>
    <row r="329" spans="2:17" x14ac:dyDescent="0.35">
      <c r="B329" s="23"/>
      <c r="C329" t="s">
        <v>1219</v>
      </c>
      <c r="D329" s="517">
        <f>D71/D43</f>
        <v>8.4261132592851992E-2</v>
      </c>
      <c r="E329" s="5" t="s">
        <v>90</v>
      </c>
    </row>
    <row r="330" spans="2:17" x14ac:dyDescent="0.35">
      <c r="B330" s="23"/>
      <c r="C330" t="s">
        <v>1211</v>
      </c>
      <c r="D330" s="516">
        <f>D54</f>
        <v>7</v>
      </c>
      <c r="E330" s="5" t="s">
        <v>1214</v>
      </c>
    </row>
    <row r="331" spans="2:17" x14ac:dyDescent="0.35">
      <c r="B331" s="23"/>
      <c r="C331" t="s">
        <v>1212</v>
      </c>
      <c r="D331" s="165">
        <f>D188</f>
        <v>4.5222279315741405</v>
      </c>
      <c r="E331" s="95" t="s">
        <v>1174</v>
      </c>
    </row>
    <row r="332" spans="2:17" x14ac:dyDescent="0.35">
      <c r="B332" s="23"/>
      <c r="C332" t="s">
        <v>1213</v>
      </c>
      <c r="D332" s="518">
        <f>MAX(1-ABS(D189/D188),0)</f>
        <v>0.40901895503497909</v>
      </c>
      <c r="E332" s="95"/>
    </row>
    <row r="333" spans="2:17" x14ac:dyDescent="0.35">
      <c r="B333" s="23"/>
    </row>
    <row r="334" spans="2:17" x14ac:dyDescent="0.35">
      <c r="B334" s="23"/>
      <c r="C334" s="1" t="s">
        <v>1205</v>
      </c>
      <c r="D334" s="100" t="str">
        <f>IF(D246=0,"No","Yes")</f>
        <v>Yes</v>
      </c>
      <c r="E334" s="536" t="str">
        <f>D247</f>
        <v/>
      </c>
    </row>
    <row r="335" spans="2:17" x14ac:dyDescent="0.35">
      <c r="B335" s="23"/>
      <c r="C335" s="5" t="s">
        <v>1361</v>
      </c>
      <c r="D335" s="531" t="str">
        <f>D210</f>
        <v/>
      </c>
    </row>
    <row r="336" spans="2:17" x14ac:dyDescent="0.35">
      <c r="B336" s="23"/>
      <c r="C336" s="5" t="s">
        <v>1217</v>
      </c>
      <c r="D336" s="532">
        <f>D217</f>
        <v>110.00000000000001</v>
      </c>
      <c r="E336" s="5" t="s">
        <v>27</v>
      </c>
    </row>
    <row r="337" spans="2:5" x14ac:dyDescent="0.35">
      <c r="B337" s="23"/>
      <c r="C337" s="5" t="s">
        <v>1379</v>
      </c>
      <c r="D337" s="520">
        <f>D222</f>
        <v>9.2824109000344244</v>
      </c>
      <c r="E337" s="5" t="s">
        <v>0</v>
      </c>
    </row>
    <row r="338" spans="2:5" ht="15" x14ac:dyDescent="0.4">
      <c r="B338" s="23"/>
      <c r="C338" s="5" t="s">
        <v>1380</v>
      </c>
      <c r="D338" s="519">
        <f>D227</f>
        <v>4.4564067357072172</v>
      </c>
      <c r="E338" s="505" t="s">
        <v>243</v>
      </c>
    </row>
    <row r="339" spans="2:5" x14ac:dyDescent="0.35">
      <c r="B339" s="23"/>
      <c r="C339" s="5" t="s">
        <v>1408</v>
      </c>
      <c r="D339" s="530">
        <f>D232</f>
        <v>12</v>
      </c>
      <c r="E339" s="505"/>
    </row>
    <row r="340" spans="2:5" x14ac:dyDescent="0.35">
      <c r="B340" s="23"/>
      <c r="C340" s="5" t="s">
        <v>1402</v>
      </c>
      <c r="D340" s="532">
        <f>D241</f>
        <v>4081.6326530612246</v>
      </c>
      <c r="E340" s="505" t="s">
        <v>405</v>
      </c>
    </row>
    <row r="341" spans="2:5" x14ac:dyDescent="0.35">
      <c r="B341" s="23"/>
      <c r="C341" s="5" t="s">
        <v>1367</v>
      </c>
      <c r="D341" s="530">
        <f>D236</f>
        <v>15</v>
      </c>
      <c r="E341" s="505" t="s">
        <v>945</v>
      </c>
    </row>
    <row r="342" spans="2:5" x14ac:dyDescent="0.35">
      <c r="B342" s="23"/>
      <c r="C342" s="5" t="s">
        <v>1378</v>
      </c>
      <c r="D342" s="530">
        <f>D238</f>
        <v>41</v>
      </c>
      <c r="E342" s="505" t="s">
        <v>945</v>
      </c>
    </row>
    <row r="343" spans="2:5" x14ac:dyDescent="0.35">
      <c r="B343" s="23"/>
      <c r="C343" s="5" t="s">
        <v>1409</v>
      </c>
      <c r="D343" s="530" t="str">
        <f>IF(D340&gt;(2*D41),"Yes","No")</f>
        <v>Yes</v>
      </c>
      <c r="E343" s="505"/>
    </row>
    <row r="344" spans="2:5" x14ac:dyDescent="0.35">
      <c r="B344" s="23"/>
      <c r="C344" s="5"/>
      <c r="D344" s="104"/>
      <c r="E344" s="505"/>
    </row>
    <row r="345" spans="2:5" x14ac:dyDescent="0.35">
      <c r="B345" s="23"/>
      <c r="C345" s="1" t="s">
        <v>1204</v>
      </c>
      <c r="D345" s="100" t="str">
        <f>IF(D292=1,"Yes","No")</f>
        <v>Yes</v>
      </c>
      <c r="E345" s="537" t="str">
        <f>D293</f>
        <v xml:space="preserve"> </v>
      </c>
    </row>
    <row r="346" spans="2:5" x14ac:dyDescent="0.35">
      <c r="B346" s="23"/>
      <c r="C346" s="5" t="s">
        <v>1361</v>
      </c>
      <c r="D346" s="91" t="str">
        <f>D284</f>
        <v>Add 8.1Ω Series R</v>
      </c>
      <c r="E346" s="538"/>
    </row>
    <row r="347" spans="2:5" x14ac:dyDescent="0.35">
      <c r="B347" s="23"/>
      <c r="C347" s="5" t="s">
        <v>1218</v>
      </c>
      <c r="D347" s="532">
        <f>D267</f>
        <v>30</v>
      </c>
      <c r="E347" s="5" t="s">
        <v>27</v>
      </c>
    </row>
    <row r="348" spans="2:5" x14ac:dyDescent="0.35">
      <c r="B348" s="23"/>
      <c r="C348" s="5" t="s">
        <v>1216</v>
      </c>
      <c r="D348" s="521">
        <f>D270</f>
        <v>17.774463642051732</v>
      </c>
      <c r="E348" s="5" t="s">
        <v>0</v>
      </c>
    </row>
    <row r="349" spans="2:5" ht="15" x14ac:dyDescent="0.4">
      <c r="B349" s="23"/>
      <c r="C349" s="5" t="s">
        <v>1410</v>
      </c>
      <c r="D349" s="522">
        <f>D273</f>
        <v>18.122165400499163</v>
      </c>
      <c r="E349" s="505" t="s">
        <v>243</v>
      </c>
    </row>
    <row r="350" spans="2:5" x14ac:dyDescent="0.35">
      <c r="B350" s="23"/>
      <c r="C350" s="5" t="s">
        <v>1395</v>
      </c>
      <c r="D350" s="535" t="str">
        <f>"0x"&amp;DEC2HEX(D289,2)</f>
        <v>0x00</v>
      </c>
      <c r="E350" s="505"/>
    </row>
    <row r="351" spans="2:5" x14ac:dyDescent="0.35">
      <c r="B351" s="23"/>
    </row>
    <row r="352" spans="2:5" x14ac:dyDescent="0.35">
      <c r="B352" s="23"/>
      <c r="C352" s="1" t="s">
        <v>1360</v>
      </c>
      <c r="D352" s="100" t="str">
        <f>IF(D321*D317*D305=1,"Yes","No")</f>
        <v>Yes</v>
      </c>
      <c r="E352" s="536" t="str">
        <f>D323</f>
        <v/>
      </c>
    </row>
    <row r="353" spans="2:5" ht="15" x14ac:dyDescent="0.4">
      <c r="B353" s="23"/>
      <c r="C353" s="5" t="s">
        <v>1411</v>
      </c>
      <c r="D353" s="41">
        <v>3.3</v>
      </c>
      <c r="E353" s="539" t="s">
        <v>377</v>
      </c>
    </row>
    <row r="354" spans="2:5" x14ac:dyDescent="0.35">
      <c r="B354" s="23"/>
      <c r="C354" s="5" t="s">
        <v>1218</v>
      </c>
      <c r="D354" s="530">
        <f>D313</f>
        <v>68</v>
      </c>
      <c r="E354" s="5" t="s">
        <v>27</v>
      </c>
    </row>
    <row r="355" spans="2:5" x14ac:dyDescent="0.35">
      <c r="B355" s="23"/>
      <c r="C355" s="5" t="s">
        <v>1216</v>
      </c>
      <c r="D355" s="521">
        <f>D315</f>
        <v>15.02216357259735</v>
      </c>
      <c r="E355" s="5" t="s">
        <v>0</v>
      </c>
    </row>
    <row r="356" spans="2:5" x14ac:dyDescent="0.35">
      <c r="B356" s="23"/>
      <c r="C356" s="5" t="s">
        <v>1412</v>
      </c>
      <c r="D356" s="535">
        <f>D320</f>
        <v>2667.6647017790251</v>
      </c>
      <c r="E356" s="505" t="s">
        <v>405</v>
      </c>
    </row>
    <row r="357" spans="2:5" x14ac:dyDescent="0.35">
      <c r="B357" s="23"/>
      <c r="C357" s="5" t="s">
        <v>1415</v>
      </c>
      <c r="D357" s="547">
        <f>2*D325</f>
        <v>5.7191658554056577</v>
      </c>
      <c r="E357" s="505" t="s">
        <v>244</v>
      </c>
    </row>
    <row r="358" spans="2:5" x14ac:dyDescent="0.35">
      <c r="B358" s="23"/>
    </row>
    <row r="359" spans="2:5" x14ac:dyDescent="0.35">
      <c r="B359" s="23"/>
      <c r="C359" s="1"/>
      <c r="D359" s="1"/>
    </row>
    <row r="360" spans="2:5" x14ac:dyDescent="0.35">
      <c r="B360" s="23"/>
    </row>
    <row r="361" spans="2:5" x14ac:dyDescent="0.35">
      <c r="B361" s="23"/>
    </row>
    <row r="362" spans="2:5" x14ac:dyDescent="0.35">
      <c r="B362" s="23"/>
    </row>
    <row r="367" spans="2:5" x14ac:dyDescent="0.35">
      <c r="C367" s="1"/>
    </row>
    <row r="370" spans="2:4" hidden="1" x14ac:dyDescent="0.35">
      <c r="C370" s="59" t="s">
        <v>1186</v>
      </c>
      <c r="D370" s="515">
        <v>1</v>
      </c>
    </row>
    <row r="371" spans="2:4" hidden="1" x14ac:dyDescent="0.35">
      <c r="D371" s="515">
        <v>1.1000000000000001</v>
      </c>
    </row>
    <row r="372" spans="2:4" hidden="1" x14ac:dyDescent="0.35">
      <c r="D372" s="515">
        <v>1.2</v>
      </c>
    </row>
    <row r="373" spans="2:4" hidden="1" x14ac:dyDescent="0.35">
      <c r="C373" s="1"/>
      <c r="D373" s="515">
        <v>1.3</v>
      </c>
    </row>
    <row r="374" spans="2:4" hidden="1" x14ac:dyDescent="0.35">
      <c r="D374" s="515">
        <v>1.5</v>
      </c>
    </row>
    <row r="375" spans="2:4" hidden="1" x14ac:dyDescent="0.35">
      <c r="D375" s="515">
        <v>1.6</v>
      </c>
    </row>
    <row r="376" spans="2:4" hidden="1" x14ac:dyDescent="0.35">
      <c r="D376" s="515">
        <v>1.8</v>
      </c>
    </row>
    <row r="377" spans="2:4" hidden="1" x14ac:dyDescent="0.35">
      <c r="D377" s="515">
        <v>2</v>
      </c>
    </row>
    <row r="378" spans="2:4" hidden="1" x14ac:dyDescent="0.35">
      <c r="D378" s="515">
        <v>2.2000000000000002</v>
      </c>
    </row>
    <row r="379" spans="2:4" hidden="1" x14ac:dyDescent="0.35">
      <c r="D379" s="515">
        <v>2.4</v>
      </c>
    </row>
    <row r="380" spans="2:4" hidden="1" x14ac:dyDescent="0.35">
      <c r="B380" s="1"/>
      <c r="C380" s="1"/>
      <c r="D380" s="515">
        <v>2.7</v>
      </c>
    </row>
    <row r="381" spans="2:4" hidden="1" x14ac:dyDescent="0.35">
      <c r="D381" s="515">
        <v>3</v>
      </c>
    </row>
    <row r="382" spans="2:4" hidden="1" x14ac:dyDescent="0.35">
      <c r="D382" s="515">
        <v>3.3</v>
      </c>
    </row>
    <row r="383" spans="2:4" hidden="1" x14ac:dyDescent="0.35">
      <c r="D383" s="515">
        <v>3.6</v>
      </c>
    </row>
    <row r="384" spans="2:4" hidden="1" x14ac:dyDescent="0.35">
      <c r="D384" s="515">
        <v>3.9</v>
      </c>
    </row>
    <row r="385" spans="3:7" hidden="1" x14ac:dyDescent="0.35">
      <c r="D385" s="515">
        <v>4.3</v>
      </c>
    </row>
    <row r="386" spans="3:7" hidden="1" x14ac:dyDescent="0.35">
      <c r="C386" s="1"/>
      <c r="D386" s="515">
        <v>4.7</v>
      </c>
    </row>
    <row r="387" spans="3:7" hidden="1" x14ac:dyDescent="0.35">
      <c r="C387" s="1"/>
      <c r="D387" s="515">
        <v>5.0999999999999996</v>
      </c>
    </row>
    <row r="388" spans="3:7" hidden="1" x14ac:dyDescent="0.35">
      <c r="C388" s="1"/>
      <c r="D388" s="515">
        <v>5.6</v>
      </c>
      <c r="E388" s="1"/>
      <c r="F388" s="1"/>
      <c r="G388" s="1"/>
    </row>
    <row r="389" spans="3:7" hidden="1" x14ac:dyDescent="0.35">
      <c r="C389" s="299"/>
      <c r="D389" s="515">
        <v>6.2</v>
      </c>
    </row>
    <row r="390" spans="3:7" hidden="1" x14ac:dyDescent="0.35">
      <c r="C390" s="299"/>
      <c r="D390" s="515">
        <v>6.8</v>
      </c>
    </row>
    <row r="391" spans="3:7" hidden="1" x14ac:dyDescent="0.35">
      <c r="C391" s="299"/>
      <c r="D391" s="515">
        <v>7.5</v>
      </c>
    </row>
    <row r="392" spans="3:7" hidden="1" x14ac:dyDescent="0.35">
      <c r="C392" s="299"/>
      <c r="D392" s="515">
        <v>8.1999999999999993</v>
      </c>
    </row>
    <row r="393" spans="3:7" hidden="1" x14ac:dyDescent="0.35">
      <c r="C393" s="299"/>
      <c r="D393" s="515">
        <v>9.1</v>
      </c>
    </row>
    <row r="394" spans="3:7" x14ac:dyDescent="0.35">
      <c r="C394" s="299"/>
      <c r="D394" s="299"/>
    </row>
    <row r="395" spans="3:7" x14ac:dyDescent="0.35">
      <c r="C395" s="299"/>
      <c r="D395" s="299"/>
    </row>
    <row r="396" spans="3:7" x14ac:dyDescent="0.35">
      <c r="C396" s="299"/>
      <c r="D396" s="299"/>
    </row>
    <row r="397" spans="3:7" x14ac:dyDescent="0.35">
      <c r="C397" s="299"/>
      <c r="D397" s="299"/>
    </row>
    <row r="398" spans="3:7" x14ac:dyDescent="0.35">
      <c r="C398" s="299"/>
      <c r="D398" s="299"/>
    </row>
    <row r="399" spans="3:7" x14ac:dyDescent="0.35">
      <c r="C399" s="299"/>
      <c r="D399" s="299"/>
    </row>
    <row r="400" spans="3:7" x14ac:dyDescent="0.35">
      <c r="C400" s="299"/>
      <c r="D400" s="299"/>
    </row>
    <row r="401" spans="3:4" x14ac:dyDescent="0.35">
      <c r="C401" s="299"/>
      <c r="D401" s="299"/>
    </row>
    <row r="402" spans="3:4" x14ac:dyDescent="0.35">
      <c r="C402" s="299"/>
      <c r="D402" s="299"/>
    </row>
    <row r="403" spans="3:4" x14ac:dyDescent="0.35">
      <c r="C403" s="299"/>
      <c r="D403" s="299"/>
    </row>
    <row r="404" spans="3:4" x14ac:dyDescent="0.35">
      <c r="C404" s="299"/>
      <c r="D404" s="299"/>
    </row>
    <row r="405" spans="3:4" x14ac:dyDescent="0.35">
      <c r="C405" s="299"/>
      <c r="D405" s="299"/>
    </row>
    <row r="406" spans="3:4" x14ac:dyDescent="0.35">
      <c r="C406" s="299"/>
      <c r="D406" s="299"/>
    </row>
    <row r="407" spans="3:4" x14ac:dyDescent="0.35">
      <c r="C407" s="299"/>
      <c r="D407" s="299"/>
    </row>
    <row r="408" spans="3:4" x14ac:dyDescent="0.35">
      <c r="C408" s="299"/>
      <c r="D408" s="299"/>
    </row>
    <row r="409" spans="3:4" x14ac:dyDescent="0.35">
      <c r="C409" s="299"/>
      <c r="D409" s="299"/>
    </row>
    <row r="410" spans="3:4" x14ac:dyDescent="0.35">
      <c r="C410" s="299"/>
      <c r="D410" s="299"/>
    </row>
    <row r="411" spans="3:4" x14ac:dyDescent="0.35">
      <c r="C411" s="299"/>
      <c r="D411" s="299"/>
    </row>
    <row r="412" spans="3:4" x14ac:dyDescent="0.35">
      <c r="C412" s="299"/>
      <c r="D412" s="299"/>
    </row>
    <row r="413" spans="3:4" x14ac:dyDescent="0.35">
      <c r="C413" s="299"/>
      <c r="D413" s="299"/>
    </row>
    <row r="414" spans="3:4" x14ac:dyDescent="0.35">
      <c r="C414" s="299"/>
      <c r="D414" s="299"/>
    </row>
    <row r="415" spans="3:4" x14ac:dyDescent="0.35">
      <c r="C415" s="299"/>
      <c r="D415" s="299"/>
    </row>
    <row r="416" spans="3:4" x14ac:dyDescent="0.35">
      <c r="C416" s="299"/>
      <c r="D416" s="299"/>
    </row>
    <row r="417" spans="3:4" x14ac:dyDescent="0.35">
      <c r="C417" s="299"/>
      <c r="D417" s="299"/>
    </row>
    <row r="418" spans="3:4" x14ac:dyDescent="0.35">
      <c r="C418" s="299"/>
      <c r="D418" s="299"/>
    </row>
    <row r="419" spans="3:4" x14ac:dyDescent="0.35">
      <c r="C419" s="299"/>
      <c r="D419" s="299"/>
    </row>
    <row r="420" spans="3:4" x14ac:dyDescent="0.35">
      <c r="C420" s="299"/>
      <c r="D420" s="299"/>
    </row>
    <row r="421" spans="3:4" x14ac:dyDescent="0.35">
      <c r="C421" s="299"/>
      <c r="D421" s="299"/>
    </row>
    <row r="422" spans="3:4" x14ac:dyDescent="0.35">
      <c r="C422" s="299"/>
      <c r="D422" s="299"/>
    </row>
    <row r="423" spans="3:4" x14ac:dyDescent="0.35">
      <c r="C423" s="299"/>
      <c r="D423" s="299"/>
    </row>
    <row r="424" spans="3:4" x14ac:dyDescent="0.35">
      <c r="C424" s="299"/>
      <c r="D424" s="299"/>
    </row>
    <row r="425" spans="3:4" x14ac:dyDescent="0.35">
      <c r="C425" s="299"/>
      <c r="D425" s="299"/>
    </row>
    <row r="426" spans="3:4" x14ac:dyDescent="0.35">
      <c r="C426" s="299"/>
      <c r="D426" s="299"/>
    </row>
    <row r="427" spans="3:4" x14ac:dyDescent="0.35">
      <c r="C427" s="299"/>
      <c r="D427" s="299"/>
    </row>
    <row r="428" spans="3:4" x14ac:dyDescent="0.35">
      <c r="C428" s="299"/>
      <c r="D428" s="299"/>
    </row>
    <row r="429" spans="3:4" x14ac:dyDescent="0.35">
      <c r="C429" s="299"/>
      <c r="D429" s="299"/>
    </row>
    <row r="430" spans="3:4" x14ac:dyDescent="0.35">
      <c r="C430" s="299"/>
      <c r="D430" s="299"/>
    </row>
    <row r="431" spans="3:4" x14ac:dyDescent="0.35">
      <c r="C431" s="299"/>
      <c r="D431" s="299"/>
    </row>
    <row r="432" spans="3:4" x14ac:dyDescent="0.35">
      <c r="C432" s="299"/>
      <c r="D432" s="299"/>
    </row>
    <row r="433" spans="3:4" x14ac:dyDescent="0.35">
      <c r="C433" s="299"/>
      <c r="D433" s="299"/>
    </row>
    <row r="434" spans="3:4" x14ac:dyDescent="0.35">
      <c r="C434" s="299"/>
      <c r="D434" s="299"/>
    </row>
    <row r="435" spans="3:4" x14ac:dyDescent="0.35">
      <c r="C435" s="299"/>
      <c r="D435" s="299"/>
    </row>
    <row r="436" spans="3:4" x14ac:dyDescent="0.35">
      <c r="C436" s="299"/>
      <c r="D436" s="299"/>
    </row>
    <row r="437" spans="3:4" x14ac:dyDescent="0.35">
      <c r="C437" s="299"/>
      <c r="D437" s="299"/>
    </row>
    <row r="438" spans="3:4" x14ac:dyDescent="0.35">
      <c r="C438" s="299"/>
      <c r="D438" s="299"/>
    </row>
    <row r="439" spans="3:4" x14ac:dyDescent="0.35">
      <c r="C439" s="299"/>
      <c r="D439" s="299"/>
    </row>
    <row r="440" spans="3:4" x14ac:dyDescent="0.35">
      <c r="C440" s="299"/>
      <c r="D440" s="299"/>
    </row>
    <row r="441" spans="3:4" x14ac:dyDescent="0.35">
      <c r="C441" s="299"/>
      <c r="D441" s="299"/>
    </row>
    <row r="442" spans="3:4" x14ac:dyDescent="0.35">
      <c r="C442" s="299"/>
      <c r="D442" s="299"/>
    </row>
    <row r="443" spans="3:4" x14ac:dyDescent="0.35">
      <c r="C443" s="299"/>
      <c r="D443" s="299"/>
    </row>
    <row r="444" spans="3:4" x14ac:dyDescent="0.35">
      <c r="C444" s="299"/>
      <c r="D444" s="299"/>
    </row>
    <row r="445" spans="3:4" x14ac:dyDescent="0.35">
      <c r="C445" s="299"/>
      <c r="D445" s="299"/>
    </row>
    <row r="446" spans="3:4" x14ac:dyDescent="0.35">
      <c r="C446" s="299"/>
      <c r="D446" s="299"/>
    </row>
    <row r="447" spans="3:4" x14ac:dyDescent="0.35">
      <c r="C447" s="299"/>
      <c r="D447" s="299"/>
    </row>
    <row r="448" spans="3:4" x14ac:dyDescent="0.35">
      <c r="C448" s="299"/>
      <c r="D448" s="299"/>
    </row>
    <row r="449" spans="3:4" x14ac:dyDescent="0.35">
      <c r="C449" s="299"/>
      <c r="D449" s="299"/>
    </row>
    <row r="450" spans="3:4" x14ac:dyDescent="0.35">
      <c r="C450" s="299"/>
      <c r="D450" s="299"/>
    </row>
  </sheetData>
  <sheetProtection algorithmName="SHA-512" hashValue="Pq8zyIr9oPVwvHjF7D3/TTKHkvDVQTSuwVzf4ETTuMQn0/M8Pcc4GoMUYnSy39KrxhirdHmbp/RJ88/2WVN5Gw==" saltValue="8EG1ZV0oEd3ixiHoNIMX0A==" spinCount="100000" sheet="1" objects="1" scenarios="1"/>
  <mergeCells count="3">
    <mergeCell ref="P4:S4"/>
    <mergeCell ref="E6:E7"/>
    <mergeCell ref="E14:E15"/>
  </mergeCells>
  <dataValidations count="15">
    <dataValidation type="decimal" allowBlank="1" showInputMessage="1" showErrorMessage="1" sqref="D7" xr:uid="{00000000-0002-0000-0800-000000000000}">
      <formula1>0</formula1>
      <formula2>D6</formula2>
    </dataValidation>
    <dataValidation type="whole" allowBlank="1" showInputMessage="1" showErrorMessage="1" error="The number of positions must be an integer multiple of 4." sqref="D8 D11" xr:uid="{00000000-0002-0000-0800-000001000000}">
      <formula1>4</formula1>
      <formula2>1000</formula2>
    </dataValidation>
    <dataValidation type="list" allowBlank="1" showInputMessage="1" showErrorMessage="1" sqref="E6:E7" xr:uid="{00000000-0002-0000-0800-000002000000}">
      <formula1>"mm,inch"</formula1>
    </dataValidation>
    <dataValidation type="decimal" allowBlank="1" showInputMessage="1" showErrorMessage="1" sqref="D6" xr:uid="{00000000-0002-0000-0800-000003000000}">
      <formula1>C379</formula1>
      <formula2>C380</formula2>
    </dataValidation>
    <dataValidation type="decimal" errorStyle="warning" allowBlank="1" showInputMessage="1" showErrorMessage="1" error="This is an Extreme value. Please check." sqref="D21:D22" xr:uid="{00000000-0002-0000-0800-000004000000}">
      <formula1>C385</formula1>
      <formula2>C386</formula2>
    </dataValidation>
    <dataValidation type="decimal" allowBlank="1" showInputMessage="1" showErrorMessage="1" sqref="D20 D14:D18" xr:uid="{00000000-0002-0000-0800-000005000000}">
      <formula1>0.001</formula1>
      <formula2>2000</formula2>
    </dataValidation>
    <dataValidation type="list" allowBlank="1" showInputMessage="1" showErrorMessage="1" sqref="D19" xr:uid="{00000000-0002-0000-0800-000006000000}">
      <formula1>"1,2,4"</formula1>
    </dataValidation>
    <dataValidation type="decimal" allowBlank="1" showInputMessage="1" showErrorMessage="1" error="The number of positions must be an integer multiple of 4." sqref="D12 D9" xr:uid="{00000000-0002-0000-0800-000007000000}">
      <formula1>0.01</formula1>
      <formula2>1000</formula2>
    </dataValidation>
    <dataValidation type="list" allowBlank="1" showInputMessage="1" showErrorMessage="1" sqref="E9 E12:E16" xr:uid="{00000000-0002-0000-0800-000008000000}">
      <formula1>"µm,mm,mil"</formula1>
    </dataValidation>
    <dataValidation type="list" allowBlank="1" showInputMessage="1" showErrorMessage="1" sqref="E20" xr:uid="{00000000-0002-0000-0800-000009000000}">
      <formula1>"oz-Cu,µm,mil"</formula1>
    </dataValidation>
    <dataValidation type="list" allowBlank="1" showInputMessage="1" showErrorMessage="1" sqref="E10" xr:uid="{00000000-0002-0000-0800-00000A000000}">
      <formula1>"RPM,SPS"</formula1>
    </dataValidation>
    <dataValidation type="decimal" errorStyle="warning" allowBlank="1" showInputMessage="1" showErrorMessage="1" error="Extreme RP requirement. Please verify." sqref="D10" xr:uid="{00000000-0002-0000-0800-00000B000000}">
      <formula1>0.01</formula1>
      <formula2>10000</formula2>
    </dataValidation>
    <dataValidation type="list" allowBlank="1" showInputMessage="1" showErrorMessage="1" error="Not a LDC0851 characterized supply voltage." sqref="D353" xr:uid="{00000000-0002-0000-0800-00000C000000}">
      <formula1>"1.8,3.3"</formula1>
    </dataValidation>
    <dataValidation allowBlank="1" showInputMessage="1" sqref="E17:E18" xr:uid="{00000000-0002-0000-0800-00000D000000}"/>
    <dataValidation type="decimal" allowBlank="1" showInputMessage="1" showErrorMessage="1" sqref="D13" xr:uid="{00000000-0002-0000-0800-00000E000000}">
      <formula1>0</formula1>
      <formula2>2000</formula2>
    </dataValidation>
  </dataValidations>
  <hyperlinks>
    <hyperlink ref="D2" location="Contents!A1" display="Return to Main Page" xr:uid="{00000000-0004-0000-0800-000000000000}"/>
  </hyperlinks>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116737" r:id="rId4">
          <objectPr locked="0" defaultSize="0" autoPict="0" r:id="rId5">
            <anchor moveWithCells="1">
              <from>
                <xdr:col>5</xdr:col>
                <xdr:colOff>114300</xdr:colOff>
                <xdr:row>0</xdr:row>
                <xdr:rowOff>152400</xdr:rowOff>
              </from>
              <to>
                <xdr:col>7</xdr:col>
                <xdr:colOff>184150</xdr:colOff>
                <xdr:row>4</xdr:row>
                <xdr:rowOff>127000</xdr:rowOff>
              </to>
            </anchor>
          </objectPr>
        </oleObject>
      </mc:Choice>
      <mc:Fallback>
        <oleObject progId="Acrobat Document" dvAspect="DVASPECT_ICON" shapeId="116737"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Rev History</vt:lpstr>
      <vt:lpstr>Contents</vt:lpstr>
      <vt:lpstr>Spiral_Inductor_Designer</vt:lpstr>
      <vt:lpstr>SkinDepth</vt:lpstr>
      <vt:lpstr>LDC3114_Config_tool</vt:lpstr>
      <vt:lpstr>LDC2114_Config_tool</vt:lpstr>
      <vt:lpstr>LDC131x-LDC161x_Config</vt:lpstr>
      <vt:lpstr>LDC0851_calc</vt:lpstr>
      <vt:lpstr>Encoder_Calc_Tool</vt:lpstr>
      <vt:lpstr>LDC1101_Calc</vt:lpstr>
      <vt:lpstr>LDC1000_Tools</vt:lpstr>
      <vt:lpstr>Dial_Calc_Tool</vt:lpstr>
      <vt:lpstr>Metal_Deflection</vt:lpstr>
      <vt:lpstr>Spring Sensor</vt:lpstr>
      <vt:lpstr>Metal_Deflection!abr_units</vt:lpstr>
      <vt:lpstr>Metal_Deflection!ac</vt:lpstr>
      <vt:lpstr>Metal_Deflection!alphap</vt:lpstr>
      <vt:lpstr>Metal_Deflection!alphau</vt:lpstr>
      <vt:lpstr>Metal_Deflection!ar</vt:lpstr>
      <vt:lpstr>Metal_Deflection!area</vt:lpstr>
      <vt:lpstr>Metal_Deflection!area_c</vt:lpstr>
      <vt:lpstr>Metal_Deflection!area_r</vt:lpstr>
      <vt:lpstr>Metal_Deflection!boa</vt:lpstr>
      <vt:lpstr>Metal_Deflection!br</vt:lpstr>
      <vt:lpstr>Metal_Deflection!D</vt:lpstr>
      <vt:lpstr>Metal_Deflection!Dc_units</vt:lpstr>
      <vt:lpstr>Metal_Deflection!E</vt:lpstr>
      <vt:lpstr>Metal_Deflection!F</vt:lpstr>
      <vt:lpstr>Metal_Deflection!force</vt:lpstr>
      <vt:lpstr>Metal_Deflection!h</vt:lpstr>
      <vt:lpstr>Metal_Deflection!h_units</vt:lpstr>
      <vt:lpstr>Metal_Deflection!mat</vt:lpstr>
      <vt:lpstr>LDC1101_Calc!Mega</vt:lpstr>
      <vt:lpstr>LDC1101_Calc!micro</vt:lpstr>
      <vt:lpstr>Metal_Deflection!nu</vt:lpstr>
      <vt:lpstr>LDC1101_Calc!pico</vt:lpstr>
      <vt:lpstr>Metal_Deflection!q</vt:lpstr>
      <vt:lpstr>Metal_Deflection!shape</vt:lpstr>
      <vt:lpstr>Metal_Deflection!wpkcp</vt:lpstr>
      <vt:lpstr>Metal_Deflection!wpkcu</vt:lpstr>
      <vt:lpstr>Metal_Deflection!wpkrp</vt:lpstr>
      <vt:lpstr>Metal_Deflection!wpkru</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Oberhauser</dc:creator>
  <cp:lastModifiedBy>Song, Kefan</cp:lastModifiedBy>
  <dcterms:created xsi:type="dcterms:W3CDTF">2014-10-17T20:34:02Z</dcterms:created>
  <dcterms:modified xsi:type="dcterms:W3CDTF">2025-04-14T02:46:07Z</dcterms:modified>
</cp:coreProperties>
</file>