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ollowups\0.思维导图\4.Fin\2.GitHub\2.noi_affo_bridge_sensitivity\"/>
    </mc:Choice>
  </mc:AlternateContent>
  <xr:revisionPtr revIDLastSave="0" documentId="13_ncr:20001_{4B6071DB-8D00-45EA-B054-5D84CB95CCE8}" xr6:coauthVersionLast="47" xr6:coauthVersionMax="47" xr10:uidLastSave="{00000000-0000-0000-0000-000000000000}"/>
  <bookViews>
    <workbookView xWindow="-98" yWindow="-98" windowWidth="19396" windowHeight="11475" tabRatio="674" activeTab="2" xr2:uid="{00000000-000D-0000-FFFF-FFFF00000000}"/>
  </bookViews>
  <sheets>
    <sheet name="Timeline" sheetId="2" r:id="rId1"/>
    <sheet name="Inputs" sheetId="1" r:id="rId2"/>
    <sheet name="CF_Base" sheetId="3" r:id="rId3"/>
    <sheet name="Calc_Note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2" i="3"/>
  <c r="L3" i="3"/>
  <c r="L4" i="3"/>
  <c r="L5" i="3"/>
  <c r="L6" i="3"/>
  <c r="L7" i="3"/>
  <c r="L8" i="3"/>
  <c r="L9" i="3"/>
  <c r="L10" i="3"/>
  <c r="L11" i="3"/>
  <c r="L12" i="3"/>
  <c r="L13" i="3"/>
  <c r="L2" i="3"/>
  <c r="O3" i="3"/>
  <c r="O4" i="3"/>
  <c r="O5" i="3"/>
  <c r="O6" i="3"/>
  <c r="O7" i="3"/>
  <c r="O8" i="3"/>
  <c r="O9" i="3"/>
  <c r="O10" i="3"/>
  <c r="O11" i="3"/>
  <c r="O12" i="3"/>
  <c r="O13" i="3"/>
  <c r="O2" i="3"/>
  <c r="I8" i="3"/>
  <c r="I9" i="3"/>
  <c r="I11" i="3"/>
  <c r="I12" i="3"/>
  <c r="H7" i="3"/>
  <c r="H8" i="3"/>
  <c r="H9" i="3"/>
  <c r="H11" i="3"/>
  <c r="H12" i="3"/>
  <c r="H13" i="3"/>
  <c r="I13" i="3" s="1"/>
  <c r="H2" i="3"/>
  <c r="G3" i="3"/>
  <c r="H3" i="3" s="1"/>
  <c r="G4" i="3"/>
  <c r="H4" i="3" s="1"/>
  <c r="G5" i="3"/>
  <c r="H5" i="3" s="1"/>
  <c r="G6" i="3"/>
  <c r="H6" i="3" s="1"/>
  <c r="G7" i="3"/>
  <c r="G8" i="3"/>
  <c r="G9" i="3"/>
  <c r="G10" i="3"/>
  <c r="H10" i="3" s="1"/>
  <c r="I10" i="3" s="1"/>
  <c r="G11" i="3"/>
  <c r="G12" i="3"/>
  <c r="G13" i="3"/>
  <c r="G2" i="3"/>
  <c r="F4" i="3"/>
  <c r="F5" i="3"/>
  <c r="F6" i="3"/>
  <c r="F7" i="3"/>
  <c r="E3" i="3"/>
  <c r="E4" i="3"/>
  <c r="E5" i="3"/>
  <c r="E6" i="3"/>
  <c r="E7" i="3"/>
  <c r="E8" i="3"/>
  <c r="F8" i="3" s="1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C3" i="3"/>
  <c r="C4" i="3"/>
  <c r="I4" i="3" s="1"/>
  <c r="C5" i="3"/>
  <c r="I5" i="3" s="1"/>
  <c r="C6" i="3"/>
  <c r="I6" i="3" s="1"/>
  <c r="C7" i="3"/>
  <c r="I7" i="3" s="1"/>
  <c r="C8" i="3"/>
  <c r="C9" i="3"/>
  <c r="F9" i="3" s="1"/>
  <c r="C10" i="3"/>
  <c r="F10" i="3" s="1"/>
  <c r="C11" i="3"/>
  <c r="F11" i="3" s="1"/>
  <c r="C12" i="3"/>
  <c r="F12" i="3" s="1"/>
  <c r="C13" i="3"/>
  <c r="F13" i="3" s="1"/>
  <c r="C2" i="3"/>
  <c r="I2" i="3" s="1"/>
  <c r="B3" i="2"/>
  <c r="B4" i="2"/>
  <c r="B5" i="2"/>
  <c r="B5" i="3" s="1"/>
  <c r="B6" i="2"/>
  <c r="B7" i="2"/>
  <c r="B8" i="2"/>
  <c r="B8" i="3" s="1"/>
  <c r="B9" i="2"/>
  <c r="B9" i="3" s="1"/>
  <c r="B10" i="2"/>
  <c r="B10" i="3" s="1"/>
  <c r="B11" i="2"/>
  <c r="B11" i="3" s="1"/>
  <c r="B12" i="2"/>
  <c r="B12" i="3" s="1"/>
  <c r="B13" i="2"/>
  <c r="B13" i="3" s="1"/>
  <c r="B2" i="2"/>
  <c r="B2" i="3" s="1"/>
  <c r="B7" i="3"/>
  <c r="B4" i="3"/>
  <c r="B6" i="3"/>
  <c r="B3" i="3"/>
  <c r="A13" i="3"/>
  <c r="A12" i="3"/>
  <c r="A11" i="3"/>
  <c r="A10" i="3"/>
  <c r="A9" i="3"/>
  <c r="A8" i="3"/>
  <c r="A7" i="3"/>
  <c r="A6" i="3"/>
  <c r="A5" i="3"/>
  <c r="A4" i="3"/>
  <c r="A3" i="3"/>
  <c r="A2" i="3"/>
  <c r="J10" i="3" l="1"/>
  <c r="K10" i="3" s="1"/>
  <c r="N10" i="3" s="1"/>
  <c r="J9" i="3"/>
  <c r="K9" i="3" s="1"/>
  <c r="N9" i="3" s="1"/>
  <c r="K6" i="3"/>
  <c r="N6" i="3" s="1"/>
  <c r="K5" i="3"/>
  <c r="N5" i="3" s="1"/>
  <c r="K4" i="3"/>
  <c r="N4" i="3" s="1"/>
  <c r="J11" i="3"/>
  <c r="K11" i="3" s="1"/>
  <c r="N11" i="3" s="1"/>
  <c r="I3" i="3"/>
  <c r="J8" i="3"/>
  <c r="K8" i="3" s="1"/>
  <c r="N8" i="3" s="1"/>
  <c r="J13" i="3"/>
  <c r="K13" i="3" s="1"/>
  <c r="N13" i="3" s="1"/>
  <c r="J12" i="3"/>
  <c r="K12" i="3" s="1"/>
  <c r="N12" i="3" s="1"/>
  <c r="J7" i="3"/>
  <c r="K7" i="3" s="1"/>
  <c r="N7" i="3" s="1"/>
  <c r="J6" i="3"/>
  <c r="J5" i="3"/>
  <c r="J4" i="3"/>
  <c r="F3" i="3"/>
  <c r="F2" i="3"/>
  <c r="J2" i="3" s="1"/>
  <c r="O14" i="3"/>
  <c r="J3" i="3" l="1"/>
  <c r="K3" i="3"/>
  <c r="N3" i="3" s="1"/>
  <c r="M14" i="3" l="1"/>
  <c r="L14" i="3"/>
  <c r="P13" i="3" l="1"/>
  <c r="P5" i="3"/>
  <c r="P12" i="3"/>
  <c r="H14" i="3"/>
  <c r="I14" i="3"/>
  <c r="F14" i="3"/>
  <c r="P9" i="3"/>
  <c r="P7" i="3"/>
  <c r="P11" i="3"/>
  <c r="P4" i="3"/>
  <c r="P10" i="3"/>
  <c r="P3" i="3"/>
  <c r="P8" i="3"/>
  <c r="P6" i="3"/>
  <c r="K2" i="3" l="1"/>
  <c r="N2" i="3" s="1"/>
  <c r="J14" i="3"/>
  <c r="K14" i="3" l="1"/>
  <c r="N14" i="3"/>
  <c r="P2" i="3"/>
  <c r="P14" i="3" s="1"/>
</calcChain>
</file>

<file path=xl/sharedStrings.xml><?xml version="1.0" encoding="utf-8"?>
<sst xmlns="http://schemas.openxmlformats.org/spreadsheetml/2006/main" count="99" uniqueCount="83">
  <si>
    <t>Key</t>
  </si>
  <si>
    <t>Property_Name</t>
  </si>
  <si>
    <t>Sample Mall</t>
  </si>
  <si>
    <t>Analysis_Start</t>
  </si>
  <si>
    <t>Analysis_Months</t>
  </si>
  <si>
    <t>GLA_sqft</t>
  </si>
  <si>
    <t>Base_Rent_psf_pa</t>
  </si>
  <si>
    <t>Annual_Rent_Growth_pct</t>
  </si>
  <si>
    <t>Free_Rent_Months</t>
  </si>
  <si>
    <t>Lease_Term_Months</t>
  </si>
  <si>
    <t>Downtime_Months</t>
  </si>
  <si>
    <t>Expense_Base_psf_pa</t>
  </si>
  <si>
    <t>Expense_Growth_pct</t>
  </si>
  <si>
    <t>CAM_Recovery_pct</t>
  </si>
  <si>
    <t>Bad_Debt_pct_of_Rent</t>
  </si>
  <si>
    <t>TI_psf</t>
  </si>
  <si>
    <t>TI($/psf)</t>
  </si>
  <si>
    <t>LC_pct_of_Year1_Rent</t>
  </si>
  <si>
    <t>TI_Amort_Years</t>
  </si>
  <si>
    <t>LC_Amort_Years</t>
  </si>
  <si>
    <t>Debt_Balance</t>
  </si>
  <si>
    <t>Reference_Rate_pct</t>
  </si>
  <si>
    <t>Spread_pct</t>
  </si>
  <si>
    <t>Hedge_pct_of_Debt</t>
  </si>
  <si>
    <t>Hedge_Fixed_Rate_pct</t>
  </si>
  <si>
    <t>Month_Index</t>
  </si>
  <si>
    <t>Month_Start</t>
  </si>
  <si>
    <t>Occupied</t>
  </si>
  <si>
    <t>FreeRent</t>
  </si>
  <si>
    <t>Rent_psf_pa</t>
  </si>
  <si>
    <t>Base_Rent</t>
  </si>
  <si>
    <t>Expense_psf_pa</t>
  </si>
  <si>
    <t>OpEx</t>
  </si>
  <si>
    <t>Recoveries</t>
  </si>
  <si>
    <t>Bad_Debt</t>
  </si>
  <si>
    <t>NOI_pre_Amort</t>
  </si>
  <si>
    <t>TI_Amort</t>
  </si>
  <si>
    <t>LC_Amort</t>
  </si>
  <si>
    <t>NOI</t>
  </si>
  <si>
    <t>Interest_Expense</t>
  </si>
  <si>
    <t>AFFO</t>
  </si>
  <si>
    <t>Totals</t>
  </si>
  <si>
    <t>Occupied*(1-FreeRent)*(Rent_psf_pa/12)*GLA_sqft</t>
  </si>
  <si>
    <t>(Expense_psf_pa/12)*GLA_sqft</t>
  </si>
  <si>
    <t>-(Base_Rent+Recoveries)*Bad_Debt_pct_of_Rent</t>
  </si>
  <si>
    <t>Base_Rent + Recoveries + Bad_Debt - OpEx</t>
  </si>
  <si>
    <t>NOI_pre_Amort + TI_Amort + LC_Amort</t>
  </si>
  <si>
    <t>NOI + Interest_Expense</t>
  </si>
  <si>
    <r>
      <rPr>
        <b/>
        <sz val="11"/>
        <color theme="1"/>
        <rFont val="宋体"/>
        <family val="2"/>
      </rPr>
      <t>字段</t>
    </r>
    <r>
      <rPr>
        <b/>
        <sz val="11"/>
        <color theme="1"/>
        <rFont val="Calibri"/>
        <family val="2"/>
      </rPr>
      <t>/</t>
    </r>
    <r>
      <rPr>
        <b/>
        <sz val="11"/>
        <color theme="1"/>
        <rFont val="宋体"/>
        <family val="2"/>
      </rPr>
      <t>公式</t>
    </r>
  </si>
  <si>
    <r>
      <rPr>
        <b/>
        <sz val="11"/>
        <color theme="1"/>
        <rFont val="宋体"/>
        <family val="2"/>
      </rPr>
      <t>说明</t>
    </r>
  </si>
  <si>
    <t>Month_Index&gt;=Downtime+1, Month_Index&lt;=Downtime+Lease_Term</t>
    <phoneticPr fontId="1" type="noConversion"/>
  </si>
  <si>
    <t>Month_Index&gt;=Downtime+1, Month_Index&lt;=Downtime+Free_Rent</t>
    <phoneticPr fontId="1" type="noConversion"/>
  </si>
  <si>
    <t>Monthly compounding annual rent growth</t>
  </si>
  <si>
    <t>Monthly compounding Expense_Base_psf_pa</t>
    <phoneticPr fontId="1" type="noConversion"/>
  </si>
  <si>
    <t>Occupied OpEx with CAM_Recovery</t>
    <phoneticPr fontId="1" type="noConversion"/>
  </si>
  <si>
    <r>
      <rPr>
        <b/>
        <sz val="11"/>
        <color theme="1"/>
        <rFont val="宋体"/>
        <family val="2"/>
      </rPr>
      <t>描述</t>
    </r>
  </si>
  <si>
    <r>
      <rPr>
        <b/>
        <sz val="11"/>
        <color theme="1"/>
        <rFont val="宋体"/>
        <family val="2"/>
      </rPr>
      <t>值</t>
    </r>
  </si>
  <si>
    <r>
      <rPr>
        <sz val="11"/>
        <color theme="1"/>
        <rFont val="宋体"/>
        <family val="2"/>
      </rPr>
      <t>文本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2"/>
      </rPr>
      <t>标识</t>
    </r>
  </si>
  <si>
    <r>
      <rPr>
        <sz val="11"/>
        <color theme="1"/>
        <rFont val="宋体"/>
        <family val="2"/>
      </rPr>
      <t>分析起始日</t>
    </r>
  </si>
  <si>
    <r>
      <rPr>
        <sz val="11"/>
        <color theme="1"/>
        <rFont val="宋体"/>
        <family val="2"/>
      </rPr>
      <t>分析月数</t>
    </r>
  </si>
  <si>
    <r>
      <t>GLA(</t>
    </r>
    <r>
      <rPr>
        <sz val="11"/>
        <color theme="1"/>
        <rFont val="宋体"/>
        <family val="2"/>
      </rPr>
      <t>平方英尺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</si>
  <si>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2"/>
      </rPr>
      <t>首年租金</t>
    </r>
    <r>
      <rPr>
        <sz val="11"/>
        <color theme="1"/>
        <rFont val="Calibri"/>
        <family val="2"/>
      </rPr>
      <t>($/psf/</t>
    </r>
    <r>
      <rPr>
        <sz val="11"/>
        <color theme="1"/>
        <rFont val="宋体"/>
        <family val="2"/>
      </rPr>
      <t>年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</si>
  <si>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2"/>
      </rPr>
      <t>租金年增长率</t>
    </r>
  </si>
  <si>
    <r>
      <rPr>
        <sz val="11"/>
        <color theme="1"/>
        <rFont val="宋体"/>
        <family val="2"/>
      </rPr>
      <t>免租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月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</si>
  <si>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2"/>
      </rPr>
      <t>租期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月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</si>
  <si>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2"/>
      </rPr>
      <t>起租前空置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月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</si>
  <si>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2"/>
      </rPr>
      <t>费用基准</t>
    </r>
    <r>
      <rPr>
        <sz val="11"/>
        <color theme="1"/>
        <rFont val="Calibri"/>
        <family val="2"/>
      </rPr>
      <t>($/psf/</t>
    </r>
    <r>
      <rPr>
        <sz val="11"/>
        <color theme="1"/>
        <rFont val="宋体"/>
        <family val="2"/>
      </rPr>
      <t>年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</si>
  <si>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2"/>
      </rPr>
      <t>费用年增长率</t>
    </r>
  </si>
  <si>
    <r>
      <rPr>
        <sz val="11"/>
        <color theme="1"/>
        <rFont val="宋体"/>
        <family val="2"/>
      </rPr>
      <t>可回收比例</t>
    </r>
  </si>
  <si>
    <r>
      <rPr>
        <sz val="11"/>
        <color theme="1"/>
        <rFont val="宋体"/>
        <family val="2"/>
      </rPr>
      <t>坏账率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对租金</t>
    </r>
    <r>
      <rPr>
        <sz val="11"/>
        <color theme="1"/>
        <rFont val="Calibri"/>
        <family val="2"/>
      </rPr>
      <t>+Recoveries)</t>
    </r>
  </si>
  <si>
    <r>
      <t>LC(</t>
    </r>
    <r>
      <rPr>
        <sz val="11"/>
        <color theme="1"/>
        <rFont val="宋体"/>
        <family val="2"/>
      </rPr>
      <t>首年租金</t>
    </r>
    <r>
      <rPr>
        <sz val="11"/>
        <color theme="1"/>
        <rFont val="Calibri"/>
        <family val="2"/>
      </rPr>
      <t>%)</t>
    </r>
  </si>
  <si>
    <r>
      <t>TI</t>
    </r>
    <r>
      <rPr>
        <sz val="11"/>
        <color theme="1"/>
        <rFont val="宋体"/>
        <family val="2"/>
      </rPr>
      <t>摊销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年</t>
    </r>
    <r>
      <rPr>
        <sz val="11"/>
        <color theme="1"/>
        <rFont val="Calibri"/>
        <family val="2"/>
      </rPr>
      <t>)</t>
    </r>
  </si>
  <si>
    <r>
      <t>LC</t>
    </r>
    <r>
      <rPr>
        <sz val="11"/>
        <color theme="1"/>
        <rFont val="宋体"/>
        <family val="2"/>
      </rPr>
      <t>摊销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年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</si>
  <si>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2"/>
      </rPr>
      <t>债务余额</t>
    </r>
  </si>
  <si>
    <r>
      <rPr>
        <sz val="11"/>
        <color theme="1"/>
        <rFont val="宋体"/>
        <family val="2"/>
      </rPr>
      <t>参考利率</t>
    </r>
  </si>
  <si>
    <r>
      <rPr>
        <sz val="11"/>
        <color theme="1"/>
        <rFont val="宋体"/>
        <family val="2"/>
      </rPr>
      <t>利差</t>
    </r>
  </si>
  <si>
    <r>
      <rPr>
        <sz val="11"/>
        <color theme="1"/>
        <rFont val="宋体"/>
        <family val="2"/>
      </rPr>
      <t>对冲比例</t>
    </r>
  </si>
  <si>
    <r>
      <rPr>
        <sz val="11"/>
        <color theme="1"/>
        <rFont val="宋体"/>
        <family val="2"/>
      </rPr>
      <t>对冲固定利率</t>
    </r>
  </si>
  <si>
    <t>only for TI_Amort_Years, evenly amortized</t>
    <phoneticPr fontId="1" type="noConversion"/>
  </si>
  <si>
    <t>only for LC_Amort_Years, evenly amortized</t>
    <phoneticPr fontId="1" type="noConversion"/>
  </si>
  <si>
    <t>Smooths large upfront costs into uniform monthly charges to show stabilized NOI/AFFO impact.</t>
    <phoneticPr fontId="1" type="noConversion"/>
  </si>
  <si>
    <t>Aligns one-off leasing costs with the economic benefit period of the lease.</t>
    <phoneticPr fontId="1" type="noConversion"/>
  </si>
  <si>
    <t>Debt_Balance with Eff_rate per month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</si>
</sst>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8" formatCode="0.0000"/>
    <numFmt numFmtId="184" formatCode="#,##0_ 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宋体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176" fontId="3" fillId="0" borderId="0" xfId="0" applyNumberFormat="1" applyFont="1"/>
    <xf numFmtId="3" fontId="3" fillId="0" borderId="0" xfId="0" applyNumberFormat="1" applyFont="1"/>
    <xf numFmtId="0" fontId="2" fillId="2" borderId="1" xfId="0" applyFont="1" applyFill="1" applyBorder="1"/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/>
    <xf numFmtId="0" fontId="2" fillId="4" borderId="1" xfId="0" applyFont="1" applyFill="1" applyBorder="1" applyAlignment="1">
      <alignment horizontal="center" vertical="center" wrapText="1"/>
    </xf>
    <xf numFmtId="0" fontId="3" fillId="3" borderId="0" xfId="0" applyFont="1" applyFill="1"/>
    <xf numFmtId="10" fontId="3" fillId="3" borderId="0" xfId="0" applyNumberFormat="1" applyFont="1" applyFill="1"/>
    <xf numFmtId="0" fontId="3" fillId="4" borderId="0" xfId="0" applyFont="1" applyFill="1"/>
    <xf numFmtId="10" fontId="3" fillId="4" borderId="0" xfId="0" applyNumberFormat="1" applyFont="1" applyFill="1"/>
    <xf numFmtId="0" fontId="3" fillId="5" borderId="0" xfId="0" applyFont="1" applyFill="1"/>
    <xf numFmtId="10" fontId="3" fillId="5" borderId="0" xfId="0" applyNumberFormat="1" applyFont="1" applyFill="1"/>
    <xf numFmtId="0" fontId="3" fillId="6" borderId="0" xfId="0" applyFont="1" applyFill="1"/>
    <xf numFmtId="10" fontId="3" fillId="6" borderId="0" xfId="0" applyNumberFormat="1" applyFont="1" applyFill="1"/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84" fontId="3" fillId="6" borderId="0" xfId="0" applyNumberFormat="1" applyFont="1" applyFill="1"/>
    <xf numFmtId="184" fontId="3" fillId="4" borderId="0" xfId="0" applyNumberFormat="1" applyFont="1" applyFill="1"/>
    <xf numFmtId="0" fontId="7" fillId="2" borderId="1" xfId="0" applyFont="1" applyFill="1" applyBorder="1"/>
    <xf numFmtId="0" fontId="8" fillId="0" borderId="0" xfId="0" applyFont="1"/>
    <xf numFmtId="176" fontId="8" fillId="0" borderId="0" xfId="0" applyNumberFormat="1" applyFont="1"/>
    <xf numFmtId="0" fontId="2" fillId="0" borderId="0" xfId="0" applyFont="1"/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/>
    <xf numFmtId="3" fontId="6" fillId="7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20" sqref="B20"/>
    </sheetView>
  </sheetViews>
  <sheetFormatPr defaultRowHeight="14.25"/>
  <cols>
    <col min="1" max="2" width="13" style="23" bestFit="1" customWidth="1"/>
    <col min="3" max="16384" width="9.06640625" style="23"/>
  </cols>
  <sheetData>
    <row r="1" spans="1:2">
      <c r="A1" s="22" t="s">
        <v>25</v>
      </c>
      <c r="B1" s="22" t="s">
        <v>26</v>
      </c>
    </row>
    <row r="2" spans="1:2">
      <c r="A2" s="23">
        <v>1</v>
      </c>
      <c r="B2" s="24">
        <f>EDATE(Inputs!$C$3,ROW()-2)</f>
        <v>45658</v>
      </c>
    </row>
    <row r="3" spans="1:2">
      <c r="A3" s="23">
        <v>2</v>
      </c>
      <c r="B3" s="24">
        <f>EDATE(Inputs!$C$3,ROW()-2)</f>
        <v>45689</v>
      </c>
    </row>
    <row r="4" spans="1:2">
      <c r="A4" s="23">
        <v>3</v>
      </c>
      <c r="B4" s="24">
        <f>EDATE(Inputs!$C$3,ROW()-2)</f>
        <v>45717</v>
      </c>
    </row>
    <row r="5" spans="1:2">
      <c r="A5" s="23">
        <v>4</v>
      </c>
      <c r="B5" s="24">
        <f>EDATE(Inputs!$C$3,ROW()-2)</f>
        <v>45748</v>
      </c>
    </row>
    <row r="6" spans="1:2">
      <c r="A6" s="23">
        <v>5</v>
      </c>
      <c r="B6" s="24">
        <f>EDATE(Inputs!$C$3,ROW()-2)</f>
        <v>45778</v>
      </c>
    </row>
    <row r="7" spans="1:2">
      <c r="A7" s="23">
        <v>6</v>
      </c>
      <c r="B7" s="24">
        <f>EDATE(Inputs!$C$3,ROW()-2)</f>
        <v>45809</v>
      </c>
    </row>
    <row r="8" spans="1:2">
      <c r="A8" s="23">
        <v>7</v>
      </c>
      <c r="B8" s="24">
        <f>EDATE(Inputs!$C$3,ROW()-2)</f>
        <v>45839</v>
      </c>
    </row>
    <row r="9" spans="1:2">
      <c r="A9" s="23">
        <v>8</v>
      </c>
      <c r="B9" s="24">
        <f>EDATE(Inputs!$C$3,ROW()-2)</f>
        <v>45870</v>
      </c>
    </row>
    <row r="10" spans="1:2">
      <c r="A10" s="23">
        <v>9</v>
      </c>
      <c r="B10" s="24">
        <f>EDATE(Inputs!$C$3,ROW()-2)</f>
        <v>45901</v>
      </c>
    </row>
    <row r="11" spans="1:2">
      <c r="A11" s="23">
        <v>10</v>
      </c>
      <c r="B11" s="24">
        <f>EDATE(Inputs!$C$3,ROW()-2)</f>
        <v>45931</v>
      </c>
    </row>
    <row r="12" spans="1:2">
      <c r="A12" s="23">
        <v>11</v>
      </c>
      <c r="B12" s="24">
        <f>EDATE(Inputs!$C$3,ROW()-2)</f>
        <v>45962</v>
      </c>
    </row>
    <row r="13" spans="1:2">
      <c r="A13" s="23">
        <v>12</v>
      </c>
      <c r="B13" s="24">
        <f>EDATE(Inputs!$C$3,ROW()-2)</f>
        <v>45992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opLeftCell="A4" workbookViewId="0">
      <selection activeCell="D21" sqref="D21"/>
    </sheetView>
  </sheetViews>
  <sheetFormatPr defaultRowHeight="14.25"/>
  <cols>
    <col min="1" max="1" width="23.86328125" style="1" bestFit="1" customWidth="1"/>
    <col min="2" max="2" width="24" style="1" hidden="1" customWidth="1"/>
    <col min="3" max="3" width="12.19921875" style="1" bestFit="1" customWidth="1"/>
    <col min="4" max="16384" width="9.06640625" style="1"/>
  </cols>
  <sheetData>
    <row r="1" spans="1:3" ht="14.65">
      <c r="A1" s="4" t="s">
        <v>0</v>
      </c>
      <c r="B1" s="4" t="s">
        <v>55</v>
      </c>
      <c r="C1" s="4" t="s">
        <v>56</v>
      </c>
    </row>
    <row r="2" spans="1:3" ht="14.65">
      <c r="A2" s="1" t="s">
        <v>1</v>
      </c>
      <c r="B2" s="1" t="s">
        <v>57</v>
      </c>
      <c r="C2" s="1" t="s">
        <v>2</v>
      </c>
    </row>
    <row r="3" spans="1:3" ht="14.65">
      <c r="A3" s="1" t="s">
        <v>3</v>
      </c>
      <c r="B3" s="1" t="s">
        <v>58</v>
      </c>
      <c r="C3" s="2">
        <v>45658</v>
      </c>
    </row>
    <row r="4" spans="1:3" ht="14.65">
      <c r="A4" s="1" t="s">
        <v>4</v>
      </c>
      <c r="B4" s="1" t="s">
        <v>59</v>
      </c>
      <c r="C4" s="1">
        <v>12</v>
      </c>
    </row>
    <row r="5" spans="1:3" ht="14.65">
      <c r="A5" s="16" t="s">
        <v>5</v>
      </c>
      <c r="B5" s="16" t="s">
        <v>60</v>
      </c>
      <c r="C5" s="20">
        <v>10000</v>
      </c>
    </row>
    <row r="6" spans="1:3" ht="14.65">
      <c r="A6" s="16" t="s">
        <v>6</v>
      </c>
      <c r="B6" s="16" t="s">
        <v>61</v>
      </c>
      <c r="C6" s="16">
        <v>50</v>
      </c>
    </row>
    <row r="7" spans="1:3" ht="14.65">
      <c r="A7" s="16" t="s">
        <v>7</v>
      </c>
      <c r="B7" s="16" t="s">
        <v>62</v>
      </c>
      <c r="C7" s="17">
        <v>0.03</v>
      </c>
    </row>
    <row r="8" spans="1:3" ht="14.65">
      <c r="A8" s="16" t="s">
        <v>8</v>
      </c>
      <c r="B8" s="16" t="s">
        <v>63</v>
      </c>
      <c r="C8" s="16">
        <v>1</v>
      </c>
    </row>
    <row r="9" spans="1:3" ht="14.65">
      <c r="A9" s="16" t="s">
        <v>9</v>
      </c>
      <c r="B9" s="16" t="s">
        <v>64</v>
      </c>
      <c r="C9" s="16">
        <v>60</v>
      </c>
    </row>
    <row r="10" spans="1:3" ht="14.65">
      <c r="A10" s="16" t="s">
        <v>10</v>
      </c>
      <c r="B10" s="16" t="s">
        <v>65</v>
      </c>
      <c r="C10" s="16">
        <v>1</v>
      </c>
    </row>
    <row r="11" spans="1:3" ht="14.65">
      <c r="A11" s="14" t="s">
        <v>11</v>
      </c>
      <c r="B11" s="14" t="s">
        <v>66</v>
      </c>
      <c r="C11" s="14">
        <v>12</v>
      </c>
    </row>
    <row r="12" spans="1:3" ht="14.65">
      <c r="A12" s="14" t="s">
        <v>12</v>
      </c>
      <c r="B12" s="14" t="s">
        <v>67</v>
      </c>
      <c r="C12" s="15">
        <v>2.5000000000000001E-2</v>
      </c>
    </row>
    <row r="13" spans="1:3" ht="14.65">
      <c r="A13" s="14" t="s">
        <v>13</v>
      </c>
      <c r="B13" s="14" t="s">
        <v>68</v>
      </c>
      <c r="C13" s="15">
        <v>0.8</v>
      </c>
    </row>
    <row r="14" spans="1:3" ht="14.65">
      <c r="A14" s="14" t="s">
        <v>14</v>
      </c>
      <c r="B14" s="14" t="s">
        <v>69</v>
      </c>
      <c r="C14" s="15">
        <v>0.01</v>
      </c>
    </row>
    <row r="15" spans="1:3">
      <c r="A15" s="10" t="s">
        <v>15</v>
      </c>
      <c r="B15" s="10" t="s">
        <v>16</v>
      </c>
      <c r="C15" s="10">
        <v>20</v>
      </c>
    </row>
    <row r="16" spans="1:3" ht="14.65">
      <c r="A16" s="10" t="s">
        <v>17</v>
      </c>
      <c r="B16" s="10" t="s">
        <v>70</v>
      </c>
      <c r="C16" s="11">
        <v>0.05</v>
      </c>
    </row>
    <row r="17" spans="1:3" ht="14.65">
      <c r="A17" s="10" t="s">
        <v>18</v>
      </c>
      <c r="B17" s="10" t="s">
        <v>71</v>
      </c>
      <c r="C17" s="10">
        <v>5</v>
      </c>
    </row>
    <row r="18" spans="1:3">
      <c r="A18" s="10" t="s">
        <v>19</v>
      </c>
      <c r="B18" s="10" t="s">
        <v>72</v>
      </c>
      <c r="C18" s="10">
        <v>5</v>
      </c>
    </row>
    <row r="19" spans="1:3" ht="14.65">
      <c r="A19" s="12" t="s">
        <v>20</v>
      </c>
      <c r="B19" s="12" t="s">
        <v>73</v>
      </c>
      <c r="C19" s="21">
        <v>5000000</v>
      </c>
    </row>
    <row r="20" spans="1:3" ht="14.65">
      <c r="A20" s="12" t="s">
        <v>21</v>
      </c>
      <c r="B20" s="12" t="s">
        <v>74</v>
      </c>
      <c r="C20" s="13">
        <v>0.05</v>
      </c>
    </row>
    <row r="21" spans="1:3" ht="14.65">
      <c r="A21" s="12" t="s">
        <v>22</v>
      </c>
      <c r="B21" s="12" t="s">
        <v>75</v>
      </c>
      <c r="C21" s="13">
        <v>0.02</v>
      </c>
    </row>
    <row r="22" spans="1:3" ht="14.65">
      <c r="A22" s="12" t="s">
        <v>23</v>
      </c>
      <c r="B22" s="12" t="s">
        <v>76</v>
      </c>
      <c r="C22" s="13">
        <v>0.5</v>
      </c>
    </row>
    <row r="23" spans="1:3" ht="14.65">
      <c r="A23" s="12" t="s">
        <v>24</v>
      </c>
      <c r="B23" s="12" t="s">
        <v>77</v>
      </c>
      <c r="C23" s="13">
        <v>5.5E-2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tabSelected="1" workbookViewId="0">
      <selection activeCell="I17" sqref="I17"/>
    </sheetView>
  </sheetViews>
  <sheetFormatPr defaultRowHeight="14.25"/>
  <cols>
    <col min="1" max="1" width="7.06640625" style="1" customWidth="1"/>
    <col min="2" max="2" width="11.265625" style="1" customWidth="1"/>
    <col min="3" max="14" width="9.46484375" style="1" customWidth="1"/>
    <col min="15" max="15" width="8.3984375" style="1" customWidth="1"/>
    <col min="16" max="16" width="9.46484375" style="1" customWidth="1"/>
    <col min="17" max="16384" width="9.06640625" style="1"/>
  </cols>
  <sheetData>
    <row r="1" spans="1:16" s="7" customFormat="1" ht="28.5">
      <c r="A1" s="6" t="s">
        <v>25</v>
      </c>
      <c r="B1" s="6" t="s">
        <v>26</v>
      </c>
      <c r="C1" s="18" t="s">
        <v>27</v>
      </c>
      <c r="D1" s="18" t="s">
        <v>28</v>
      </c>
      <c r="E1" s="18" t="s">
        <v>29</v>
      </c>
      <c r="F1" s="18" t="s">
        <v>30</v>
      </c>
      <c r="G1" s="19" t="s">
        <v>31</v>
      </c>
      <c r="H1" s="19" t="s">
        <v>32</v>
      </c>
      <c r="I1" s="19" t="s">
        <v>33</v>
      </c>
      <c r="J1" s="19" t="s">
        <v>34</v>
      </c>
      <c r="K1" s="9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26" t="s">
        <v>40</v>
      </c>
    </row>
    <row r="2" spans="1:16">
      <c r="A2" s="1">
        <f>Timeline!A2</f>
        <v>1</v>
      </c>
      <c r="B2" s="2">
        <f>Timeline!B2</f>
        <v>45658</v>
      </c>
      <c r="C2" s="1">
        <f>IF(AND(A2&gt;=Inputs!$C$10+1,A2&lt;=Inputs!$C$10+Inputs!$C$9),1,0)</f>
        <v>0</v>
      </c>
      <c r="D2" s="1">
        <f>IF(AND(A2&gt;=Inputs!$C$10+1,A2&lt;=Inputs!$C$10+Inputs!$C$8),1,0)</f>
        <v>0</v>
      </c>
      <c r="E2" s="8">
        <f>Inputs!$C$6*POWER(1+Inputs!$C$7, A2/12)</f>
        <v>50.123313488615182</v>
      </c>
      <c r="F2" s="3">
        <f>C2*(1-D2)*(E2/12)*Inputs!$C$5</f>
        <v>0</v>
      </c>
      <c r="G2" s="8">
        <f>Inputs!$C$11*POWER(1+Inputs!$C$12, A2/12)</f>
        <v>12.024718035238113</v>
      </c>
      <c r="H2" s="3">
        <f>(G2/12)*Inputs!$C$5</f>
        <v>10020.598362698427</v>
      </c>
      <c r="I2" s="3">
        <f>C2*Inputs!$C$13*H2</f>
        <v>0</v>
      </c>
      <c r="J2" s="3">
        <f>-(F2+I2)*Inputs!$C$14</f>
        <v>0</v>
      </c>
      <c r="K2" s="3">
        <f t="shared" ref="K2:K13" si="0">F2+I2+J2-H2</f>
        <v>-10020.598362698427</v>
      </c>
      <c r="L2" s="1">
        <f>IF(A2&lt;=Inputs!$C$17*12,-(Inputs!$C$15*Inputs!$C$5)/(Inputs!$C$17*12),0)</f>
        <v>-3333.3333333333335</v>
      </c>
      <c r="M2" s="1">
        <f>IF(A2&lt;=Inputs!$C$18*12,-(Inputs!$C$16*((Inputs!$C$6/12)*Inputs!$C$5*(Inputs!$C$9-Inputs!$C$8)))/(Inputs!$C$18*12),0)</f>
        <v>-2048.6111111111113</v>
      </c>
      <c r="N2" s="3">
        <f t="shared" ref="N2:N13" si="1">K2+L2+M2</f>
        <v>-15402.542807142872</v>
      </c>
      <c r="O2" s="3">
        <f>-( Inputs!$C$19*( Inputs!$C$22*Inputs!$C$23 + (1-Inputs!$C$22)*(Inputs!$C$20+Inputs!$C$21) ) )/12</f>
        <v>-26041.666666666668</v>
      </c>
      <c r="P2" s="3">
        <f t="shared" ref="P2:P13" si="2">N2+O2</f>
        <v>-41444.20947380954</v>
      </c>
    </row>
    <row r="3" spans="1:16">
      <c r="A3" s="1">
        <f>Timeline!A3</f>
        <v>2</v>
      </c>
      <c r="B3" s="2">
        <f>Timeline!B3</f>
        <v>45689</v>
      </c>
      <c r="C3" s="1">
        <f>IF(AND(A3&gt;=Inputs!$C$10+1,A3&lt;=Inputs!$C$10+Inputs!$C$9),1,0)</f>
        <v>1</v>
      </c>
      <c r="D3" s="1">
        <f>IF(AND(A3&gt;=Inputs!$C$10+1,A3&lt;=Inputs!$C$10+Inputs!$C$8),1,0)</f>
        <v>1</v>
      </c>
      <c r="E3" s="8">
        <f>Inputs!$C$6*POWER(1+Inputs!$C$7, A3/12)</f>
        <v>50.246931101559845</v>
      </c>
      <c r="F3" s="3">
        <f>C3*(1-D3)*(E3/12)*Inputs!$C$5</f>
        <v>0</v>
      </c>
      <c r="G3" s="8">
        <f>Inputs!$C$11*POWER(1+Inputs!$C$12, A3/12)</f>
        <v>12.04948698558173</v>
      </c>
      <c r="H3" s="3">
        <f>(G3/12)*Inputs!$C$5</f>
        <v>10041.239154651443</v>
      </c>
      <c r="I3" s="3">
        <f>C3*Inputs!$C$13*H3</f>
        <v>8032.9913237211549</v>
      </c>
      <c r="J3" s="3">
        <f>-(F3+I3)*Inputs!$C$14</f>
        <v>-80.329913237211557</v>
      </c>
      <c r="K3" s="3">
        <f t="shared" si="0"/>
        <v>-2088.5777441674991</v>
      </c>
      <c r="L3" s="1">
        <f>IF(A3&lt;=Inputs!$C$17*12,-(Inputs!$C$15*Inputs!$C$5)/(Inputs!$C$17*12),0)</f>
        <v>-3333.3333333333335</v>
      </c>
      <c r="M3" s="1">
        <f>IF(A3&lt;=Inputs!$C$18*12,-(Inputs!$C$16*((Inputs!$C$6/12)*Inputs!$C$5*(Inputs!$C$9-Inputs!$C$8)))/(Inputs!$C$18*12),0)</f>
        <v>-2048.6111111111113</v>
      </c>
      <c r="N3" s="3">
        <f t="shared" si="1"/>
        <v>-7470.5221886119434</v>
      </c>
      <c r="O3" s="3">
        <f>-( Inputs!$C$19*( Inputs!$C$22*Inputs!$C$23 + (1-Inputs!$C$22)*(Inputs!$C$20+Inputs!$C$21) ) )/12</f>
        <v>-26041.666666666668</v>
      </c>
      <c r="P3" s="3">
        <f t="shared" si="2"/>
        <v>-33512.188855278611</v>
      </c>
    </row>
    <row r="4" spans="1:16">
      <c r="A4" s="1">
        <f>Timeline!A4</f>
        <v>3</v>
      </c>
      <c r="B4" s="2">
        <f>Timeline!B4</f>
        <v>45717</v>
      </c>
      <c r="C4" s="1">
        <f>IF(AND(A4&gt;=Inputs!$C$10+1,A4&lt;=Inputs!$C$10+Inputs!$C$9),1,0)</f>
        <v>1</v>
      </c>
      <c r="D4" s="1">
        <f>IF(AND(A4&gt;=Inputs!$C$10+1,A4&lt;=Inputs!$C$10+Inputs!$C$8),1,0)</f>
        <v>0</v>
      </c>
      <c r="E4" s="8">
        <f>Inputs!$C$6*POWER(1+Inputs!$C$7, A4/12)</f>
        <v>50.370853588886646</v>
      </c>
      <c r="F4" s="3">
        <f>C4*(1-D4)*(E4/12)*Inputs!$C$5</f>
        <v>41975.711324072203</v>
      </c>
      <c r="G4" s="8">
        <f>Inputs!$C$11*POWER(1+Inputs!$C$12, A4/12)</f>
        <v>12.074306955907634</v>
      </c>
      <c r="H4" s="3">
        <f>(G4/12)*Inputs!$C$5</f>
        <v>10061.92246325636</v>
      </c>
      <c r="I4" s="3">
        <f>C4*Inputs!$C$13*H4</f>
        <v>8049.537970605088</v>
      </c>
      <c r="J4" s="3">
        <f>-(F4+I4)*Inputs!$C$14</f>
        <v>-500.25249294677292</v>
      </c>
      <c r="K4" s="3">
        <f t="shared" si="0"/>
        <v>39463.074338474151</v>
      </c>
      <c r="L4" s="1">
        <f>IF(A4&lt;=Inputs!$C$17*12,-(Inputs!$C$15*Inputs!$C$5)/(Inputs!$C$17*12),0)</f>
        <v>-3333.3333333333335</v>
      </c>
      <c r="M4" s="1">
        <f>IF(A4&lt;=Inputs!$C$18*12,-(Inputs!$C$16*((Inputs!$C$6/12)*Inputs!$C$5*(Inputs!$C$9-Inputs!$C$8)))/(Inputs!$C$18*12),0)</f>
        <v>-2048.6111111111113</v>
      </c>
      <c r="N4" s="3">
        <f t="shared" si="1"/>
        <v>34081.129894029706</v>
      </c>
      <c r="O4" s="3">
        <f>-( Inputs!$C$19*( Inputs!$C$22*Inputs!$C$23 + (1-Inputs!$C$22)*(Inputs!$C$20+Inputs!$C$21) ) )/12</f>
        <v>-26041.666666666668</v>
      </c>
      <c r="P4" s="3">
        <f t="shared" si="2"/>
        <v>8039.4632273630377</v>
      </c>
    </row>
    <row r="5" spans="1:16">
      <c r="A5" s="1">
        <f>Timeline!A5</f>
        <v>4</v>
      </c>
      <c r="B5" s="2">
        <f>Timeline!B5</f>
        <v>45748</v>
      </c>
      <c r="C5" s="1">
        <f>IF(AND(A5&gt;=Inputs!$C$10+1,A5&lt;=Inputs!$C$10+Inputs!$C$9),1,0)</f>
        <v>1</v>
      </c>
      <c r="D5" s="1">
        <f>IF(AND(A5&gt;=Inputs!$C$10+1,A5&lt;=Inputs!$C$10+Inputs!$C$8),1,0)</f>
        <v>0</v>
      </c>
      <c r="E5" s="8">
        <f>Inputs!$C$6*POWER(1+Inputs!$C$7, A5/12)</f>
        <v>50.495081702498048</v>
      </c>
      <c r="F5" s="3">
        <f>C5*(1-D5)*(E5/12)*Inputs!$C$5</f>
        <v>42079.234752081706</v>
      </c>
      <c r="G5" s="8">
        <f>Inputs!$C$11*POWER(1+Inputs!$C$12, A5/12)</f>
        <v>12.099178051308627</v>
      </c>
      <c r="H5" s="3">
        <f>(G5/12)*Inputs!$C$5</f>
        <v>10082.648376090521</v>
      </c>
      <c r="I5" s="3">
        <f>C5*Inputs!$C$13*H5</f>
        <v>8066.1187008724173</v>
      </c>
      <c r="J5" s="3">
        <f>-(F5+I5)*Inputs!$C$14</f>
        <v>-501.45353452954123</v>
      </c>
      <c r="K5" s="3">
        <f t="shared" si="0"/>
        <v>39561.251542334052</v>
      </c>
      <c r="L5" s="1">
        <f>IF(A5&lt;=Inputs!$C$17*12,-(Inputs!$C$15*Inputs!$C$5)/(Inputs!$C$17*12),0)</f>
        <v>-3333.3333333333335</v>
      </c>
      <c r="M5" s="1">
        <f>IF(A5&lt;=Inputs!$C$18*12,-(Inputs!$C$16*((Inputs!$C$6/12)*Inputs!$C$5*(Inputs!$C$9-Inputs!$C$8)))/(Inputs!$C$18*12),0)</f>
        <v>-2048.6111111111113</v>
      </c>
      <c r="N5" s="3">
        <f t="shared" si="1"/>
        <v>34179.307097889607</v>
      </c>
      <c r="O5" s="3">
        <f>-( Inputs!$C$19*( Inputs!$C$22*Inputs!$C$23 + (1-Inputs!$C$22)*(Inputs!$C$20+Inputs!$C$21) ) )/12</f>
        <v>-26041.666666666668</v>
      </c>
      <c r="P5" s="3">
        <f t="shared" si="2"/>
        <v>8137.6404312229388</v>
      </c>
    </row>
    <row r="6" spans="1:16">
      <c r="A6" s="1">
        <f>Timeline!A6</f>
        <v>5</v>
      </c>
      <c r="B6" s="2">
        <f>Timeline!B6</f>
        <v>45778</v>
      </c>
      <c r="C6" s="1">
        <f>IF(AND(A6&gt;=Inputs!$C$10+1,A6&lt;=Inputs!$C$10+Inputs!$C$9),1,0)</f>
        <v>1</v>
      </c>
      <c r="D6" s="1">
        <f>IF(AND(A6&gt;=Inputs!$C$10+1,A6&lt;=Inputs!$C$10+Inputs!$C$8),1,0)</f>
        <v>0</v>
      </c>
      <c r="E6" s="8">
        <f>Inputs!$C$6*POWER(1+Inputs!$C$7, A6/12)</f>
        <v>50.619616196150915</v>
      </c>
      <c r="F6" s="3">
        <f>C6*(1-D6)*(E6/12)*Inputs!$C$5</f>
        <v>42183.013496792431</v>
      </c>
      <c r="G6" s="8">
        <f>Inputs!$C$11*POWER(1+Inputs!$C$12, A6/12)</f>
        <v>12.124100377093999</v>
      </c>
      <c r="H6" s="3">
        <f>(G6/12)*Inputs!$C$5</f>
        <v>10103.416980911667</v>
      </c>
      <c r="I6" s="3">
        <f>C6*Inputs!$C$13*H6</f>
        <v>8082.7335847293334</v>
      </c>
      <c r="J6" s="3">
        <f>-(F6+I6)*Inputs!$C$14</f>
        <v>-502.65747081521766</v>
      </c>
      <c r="K6" s="3">
        <f t="shared" si="0"/>
        <v>39659.672629794884</v>
      </c>
      <c r="L6" s="1">
        <f>IF(A6&lt;=Inputs!$C$17*12,-(Inputs!$C$15*Inputs!$C$5)/(Inputs!$C$17*12),0)</f>
        <v>-3333.3333333333335</v>
      </c>
      <c r="M6" s="1">
        <f>IF(A6&lt;=Inputs!$C$18*12,-(Inputs!$C$16*((Inputs!$C$6/12)*Inputs!$C$5*(Inputs!$C$9-Inputs!$C$8)))/(Inputs!$C$18*12),0)</f>
        <v>-2048.6111111111113</v>
      </c>
      <c r="N6" s="3">
        <f t="shared" si="1"/>
        <v>34277.728185350439</v>
      </c>
      <c r="O6" s="3">
        <f>-( Inputs!$C$19*( Inputs!$C$22*Inputs!$C$23 + (1-Inputs!$C$22)*(Inputs!$C$20+Inputs!$C$21) ) )/12</f>
        <v>-26041.666666666668</v>
      </c>
      <c r="P6" s="3">
        <f t="shared" si="2"/>
        <v>8236.0615186837713</v>
      </c>
    </row>
    <row r="7" spans="1:16">
      <c r="A7" s="1">
        <f>Timeline!A7</f>
        <v>6</v>
      </c>
      <c r="B7" s="2">
        <f>Timeline!B7</f>
        <v>45809</v>
      </c>
      <c r="C7" s="1">
        <f>IF(AND(A7&gt;=Inputs!$C$10+1,A7&lt;=Inputs!$C$10+Inputs!$C$9),1,0)</f>
        <v>1</v>
      </c>
      <c r="D7" s="1">
        <f>IF(AND(A7&gt;=Inputs!$C$10+1,A7&lt;=Inputs!$C$10+Inputs!$C$8),1,0)</f>
        <v>0</v>
      </c>
      <c r="E7" s="8">
        <f>Inputs!$C$6*POWER(1+Inputs!$C$7, A7/12)</f>
        <v>50.744457825461097</v>
      </c>
      <c r="F7" s="3">
        <f>C7*(1-D7)*(E7/12)*Inputs!$C$5</f>
        <v>42287.048187884247</v>
      </c>
      <c r="G7" s="8">
        <f>Inputs!$C$11*POWER(1+Inputs!$C$12, A7/12)</f>
        <v>12.149074038789951</v>
      </c>
      <c r="H7" s="3">
        <f>(G7/12)*Inputs!$C$5</f>
        <v>10124.228365658291</v>
      </c>
      <c r="I7" s="3">
        <f>C7*Inputs!$C$13*H7</f>
        <v>8099.382692526633</v>
      </c>
      <c r="J7" s="3">
        <f>-(F7+I7)*Inputs!$C$14</f>
        <v>-503.86430880410882</v>
      </c>
      <c r="K7" s="3">
        <f t="shared" si="0"/>
        <v>39758.338205948487</v>
      </c>
      <c r="L7" s="1">
        <f>IF(A7&lt;=Inputs!$C$17*12,-(Inputs!$C$15*Inputs!$C$5)/(Inputs!$C$17*12),0)</f>
        <v>-3333.3333333333335</v>
      </c>
      <c r="M7" s="1">
        <f>IF(A7&lt;=Inputs!$C$18*12,-(Inputs!$C$16*((Inputs!$C$6/12)*Inputs!$C$5*(Inputs!$C$9-Inputs!$C$8)))/(Inputs!$C$18*12),0)</f>
        <v>-2048.6111111111113</v>
      </c>
      <c r="N7" s="3">
        <f t="shared" si="1"/>
        <v>34376.393761504041</v>
      </c>
      <c r="O7" s="3">
        <f>-( Inputs!$C$19*( Inputs!$C$22*Inputs!$C$23 + (1-Inputs!$C$22)*(Inputs!$C$20+Inputs!$C$21) ) )/12</f>
        <v>-26041.666666666668</v>
      </c>
      <c r="P7" s="3">
        <f t="shared" si="2"/>
        <v>8334.7270948373734</v>
      </c>
    </row>
    <row r="8" spans="1:16">
      <c r="A8" s="1">
        <f>Timeline!A8</f>
        <v>7</v>
      </c>
      <c r="B8" s="2">
        <f>Timeline!B8</f>
        <v>45839</v>
      </c>
      <c r="C8" s="1">
        <f>IF(AND(A8&gt;=Inputs!$C$10+1,A8&lt;=Inputs!$C$10+Inputs!$C$9),1,0)</f>
        <v>1</v>
      </c>
      <c r="D8" s="1">
        <f>IF(AND(A8&gt;=Inputs!$C$10+1,A8&lt;=Inputs!$C$10+Inputs!$C$8),1,0)</f>
        <v>0</v>
      </c>
      <c r="E8" s="8">
        <f>Inputs!$C$6*POWER(1+Inputs!$C$7, A8/12)</f>
        <v>50.869607347907966</v>
      </c>
      <c r="F8" s="3">
        <f>C8*(1-D8)*(E8/12)*Inputs!$C$5</f>
        <v>42391.339456589973</v>
      </c>
      <c r="G8" s="8">
        <f>Inputs!$C$11*POWER(1+Inputs!$C$12, A8/12)</f>
        <v>12.174099142140058</v>
      </c>
      <c r="H8" s="3">
        <f>(G8/12)*Inputs!$C$5</f>
        <v>10145.082618450047</v>
      </c>
      <c r="I8" s="3">
        <f>C8*Inputs!$C$13*H8</f>
        <v>8116.0660947600381</v>
      </c>
      <c r="J8" s="3">
        <f>-(F8+I8)*Inputs!$C$14</f>
        <v>-505.07405551350013</v>
      </c>
      <c r="K8" s="3">
        <f t="shared" si="0"/>
        <v>39857.248877386468</v>
      </c>
      <c r="L8" s="1">
        <f>IF(A8&lt;=Inputs!$C$17*12,-(Inputs!$C$15*Inputs!$C$5)/(Inputs!$C$17*12),0)</f>
        <v>-3333.3333333333335</v>
      </c>
      <c r="M8" s="1">
        <f>IF(A8&lt;=Inputs!$C$18*12,-(Inputs!$C$16*((Inputs!$C$6/12)*Inputs!$C$5*(Inputs!$C$9-Inputs!$C$8)))/(Inputs!$C$18*12),0)</f>
        <v>-2048.6111111111113</v>
      </c>
      <c r="N8" s="3">
        <f t="shared" si="1"/>
        <v>34475.304432942023</v>
      </c>
      <c r="O8" s="3">
        <f>-( Inputs!$C$19*( Inputs!$C$22*Inputs!$C$23 + (1-Inputs!$C$22)*(Inputs!$C$20+Inputs!$C$21) ) )/12</f>
        <v>-26041.666666666668</v>
      </c>
      <c r="P8" s="3">
        <f t="shared" si="2"/>
        <v>8433.6377662753548</v>
      </c>
    </row>
    <row r="9" spans="1:16">
      <c r="A9" s="1">
        <f>Timeline!A9</f>
        <v>8</v>
      </c>
      <c r="B9" s="2">
        <f>Timeline!B9</f>
        <v>45870</v>
      </c>
      <c r="C9" s="1">
        <f>IF(AND(A9&gt;=Inputs!$C$10+1,A9&lt;=Inputs!$C$10+Inputs!$C$9),1,0)</f>
        <v>1</v>
      </c>
      <c r="D9" s="1">
        <f>IF(AND(A9&gt;=Inputs!$C$10+1,A9&lt;=Inputs!$C$10+Inputs!$C$8),1,0)</f>
        <v>0</v>
      </c>
      <c r="E9" s="8">
        <f>Inputs!$C$6*POWER(1+Inputs!$C$7, A9/12)</f>
        <v>50.99506552283907</v>
      </c>
      <c r="F9" s="3">
        <f>C9*(1-D9)*(E9/12)*Inputs!$C$5</f>
        <v>42495.887935699226</v>
      </c>
      <c r="G9" s="8">
        <f>Inputs!$C$11*POWER(1+Inputs!$C$12, A9/12)</f>
        <v>12.199175793105699</v>
      </c>
      <c r="H9" s="3">
        <f>(G9/12)*Inputs!$C$5</f>
        <v>10165.979827588084</v>
      </c>
      <c r="I9" s="3">
        <f>C9*Inputs!$C$13*H9</f>
        <v>8132.7838620704679</v>
      </c>
      <c r="J9" s="3">
        <f>-(F9+I9)*Inputs!$C$14</f>
        <v>-506.28671797769698</v>
      </c>
      <c r="K9" s="3">
        <f t="shared" si="0"/>
        <v>39956.40525220392</v>
      </c>
      <c r="L9" s="1">
        <f>IF(A9&lt;=Inputs!$C$17*12,-(Inputs!$C$15*Inputs!$C$5)/(Inputs!$C$17*12),0)</f>
        <v>-3333.3333333333335</v>
      </c>
      <c r="M9" s="1">
        <f>IF(A9&lt;=Inputs!$C$18*12,-(Inputs!$C$16*((Inputs!$C$6/12)*Inputs!$C$5*(Inputs!$C$9-Inputs!$C$8)))/(Inputs!$C$18*12),0)</f>
        <v>-2048.6111111111113</v>
      </c>
      <c r="N9" s="3">
        <f t="shared" si="1"/>
        <v>34574.460807759475</v>
      </c>
      <c r="O9" s="3">
        <f>-( Inputs!$C$19*( Inputs!$C$22*Inputs!$C$23 + (1-Inputs!$C$22)*(Inputs!$C$20+Inputs!$C$21) ) )/12</f>
        <v>-26041.666666666668</v>
      </c>
      <c r="P9" s="3">
        <f t="shared" si="2"/>
        <v>8532.794141092807</v>
      </c>
    </row>
    <row r="10" spans="1:16">
      <c r="A10" s="1">
        <f>Timeline!A10</f>
        <v>9</v>
      </c>
      <c r="B10" s="2">
        <f>Timeline!B10</f>
        <v>45901</v>
      </c>
      <c r="C10" s="1">
        <f>IF(AND(A10&gt;=Inputs!$C$10+1,A10&lt;=Inputs!$C$10+Inputs!$C$9),1,0)</f>
        <v>1</v>
      </c>
      <c r="D10" s="1">
        <f>IF(AND(A10&gt;=Inputs!$C$10+1,A10&lt;=Inputs!$C$10+Inputs!$C$8),1,0)</f>
        <v>0</v>
      </c>
      <c r="E10" s="8">
        <f>Inputs!$C$6*POWER(1+Inputs!$C$7, A10/12)</f>
        <v>51.120833111474681</v>
      </c>
      <c r="F10" s="3">
        <f>C10*(1-D10)*(E10/12)*Inputs!$C$5</f>
        <v>42600.694259562239</v>
      </c>
      <c r="G10" s="8">
        <f>Inputs!$C$11*POWER(1+Inputs!$C$12, A10/12)</f>
        <v>12.224304097866527</v>
      </c>
      <c r="H10" s="3">
        <f>(G10/12)*Inputs!$C$5</f>
        <v>10186.92008155544</v>
      </c>
      <c r="I10" s="3">
        <f>C10*Inputs!$C$13*H10</f>
        <v>8149.5360652443524</v>
      </c>
      <c r="J10" s="3">
        <f>-(F10+I10)*Inputs!$C$14</f>
        <v>-507.50230324806586</v>
      </c>
      <c r="K10" s="3">
        <f t="shared" si="0"/>
        <v>40055.807940003084</v>
      </c>
      <c r="L10" s="1">
        <f>IF(A10&lt;=Inputs!$C$17*12,-(Inputs!$C$15*Inputs!$C$5)/(Inputs!$C$17*12),0)</f>
        <v>-3333.3333333333335</v>
      </c>
      <c r="M10" s="1">
        <f>IF(A10&lt;=Inputs!$C$18*12,-(Inputs!$C$16*((Inputs!$C$6/12)*Inputs!$C$5*(Inputs!$C$9-Inputs!$C$8)))/(Inputs!$C$18*12),0)</f>
        <v>-2048.6111111111113</v>
      </c>
      <c r="N10" s="3">
        <f t="shared" si="1"/>
        <v>34673.863495558639</v>
      </c>
      <c r="O10" s="3">
        <f>-( Inputs!$C$19*( Inputs!$C$22*Inputs!$C$23 + (1-Inputs!$C$22)*(Inputs!$C$20+Inputs!$C$21) ) )/12</f>
        <v>-26041.666666666668</v>
      </c>
      <c r="P10" s="3">
        <f t="shared" si="2"/>
        <v>8632.1968288919707</v>
      </c>
    </row>
    <row r="11" spans="1:16">
      <c r="A11" s="1">
        <f>Timeline!A11</f>
        <v>10</v>
      </c>
      <c r="B11" s="2">
        <f>Timeline!B11</f>
        <v>45931</v>
      </c>
      <c r="C11" s="1">
        <f>IF(AND(A11&gt;=Inputs!$C$10+1,A11&lt;=Inputs!$C$10+Inputs!$C$9),1,0)</f>
        <v>1</v>
      </c>
      <c r="D11" s="1">
        <f>IF(AND(A11&gt;=Inputs!$C$10+1,A11&lt;=Inputs!$C$10+Inputs!$C$8),1,0)</f>
        <v>0</v>
      </c>
      <c r="E11" s="8">
        <f>Inputs!$C$6*POWER(1+Inputs!$C$7, A11/12)</f>
        <v>51.246910876912487</v>
      </c>
      <c r="F11" s="3">
        <f>C11*(1-D11)*(E11/12)*Inputs!$C$5</f>
        <v>42705.759064093741</v>
      </c>
      <c r="G11" s="8">
        <f>Inputs!$C$11*POWER(1+Inputs!$C$12, A11/12)</f>
        <v>12.249484162820902</v>
      </c>
      <c r="H11" s="3">
        <f>(G11/12)*Inputs!$C$5</f>
        <v>10207.903469017419</v>
      </c>
      <c r="I11" s="3">
        <f>C11*Inputs!$C$13*H11</f>
        <v>8166.3227752139355</v>
      </c>
      <c r="J11" s="3">
        <f>-(F11+I11)*Inputs!$C$14</f>
        <v>-508.7208183930768</v>
      </c>
      <c r="K11" s="3">
        <f t="shared" si="0"/>
        <v>40155.457551897183</v>
      </c>
      <c r="L11" s="1">
        <f>IF(A11&lt;=Inputs!$C$17*12,-(Inputs!$C$15*Inputs!$C$5)/(Inputs!$C$17*12),0)</f>
        <v>-3333.3333333333335</v>
      </c>
      <c r="M11" s="1">
        <f>IF(A11&lt;=Inputs!$C$18*12,-(Inputs!$C$16*((Inputs!$C$6/12)*Inputs!$C$5*(Inputs!$C$9-Inputs!$C$8)))/(Inputs!$C$18*12),0)</f>
        <v>-2048.6111111111113</v>
      </c>
      <c r="N11" s="3">
        <f t="shared" si="1"/>
        <v>34773.513107452738</v>
      </c>
      <c r="O11" s="3">
        <f>-( Inputs!$C$19*( Inputs!$C$22*Inputs!$C$23 + (1-Inputs!$C$22)*(Inputs!$C$20+Inputs!$C$21) ) )/12</f>
        <v>-26041.666666666668</v>
      </c>
      <c r="P11" s="3">
        <f t="shared" si="2"/>
        <v>8731.8464407860702</v>
      </c>
    </row>
    <row r="12" spans="1:16">
      <c r="A12" s="1">
        <f>Timeline!A12</f>
        <v>11</v>
      </c>
      <c r="B12" s="2">
        <f>Timeline!B12</f>
        <v>45962</v>
      </c>
      <c r="C12" s="1">
        <f>IF(AND(A12&gt;=Inputs!$C$10+1,A12&lt;=Inputs!$C$10+Inputs!$C$9),1,0)</f>
        <v>1</v>
      </c>
      <c r="D12" s="1">
        <f>IF(AND(A12&gt;=Inputs!$C$10+1,A12&lt;=Inputs!$C$10+Inputs!$C$8),1,0)</f>
        <v>0</v>
      </c>
      <c r="E12" s="8">
        <f>Inputs!$C$6*POWER(1+Inputs!$C$7, A12/12)</f>
        <v>51.373299584132162</v>
      </c>
      <c r="F12" s="3">
        <f>C12*(1-D12)*(E12/12)*Inputs!$C$5</f>
        <v>42811.082986776804</v>
      </c>
      <c r="G12" s="8">
        <f>Inputs!$C$11*POWER(1+Inputs!$C$12, A12/12)</f>
        <v>12.274716094586347</v>
      </c>
      <c r="H12" s="3">
        <f>(G12/12)*Inputs!$C$5</f>
        <v>10228.930078821955</v>
      </c>
      <c r="I12" s="3">
        <f>C12*Inputs!$C$13*H12</f>
        <v>8183.1440630575644</v>
      </c>
      <c r="J12" s="3">
        <f>-(F12+I12)*Inputs!$C$14</f>
        <v>-509.9422704983437</v>
      </c>
      <c r="K12" s="3">
        <f t="shared" si="0"/>
        <v>40255.354700514072</v>
      </c>
      <c r="L12" s="1">
        <f>IF(A12&lt;=Inputs!$C$17*12,-(Inputs!$C$15*Inputs!$C$5)/(Inputs!$C$17*12),0)</f>
        <v>-3333.3333333333335</v>
      </c>
      <c r="M12" s="1">
        <f>IF(A12&lt;=Inputs!$C$18*12,-(Inputs!$C$16*((Inputs!$C$6/12)*Inputs!$C$5*(Inputs!$C$9-Inputs!$C$8)))/(Inputs!$C$18*12),0)</f>
        <v>-2048.6111111111113</v>
      </c>
      <c r="N12" s="3">
        <f t="shared" si="1"/>
        <v>34873.410256069626</v>
      </c>
      <c r="O12" s="3">
        <f>-( Inputs!$C$19*( Inputs!$C$22*Inputs!$C$23 + (1-Inputs!$C$22)*(Inputs!$C$20+Inputs!$C$21) ) )/12</f>
        <v>-26041.666666666668</v>
      </c>
      <c r="P12" s="3">
        <f t="shared" si="2"/>
        <v>8831.7435894029586</v>
      </c>
    </row>
    <row r="13" spans="1:16">
      <c r="A13" s="1">
        <f>Timeline!A13</f>
        <v>12</v>
      </c>
      <c r="B13" s="2">
        <f>Timeline!B13</f>
        <v>45992</v>
      </c>
      <c r="C13" s="1">
        <f>IF(AND(A13&gt;=Inputs!$C$10+1,A13&lt;=Inputs!$C$10+Inputs!$C$9),1,0)</f>
        <v>1</v>
      </c>
      <c r="D13" s="1">
        <f>IF(AND(A13&gt;=Inputs!$C$10+1,A13&lt;=Inputs!$C$10+Inputs!$C$8),1,0)</f>
        <v>0</v>
      </c>
      <c r="E13" s="8">
        <f>Inputs!$C$6*POWER(1+Inputs!$C$7, A13/12)</f>
        <v>51.5</v>
      </c>
      <c r="F13" s="3">
        <f>C13*(1-D13)*(E13/12)*Inputs!$C$5</f>
        <v>42916.666666666672</v>
      </c>
      <c r="G13" s="8">
        <f>Inputs!$C$11*POWER(1+Inputs!$C$12, A13/12)</f>
        <v>12.299999999999999</v>
      </c>
      <c r="H13" s="3">
        <f>(G13/12)*Inputs!$C$5</f>
        <v>10250</v>
      </c>
      <c r="I13" s="3">
        <f>C13*Inputs!$C$13*H13</f>
        <v>8200</v>
      </c>
      <c r="J13" s="3">
        <f>-(F13+I13)*Inputs!$C$14</f>
        <v>-511.16666666666674</v>
      </c>
      <c r="K13" s="3">
        <f t="shared" si="0"/>
        <v>40355.500000000007</v>
      </c>
      <c r="L13" s="1">
        <f>IF(A13&lt;=Inputs!$C$17*12,-(Inputs!$C$15*Inputs!$C$5)/(Inputs!$C$17*12),0)</f>
        <v>-3333.3333333333335</v>
      </c>
      <c r="M13" s="1">
        <f>IF(A13&lt;=Inputs!$C$18*12,-(Inputs!$C$16*((Inputs!$C$6/12)*Inputs!$C$5*(Inputs!$C$9-Inputs!$C$8)))/(Inputs!$C$18*12),0)</f>
        <v>-2048.6111111111113</v>
      </c>
      <c r="N13" s="3">
        <f t="shared" si="1"/>
        <v>34973.555555555562</v>
      </c>
      <c r="O13" s="3">
        <f>-( Inputs!$C$19*( Inputs!$C$22*Inputs!$C$23 + (1-Inputs!$C$22)*(Inputs!$C$20+Inputs!$C$21) ) )/12</f>
        <v>-26041.666666666668</v>
      </c>
      <c r="P13" s="3">
        <f t="shared" si="2"/>
        <v>8931.8888888888941</v>
      </c>
    </row>
    <row r="14" spans="1:16" s="25" customFormat="1">
      <c r="A14" s="27" t="s">
        <v>41</v>
      </c>
      <c r="B14" s="27"/>
      <c r="C14" s="27"/>
      <c r="D14" s="27"/>
      <c r="E14" s="27"/>
      <c r="F14" s="28">
        <f>SUM(F2:F13)</f>
        <v>424446.43813021929</v>
      </c>
      <c r="G14" s="27"/>
      <c r="H14" s="28">
        <f t="shared" ref="H14:P14" si="3">SUM(H2:H13)</f>
        <v>121618.86977869965</v>
      </c>
      <c r="I14" s="28">
        <f t="shared" si="3"/>
        <v>89278.617132800995</v>
      </c>
      <c r="J14" s="28">
        <f t="shared" si="3"/>
        <v>-5137.2505526302029</v>
      </c>
      <c r="K14" s="28">
        <f t="shared" si="3"/>
        <v>386968.9349316904</v>
      </c>
      <c r="L14" s="28">
        <f t="shared" si="3"/>
        <v>-40000</v>
      </c>
      <c r="M14" s="28">
        <f t="shared" si="3"/>
        <v>-24583.333333333328</v>
      </c>
      <c r="N14" s="28">
        <f t="shared" si="3"/>
        <v>322385.60159835708</v>
      </c>
      <c r="O14" s="28">
        <f t="shared" si="3"/>
        <v>-312500</v>
      </c>
      <c r="P14" s="28">
        <f t="shared" si="3"/>
        <v>9885.601598357036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B15" sqref="B15"/>
    </sheetView>
  </sheetViews>
  <sheetFormatPr defaultRowHeight="14.25"/>
  <cols>
    <col min="1" max="1" width="17.53125" style="1" bestFit="1" customWidth="1"/>
    <col min="2" max="2" width="55.53125" style="1" customWidth="1"/>
    <col min="3" max="16384" width="9.06640625" style="1"/>
  </cols>
  <sheetData>
    <row r="1" spans="1:3" ht="14.65">
      <c r="A1" s="4" t="s">
        <v>48</v>
      </c>
      <c r="B1" s="4" t="s">
        <v>49</v>
      </c>
    </row>
    <row r="2" spans="1:3">
      <c r="A2" s="1" t="s">
        <v>27</v>
      </c>
      <c r="B2" s="5" t="s">
        <v>50</v>
      </c>
    </row>
    <row r="3" spans="1:3">
      <c r="A3" s="1" t="s">
        <v>28</v>
      </c>
      <c r="B3" s="5" t="s">
        <v>51</v>
      </c>
    </row>
    <row r="4" spans="1:3">
      <c r="A4" s="1" t="s">
        <v>29</v>
      </c>
      <c r="B4" s="1" t="s">
        <v>52</v>
      </c>
    </row>
    <row r="5" spans="1:3">
      <c r="A5" s="1" t="s">
        <v>30</v>
      </c>
      <c r="B5" s="1" t="s">
        <v>42</v>
      </c>
    </row>
    <row r="6" spans="1:3">
      <c r="A6" s="1" t="s">
        <v>31</v>
      </c>
      <c r="B6" s="1" t="s">
        <v>53</v>
      </c>
    </row>
    <row r="7" spans="1:3">
      <c r="A7" s="1" t="s">
        <v>32</v>
      </c>
      <c r="B7" s="1" t="s">
        <v>43</v>
      </c>
    </row>
    <row r="8" spans="1:3">
      <c r="A8" s="1" t="s">
        <v>33</v>
      </c>
      <c r="B8" s="1" t="s">
        <v>54</v>
      </c>
    </row>
    <row r="9" spans="1:3">
      <c r="A9" s="1" t="s">
        <v>34</v>
      </c>
      <c r="B9" s="1" t="s">
        <v>44</v>
      </c>
    </row>
    <row r="10" spans="1:3">
      <c r="A10" s="1" t="s">
        <v>35</v>
      </c>
      <c r="B10" s="1" t="s">
        <v>45</v>
      </c>
    </row>
    <row r="11" spans="1:3" ht="14.65">
      <c r="A11" s="1" t="s">
        <v>36</v>
      </c>
      <c r="B11" s="1" t="s">
        <v>78</v>
      </c>
      <c r="C11" s="1" t="s">
        <v>80</v>
      </c>
    </row>
    <row r="12" spans="1:3">
      <c r="A12" s="1" t="s">
        <v>37</v>
      </c>
      <c r="B12" s="1" t="s">
        <v>79</v>
      </c>
      <c r="C12" s="1" t="s">
        <v>81</v>
      </c>
    </row>
    <row r="13" spans="1:3">
      <c r="A13" s="1" t="s">
        <v>38</v>
      </c>
      <c r="B13" s="1" t="s">
        <v>46</v>
      </c>
    </row>
    <row r="14" spans="1:3">
      <c r="A14" s="1" t="s">
        <v>39</v>
      </c>
      <c r="B14" s="1" t="s">
        <v>82</v>
      </c>
    </row>
    <row r="15" spans="1:3">
      <c r="A15" s="1" t="s">
        <v>40</v>
      </c>
      <c r="B15" s="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Timeline</vt:lpstr>
      <vt:lpstr>Inputs</vt:lpstr>
      <vt:lpstr>CF_Base</vt:lpstr>
      <vt:lpstr>Calc_Notes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Eilin 10</cp:lastModifiedBy>
  <dcterms:created xsi:type="dcterms:W3CDTF">2025-10-31T01:32:08Z</dcterms:created>
  <dcterms:modified xsi:type="dcterms:W3CDTF">2025-10-31T03:50:44Z</dcterms:modified>
</cp:coreProperties>
</file>