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adagavea-my.sharepoint.com/personal/sofia_heisler_vivsaude_com_br/Documents/TCC SOFIA/"/>
    </mc:Choice>
  </mc:AlternateContent>
  <xr:revisionPtr revIDLastSave="380" documentId="8_{B1A79B50-4BF3-4540-B8E6-4482084FB523}" xr6:coauthVersionLast="47" xr6:coauthVersionMax="47" xr10:uidLastSave="{96BCD699-B0E3-4098-8CC2-4D3C63C9BA1F}"/>
  <bookViews>
    <workbookView xWindow="-108" yWindow="-108" windowWidth="23256" windowHeight="12456" activeTab="5" xr2:uid="{2257CE08-CE92-409E-9F47-D262134BADA7}"/>
  </bookViews>
  <sheets>
    <sheet name="BP_VIVA3" sheetId="2" r:id="rId1"/>
    <sheet name="DRE_VIVA3" sheetId="3" r:id="rId2"/>
    <sheet name="FC_VIVA3" sheetId="4" r:id="rId3"/>
    <sheet name="NA_VIVA3" sheetId="7" r:id="rId4"/>
    <sheet name="Lojas" sheetId="6" r:id="rId5"/>
    <sheet name="Dados_Macro" sheetId="5" r:id="rId6"/>
  </sheets>
  <externalReferences>
    <externalReference r:id="rId7"/>
  </externalReferences>
  <definedNames>
    <definedName name="Ano">OFFSET([1]Dados!$A$5,0,0,COUNTA([1]Dados!$A:$A))</definedName>
    <definedName name="Privada">OFFSET([1]Dados!$B$5,0,0,COUNTA([1]Dados!$B:$B))</definedName>
    <definedName name="Pública">OFFSET([1]Dados!$C$5,0,0,COUNTA([1]Dados!$C:$C))</definedName>
    <definedName name="Total">OFFSET([1]Dados!$D$5,0,0,COUNTA([1]Dados!$D:$D))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3" i="5"/>
  <c r="F3" i="5"/>
  <c r="J3" i="5"/>
  <c r="J4" i="5"/>
  <c r="J5" i="5"/>
  <c r="J6" i="5"/>
  <c r="J7" i="5"/>
  <c r="J2" i="5"/>
  <c r="F2" i="5"/>
  <c r="AE3" i="4"/>
  <c r="AE10" i="4"/>
  <c r="AE9" i="4"/>
  <c r="AE8" i="4"/>
  <c r="AE7" i="4"/>
  <c r="AE6" i="4"/>
  <c r="AE5" i="4"/>
  <c r="AE4" i="4"/>
  <c r="AF2" i="4"/>
  <c r="F4" i="5" l="1"/>
  <c r="F5" i="5"/>
  <c r="F6" i="5"/>
  <c r="F7" i="5"/>
  <c r="S10" i="2"/>
  <c r="M10" i="2"/>
  <c r="N10" i="2" s="1"/>
  <c r="I10" i="2"/>
  <c r="S9" i="2"/>
  <c r="M9" i="2"/>
  <c r="O10" i="2" s="1"/>
  <c r="P10" i="2" s="1"/>
  <c r="I9" i="2"/>
  <c r="S8" i="2"/>
  <c r="M8" i="2"/>
  <c r="I8" i="2"/>
  <c r="S7" i="2"/>
  <c r="M7" i="2"/>
  <c r="O8" i="2" s="1"/>
  <c r="P8" i="2" s="1"/>
  <c r="I7" i="2"/>
  <c r="S6" i="2"/>
  <c r="N6" i="2"/>
  <c r="M6" i="2"/>
  <c r="O7" i="2" s="1"/>
  <c r="P7" i="2" s="1"/>
  <c r="I6" i="2"/>
  <c r="S5" i="2"/>
  <c r="M5" i="2"/>
  <c r="O6" i="2" s="1"/>
  <c r="P6" i="2" s="1"/>
  <c r="I5" i="2"/>
  <c r="S4" i="2"/>
  <c r="M4" i="2"/>
  <c r="O5" i="2" s="1"/>
  <c r="P5" i="2" s="1"/>
  <c r="I4" i="2"/>
  <c r="S3" i="2"/>
  <c r="M3" i="2"/>
  <c r="O4" i="2" s="1"/>
  <c r="P4" i="2" s="1"/>
  <c r="I3" i="2"/>
  <c r="S2" i="2"/>
  <c r="O2" i="2"/>
  <c r="P2" i="2" s="1"/>
  <c r="N2" i="2"/>
  <c r="M2" i="2"/>
  <c r="O3" i="2" s="1"/>
  <c r="P3" i="2" s="1"/>
  <c r="I2" i="2"/>
  <c r="N5" i="2" l="1"/>
  <c r="N7" i="2"/>
  <c r="N9" i="2"/>
  <c r="N3" i="2"/>
  <c r="O9" i="2"/>
  <c r="P9" i="2" s="1"/>
  <c r="N8" i="2"/>
  <c r="N4" i="2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" i="6"/>
  <c r="H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tc={0CE69A24-C92A-421A-ABFF-7CB9ED6964E7}</author>
  </authors>
  <commentList>
    <comment ref="S1" authorId="0" shapeId="0" xr:uid="{0CE69A24-C92A-421A-ABFF-7CB9ED6964E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Capital de giro negativo acontece quando a empresa recebe dos clientes mais rápido do que paga aos fornecedores, ou quando tem pouca necessidade de manter estoques ou contas a receber. ( gera caixa para o negócio)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tc={5F0C19B1-2D57-4234-A7B6-FEFAE7FBEACC}</author>
  </authors>
  <commentList>
    <comment ref="K1" authorId="0" shapeId="0" xr:uid="{5F0C19B1-2D57-4234-A7B6-FEFAE7FBEA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NREC + Aluguel (IFRS16)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tc={2E495D30-762C-4C09-9512-E7FFBA540644}</author>
    <author>tc={0DF445F4-25CB-4ECD-B044-B4DD50EFDBAB}</author>
  </authors>
  <commentList>
    <comment ref="AC1" authorId="0" shapeId="0" xr:uid="{2E495D30-762C-4C09-9512-E7FFBA540644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FCLD = NOPAT + Depreciação – Investimentos (CapEx) – Variação no Capital de Giro 
Responder:
    quanto de caixa a operação da empresa gera após pagar impostos e reinvestir no negócio (Capex e giro) </t>
      </text>
    </comment>
    <comment ref="AD1" authorId="1" shapeId="0" xr:uid="{0DF445F4-25CB-4ECD-B044-B4DD50EFDB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=Lucro Líquido+Depreciação/Amortizacao−Capex−Variaçao no Capital de Giro+Dívida Líquida Obtida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tc={E185EC40-4787-4E1F-AE43-227A6682F1A7}</author>
    <author>tc={A287ADD2-418F-4328-9C3D-164EA5824DA7}</author>
    <author>tc={19968543-96E7-41AE-B447-D71BCDBE9FB9}</author>
    <author>tc={0B35241F-FA57-41D3-8856-35984CA77DD9}</author>
    <author>tc={4A6DCCD8-D6C7-4F40-ADAC-B1028FC27221}</author>
    <author>tc={2B62CC3B-478E-43C1-A216-116F2A992B5A}</author>
    <author>tc={0680BDBB-83D6-48D1-B568-41F5AB9EC69A}</author>
  </authors>
  <commentList>
    <comment ref="A1" authorId="0" shapeId="0" xr:uid="{E185EC40-4787-4E1F-AE43-227A6682F1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BOLETIM FOCUS</t>
      </text>
    </comment>
    <comment ref="B1" authorId="1" shapeId="0" xr:uid="{A287ADD2-418F-4328-9C3D-164EA5824D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banco central</t>
      </text>
    </comment>
    <comment ref="C1" authorId="2" shapeId="0" xr:uid="{19968543-96E7-41AE-B447-D71BCDBE9F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acumulado</t>
      </text>
    </comment>
    <comment ref="F1" authorId="3" shapeId="0" xr:uid="{0B35241F-FA57-41D3-8856-35984CA77D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B3
Responder:
    Esse prêmio de risco é calculado ex post</t>
      </text>
    </comment>
    <comment ref="G1" authorId="4" shapeId="0" xr:uid="{4A6DCCD8-D6C7-4F40-ADAC-B1028FC272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Último boletim focus de cada ano</t>
      </text>
    </comment>
    <comment ref="J1" authorId="5" shapeId="0" xr:uid="{2B62CC3B-478E-43C1-A216-116F2A992B5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abordagem ajusta a taxa dos títulos do governo brasileiro pela probabilidade de inadimplência soberana, refletida no spread de default </t>
      </text>
    </comment>
    <comment ref="K1" authorId="6" shapeId="0" xr:uid="{0680BDBB-83D6-48D1-B568-41F5AB9EC69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Damodaran
Responder:
    Esses valores são calculados adicionando um prêmio de risco de mercado maduro (geralmente baseado no mercado dos EUA) a um prêmio de risco-país específico para o Brasil. 
Responder:
    prêmio de risco implícito, ou seja, o retorno exigido pelos investidores para investir em ações, estimado a partir dos preços atuais e dos fluxos de caixa futuros esperados do mercado. </t>
      </text>
    </comment>
  </commentList>
</comments>
</file>

<file path=xl/sharedStrings.xml><?xml version="1.0" encoding="utf-8"?>
<sst xmlns="http://schemas.openxmlformats.org/spreadsheetml/2006/main" count="120" uniqueCount="106">
  <si>
    <t>Ano</t>
  </si>
  <si>
    <t>CAPEX</t>
  </si>
  <si>
    <t>SELIC</t>
  </si>
  <si>
    <t>IPCA</t>
  </si>
  <si>
    <t>Centro-Oeste</t>
  </si>
  <si>
    <t>Nordeste</t>
  </si>
  <si>
    <t>Norte</t>
  </si>
  <si>
    <t>Sudeste</t>
  </si>
  <si>
    <t>Sul</t>
  </si>
  <si>
    <t>Ano de abertura</t>
  </si>
  <si>
    <t>Total de lojas abertas por ano</t>
  </si>
  <si>
    <t>Total de Lojas</t>
  </si>
  <si>
    <t>CDI</t>
  </si>
  <si>
    <t>Ativo Circulante</t>
  </si>
  <si>
    <t>Ativo Não Circulante</t>
  </si>
  <si>
    <t>Passivo Circulante</t>
  </si>
  <si>
    <t>Passivo Não Circulante</t>
  </si>
  <si>
    <t>Patrimônio Líquido</t>
  </si>
  <si>
    <t>Fornecedores</t>
  </si>
  <si>
    <t>Saldo final de caixa</t>
  </si>
  <si>
    <t>Capital Investido</t>
  </si>
  <si>
    <t>Despesas Financeiras Líquidas</t>
  </si>
  <si>
    <t>Empréstimos e financiamentos Circulante</t>
  </si>
  <si>
    <t>Empréstimos e financiamentos Não  Circulante</t>
  </si>
  <si>
    <t>Dívida Bruta</t>
  </si>
  <si>
    <t>Dívida Líquida</t>
  </si>
  <si>
    <t>Dívida Bruta Média</t>
  </si>
  <si>
    <t>Custo da Dívida (Kd)</t>
  </si>
  <si>
    <t>ATIVO OPERACIONAL</t>
  </si>
  <si>
    <t>PASSIVO OPERACIONAL</t>
  </si>
  <si>
    <t>Variação Capital de Giro</t>
  </si>
  <si>
    <t>Receita Líquida</t>
  </si>
  <si>
    <t>Lucro Bruto</t>
  </si>
  <si>
    <t>Depreciação e Amortização</t>
  </si>
  <si>
    <t>Resultado Financeiro</t>
  </si>
  <si>
    <t>Lucro Líquido</t>
  </si>
  <si>
    <t>EBITDA</t>
  </si>
  <si>
    <t>Ebitda Ajustado</t>
  </si>
  <si>
    <t>Lucro Operacional</t>
  </si>
  <si>
    <t>EBT</t>
  </si>
  <si>
    <t>Imposto de Renda e Contribuição Social</t>
  </si>
  <si>
    <t>Alíquota Efetiva</t>
  </si>
  <si>
    <t>(-) Despesas Operacionais</t>
  </si>
  <si>
    <t>(-) Depreciação e Amortização</t>
  </si>
  <si>
    <t>(-) Despesas Operacionais (ex: depreciação e amortização)</t>
  </si>
  <si>
    <t>(-) CMV</t>
  </si>
  <si>
    <t>(-) Equivalenc patrimonial</t>
  </si>
  <si>
    <t>Saldo Inicial de caixa</t>
  </si>
  <si>
    <t>Equivalente de Caixa</t>
  </si>
  <si>
    <t>Estoques</t>
  </si>
  <si>
    <t>Impostos a Recuperar</t>
  </si>
  <si>
    <t>Obrigações Tributárias</t>
  </si>
  <si>
    <t>Outros ativos e passivos</t>
  </si>
  <si>
    <t>Caixa das atividades operacionais</t>
  </si>
  <si>
    <t>Juros pagos de emprestimos e financiamentos</t>
  </si>
  <si>
    <t>Juros pagos de arrendamento de direito de uso</t>
  </si>
  <si>
    <t xml:space="preserve">Caixa liquido das atividades operacionais </t>
  </si>
  <si>
    <t>Ações em tesouraria</t>
  </si>
  <si>
    <t>Imobilizado</t>
  </si>
  <si>
    <t>Intangivel</t>
  </si>
  <si>
    <t>Outros</t>
  </si>
  <si>
    <t>Caixa das atividades de Investimentos</t>
  </si>
  <si>
    <t>Dividendos e JCP</t>
  </si>
  <si>
    <t>Empréstimos e financiamentos</t>
  </si>
  <si>
    <t>Arrendamento do Direito de Uso</t>
  </si>
  <si>
    <t xml:space="preserve">Outros </t>
  </si>
  <si>
    <t xml:space="preserve">Caixa das atividade de financiamento </t>
  </si>
  <si>
    <t>AUMENTO (REDUÇÃO) DE CAIXA E EQUIVALENTE DE CAIXA</t>
  </si>
  <si>
    <t>Lucro Líquido Ajustado</t>
  </si>
  <si>
    <t>Categoria</t>
  </si>
  <si>
    <t>105.607.554 (44,71%)</t>
  </si>
  <si>
    <t>111.848.154 (47,35%)</t>
  </si>
  <si>
    <t>Administradores</t>
  </si>
  <si>
    <t>178.683 (0,08%)</t>
  </si>
  <si>
    <t>65.375 (0,03%)</t>
  </si>
  <si>
    <t>996.955 (0,42%)</t>
  </si>
  <si>
    <t>1.134.590 (0,48%)</t>
  </si>
  <si>
    <t>Ações em circulação</t>
  </si>
  <si>
    <t>129.414.577 (54,79%)</t>
  </si>
  <si>
    <t>123.149.650 (52,14%)</t>
  </si>
  <si>
    <t>—</t>
  </si>
  <si>
    <t>135.594.298 (57,41%)</t>
  </si>
  <si>
    <t>Tesouraria</t>
  </si>
  <si>
    <t>607.612 (0,26%)</t>
  </si>
  <si>
    <t>99.995.859 (42,33%)</t>
  </si>
  <si>
    <t>Total de ações</t>
  </si>
  <si>
    <t>136.750.910 (57,91%)</t>
  </si>
  <si>
    <t>99.446.859 (42,09%)</t>
  </si>
  <si>
    <t>141.834.856 (60,05%)</t>
  </si>
  <si>
    <t>94.362.913 (39,95%)</t>
  </si>
  <si>
    <t>Controladores (família)</t>
  </si>
  <si>
    <t>142.829.043 (60,45%)</t>
  </si>
  <si>
    <t>93.368.726 (39,55%)</t>
  </si>
  <si>
    <t>IBOV</t>
  </si>
  <si>
    <t>PIB Expectativa</t>
  </si>
  <si>
    <t>Fluxo de Caixa Livre para a Firma</t>
  </si>
  <si>
    <t>Fluxo de Caixa Livre para o Acionista</t>
  </si>
  <si>
    <t>CAGR</t>
  </si>
  <si>
    <t>Média FCLE</t>
  </si>
  <si>
    <t>Capital de Giro</t>
  </si>
  <si>
    <t>Prêmio de Risco</t>
  </si>
  <si>
    <t>Taxa do Título do Governo em R$</t>
  </si>
  <si>
    <t>Spread de Default</t>
  </si>
  <si>
    <t>Taxa Livre de Risco (em R$)</t>
  </si>
  <si>
    <t>ERP implícito</t>
  </si>
  <si>
    <t>Retorno esperado do IBOV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</si>
</sst>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indent="1" shrinkToFit="1"/>
    </xf>
    <xf numFmtId="3" fontId="2" fillId="2" borderId="1" xfId="0" applyNumberFormat="1" applyFont="1" applyFill="1" applyBorder="1" applyAlignment="1">
      <alignment horizontal="right" vertical="center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164" fontId="0" fillId="0" borderId="0" xfId="1" applyNumberFormat="1" applyFont="1"/>
    <xf numFmtId="0" fontId="5" fillId="0" borderId="0" xfId="0" applyFont="1" applyAlignment="1">
      <alignment horizontal="left" vertical="center" indent="1"/>
    </xf>
    <xf numFmtId="0" fontId="5" fillId="0" borderId="0" xfId="0" applyFont="1"/>
    <xf numFmtId="43" fontId="0" fillId="0" borderId="0" xfId="2" applyFont="1"/>
    <xf numFmtId="43" fontId="0" fillId="0" borderId="0" xfId="2" applyFont="1" applyAlignment="1">
      <alignment horizontal="left" vertical="center" indent="1"/>
    </xf>
    <xf numFmtId="43" fontId="0" fillId="0" borderId="0" xfId="0" applyNumberFormat="1"/>
    <xf numFmtId="9" fontId="0" fillId="0" borderId="0" xfId="1" applyFont="1"/>
    <xf numFmtId="43" fontId="5" fillId="0" borderId="0" xfId="2" applyFont="1" applyAlignment="1">
      <alignment horizontal="left" vertical="center" indent="1"/>
    </xf>
    <xf numFmtId="43" fontId="5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1" applyNumberFormat="1" applyFont="1"/>
    <xf numFmtId="43" fontId="0" fillId="0" borderId="0" xfId="0" applyNumberForma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7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2" fontId="0" fillId="0" borderId="0" xfId="1" applyNumberFormat="1" applyFon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Arquivos%20Semesp/Mapa%20do%20Ensino%20Superior/2016/Gr&#225;ficos/Estados/EstadoSP/Matr&#237;culas/Brasil/A_Matr&#237;culas_Presenciais_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"/>
      <sheetName val="Gráfico1"/>
      <sheetName val="Gráfico2"/>
    </sheetNames>
    <sheetDataSet>
      <sheetData sheetId="0">
        <row r="1">
          <cell r="A1" t="str">
            <v>Matrículas em Cursos Presenciais</v>
          </cell>
        </row>
        <row r="2">
          <cell r="A2" t="str">
            <v>Brasil</v>
          </cell>
        </row>
        <row r="4">
          <cell r="A4" t="str">
            <v>Ano</v>
          </cell>
          <cell r="B4" t="str">
            <v>Rede Privada</v>
          </cell>
          <cell r="C4" t="str">
            <v>Rede Pública</v>
          </cell>
          <cell r="D4" t="str">
            <v>Total</v>
          </cell>
        </row>
        <row r="5">
          <cell r="A5">
            <v>2000</v>
          </cell>
          <cell r="B5">
            <v>1807219</v>
          </cell>
          <cell r="C5">
            <v>887026</v>
          </cell>
          <cell r="D5">
            <v>2694245</v>
          </cell>
        </row>
        <row r="6">
          <cell r="A6">
            <v>2001</v>
          </cell>
          <cell r="B6">
            <v>2091529</v>
          </cell>
          <cell r="C6">
            <v>939225</v>
          </cell>
          <cell r="D6">
            <v>3030754</v>
          </cell>
        </row>
        <row r="7">
          <cell r="A7">
            <v>2002</v>
          </cell>
          <cell r="B7">
            <v>2428258</v>
          </cell>
          <cell r="C7">
            <v>1051655</v>
          </cell>
          <cell r="D7">
            <v>3479913</v>
          </cell>
        </row>
        <row r="8">
          <cell r="A8">
            <v>2003</v>
          </cell>
          <cell r="B8">
            <v>2750652</v>
          </cell>
          <cell r="C8">
            <v>1136370</v>
          </cell>
          <cell r="D8">
            <v>3887022</v>
          </cell>
        </row>
        <row r="9">
          <cell r="A9">
            <v>2004</v>
          </cell>
          <cell r="B9">
            <v>2985405</v>
          </cell>
          <cell r="C9">
            <v>1178328</v>
          </cell>
          <cell r="D9">
            <v>4163733</v>
          </cell>
        </row>
        <row r="10">
          <cell r="A10">
            <v>2005</v>
          </cell>
          <cell r="B10">
            <v>3260967</v>
          </cell>
          <cell r="C10">
            <v>1192189</v>
          </cell>
          <cell r="D10">
            <v>4453156</v>
          </cell>
        </row>
        <row r="11">
          <cell r="A11">
            <v>2006</v>
          </cell>
          <cell r="B11">
            <v>3467342</v>
          </cell>
          <cell r="C11">
            <v>1209304</v>
          </cell>
          <cell r="D11">
            <v>4676646</v>
          </cell>
        </row>
        <row r="12">
          <cell r="A12">
            <v>2007</v>
          </cell>
          <cell r="B12">
            <v>3639413</v>
          </cell>
          <cell r="C12">
            <v>1240968</v>
          </cell>
          <cell r="D12">
            <v>4880381</v>
          </cell>
        </row>
        <row r="13">
          <cell r="A13">
            <v>2008</v>
          </cell>
          <cell r="B13">
            <v>3806091</v>
          </cell>
          <cell r="C13">
            <v>1273965</v>
          </cell>
          <cell r="D13">
            <v>5080056</v>
          </cell>
        </row>
        <row r="14">
          <cell r="A14">
            <v>2009</v>
          </cell>
          <cell r="B14">
            <v>3794417</v>
          </cell>
          <cell r="C14">
            <v>1352494</v>
          </cell>
          <cell r="D14">
            <v>5146911</v>
          </cell>
        </row>
        <row r="15">
          <cell r="A15">
            <v>2010</v>
          </cell>
          <cell r="B15">
            <v>4014744</v>
          </cell>
          <cell r="C15">
            <v>1462069</v>
          </cell>
          <cell r="D15">
            <v>5476813</v>
          </cell>
        </row>
        <row r="16">
          <cell r="A16">
            <v>2011</v>
          </cell>
          <cell r="B16">
            <v>4176760</v>
          </cell>
          <cell r="C16">
            <v>1595718</v>
          </cell>
          <cell r="D16">
            <v>5772478</v>
          </cell>
        </row>
        <row r="17">
          <cell r="A17">
            <v>2012</v>
          </cell>
          <cell r="B17">
            <v>4227932</v>
          </cell>
          <cell r="C17">
            <v>1716194</v>
          </cell>
          <cell r="D17">
            <v>5944126</v>
          </cell>
        </row>
        <row r="18">
          <cell r="A18">
            <v>2013</v>
          </cell>
          <cell r="B18">
            <v>4390861</v>
          </cell>
          <cell r="C18">
            <v>1778463</v>
          </cell>
          <cell r="D18">
            <v>6169324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eisler" id="{790DF2EF-D2E5-4F97-BBA4-557324967099}" userId="c5f5d192d4313238" providerId="Windows Live"/>
  <person displayName="Sofia Torgo Heisler" id="{D8191FFE-1D62-4EA7-829B-8544500A72DE}" userId="S::sofia.heisler@vivsaude.com.br::8654e1bb-ba48-4be4-9abb-f56f039ecbd4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25-04-13T16:47:58.68" personId="{790DF2EF-D2E5-4F97-BBA4-557324967099}" id="{0CE69A24-C92A-421A-ABFF-7CB9ED6964E7}">
    <text xml:space="preserve">Capital de giro negativo acontece quando a empresa recebe dos clientes mais rápido do que paga aos fornecedores, ou quando tem pouca necessidade de manter estoques ou contas a receber. ( gera caixa para o negócio)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5-04-04T13:37:51.55" personId="{D8191FFE-1D62-4EA7-829B-8544500A72DE}" id="{5F0C19B1-2D57-4234-A7B6-FEFAE7FBEACC}">
    <text>NREC + Aluguel (IFRS16)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C1" dT="2025-04-13T16:34:29.69" personId="{790DF2EF-D2E5-4F97-BBA4-557324967099}" id="{2E495D30-762C-4C09-9512-E7FFBA540644}">
    <text xml:space="preserve">FCLD = NOPAT + Depreciação – Investimentos (CapEx) – Variação no Capital de Giro </text>
  </threadedComment>
  <threadedComment ref="AC1" dT="2025-04-13T16:38:04.62" personId="{790DF2EF-D2E5-4F97-BBA4-557324967099}" id="{3FF87539-4BF9-409D-84D3-652DE5CAA157}" parentId="{2E495D30-762C-4C09-9512-E7FFBA540644}">
    <text xml:space="preserve">quanto de caixa a operação da empresa gera após pagar impostos e reinvestir no negócio (Capex e giro) </text>
  </threadedComment>
  <threadedComment ref="AD1" dT="2025-05-02T19:58:35.23" personId="{D8191FFE-1D62-4EA7-829B-8544500A72DE}" id="{0DF445F4-25CB-4ECD-B044-B4DD50EFDBAB}">
    <text>=Lucro Líquido+Depreciação/Amortizacao−Capex−Variaçao no Capital de Giro+Dívida Líquida Obtida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5-04-18T22:21:20.53" personId="{D8191FFE-1D62-4EA7-829B-8544500A72DE}" id="{E185EC40-4787-4E1F-AE43-227A6682F1A7}">
    <text>Fonte: BOLETIM FOCUS</text>
  </threadedComment>
  <threadedComment ref="B1" dT="2025-04-17T01:10:16.66" personId="{D8191FFE-1D62-4EA7-829B-8544500A72DE}" id="{A287ADD2-418F-4328-9C3D-164EA5824DA7}">
    <text>Fonte: banco central</text>
  </threadedComment>
  <threadedComment ref="C1" dT="2025-04-17T01:18:28.63" personId="{D8191FFE-1D62-4EA7-829B-8544500A72DE}" id="{19968543-96E7-41AE-B447-D71BCDBE9FB9}">
    <text>acumulado</text>
  </threadedComment>
  <threadedComment ref="F1" dT="2025-04-18T21:57:24.60" personId="{D8191FFE-1D62-4EA7-829B-8544500A72DE}" id="{0B35241F-FA57-41D3-8856-35984CA77DD9}">
    <text>Fonte: B3</text>
  </threadedComment>
  <threadedComment ref="F1" dT="2025-05-25T19:22:20.15" personId="{D8191FFE-1D62-4EA7-829B-8544500A72DE}" id="{E35D8C31-6F51-44E5-BCA1-1ED8B07E26E1}" parentId="{0B35241F-FA57-41D3-8856-35984CA77DD9}">
    <text>Esse prêmio de risco é calculado ex post</text>
  </threadedComment>
  <threadedComment ref="G1" dT="2025-04-18T22:36:28.22" personId="{D8191FFE-1D62-4EA7-829B-8544500A72DE}" id="{4A6DCCD8-D6C7-4F40-ADAC-B1028FC27221}">
    <text>Último boletim focus de cada ano</text>
  </threadedComment>
  <threadedComment ref="J1" dT="2025-05-25T20:00:41.90" personId="{D8191FFE-1D62-4EA7-829B-8544500A72DE}" id="{2B62CC3B-478E-43C1-A216-116F2A992B5A}">
    <text xml:space="preserve">Essa abordagem ajusta a taxa dos títulos do governo brasileiro pela probabilidade de inadimplência soberana, refletida no spread de default </text>
  </threadedComment>
  <threadedComment ref="K1" dT="2025-05-25T19:59:51.47" personId="{D8191FFE-1D62-4EA7-829B-8544500A72DE}" id="{0680BDBB-83D6-48D1-B568-41F5AB9EC69A}">
    <text>Fonte: Damodaran</text>
  </threadedComment>
  <threadedComment ref="K1" dT="2025-05-25T20:01:59.51" personId="{D8191FFE-1D62-4EA7-829B-8544500A72DE}" id="{868B7480-6D98-48DF-8E56-2D0774088974}" parentId="{0680BDBB-83D6-48D1-B568-41F5AB9EC69A}">
    <text xml:space="preserve">Esses valores são calculados adicionando um prêmio de risco de mercado maduro (geralmente baseado no mercado dos EUA) a um prêmio de risco-país específico para o Brasil. </text>
  </threadedComment>
  <threadedComment ref="K1" dT="2025-05-25T20:12:30.56" personId="{D8191FFE-1D62-4EA7-829B-8544500A72DE}" id="{844A11D7-BAB3-430D-95B9-34583FA771AE}" parentId="{0680BDBB-83D6-48D1-B568-41F5AB9EC69A}">
    <text xml:space="preserve">prêmio de risco implícito, ou seja, o retorno exigido pelos investidores para investir em ações, estimado a partir dos preços atuais e dos fluxos de caixa futuros esperados do mercado.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8E65-DD61-446C-B5E0-DE74741045E7}">
  <dimension ref="A1:S10"/>
  <sheetViews>
    <sheetView workbookViewId="0">
      <selection activeCell="S18" sqref="S18"/>
    </sheetView>
  </sheetViews>
  <sheetFormatPr defaultRowHeight="14.4" x14ac:dyDescent="0.3"/>
  <cols>
    <col min="1" max="1" width="8.88671875" customWidth="1"/>
    <col min="2" max="2" width="15.109375" bestFit="1" customWidth="1"/>
    <col min="3" max="3" width="19" bestFit="1" customWidth="1"/>
    <col min="4" max="4" width="17.5546875" bestFit="1" customWidth="1"/>
    <col min="5" max="5" width="21.44140625" bestFit="1" customWidth="1"/>
    <col min="6" max="6" width="16.33203125" bestFit="1" customWidth="1"/>
    <col min="7" max="7" width="12.109375" bestFit="1" customWidth="1"/>
    <col min="8" max="8" width="16.6640625" bestFit="1" customWidth="1"/>
    <col min="9" max="9" width="14.6640625" bestFit="1" customWidth="1"/>
    <col min="10" max="10" width="25.5546875" bestFit="1" customWidth="1"/>
    <col min="11" max="11" width="36.6640625" bestFit="1" customWidth="1"/>
    <col min="12" max="12" width="41.109375" bestFit="1" customWidth="1"/>
    <col min="13" max="13" width="11.33203125" bestFit="1" customWidth="1"/>
    <col min="14" max="14" width="12.21875" bestFit="1" customWidth="1"/>
    <col min="15" max="15" width="16.5546875" bestFit="1" customWidth="1"/>
    <col min="16" max="16" width="17.33203125" bestFit="1" customWidth="1"/>
    <col min="17" max="17" width="18.6640625" bestFit="1" customWidth="1"/>
    <col min="18" max="18" width="20.44140625" bestFit="1" customWidth="1"/>
    <col min="19" max="19" width="20.88671875" bestFit="1" customWidth="1"/>
    <col min="20" max="20" width="22.21875" bestFit="1" customWidth="1"/>
    <col min="21" max="21" width="21.33203125" bestFit="1" customWidth="1"/>
    <col min="22" max="22" width="24.33203125" bestFit="1" customWidth="1"/>
    <col min="23" max="23" width="22.5546875" bestFit="1" customWidth="1"/>
    <col min="24" max="24" width="15.109375" bestFit="1" customWidth="1"/>
    <col min="25" max="25" width="16.6640625" bestFit="1" customWidth="1"/>
    <col min="26" max="26" width="13.88671875" bestFit="1" customWidth="1"/>
    <col min="27" max="27" width="38.33203125" bestFit="1" customWidth="1"/>
    <col min="28" max="28" width="57.88671875" bestFit="1" customWidth="1"/>
    <col min="29" max="29" width="33.6640625" bestFit="1" customWidth="1"/>
    <col min="30" max="30" width="13" bestFit="1" customWidth="1"/>
    <col min="31" max="31" width="73.6640625" bestFit="1" customWidth="1"/>
    <col min="32" max="32" width="43.6640625" bestFit="1" customWidth="1"/>
    <col min="33" max="33" width="20.44140625" bestFit="1" customWidth="1"/>
    <col min="34" max="34" width="15" bestFit="1" customWidth="1"/>
    <col min="35" max="35" width="23.77734375" bestFit="1" customWidth="1"/>
    <col min="36" max="36" width="14.6640625" bestFit="1" customWidth="1"/>
    <col min="37" max="37" width="20.109375" bestFit="1" customWidth="1"/>
    <col min="38" max="38" width="19" bestFit="1" customWidth="1"/>
    <col min="39" max="39" width="22.109375" bestFit="1" customWidth="1"/>
    <col min="40" max="40" width="11.5546875" bestFit="1" customWidth="1"/>
    <col min="41" max="41" width="22.21875" bestFit="1" customWidth="1"/>
    <col min="42" max="42" width="22.6640625" bestFit="1" customWidth="1"/>
    <col min="43" max="43" width="16.109375" bestFit="1" customWidth="1"/>
    <col min="44" max="44" width="17.77734375" bestFit="1" customWidth="1"/>
    <col min="45" max="45" width="25.33203125" bestFit="1" customWidth="1"/>
    <col min="46" max="46" width="23.33203125" bestFit="1" customWidth="1"/>
    <col min="47" max="47" width="22.6640625" bestFit="1" customWidth="1"/>
    <col min="48" max="48" width="25.5546875" bestFit="1" customWidth="1"/>
    <col min="49" max="49" width="25.33203125" bestFit="1" customWidth="1"/>
    <col min="50" max="50" width="11.5546875" bestFit="1" customWidth="1"/>
    <col min="51" max="51" width="14" bestFit="1" customWidth="1"/>
    <col min="52" max="52" width="21.88671875" bestFit="1" customWidth="1"/>
    <col min="53" max="53" width="23" bestFit="1" customWidth="1"/>
    <col min="54" max="54" width="24.5546875" bestFit="1" customWidth="1"/>
    <col min="55" max="55" width="25" bestFit="1" customWidth="1"/>
    <col min="56" max="56" width="24.88671875" bestFit="1" customWidth="1"/>
    <col min="57" max="57" width="23.44140625" bestFit="1" customWidth="1"/>
    <col min="58" max="58" width="12" bestFit="1" customWidth="1"/>
    <col min="59" max="59" width="15.109375" bestFit="1" customWidth="1"/>
    <col min="60" max="60" width="12.6640625" bestFit="1" customWidth="1"/>
    <col min="61" max="61" width="23.109375" bestFit="1" customWidth="1"/>
    <col min="62" max="62" width="16.5546875" bestFit="1" customWidth="1"/>
    <col min="63" max="63" width="12.88671875" bestFit="1" customWidth="1"/>
    <col min="64" max="64" width="26.33203125" bestFit="1" customWidth="1"/>
    <col min="65" max="65" width="11.5546875" bestFit="1" customWidth="1"/>
    <col min="66" max="66" width="11.33203125" bestFit="1" customWidth="1"/>
    <col min="67" max="67" width="18.5546875" bestFit="1" customWidth="1"/>
    <col min="68" max="68" width="16.21875" bestFit="1" customWidth="1"/>
    <col min="69" max="69" width="20.33203125" bestFit="1" customWidth="1"/>
    <col min="70" max="70" width="19.44140625" bestFit="1" customWidth="1"/>
    <col min="71" max="71" width="22.88671875" bestFit="1" customWidth="1"/>
    <col min="72" max="72" width="17" bestFit="1" customWidth="1"/>
    <col min="73" max="73" width="12.33203125" bestFit="1" customWidth="1"/>
    <col min="74" max="74" width="14.5546875" bestFit="1" customWidth="1"/>
    <col min="75" max="75" width="16.5546875" bestFit="1" customWidth="1"/>
    <col min="76" max="76" width="11.5546875" bestFit="1" customWidth="1"/>
    <col min="77" max="77" width="23.33203125" bestFit="1" customWidth="1"/>
    <col min="78" max="78" width="11.5546875" bestFit="1" customWidth="1"/>
    <col min="79" max="79" width="12.44140625" bestFit="1" customWidth="1"/>
    <col min="80" max="80" width="12.88671875" bestFit="1" customWidth="1"/>
    <col min="81" max="81" width="22.6640625" bestFit="1" customWidth="1"/>
    <col min="82" max="82" width="18.88671875" bestFit="1" customWidth="1"/>
    <col min="83" max="83" width="25.33203125" bestFit="1" customWidth="1"/>
    <col min="84" max="84" width="24.109375" bestFit="1" customWidth="1"/>
    <col min="85" max="85" width="16.5546875" bestFit="1" customWidth="1"/>
    <col min="86" max="86" width="23.109375" bestFit="1" customWidth="1"/>
    <col min="87" max="87" width="20.33203125" bestFit="1" customWidth="1"/>
    <col min="88" max="88" width="33.6640625" bestFit="1" customWidth="1"/>
    <col min="89" max="89" width="23.88671875" bestFit="1" customWidth="1"/>
    <col min="90" max="91" width="25.5546875" bestFit="1" customWidth="1"/>
    <col min="92" max="92" width="24.109375" bestFit="1" customWidth="1"/>
    <col min="93" max="93" width="13.109375" bestFit="1" customWidth="1"/>
    <col min="94" max="94" width="23.77734375" bestFit="1" customWidth="1"/>
    <col min="95" max="95" width="24.6640625" bestFit="1" customWidth="1"/>
    <col min="96" max="96" width="26.88671875" bestFit="1" customWidth="1"/>
    <col min="97" max="97" width="11.5546875" bestFit="1" customWidth="1"/>
    <col min="98" max="98" width="14" bestFit="1" customWidth="1"/>
    <col min="99" max="99" width="22.88671875" bestFit="1" customWidth="1"/>
    <col min="100" max="100" width="25.21875" bestFit="1" customWidth="1"/>
    <col min="101" max="101" width="24.44140625" bestFit="1" customWidth="1"/>
    <col min="102" max="102" width="39.6640625" bestFit="1" customWidth="1"/>
    <col min="103" max="103" width="21.44140625" bestFit="1" customWidth="1"/>
    <col min="104" max="104" width="11.5546875" bestFit="1" customWidth="1"/>
    <col min="105" max="105" width="28.109375" bestFit="1" customWidth="1"/>
    <col min="106" max="106" width="25.44140625" bestFit="1" customWidth="1"/>
    <col min="107" max="107" width="24.109375" bestFit="1" customWidth="1"/>
    <col min="108" max="108" width="26" bestFit="1" customWidth="1"/>
    <col min="109" max="109" width="11.5546875" bestFit="1" customWidth="1"/>
    <col min="110" max="110" width="22.88671875" bestFit="1" customWidth="1"/>
    <col min="111" max="111" width="23" bestFit="1" customWidth="1"/>
    <col min="112" max="112" width="24" bestFit="1" customWidth="1"/>
    <col min="113" max="113" width="19.109375" bestFit="1" customWidth="1"/>
    <col min="114" max="114" width="22.33203125" bestFit="1" customWidth="1"/>
    <col min="115" max="115" width="18.5546875" bestFit="1" customWidth="1"/>
    <col min="116" max="116" width="24.88671875" bestFit="1" customWidth="1"/>
    <col min="117" max="117" width="23.77734375" bestFit="1" customWidth="1"/>
    <col min="118" max="118" width="16.21875" bestFit="1" customWidth="1"/>
    <col min="119" max="119" width="22.88671875" bestFit="1" customWidth="1"/>
    <col min="120" max="120" width="17.5546875" bestFit="1" customWidth="1"/>
    <col min="121" max="121" width="33.21875" bestFit="1" customWidth="1"/>
    <col min="122" max="122" width="23.5546875" bestFit="1" customWidth="1"/>
    <col min="123" max="124" width="25.21875" bestFit="1" customWidth="1"/>
    <col min="125" max="125" width="23.77734375" bestFit="1" customWidth="1"/>
    <col min="126" max="126" width="12.6640625" bestFit="1" customWidth="1"/>
    <col min="127" max="127" width="26.5546875" bestFit="1" customWidth="1"/>
    <col min="128" max="128" width="24.77734375" bestFit="1" customWidth="1"/>
    <col min="129" max="129" width="11.5546875" bestFit="1" customWidth="1"/>
    <col min="130" max="130" width="20.109375" bestFit="1" customWidth="1"/>
    <col min="131" max="131" width="21.109375" bestFit="1" customWidth="1"/>
    <col min="132" max="132" width="13.6640625" bestFit="1" customWidth="1"/>
    <col min="133" max="134" width="21.6640625" bestFit="1" customWidth="1"/>
    <col min="135" max="135" width="24.109375" bestFit="1" customWidth="1"/>
    <col min="136" max="136" width="34.109375" bestFit="1" customWidth="1"/>
    <col min="137" max="137" width="21.109375" bestFit="1" customWidth="1"/>
    <col min="138" max="138" width="11.5546875" bestFit="1" customWidth="1"/>
    <col min="139" max="139" width="28.33203125" bestFit="1" customWidth="1"/>
    <col min="140" max="140" width="25" bestFit="1" customWidth="1"/>
    <col min="141" max="141" width="23.77734375" bestFit="1" customWidth="1"/>
    <col min="142" max="142" width="25.6640625" bestFit="1" customWidth="1"/>
    <col min="143" max="143" width="11.5546875" bestFit="1" customWidth="1"/>
    <col min="144" max="144" width="22.5546875" bestFit="1" customWidth="1"/>
    <col min="145" max="145" width="22.6640625" bestFit="1" customWidth="1"/>
    <col min="146" max="146" width="23.6640625" bestFit="1" customWidth="1"/>
    <col min="147" max="147" width="21.44140625" bestFit="1" customWidth="1"/>
    <col min="148" max="148" width="18.6640625" bestFit="1" customWidth="1"/>
    <col min="149" max="149" width="20.109375" bestFit="1" customWidth="1"/>
    <col min="150" max="150" width="23.77734375" bestFit="1" customWidth="1"/>
    <col min="151" max="151" width="18.6640625" bestFit="1" customWidth="1"/>
    <col min="152" max="152" width="20.21875" bestFit="1" customWidth="1"/>
    <col min="153" max="153" width="16.77734375" bestFit="1" customWidth="1"/>
    <col min="154" max="154" width="15" bestFit="1" customWidth="1"/>
    <col min="155" max="155" width="20.109375" bestFit="1" customWidth="1"/>
    <col min="156" max="156" width="26.109375" bestFit="1" customWidth="1"/>
    <col min="157" max="157" width="24.88671875" bestFit="1" customWidth="1"/>
    <col min="158" max="158" width="25.21875" bestFit="1" customWidth="1"/>
    <col min="159" max="159" width="21.21875" bestFit="1" customWidth="1"/>
    <col min="160" max="160" width="25.44140625" bestFit="1" customWidth="1"/>
    <col min="161" max="161" width="23.88671875" bestFit="1" customWidth="1"/>
    <col min="162" max="162" width="11.5546875" bestFit="1" customWidth="1"/>
    <col min="163" max="163" width="24.109375" bestFit="1" customWidth="1"/>
    <col min="164" max="164" width="19.21875" bestFit="1" customWidth="1"/>
    <col min="165" max="165" width="17.21875" bestFit="1" customWidth="1"/>
    <col min="166" max="166" width="21.21875" bestFit="1" customWidth="1"/>
    <col min="167" max="167" width="25.6640625" bestFit="1" customWidth="1"/>
    <col min="168" max="168" width="25.33203125" bestFit="1" customWidth="1"/>
    <col min="169" max="169" width="25.77734375" bestFit="1" customWidth="1"/>
    <col min="170" max="170" width="25" bestFit="1" customWidth="1"/>
    <col min="171" max="171" width="24.6640625" bestFit="1" customWidth="1"/>
    <col min="172" max="172" width="24.44140625" bestFit="1" customWidth="1"/>
    <col min="173" max="173" width="24.77734375" bestFit="1" customWidth="1"/>
    <col min="174" max="174" width="11.5546875" bestFit="1" customWidth="1"/>
    <col min="175" max="175" width="19.77734375" bestFit="1" customWidth="1"/>
    <col min="176" max="176" width="23.21875" bestFit="1" customWidth="1"/>
    <col min="177" max="177" width="24.21875" bestFit="1" customWidth="1"/>
    <col min="178" max="178" width="22.6640625" bestFit="1" customWidth="1"/>
  </cols>
  <sheetData>
    <row r="1" spans="1:19" x14ac:dyDescent="0.3">
      <c r="A1" t="s">
        <v>0</v>
      </c>
      <c r="B1" s="12" t="s">
        <v>13</v>
      </c>
      <c r="C1" s="12" t="s">
        <v>14</v>
      </c>
      <c r="D1" s="12" t="s">
        <v>15</v>
      </c>
      <c r="E1" s="12" t="s">
        <v>16</v>
      </c>
      <c r="F1" s="13" t="s">
        <v>17</v>
      </c>
      <c r="G1" t="s">
        <v>18</v>
      </c>
      <c r="H1" t="s">
        <v>19</v>
      </c>
      <c r="I1" t="s">
        <v>20</v>
      </c>
      <c r="J1" t="s">
        <v>21</v>
      </c>
      <c r="K1" s="14" t="s">
        <v>22</v>
      </c>
      <c r="L1" s="14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</row>
    <row r="2" spans="1:19" x14ac:dyDescent="0.3">
      <c r="A2">
        <v>2016</v>
      </c>
      <c r="B2" s="15">
        <v>759478</v>
      </c>
      <c r="C2" s="14">
        <v>120690</v>
      </c>
      <c r="D2" s="14">
        <v>511311</v>
      </c>
      <c r="E2" s="14">
        <v>115630</v>
      </c>
      <c r="F2" s="14">
        <v>253227</v>
      </c>
      <c r="G2" s="14">
        <v>39833</v>
      </c>
      <c r="H2" s="14">
        <v>54814</v>
      </c>
      <c r="I2" s="14">
        <f>B2+C2-H2-D2-G2</f>
        <v>274210</v>
      </c>
      <c r="J2" s="14">
        <v>76944</v>
      </c>
      <c r="K2" s="14">
        <v>333191</v>
      </c>
      <c r="L2" s="14">
        <v>80231</v>
      </c>
      <c r="M2" s="16">
        <f>K2+L2</f>
        <v>413422</v>
      </c>
      <c r="N2" s="16">
        <f>M2-H2</f>
        <v>358608</v>
      </c>
      <c r="O2" s="16">
        <f>AVERAGE(M1:M2)</f>
        <v>413422</v>
      </c>
      <c r="P2" s="17">
        <f>J2/O2</f>
        <v>0.18611491405875835</v>
      </c>
      <c r="Q2" s="14">
        <v>680941</v>
      </c>
      <c r="R2" s="14">
        <v>148738</v>
      </c>
      <c r="S2" s="16">
        <f>(Q2)-(R2)</f>
        <v>532203</v>
      </c>
    </row>
    <row r="3" spans="1:19" x14ac:dyDescent="0.3">
      <c r="A3">
        <v>2017</v>
      </c>
      <c r="B3" s="14">
        <v>625444</v>
      </c>
      <c r="C3" s="14">
        <v>244748</v>
      </c>
      <c r="D3" s="14">
        <v>313330</v>
      </c>
      <c r="E3" s="14">
        <v>231788</v>
      </c>
      <c r="F3" s="14">
        <v>325074</v>
      </c>
      <c r="G3" s="14">
        <v>53721</v>
      </c>
      <c r="H3" s="14">
        <v>124758</v>
      </c>
      <c r="I3" s="14">
        <f t="shared" ref="I3:I10" si="0">B3+C3-H3-D3-G3</f>
        <v>378383</v>
      </c>
      <c r="J3" s="14">
        <v>58520</v>
      </c>
      <c r="K3" s="14">
        <v>97827</v>
      </c>
      <c r="L3" s="14">
        <v>196253</v>
      </c>
      <c r="M3" s="16">
        <f t="shared" ref="M3:M10" si="1">K3+L3</f>
        <v>294080</v>
      </c>
      <c r="N3" s="16">
        <f t="shared" ref="N3:N10" si="2">M3-H3</f>
        <v>169322</v>
      </c>
      <c r="O3" s="16">
        <f t="shared" ref="O3:O10" si="3">AVERAGE(M2:M3)</f>
        <v>353751</v>
      </c>
      <c r="P3" s="17">
        <f t="shared" ref="P3:P10" si="4">J3/O3</f>
        <v>0.16542709419902699</v>
      </c>
      <c r="Q3" s="14">
        <v>500686</v>
      </c>
      <c r="R3" s="14">
        <v>186498</v>
      </c>
      <c r="S3" s="16">
        <f>(Q3-Q2)-(R3-R2)</f>
        <v>-218015</v>
      </c>
    </row>
    <row r="4" spans="1:19" x14ac:dyDescent="0.3">
      <c r="A4">
        <v>2018</v>
      </c>
      <c r="B4" s="15">
        <v>725299.94767000002</v>
      </c>
      <c r="C4" s="14">
        <v>164346.69037999999</v>
      </c>
      <c r="D4" s="14">
        <v>316509.19076000008</v>
      </c>
      <c r="E4" s="14">
        <v>122121.52381999999</v>
      </c>
      <c r="F4" s="14">
        <v>451015.9234565497</v>
      </c>
      <c r="G4" s="14">
        <v>46203.726439999999</v>
      </c>
      <c r="H4" s="14">
        <v>84781</v>
      </c>
      <c r="I4" s="14">
        <f t="shared" si="0"/>
        <v>442152.72084999987</v>
      </c>
      <c r="J4" s="14">
        <v>41147.648089999995</v>
      </c>
      <c r="K4" s="14">
        <v>115891.83705000002</v>
      </c>
      <c r="L4" s="14">
        <v>99553.217709999997</v>
      </c>
      <c r="M4" s="16">
        <f t="shared" si="1"/>
        <v>215445.05476000003</v>
      </c>
      <c r="N4" s="16">
        <f t="shared" si="2"/>
        <v>130664.05476000003</v>
      </c>
      <c r="O4" s="16">
        <f t="shared" si="3"/>
        <v>254762.52738000001</v>
      </c>
      <c r="P4" s="17">
        <f t="shared" si="4"/>
        <v>0.16151373796282359</v>
      </c>
      <c r="Q4" s="14">
        <v>635721.05492999998</v>
      </c>
      <c r="R4" s="14">
        <v>186819.10715000003</v>
      </c>
      <c r="S4" s="16">
        <f t="shared" ref="S4:S10" si="5">(Q4-Q3)-(R4-R3)</f>
        <v>134713.94777999996</v>
      </c>
    </row>
    <row r="5" spans="1:19" x14ac:dyDescent="0.3">
      <c r="A5">
        <v>2019</v>
      </c>
      <c r="B5" s="14">
        <v>1319424.9124799999</v>
      </c>
      <c r="C5" s="14">
        <v>560104.00152634992</v>
      </c>
      <c r="D5" s="14">
        <v>458812.99265999999</v>
      </c>
      <c r="E5" s="14">
        <v>330991.58668999997</v>
      </c>
      <c r="F5" s="14">
        <v>1089724.33565</v>
      </c>
      <c r="G5" s="14">
        <v>36421.391530000001</v>
      </c>
      <c r="H5" s="14">
        <v>435844.35029999999</v>
      </c>
      <c r="I5" s="14">
        <f t="shared" si="0"/>
        <v>948450.1795163498</v>
      </c>
      <c r="J5" s="14">
        <v>63414.376029999992</v>
      </c>
      <c r="K5" s="14">
        <v>190934.03497000004</v>
      </c>
      <c r="L5" s="14">
        <v>79419.832049999997</v>
      </c>
      <c r="M5" s="16">
        <f t="shared" si="1"/>
        <v>270353.86702000001</v>
      </c>
      <c r="N5" s="16">
        <f>M5-H5</f>
        <v>-165490.48327999999</v>
      </c>
      <c r="O5" s="16">
        <f t="shared" si="3"/>
        <v>242899.46089000002</v>
      </c>
      <c r="P5" s="17">
        <f t="shared" si="4"/>
        <v>0.26107252687035798</v>
      </c>
      <c r="Q5" s="14">
        <v>876784.32589000009</v>
      </c>
      <c r="R5" s="14">
        <v>220692.5949</v>
      </c>
      <c r="S5" s="16">
        <f t="shared" si="5"/>
        <v>207189.78321000014</v>
      </c>
    </row>
    <row r="6" spans="1:19" x14ac:dyDescent="0.3">
      <c r="A6">
        <v>2020</v>
      </c>
      <c r="B6" s="15">
        <v>1428554.3036376894</v>
      </c>
      <c r="C6" s="14">
        <v>712142.41304619994</v>
      </c>
      <c r="D6" s="14">
        <v>589042.90935999993</v>
      </c>
      <c r="E6" s="14">
        <v>380177.99387999997</v>
      </c>
      <c r="F6" s="14">
        <v>1171475.8134438896</v>
      </c>
      <c r="G6" s="14">
        <v>53198.184370000003</v>
      </c>
      <c r="H6" s="14">
        <v>477319.37946999999</v>
      </c>
      <c r="I6" s="14">
        <f>B6+C6-H6-D6-G6</f>
        <v>1021136.2434838893</v>
      </c>
      <c r="J6" s="14">
        <v>57561.348109999999</v>
      </c>
      <c r="K6" s="14">
        <v>277820.62114999996</v>
      </c>
      <c r="L6" s="14">
        <v>112500</v>
      </c>
      <c r="M6" s="16">
        <f t="shared" si="1"/>
        <v>390320.62114999996</v>
      </c>
      <c r="N6" s="16">
        <f t="shared" si="2"/>
        <v>-86998.758320000023</v>
      </c>
      <c r="O6" s="16">
        <f t="shared" si="3"/>
        <v>330337.24408500001</v>
      </c>
      <c r="P6" s="17">
        <f t="shared" si="4"/>
        <v>0.17425025225187363</v>
      </c>
      <c r="Q6" s="14">
        <v>879742.64190768951</v>
      </c>
      <c r="R6" s="14">
        <v>226065.35207000002</v>
      </c>
      <c r="S6" s="16">
        <f>(Q6-Q5)-(R6-R5)</f>
        <v>-2414.4411523106101</v>
      </c>
    </row>
    <row r="7" spans="1:19" x14ac:dyDescent="0.3">
      <c r="A7">
        <v>2021</v>
      </c>
      <c r="B7" s="18">
        <v>1583219.7838774098</v>
      </c>
      <c r="C7" s="14">
        <v>980649.05041749519</v>
      </c>
      <c r="D7" s="14">
        <v>674295.86711999995</v>
      </c>
      <c r="E7" s="14">
        <v>496841.60351999995</v>
      </c>
      <c r="F7" s="14">
        <v>1392731.3636549052</v>
      </c>
      <c r="G7" s="14">
        <v>88207.200519999999</v>
      </c>
      <c r="H7" s="14">
        <v>325587.60056999995</v>
      </c>
      <c r="I7" s="14">
        <f t="shared" si="0"/>
        <v>1475778.1660849052</v>
      </c>
      <c r="J7" s="14">
        <v>62781.077029999993</v>
      </c>
      <c r="K7" s="14">
        <v>127176.04281</v>
      </c>
      <c r="L7" s="14">
        <v>164036.72818000001</v>
      </c>
      <c r="M7" s="16">
        <f t="shared" si="1"/>
        <v>291212.77098999999</v>
      </c>
      <c r="N7" s="16">
        <f t="shared" si="2"/>
        <v>-34374.829579999961</v>
      </c>
      <c r="O7" s="16">
        <f t="shared" si="3"/>
        <v>340766.69606999995</v>
      </c>
      <c r="P7" s="17">
        <f t="shared" si="4"/>
        <v>0.184234779261127</v>
      </c>
      <c r="Q7" s="14">
        <v>1114766.3788274098</v>
      </c>
      <c r="R7" s="14">
        <v>399166.93424999999</v>
      </c>
      <c r="S7" s="16">
        <f t="shared" si="5"/>
        <v>61922.154739720339</v>
      </c>
    </row>
    <row r="8" spans="1:19" x14ac:dyDescent="0.3">
      <c r="A8">
        <v>2022</v>
      </c>
      <c r="B8" s="14">
        <v>1761018.5953006025</v>
      </c>
      <c r="C8" s="14">
        <v>1171155</v>
      </c>
      <c r="D8" s="14">
        <v>726254.97349999996</v>
      </c>
      <c r="E8" s="14">
        <v>547967</v>
      </c>
      <c r="F8" s="14">
        <v>1657952</v>
      </c>
      <c r="G8" s="14">
        <v>104961</v>
      </c>
      <c r="H8" s="14">
        <v>160035.97900999998</v>
      </c>
      <c r="I8" s="14">
        <f t="shared" si="0"/>
        <v>1940921.642790603</v>
      </c>
      <c r="J8" s="14">
        <v>85348.590389999998</v>
      </c>
      <c r="K8" s="14">
        <v>116970</v>
      </c>
      <c r="L8" s="14">
        <v>108186</v>
      </c>
      <c r="M8" s="16">
        <f t="shared" si="1"/>
        <v>225156</v>
      </c>
      <c r="N8" s="16">
        <f t="shared" si="2"/>
        <v>65120.020990000019</v>
      </c>
      <c r="O8" s="16">
        <f t="shared" si="3"/>
        <v>258184.38549499999</v>
      </c>
      <c r="P8" s="17">
        <f t="shared" si="4"/>
        <v>0.33057223900805133</v>
      </c>
      <c r="Q8" s="14">
        <v>1445843.3981006027</v>
      </c>
      <c r="R8" s="14">
        <v>443595</v>
      </c>
      <c r="S8" s="16">
        <f t="shared" si="5"/>
        <v>286648.95352319285</v>
      </c>
    </row>
    <row r="9" spans="1:19" x14ac:dyDescent="0.3">
      <c r="A9">
        <v>2023</v>
      </c>
      <c r="B9" s="19">
        <v>2056580.1240014909</v>
      </c>
      <c r="C9" s="14">
        <v>1256818.33708181</v>
      </c>
      <c r="D9" s="14">
        <v>695587.86028000014</v>
      </c>
      <c r="E9" s="14">
        <v>612280.81429999997</v>
      </c>
      <c r="F9" s="14">
        <v>2005529.486503276</v>
      </c>
      <c r="G9" s="14">
        <v>142182.92440999998</v>
      </c>
      <c r="H9" s="14">
        <v>221495.20791</v>
      </c>
      <c r="I9" s="14">
        <f t="shared" si="0"/>
        <v>2254132.4684833009</v>
      </c>
      <c r="J9" s="14">
        <v>90720.475129999977</v>
      </c>
      <c r="K9" s="14">
        <v>111463.43515999999</v>
      </c>
      <c r="L9" s="14">
        <v>160000.00048000002</v>
      </c>
      <c r="M9" s="16">
        <f t="shared" si="1"/>
        <v>271463.43564000004</v>
      </c>
      <c r="N9" s="16">
        <f t="shared" si="2"/>
        <v>49968.227730000042</v>
      </c>
      <c r="O9" s="16">
        <f t="shared" si="3"/>
        <v>248309.71782000002</v>
      </c>
      <c r="P9" s="17">
        <f t="shared" si="4"/>
        <v>0.36535209304922711</v>
      </c>
      <c r="Q9" s="14">
        <v>1752090.390131491</v>
      </c>
      <c r="R9" s="14">
        <v>401485.96192000009</v>
      </c>
      <c r="S9" s="16">
        <f t="shared" si="5"/>
        <v>348356.03011088824</v>
      </c>
    </row>
    <row r="10" spans="1:19" x14ac:dyDescent="0.3">
      <c r="A10">
        <v>2024</v>
      </c>
      <c r="B10" s="14">
        <v>2781888.1219999995</v>
      </c>
      <c r="C10" s="14">
        <v>1491841.58886</v>
      </c>
      <c r="D10" s="14">
        <v>995686.87383000006</v>
      </c>
      <c r="E10" s="14">
        <v>781100.64931000001</v>
      </c>
      <c r="F10" s="14">
        <v>2496941.9876778787</v>
      </c>
      <c r="G10" s="14">
        <v>158735.78572000007</v>
      </c>
      <c r="H10" s="14">
        <v>278153</v>
      </c>
      <c r="I10" s="14">
        <f t="shared" si="0"/>
        <v>2841154.0513099991</v>
      </c>
      <c r="J10" s="14">
        <v>100152.68900414801</v>
      </c>
      <c r="K10" s="14">
        <v>113369.65276000001</v>
      </c>
      <c r="L10" s="14">
        <v>285191.05127999996</v>
      </c>
      <c r="M10" s="16">
        <f t="shared" si="1"/>
        <v>398560.70403999998</v>
      </c>
      <c r="N10" s="16">
        <f t="shared" si="2"/>
        <v>120407.70403999998</v>
      </c>
      <c r="O10" s="16">
        <f t="shared" si="3"/>
        <v>335012.06984000001</v>
      </c>
      <c r="P10" s="17">
        <f t="shared" si="4"/>
        <v>0.29895247968821065</v>
      </c>
      <c r="Q10" s="14">
        <v>2499205.0579299997</v>
      </c>
      <c r="R10" s="14">
        <v>624126.87968000025</v>
      </c>
      <c r="S10" s="16">
        <f t="shared" si="5"/>
        <v>524473.75003850856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C9C7-A185-40AA-AB34-4B2BA0132BC4}">
  <dimension ref="A1:W12"/>
  <sheetViews>
    <sheetView topLeftCell="G1" workbookViewId="0">
      <selection activeCell="P13" sqref="P13"/>
    </sheetView>
  </sheetViews>
  <sheetFormatPr defaultRowHeight="14.4" x14ac:dyDescent="0.3"/>
  <cols>
    <col min="1" max="1" width="5" bestFit="1" customWidth="1"/>
    <col min="2" max="2" width="13.44140625" bestFit="1" customWidth="1"/>
    <col min="3" max="3" width="11.33203125" bestFit="1" customWidth="1"/>
    <col min="4" max="4" width="14.21875" bestFit="1" customWidth="1"/>
    <col min="5" max="5" width="22.21875" bestFit="1" customWidth="1"/>
    <col min="6" max="6" width="26.109375" bestFit="1" customWidth="1"/>
    <col min="7" max="7" width="49.44140625" bestFit="1" customWidth="1"/>
    <col min="8" max="8" width="18.21875" bestFit="1" customWidth="1"/>
    <col min="9" max="9" width="19.109375" bestFit="1" customWidth="1"/>
    <col min="10" max="10" width="11.33203125" bestFit="1" customWidth="1"/>
    <col min="11" max="11" width="13.77734375" bestFit="1" customWidth="1"/>
    <col min="12" max="12" width="16" bestFit="1" customWidth="1"/>
    <col min="13" max="13" width="25.5546875" bestFit="1" customWidth="1"/>
    <col min="14" max="14" width="11.33203125" bestFit="1" customWidth="1"/>
    <col min="15" max="15" width="34" bestFit="1" customWidth="1"/>
    <col min="16" max="16" width="14" bestFit="1" customWidth="1"/>
    <col min="17" max="17" width="11.88671875" bestFit="1" customWidth="1"/>
    <col min="18" max="18" width="19.6640625" bestFit="1" customWidth="1"/>
    <col min="19" max="19" width="15.44140625" bestFit="1" customWidth="1"/>
    <col min="20" max="20" width="16.77734375" bestFit="1" customWidth="1"/>
    <col min="21" max="21" width="10.88671875" bestFit="1" customWidth="1"/>
  </cols>
  <sheetData>
    <row r="1" spans="1:23" x14ac:dyDescent="0.3">
      <c r="A1" t="s">
        <v>0</v>
      </c>
      <c r="B1" s="20" t="s">
        <v>31</v>
      </c>
      <c r="C1" t="s">
        <v>45</v>
      </c>
      <c r="D1" t="s">
        <v>32</v>
      </c>
      <c r="E1" t="s">
        <v>42</v>
      </c>
      <c r="F1" t="s">
        <v>43</v>
      </c>
      <c r="G1" t="s">
        <v>44</v>
      </c>
      <c r="H1" t="s">
        <v>46</v>
      </c>
      <c r="I1" t="s">
        <v>34</v>
      </c>
      <c r="J1" t="s">
        <v>36</v>
      </c>
      <c r="K1" t="s">
        <v>37</v>
      </c>
      <c r="L1" t="s">
        <v>38</v>
      </c>
      <c r="M1" t="s">
        <v>21</v>
      </c>
      <c r="N1" t="s">
        <v>39</v>
      </c>
      <c r="O1" t="s">
        <v>40</v>
      </c>
      <c r="P1" t="s">
        <v>41</v>
      </c>
      <c r="Q1" t="s">
        <v>35</v>
      </c>
      <c r="R1" t="s">
        <v>1</v>
      </c>
      <c r="S1" t="s">
        <v>99</v>
      </c>
      <c r="T1" s="2"/>
      <c r="U1" s="1"/>
      <c r="V1" s="1"/>
      <c r="W1" s="1"/>
    </row>
    <row r="2" spans="1:23" x14ac:dyDescent="0.3">
      <c r="A2">
        <v>2016</v>
      </c>
      <c r="B2" s="14">
        <v>953070</v>
      </c>
      <c r="C2" s="14">
        <v>316594</v>
      </c>
      <c r="D2" s="21">
        <v>636476</v>
      </c>
      <c r="E2" s="21">
        <v>441338</v>
      </c>
      <c r="F2" s="21">
        <v>18029</v>
      </c>
      <c r="G2" s="21">
        <v>423309</v>
      </c>
      <c r="H2" s="14">
        <v>427</v>
      </c>
      <c r="I2" s="14">
        <v>-59987</v>
      </c>
      <c r="J2" s="14">
        <v>213167</v>
      </c>
      <c r="K2" s="14">
        <v>213167</v>
      </c>
      <c r="L2" s="14">
        <v>135151</v>
      </c>
      <c r="M2" s="14">
        <v>76944</v>
      </c>
      <c r="N2" s="16">
        <v>58207</v>
      </c>
      <c r="O2" s="14">
        <v>33779</v>
      </c>
      <c r="P2" s="29">
        <v>0.58032539041696019</v>
      </c>
      <c r="Q2" s="14">
        <v>101372</v>
      </c>
      <c r="R2" s="14">
        <v>11775.948870000006</v>
      </c>
      <c r="S2" s="14">
        <v>532203</v>
      </c>
      <c r="T2" s="4"/>
      <c r="U2" s="3"/>
      <c r="V2" s="3"/>
      <c r="W2" s="3"/>
    </row>
    <row r="3" spans="1:23" x14ac:dyDescent="0.3">
      <c r="A3">
        <v>2017</v>
      </c>
      <c r="B3" s="14">
        <v>996846</v>
      </c>
      <c r="C3" s="14">
        <v>334653</v>
      </c>
      <c r="D3" s="21">
        <v>662193</v>
      </c>
      <c r="E3" s="21">
        <v>459118</v>
      </c>
      <c r="F3" s="21">
        <v>17287</v>
      </c>
      <c r="G3" s="21">
        <v>441831</v>
      </c>
      <c r="H3" s="14">
        <v>451</v>
      </c>
      <c r="I3" s="14">
        <v>-32220</v>
      </c>
      <c r="J3" s="14">
        <v>220362</v>
      </c>
      <c r="K3" s="14">
        <v>220362</v>
      </c>
      <c r="L3" s="14">
        <v>170855</v>
      </c>
      <c r="M3" s="14">
        <v>58520</v>
      </c>
      <c r="N3" s="16">
        <v>112335</v>
      </c>
      <c r="O3" s="14">
        <v>-55030</v>
      </c>
      <c r="P3" s="29">
        <v>-0.48987403747718877</v>
      </c>
      <c r="Q3" s="14">
        <v>225885</v>
      </c>
      <c r="R3" s="14">
        <v>6867.4639500000112</v>
      </c>
      <c r="S3" s="14">
        <v>-218015</v>
      </c>
      <c r="T3" s="4"/>
      <c r="U3" s="3"/>
      <c r="V3" s="3"/>
      <c r="W3" s="3"/>
    </row>
    <row r="4" spans="1:23" x14ac:dyDescent="0.3">
      <c r="A4">
        <v>2018</v>
      </c>
      <c r="B4" s="14">
        <v>1059585.7035248748</v>
      </c>
      <c r="C4" s="14">
        <v>313537.97279342503</v>
      </c>
      <c r="D4" s="21">
        <v>746047.73073144979</v>
      </c>
      <c r="E4" s="21">
        <v>488538.67365217418</v>
      </c>
      <c r="F4" s="21">
        <v>15203.147000000001</v>
      </c>
      <c r="G4" s="21">
        <v>473335.52665217419</v>
      </c>
      <c r="H4" s="14">
        <v>463.91410999999999</v>
      </c>
      <c r="I4" s="14">
        <v>-36074.078769999993</v>
      </c>
      <c r="J4" s="14">
        <v>272712.2040792756</v>
      </c>
      <c r="K4" s="14">
        <v>244965.2040792756</v>
      </c>
      <c r="L4" s="14">
        <v>221434.97830927561</v>
      </c>
      <c r="M4" s="14">
        <v>41147.648089999995</v>
      </c>
      <c r="N4" s="16">
        <v>180287.33021927561</v>
      </c>
      <c r="O4" s="14">
        <v>22999.632180000004</v>
      </c>
      <c r="P4" s="29">
        <v>0.12757209367971978</v>
      </c>
      <c r="Q4" s="14">
        <v>198435.3461292756</v>
      </c>
      <c r="R4" s="14">
        <v>13248.82646</v>
      </c>
      <c r="S4" s="14">
        <v>134713.94777999996</v>
      </c>
      <c r="T4" s="4"/>
      <c r="U4" s="3"/>
      <c r="V4" s="3"/>
      <c r="W4" s="3"/>
    </row>
    <row r="5" spans="1:23" x14ac:dyDescent="0.3">
      <c r="A5">
        <v>2019</v>
      </c>
      <c r="B5" s="14">
        <v>1171359.9744299995</v>
      </c>
      <c r="C5" s="14">
        <v>373614.88997999992</v>
      </c>
      <c r="D5" s="21">
        <v>797745.0844499995</v>
      </c>
      <c r="E5" s="21">
        <v>436119.23289999971</v>
      </c>
      <c r="F5" s="21">
        <v>45495.271759999989</v>
      </c>
      <c r="G5" s="21">
        <v>390623.96113999974</v>
      </c>
      <c r="H5" s="14">
        <v>247.34808999997378</v>
      </c>
      <c r="I5" s="14">
        <v>-2460.7884999999878</v>
      </c>
      <c r="J5" s="14">
        <v>408570.10030999978</v>
      </c>
      <c r="K5" s="14">
        <v>272134.18099999975</v>
      </c>
      <c r="L5" s="14">
        <v>359165.06304999982</v>
      </c>
      <c r="M5" s="14">
        <v>63414.376029999992</v>
      </c>
      <c r="N5" s="16">
        <v>295750.68701999984</v>
      </c>
      <c r="O5" s="14">
        <v>40914.28505364999</v>
      </c>
      <c r="P5" s="29">
        <v>0.13834045650376867</v>
      </c>
      <c r="Q5" s="14">
        <v>318250.77799634985</v>
      </c>
      <c r="R5" s="14">
        <v>46499.515540000262</v>
      </c>
      <c r="S5" s="14">
        <v>207189.78321000014</v>
      </c>
      <c r="T5" s="4"/>
      <c r="U5" s="3"/>
      <c r="V5" s="3"/>
      <c r="W5" s="3"/>
    </row>
    <row r="6" spans="1:23" x14ac:dyDescent="0.3">
      <c r="A6">
        <v>2020</v>
      </c>
      <c r="B6" s="14">
        <v>1047547.0411099999</v>
      </c>
      <c r="C6" s="14">
        <v>330064.05053342163</v>
      </c>
      <c r="D6" s="21">
        <v>717482.9905765783</v>
      </c>
      <c r="E6" s="21">
        <v>512404.35496888915</v>
      </c>
      <c r="F6" s="21">
        <v>55748.821930000006</v>
      </c>
      <c r="G6" s="21">
        <v>456655.53303888917</v>
      </c>
      <c r="H6" s="14">
        <v>0</v>
      </c>
      <c r="I6" s="14">
        <v>-41541.898869999997</v>
      </c>
      <c r="J6" s="14">
        <v>263351.38050768914</v>
      </c>
      <c r="K6" s="14">
        <v>216319.04710905149</v>
      </c>
      <c r="L6" s="14">
        <v>163536.73673768915</v>
      </c>
      <c r="M6" s="14">
        <v>57561.348109999999</v>
      </c>
      <c r="N6" s="16">
        <v>105975.38862768916</v>
      </c>
      <c r="O6" s="14">
        <v>16864.628073583328</v>
      </c>
      <c r="P6" s="29">
        <v>0.1591372137622617</v>
      </c>
      <c r="Q6" s="14">
        <v>146672.10866410582</v>
      </c>
      <c r="R6" s="14">
        <v>44711.518199999991</v>
      </c>
      <c r="S6" s="14">
        <v>-2414.4411523106101</v>
      </c>
      <c r="T6" s="4"/>
      <c r="U6" s="3"/>
      <c r="V6" s="3"/>
      <c r="W6" s="3"/>
    </row>
    <row r="7" spans="1:23" x14ac:dyDescent="0.3">
      <c r="A7">
        <v>2021</v>
      </c>
      <c r="B7" s="14">
        <v>1466386.8845899992</v>
      </c>
      <c r="C7" s="14">
        <v>474909.08283880563</v>
      </c>
      <c r="D7" s="21">
        <v>991477.80175119359</v>
      </c>
      <c r="E7" s="21">
        <v>696790.59337999916</v>
      </c>
      <c r="F7" s="21">
        <v>68597.849789999993</v>
      </c>
      <c r="G7" s="21">
        <v>628192.74358999915</v>
      </c>
      <c r="H7" s="14">
        <v>0</v>
      </c>
      <c r="I7" s="14">
        <v>-31509.470129999994</v>
      </c>
      <c r="J7" s="14">
        <v>366516.22687119403</v>
      </c>
      <c r="K7" s="14">
        <v>301389.62687119405</v>
      </c>
      <c r="L7" s="14">
        <v>263176.73824119405</v>
      </c>
      <c r="M7" s="14">
        <v>62781.077029999993</v>
      </c>
      <c r="N7" s="16">
        <v>200395.66121119406</v>
      </c>
      <c r="O7" s="14">
        <v>-35313.289651295076</v>
      </c>
      <c r="P7" s="29">
        <v>-0.17621783544544367</v>
      </c>
      <c r="Q7" s="14">
        <v>298490.0278924891</v>
      </c>
      <c r="R7" s="14">
        <v>104077.87056500028</v>
      </c>
      <c r="S7" s="14">
        <v>61922.154739720339</v>
      </c>
      <c r="T7" s="4"/>
      <c r="U7" s="3"/>
      <c r="V7" s="3"/>
      <c r="W7" s="3"/>
    </row>
    <row r="8" spans="1:23" x14ac:dyDescent="0.3">
      <c r="A8">
        <v>2022</v>
      </c>
      <c r="B8" s="14">
        <v>1843735.0886799998</v>
      </c>
      <c r="C8" s="14">
        <v>573527.51996140229</v>
      </c>
      <c r="D8" s="21">
        <v>1270207.5687185975</v>
      </c>
      <c r="E8" s="21">
        <v>893835.24021541304</v>
      </c>
      <c r="F8" s="21">
        <v>108323.36996000011</v>
      </c>
      <c r="G8" s="21">
        <v>785511.87025541288</v>
      </c>
      <c r="H8" s="14">
        <v>0</v>
      </c>
      <c r="I8" s="14">
        <v>-45337.728109999989</v>
      </c>
      <c r="J8" s="14">
        <v>490298.22054318455</v>
      </c>
      <c r="K8" s="14">
        <v>401081.76174318453</v>
      </c>
      <c r="L8" s="14">
        <v>331034.60039318446</v>
      </c>
      <c r="M8" s="14">
        <v>85348.590389999998</v>
      </c>
      <c r="N8" s="16">
        <v>245686.01000318446</v>
      </c>
      <c r="O8" s="14">
        <v>-29819.817152514519</v>
      </c>
      <c r="P8" s="29">
        <v>-0.12137368811568884</v>
      </c>
      <c r="Q8" s="14">
        <v>360854.41754569899</v>
      </c>
      <c r="R8" s="14">
        <v>137731.1478274838</v>
      </c>
      <c r="S8" s="14">
        <v>286648.95352319285</v>
      </c>
      <c r="T8" s="4"/>
      <c r="U8" s="3"/>
      <c r="V8" s="3"/>
      <c r="W8" s="3"/>
    </row>
    <row r="9" spans="1:23" x14ac:dyDescent="0.3">
      <c r="A9">
        <v>2023</v>
      </c>
      <c r="B9" s="14">
        <v>2186974.7092700005</v>
      </c>
      <c r="C9" s="14">
        <v>670864.00722299516</v>
      </c>
      <c r="D9" s="21">
        <v>1516110.7020470053</v>
      </c>
      <c r="E9" s="21">
        <v>1065464.5932761412</v>
      </c>
      <c r="F9" s="21">
        <v>127144.97667000044</v>
      </c>
      <c r="G9" s="21">
        <v>938319.61660614074</v>
      </c>
      <c r="H9" s="14">
        <v>0</v>
      </c>
      <c r="I9" s="14">
        <v>-49803.506469999964</v>
      </c>
      <c r="J9" s="14">
        <v>584731.03064086451</v>
      </c>
      <c r="K9" s="14">
        <v>479597.80002086452</v>
      </c>
      <c r="L9" s="14">
        <v>400842.60230086412</v>
      </c>
      <c r="M9" s="14">
        <v>90720.475129999977</v>
      </c>
      <c r="N9" s="16">
        <v>310122.12717086414</v>
      </c>
      <c r="O9" s="14">
        <v>19722</v>
      </c>
      <c r="P9" s="29">
        <v>6.3594301315797477E-2</v>
      </c>
      <c r="Q9" s="14">
        <v>381120.60230086412</v>
      </c>
      <c r="R9" s="14">
        <v>178185.71894999995</v>
      </c>
      <c r="S9" s="14">
        <v>348356.03011088824</v>
      </c>
      <c r="T9" s="4"/>
      <c r="U9" s="3"/>
      <c r="V9" s="3"/>
      <c r="W9" s="3"/>
    </row>
    <row r="10" spans="1:23" x14ac:dyDescent="0.3">
      <c r="A10">
        <v>2024</v>
      </c>
      <c r="B10" s="14">
        <v>2577113.117360001</v>
      </c>
      <c r="C10" s="14">
        <v>767086.65745171998</v>
      </c>
      <c r="D10" s="21">
        <v>1810026.459908281</v>
      </c>
      <c r="E10" s="21">
        <v>1126440.627015108</v>
      </c>
      <c r="F10" s="21">
        <v>144301.7680311109</v>
      </c>
      <c r="G10" s="21">
        <v>982138.85898399714</v>
      </c>
      <c r="H10" s="14">
        <v>0</v>
      </c>
      <c r="I10" s="14">
        <v>-57347.15002414801</v>
      </c>
      <c r="J10" s="14">
        <v>833228.11129428365</v>
      </c>
      <c r="K10" s="14">
        <v>657533.37552682951</v>
      </c>
      <c r="L10" s="14">
        <v>626238.68286902481</v>
      </c>
      <c r="M10" s="14">
        <v>100152.68900414801</v>
      </c>
      <c r="N10" s="16">
        <v>526085.9938648768</v>
      </c>
      <c r="O10" s="14">
        <v>-27155.162080502712</v>
      </c>
      <c r="P10" s="29">
        <v>-5.1617344687335302E-2</v>
      </c>
      <c r="Q10" s="14">
        <v>653393.84494952741</v>
      </c>
      <c r="R10" s="14">
        <v>129020</v>
      </c>
      <c r="S10" s="14">
        <v>524473.75003850856</v>
      </c>
      <c r="T10" s="4"/>
      <c r="U10" s="3"/>
      <c r="V10" s="3"/>
      <c r="W10" s="3"/>
    </row>
    <row r="11" spans="1:23" x14ac:dyDescent="0.3">
      <c r="E11" s="21"/>
    </row>
    <row r="12" spans="1:23" x14ac:dyDescent="0.3">
      <c r="E12" s="5"/>
      <c r="F12" s="21"/>
      <c r="P12" s="22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5E72-AC80-404C-8DE3-3BD1B1DDDB6D}">
  <dimension ref="A1:AF24"/>
  <sheetViews>
    <sheetView topLeftCell="Z1" workbookViewId="0">
      <selection activeCell="AC22" sqref="AC22"/>
    </sheetView>
  </sheetViews>
  <sheetFormatPr defaultRowHeight="14.4" x14ac:dyDescent="0.3"/>
  <cols>
    <col min="1" max="1" width="5" bestFit="1" customWidth="1"/>
    <col min="2" max="2" width="19.77734375" bestFit="1" customWidth="1"/>
    <col min="3" max="3" width="20.88671875" bestFit="1" customWidth="1"/>
    <col min="4" max="4" width="18" bestFit="1" customWidth="1"/>
    <col min="5" max="5" width="24.88671875" bestFit="1" customWidth="1"/>
    <col min="6" max="6" width="28.6640625" bestFit="1" customWidth="1"/>
    <col min="7" max="7" width="29.21875" bestFit="1" customWidth="1"/>
    <col min="8" max="8" width="22.88671875" bestFit="1" customWidth="1"/>
    <col min="9" max="9" width="21.77734375" bestFit="1" customWidth="1"/>
    <col min="10" max="10" width="17.33203125" bestFit="1" customWidth="1"/>
    <col min="11" max="11" width="34" bestFit="1" customWidth="1"/>
    <col min="12" max="12" width="21.88671875" bestFit="1" customWidth="1"/>
    <col min="13" max="13" width="22.33203125" bestFit="1" customWidth="1"/>
    <col min="14" max="14" width="19.44140625" bestFit="1" customWidth="1"/>
    <col min="15" max="15" width="20.77734375" bestFit="1" customWidth="1"/>
    <col min="16" max="16" width="19" bestFit="1" customWidth="1"/>
    <col min="17" max="17" width="17.88671875" bestFit="1" customWidth="1"/>
    <col min="18" max="18" width="23" bestFit="1" customWidth="1"/>
    <col min="19" max="19" width="20.109375" bestFit="1" customWidth="1"/>
    <col min="20" max="20" width="23" bestFit="1" customWidth="1"/>
    <col min="21" max="21" width="23" customWidth="1"/>
    <col min="22" max="22" width="32.21875" bestFit="1" customWidth="1"/>
    <col min="23" max="23" width="19.109375" bestFit="1" customWidth="1"/>
    <col min="24" max="24" width="26.44140625" bestFit="1" customWidth="1"/>
    <col min="25" max="25" width="27.88671875" bestFit="1" customWidth="1"/>
    <col min="26" max="26" width="20.5546875" bestFit="1" customWidth="1"/>
    <col min="27" max="27" width="32.21875" bestFit="1" customWidth="1"/>
    <col min="28" max="28" width="18" bestFit="1" customWidth="1"/>
    <col min="29" max="29" width="28" bestFit="1" customWidth="1"/>
    <col min="30" max="30" width="31.109375" bestFit="1" customWidth="1"/>
    <col min="31" max="31" width="31.109375" customWidth="1"/>
    <col min="32" max="32" width="10.88671875" bestFit="1" customWidth="1"/>
  </cols>
  <sheetData>
    <row r="1" spans="1:32" x14ac:dyDescent="0.3">
      <c r="A1" t="s">
        <v>0</v>
      </c>
      <c r="B1" t="s">
        <v>47</v>
      </c>
      <c r="C1" t="s">
        <v>19</v>
      </c>
      <c r="D1" t="s">
        <v>68</v>
      </c>
      <c r="E1" t="s">
        <v>33</v>
      </c>
      <c r="F1" t="s">
        <v>53</v>
      </c>
      <c r="G1" t="s">
        <v>40</v>
      </c>
      <c r="H1" t="s">
        <v>54</v>
      </c>
      <c r="I1" t="s">
        <v>55</v>
      </c>
      <c r="J1" t="s">
        <v>56</v>
      </c>
      <c r="K1" t="s">
        <v>49</v>
      </c>
      <c r="L1" t="s">
        <v>18</v>
      </c>
      <c r="M1" t="s">
        <v>50</v>
      </c>
      <c r="N1" t="s">
        <v>51</v>
      </c>
      <c r="O1" t="s">
        <v>52</v>
      </c>
      <c r="P1" t="s">
        <v>61</v>
      </c>
      <c r="Q1" t="s">
        <v>1</v>
      </c>
      <c r="R1" t="s">
        <v>57</v>
      </c>
      <c r="S1" t="s">
        <v>58</v>
      </c>
      <c r="T1" t="s">
        <v>59</v>
      </c>
      <c r="U1" t="s">
        <v>60</v>
      </c>
      <c r="V1" t="s">
        <v>62</v>
      </c>
      <c r="W1" t="s">
        <v>66</v>
      </c>
      <c r="X1" t="s">
        <v>63</v>
      </c>
      <c r="Y1" t="s">
        <v>64</v>
      </c>
      <c r="Z1" t="s">
        <v>65</v>
      </c>
      <c r="AA1" t="s">
        <v>67</v>
      </c>
      <c r="AB1" t="s">
        <v>48</v>
      </c>
      <c r="AC1" t="s">
        <v>95</v>
      </c>
      <c r="AD1" t="s">
        <v>96</v>
      </c>
      <c r="AE1" t="s">
        <v>97</v>
      </c>
      <c r="AF1" t="s">
        <v>98</v>
      </c>
    </row>
    <row r="2" spans="1:32" x14ac:dyDescent="0.3">
      <c r="A2">
        <v>2016</v>
      </c>
      <c r="B2" s="14">
        <v>92213</v>
      </c>
      <c r="C2" s="14">
        <v>54814</v>
      </c>
      <c r="D2" s="14">
        <v>207983</v>
      </c>
      <c r="E2" s="14">
        <v>18029</v>
      </c>
      <c r="F2" s="14">
        <v>191233</v>
      </c>
      <c r="G2" s="14">
        <v>-24702</v>
      </c>
      <c r="H2" s="14">
        <v>-23735</v>
      </c>
      <c r="I2" s="14">
        <v>0</v>
      </c>
      <c r="J2" s="14">
        <v>142796</v>
      </c>
      <c r="K2" s="14">
        <v>-23834</v>
      </c>
      <c r="L2" s="14">
        <v>36880</v>
      </c>
      <c r="M2" s="14">
        <v>-12347</v>
      </c>
      <c r="N2" s="14">
        <v>-3123</v>
      </c>
      <c r="O2" s="14">
        <v>-14922</v>
      </c>
      <c r="P2" s="14">
        <v>-11835.514320000006</v>
      </c>
      <c r="Q2" s="14">
        <v>11775.948870000006</v>
      </c>
      <c r="R2" s="14"/>
      <c r="S2" s="14">
        <v>-4433</v>
      </c>
      <c r="T2" s="14">
        <v>-7342.9488700000056</v>
      </c>
      <c r="U2" s="14">
        <v>-59.565449999999949</v>
      </c>
      <c r="V2" s="14">
        <v>-57253</v>
      </c>
      <c r="W2" s="14">
        <v>-168359</v>
      </c>
      <c r="X2" s="14">
        <v>-119190</v>
      </c>
      <c r="Y2" s="14">
        <v>0</v>
      </c>
      <c r="Z2" s="14">
        <v>7084</v>
      </c>
      <c r="AA2" s="14">
        <v>-37398.514320000002</v>
      </c>
      <c r="AB2" s="14">
        <v>37399</v>
      </c>
      <c r="AC2" s="16">
        <v>-312367.39202975738</v>
      </c>
      <c r="AD2" s="16">
        <v>-476385.94887000002</v>
      </c>
      <c r="AE2" s="22"/>
      <c r="AF2" s="11">
        <f>AVERAGE($Q3:AD$5)</f>
        <v>14804.795524007421</v>
      </c>
    </row>
    <row r="3" spans="1:32" x14ac:dyDescent="0.3">
      <c r="A3">
        <v>2017</v>
      </c>
      <c r="B3" s="14">
        <v>54814</v>
      </c>
      <c r="C3" s="14">
        <v>124758</v>
      </c>
      <c r="D3" s="14">
        <v>210439</v>
      </c>
      <c r="E3" s="14">
        <v>17287</v>
      </c>
      <c r="F3" s="14">
        <v>385880.58049346606</v>
      </c>
      <c r="G3" s="14">
        <v>-24471.280499999997</v>
      </c>
      <c r="H3" s="14">
        <v>-22814.111318447009</v>
      </c>
      <c r="I3" s="14">
        <v>0</v>
      </c>
      <c r="J3" s="14">
        <v>338595.18867501908</v>
      </c>
      <c r="K3" s="14">
        <v>38745.140800000008</v>
      </c>
      <c r="L3" s="14">
        <v>13888.965229999996</v>
      </c>
      <c r="M3" s="14">
        <v>-79468.079336533905</v>
      </c>
      <c r="N3" s="14">
        <v>68411.67889000001</v>
      </c>
      <c r="O3" s="14">
        <v>-524.12811000000079</v>
      </c>
      <c r="P3" s="14">
        <v>-6914.6537900000112</v>
      </c>
      <c r="Q3" s="14">
        <v>6867.4639500000112</v>
      </c>
      <c r="R3" s="14"/>
      <c r="S3" s="14">
        <v>-6214.5320300000094</v>
      </c>
      <c r="T3" s="14">
        <v>-652.93192000000204</v>
      </c>
      <c r="U3" s="14">
        <v>-47.189839999999968</v>
      </c>
      <c r="V3" s="14">
        <v>-149881.65568999999</v>
      </c>
      <c r="W3" s="14">
        <v>-261736.33312155301</v>
      </c>
      <c r="X3" s="14">
        <v>-111854.67743155301</v>
      </c>
      <c r="Y3" s="14">
        <v>0</v>
      </c>
      <c r="Z3" s="14">
        <v>0</v>
      </c>
      <c r="AA3" s="14">
        <v>69944.201763466059</v>
      </c>
      <c r="AB3" s="14">
        <v>-69944</v>
      </c>
      <c r="AC3" s="16">
        <v>315592.1073768349</v>
      </c>
      <c r="AD3" s="16">
        <v>492062.53605</v>
      </c>
      <c r="AE3" s="22">
        <f>(AD3-AD2)/ABS(AD2)</f>
        <v>2.032907324863769</v>
      </c>
      <c r="AF3" s="11"/>
    </row>
    <row r="4" spans="1:32" x14ac:dyDescent="0.3">
      <c r="A4">
        <v>2018</v>
      </c>
      <c r="B4" s="14">
        <v>124758</v>
      </c>
      <c r="C4" s="14">
        <v>84781</v>
      </c>
      <c r="D4" s="14">
        <v>254622.85764941934</v>
      </c>
      <c r="E4" s="14">
        <v>15203.147000000001</v>
      </c>
      <c r="F4" s="14">
        <v>189659.49597846554</v>
      </c>
      <c r="G4" s="14">
        <v>-15109.25676</v>
      </c>
      <c r="H4" s="14">
        <v>-18810.454539999999</v>
      </c>
      <c r="I4" s="14">
        <v>0</v>
      </c>
      <c r="J4" s="14">
        <v>155739.78467846554</v>
      </c>
      <c r="K4" s="14">
        <v>-77896.810951477557</v>
      </c>
      <c r="L4" s="14">
        <v>-7519.2063599999992</v>
      </c>
      <c r="M4" s="14">
        <v>54348.91962052376</v>
      </c>
      <c r="N4" s="14">
        <v>-17169</v>
      </c>
      <c r="O4" s="14">
        <v>18727.039170000007</v>
      </c>
      <c r="P4" s="14">
        <v>-11165.56582</v>
      </c>
      <c r="Q4" s="14">
        <v>13248.82646</v>
      </c>
      <c r="R4" s="14"/>
      <c r="S4" s="14">
        <v>-12707.22064</v>
      </c>
      <c r="T4" s="14">
        <v>-541.60581999999999</v>
      </c>
      <c r="U4" s="14">
        <v>2083.2606399999995</v>
      </c>
      <c r="V4" s="14">
        <v>-81341.570219999994</v>
      </c>
      <c r="W4" s="14">
        <v>-184551.50652999996</v>
      </c>
      <c r="X4" s="14">
        <v>-104195.88187999997</v>
      </c>
      <c r="Y4" s="14">
        <v>0</v>
      </c>
      <c r="Z4" s="14">
        <v>985.94557000000032</v>
      </c>
      <c r="AA4" s="14">
        <v>-39977.287671534403</v>
      </c>
      <c r="AB4" s="14">
        <v>39977</v>
      </c>
      <c r="AC4" s="16">
        <v>116924.27486611329</v>
      </c>
      <c r="AD4" s="16">
        <v>27472.939709275619</v>
      </c>
      <c r="AE4" s="22">
        <f t="shared" ref="AE4:AE10" si="0">(AD4-AD3)/ABS(AD3)</f>
        <v>-0.94416778824534608</v>
      </c>
      <c r="AF4" s="11"/>
    </row>
    <row r="5" spans="1:32" x14ac:dyDescent="0.3">
      <c r="A5">
        <v>2019</v>
      </c>
      <c r="B5" s="14">
        <v>84780.507180000001</v>
      </c>
      <c r="C5" s="14">
        <v>435844.35029999999</v>
      </c>
      <c r="D5" s="14">
        <v>283730.38560999924</v>
      </c>
      <c r="E5" s="14">
        <v>45495.271759999989</v>
      </c>
      <c r="F5" s="14">
        <v>110910.45563999916</v>
      </c>
      <c r="G5" s="14">
        <v>-48822.666990000005</v>
      </c>
      <c r="H5" s="14">
        <v>-17559.750939999998</v>
      </c>
      <c r="I5" s="14">
        <v>0</v>
      </c>
      <c r="J5" s="14">
        <v>44528.037709999153</v>
      </c>
      <c r="K5" s="14">
        <v>1653.646729999969</v>
      </c>
      <c r="L5" s="14">
        <v>-9848.1738299999979</v>
      </c>
      <c r="M5" s="14">
        <v>-12225.595959999979</v>
      </c>
      <c r="N5" s="14">
        <v>14170.345379999995</v>
      </c>
      <c r="O5" s="14">
        <v>45347.772429999946</v>
      </c>
      <c r="P5" s="14">
        <v>-32429.710470000187</v>
      </c>
      <c r="Q5" s="14">
        <v>46499.515540000262</v>
      </c>
      <c r="R5" s="14"/>
      <c r="S5" s="14">
        <v>-40917.374290000262</v>
      </c>
      <c r="T5" s="14">
        <v>-5582.1412499999997</v>
      </c>
      <c r="U5" s="14">
        <v>14069.805070000073</v>
      </c>
      <c r="V5" s="14">
        <v>-67417.614959999992</v>
      </c>
      <c r="W5" s="14">
        <v>338965.51588000008</v>
      </c>
      <c r="X5" s="14">
        <v>49447.286910000024</v>
      </c>
      <c r="Y5" s="14">
        <v>-47639.697219999995</v>
      </c>
      <c r="Z5" s="14">
        <v>4144.2771300000031</v>
      </c>
      <c r="AA5" s="14">
        <v>351063.84311999904</v>
      </c>
      <c r="AB5" s="14">
        <v>-351063.84311999998</v>
      </c>
      <c r="AC5" s="16">
        <v>200658.09484254121</v>
      </c>
      <c r="AD5" s="16">
        <v>23647.194192699419</v>
      </c>
      <c r="AE5" s="22">
        <f t="shared" si="0"/>
        <v>-0.13925504722323268</v>
      </c>
      <c r="AF5" s="11"/>
    </row>
    <row r="6" spans="1:32" x14ac:dyDescent="0.3">
      <c r="A6">
        <v>2020</v>
      </c>
      <c r="B6" s="14">
        <v>435844.35029999999</v>
      </c>
      <c r="C6" s="14">
        <v>477319.37946999999</v>
      </c>
      <c r="D6" s="14">
        <v>246293.68367107498</v>
      </c>
      <c r="E6" s="14">
        <v>55748.821930000006</v>
      </c>
      <c r="F6" s="14">
        <v>296413.72372063866</v>
      </c>
      <c r="G6" s="14">
        <v>-17077.165779999999</v>
      </c>
      <c r="H6" s="14">
        <v>-9241.4372199999998</v>
      </c>
      <c r="I6" s="14">
        <v>-18001.733528637626</v>
      </c>
      <c r="J6" s="14">
        <v>252093.38719200104</v>
      </c>
      <c r="K6" s="14">
        <v>-18592.907477689449</v>
      </c>
      <c r="L6" s="14">
        <v>16776.792840000002</v>
      </c>
      <c r="M6" s="14">
        <v>38304.572830000019</v>
      </c>
      <c r="N6" s="14">
        <v>19352.526127253135</v>
      </c>
      <c r="O6" s="14">
        <v>-21425.903779999968</v>
      </c>
      <c r="P6" s="14">
        <v>-269312.97672000004</v>
      </c>
      <c r="Q6" s="14">
        <v>44711.518199999991</v>
      </c>
      <c r="R6" s="14"/>
      <c r="S6" s="14">
        <v>-39387.297539999985</v>
      </c>
      <c r="T6" s="14">
        <v>-5324.22066</v>
      </c>
      <c r="U6" s="14">
        <v>-224601.45852000004</v>
      </c>
      <c r="V6" s="14">
        <v>-35563.005629999992</v>
      </c>
      <c r="W6" s="14">
        <v>58694.14344</v>
      </c>
      <c r="X6" s="14">
        <v>85185.198709999997</v>
      </c>
      <c r="Y6" s="14">
        <v>-12540.049640000008</v>
      </c>
      <c r="Z6" s="14">
        <v>21612</v>
      </c>
      <c r="AA6" s="14">
        <v>41474.553912001007</v>
      </c>
      <c r="AB6" s="14">
        <v>-41475.029169999994</v>
      </c>
      <c r="AC6" s="16">
        <v>203013.26225220814</v>
      </c>
      <c r="AD6" s="16">
        <v>87510.403542833112</v>
      </c>
      <c r="AE6" s="22">
        <f t="shared" si="0"/>
        <v>2.7006675223164587</v>
      </c>
      <c r="AF6" s="11"/>
    </row>
    <row r="7" spans="1:32" x14ac:dyDescent="0.3">
      <c r="A7">
        <v>2021</v>
      </c>
      <c r="B7" s="14">
        <v>477319.37946999999</v>
      </c>
      <c r="C7" s="14">
        <v>325587.60056999995</v>
      </c>
      <c r="D7" s="14">
        <v>388843.91935551859</v>
      </c>
      <c r="E7" s="14">
        <v>68597.849789999993</v>
      </c>
      <c r="F7" s="14">
        <v>305279.0056557983</v>
      </c>
      <c r="G7" s="14">
        <v>-38567.797680000003</v>
      </c>
      <c r="H7" s="14">
        <v>-13955.866920000002</v>
      </c>
      <c r="I7" s="14">
        <v>-32983.885789418506</v>
      </c>
      <c r="J7" s="14">
        <v>219771.45526637978</v>
      </c>
      <c r="K7" s="14">
        <v>-160163.19726972032</v>
      </c>
      <c r="L7" s="14">
        <v>104357.76027999999</v>
      </c>
      <c r="M7" s="14">
        <v>15786.837440000005</v>
      </c>
      <c r="N7" s="14">
        <v>50708.07598999999</v>
      </c>
      <c r="O7" s="14">
        <v>27541.614739999994</v>
      </c>
      <c r="P7" s="14">
        <v>-207588.68107500029</v>
      </c>
      <c r="Q7" s="14">
        <v>104077.87056500028</v>
      </c>
      <c r="R7" s="14"/>
      <c r="S7" s="14">
        <v>-80704.187745000279</v>
      </c>
      <c r="T7" s="14">
        <v>-23373.682820000002</v>
      </c>
      <c r="U7" s="14">
        <v>-103510.81051000001</v>
      </c>
      <c r="V7" s="14">
        <v>-41650.637602491246</v>
      </c>
      <c r="W7" s="14">
        <v>-163914.55367716728</v>
      </c>
      <c r="X7" s="14">
        <v>-110819.23813</v>
      </c>
      <c r="Y7" s="14">
        <v>-29795.329154676019</v>
      </c>
      <c r="Z7" s="14">
        <v>18350.65121</v>
      </c>
      <c r="AA7" s="14">
        <v>-151731.77948578779</v>
      </c>
      <c r="AB7" s="14">
        <v>151731.77890000003</v>
      </c>
      <c r="AC7" s="16">
        <v>119398.12757401809</v>
      </c>
      <c r="AD7" s="16">
        <v>167803.29223906356</v>
      </c>
      <c r="AE7" s="22">
        <f t="shared" si="0"/>
        <v>0.91752392224919921</v>
      </c>
      <c r="AF7" s="11"/>
    </row>
    <row r="8" spans="1:32" x14ac:dyDescent="0.3">
      <c r="A8">
        <v>2022</v>
      </c>
      <c r="B8" s="14">
        <v>325587.60056999995</v>
      </c>
      <c r="C8" s="14">
        <v>160035.97900999998</v>
      </c>
      <c r="D8" s="14">
        <v>526027.41754569905</v>
      </c>
      <c r="E8" s="14">
        <v>108323.36996000011</v>
      </c>
      <c r="F8" s="14">
        <v>180117.82016250613</v>
      </c>
      <c r="G8" s="14">
        <v>-43439.348909999993</v>
      </c>
      <c r="H8" s="14">
        <v>-30555.343869999997</v>
      </c>
      <c r="I8" s="14">
        <v>-42814.72769</v>
      </c>
      <c r="J8" s="14">
        <v>63308.399692506136</v>
      </c>
      <c r="K8" s="14">
        <v>-182617.89519319308</v>
      </c>
      <c r="L8" s="14">
        <v>-12348.027259999975</v>
      </c>
      <c r="M8" s="14">
        <v>-33510</v>
      </c>
      <c r="N8" s="14">
        <v>-15456</v>
      </c>
      <c r="O8" s="14">
        <v>29638</v>
      </c>
      <c r="P8" s="14">
        <v>-32449.835727483762</v>
      </c>
      <c r="Q8" s="14">
        <v>137731.1478274838</v>
      </c>
      <c r="R8" s="14"/>
      <c r="S8" s="14">
        <v>-109006.1500574838</v>
      </c>
      <c r="T8" s="14">
        <v>-28724.997769999994</v>
      </c>
      <c r="U8" s="14">
        <v>105281.31210000004</v>
      </c>
      <c r="V8" s="14">
        <v>-70889.304034634915</v>
      </c>
      <c r="W8" s="14">
        <v>-196410.85624363492</v>
      </c>
      <c r="X8" s="14">
        <v>-60343.414260000049</v>
      </c>
      <c r="Y8" s="14">
        <v>-45880.046778999982</v>
      </c>
      <c r="Z8" s="14">
        <v>-19298.091170000003</v>
      </c>
      <c r="AA8" s="14">
        <v>-165552.29227861256</v>
      </c>
      <c r="AB8" s="14">
        <v>165551.62155999997</v>
      </c>
      <c r="AC8" s="16">
        <v>-25201.021341116139</v>
      </c>
      <c r="AD8" s="16">
        <v>-33705.866652463184</v>
      </c>
      <c r="AE8" s="22">
        <f t="shared" si="0"/>
        <v>-1.20086534776948</v>
      </c>
      <c r="AF8" s="11"/>
    </row>
    <row r="9" spans="1:32" x14ac:dyDescent="0.3">
      <c r="A9">
        <v>2023</v>
      </c>
      <c r="B9" s="14">
        <v>160035.97900999998</v>
      </c>
      <c r="C9" s="14">
        <v>221495.20791</v>
      </c>
      <c r="D9" s="14">
        <v>605218</v>
      </c>
      <c r="E9" s="14">
        <v>127144.97667000044</v>
      </c>
      <c r="F9" s="14">
        <v>322260.07969911169</v>
      </c>
      <c r="G9" s="14">
        <v>-43218.761719999995</v>
      </c>
      <c r="H9" s="14">
        <v>-24772.107049999999</v>
      </c>
      <c r="I9" s="14">
        <v>-52802.809539999987</v>
      </c>
      <c r="J9" s="14">
        <v>201466.40138911171</v>
      </c>
      <c r="K9" s="14">
        <v>-73547.655930888301</v>
      </c>
      <c r="L9" s="14">
        <v>-38340.004699999998</v>
      </c>
      <c r="M9" s="14">
        <v>15720.003330000001</v>
      </c>
      <c r="N9" s="14">
        <v>-38368.166220000036</v>
      </c>
      <c r="O9" s="14">
        <v>19252.997960000102</v>
      </c>
      <c r="P9" s="14">
        <v>-37804.396679999947</v>
      </c>
      <c r="Q9" s="14">
        <v>178185.71894999995</v>
      </c>
      <c r="R9" s="14">
        <v>-11112.431979999999</v>
      </c>
      <c r="S9" s="14">
        <v>-151578.71825999999</v>
      </c>
      <c r="T9" s="14">
        <v>-26607.000689999972</v>
      </c>
      <c r="U9" s="14">
        <v>151493.75425</v>
      </c>
      <c r="V9" s="14">
        <v>-85700.50845137499</v>
      </c>
      <c r="W9" s="14">
        <v>-102205.21655137543</v>
      </c>
      <c r="X9" s="14">
        <v>47500</v>
      </c>
      <c r="Y9" s="14">
        <v>-58604.358830000434</v>
      </c>
      <c r="Z9" s="14">
        <v>-5400.3492699999997</v>
      </c>
      <c r="AA9" s="14">
        <v>61456.78815773633</v>
      </c>
      <c r="AB9" s="14">
        <v>-61459.228900000016</v>
      </c>
      <c r="AC9" s="16">
        <v>26937.135140905972</v>
      </c>
      <c r="AD9" s="16">
        <v>-165143.1467600241</v>
      </c>
      <c r="AE9" s="22">
        <f t="shared" si="0"/>
        <v>-3.8995371773938836</v>
      </c>
      <c r="AF9" s="11"/>
    </row>
    <row r="10" spans="1:32" x14ac:dyDescent="0.3">
      <c r="A10">
        <v>2024</v>
      </c>
      <c r="B10" s="14">
        <v>221495</v>
      </c>
      <c r="C10" s="14">
        <v>278153</v>
      </c>
      <c r="D10" s="14">
        <v>863969</v>
      </c>
      <c r="E10" s="14">
        <v>144301.7680311109</v>
      </c>
      <c r="F10" s="14">
        <v>306841</v>
      </c>
      <c r="G10" s="14">
        <v>-72614</v>
      </c>
      <c r="H10" s="14">
        <v>-25111</v>
      </c>
      <c r="I10" s="14">
        <v>-58434</v>
      </c>
      <c r="J10" s="14">
        <v>150682</v>
      </c>
      <c r="K10" s="14">
        <v>-550632</v>
      </c>
      <c r="L10" s="14">
        <v>201168</v>
      </c>
      <c r="M10" s="14">
        <v>-48372</v>
      </c>
      <c r="N10" s="14">
        <v>-13700</v>
      </c>
      <c r="O10" s="14">
        <v>-21449</v>
      </c>
      <c r="P10" s="14">
        <v>-45154</v>
      </c>
      <c r="Q10" s="14">
        <v>129020</v>
      </c>
      <c r="R10" s="14">
        <v>0</v>
      </c>
      <c r="S10" s="14">
        <v>-107441</v>
      </c>
      <c r="T10" s="14">
        <v>-21579</v>
      </c>
      <c r="U10" s="14">
        <v>83866</v>
      </c>
      <c r="V10" s="14">
        <v>-87693</v>
      </c>
      <c r="W10" s="14">
        <v>-48870</v>
      </c>
      <c r="X10" s="14">
        <v>115768</v>
      </c>
      <c r="Y10" s="14">
        <v>-64716</v>
      </c>
      <c r="Z10" s="14">
        <v>-12229</v>
      </c>
      <c r="AA10" s="14">
        <v>56658</v>
      </c>
      <c r="AB10" s="14">
        <v>-56658</v>
      </c>
      <c r="AC10" s="16">
        <v>84721.922911433852</v>
      </c>
      <c r="AD10" s="16">
        <v>27055.256991521543</v>
      </c>
      <c r="AE10" s="22">
        <f t="shared" si="0"/>
        <v>1.1638291235350904</v>
      </c>
      <c r="AF10" s="11"/>
    </row>
    <row r="13" spans="1:32" x14ac:dyDescent="0.3">
      <c r="E13" s="12"/>
      <c r="F13" s="12"/>
      <c r="G13" s="13"/>
    </row>
    <row r="14" spans="1:32" x14ac:dyDescent="0.3">
      <c r="B14" s="14"/>
      <c r="C14" s="14"/>
      <c r="D14" s="23"/>
      <c r="E14" s="15"/>
      <c r="F14" s="14"/>
      <c r="G14" s="14"/>
    </row>
    <row r="15" spans="1:32" x14ac:dyDescent="0.3">
      <c r="B15" s="14"/>
      <c r="C15" s="14"/>
      <c r="D15" s="23"/>
      <c r="E15" s="15"/>
      <c r="F15" s="14"/>
      <c r="G15" s="14"/>
    </row>
    <row r="16" spans="1:32" x14ac:dyDescent="0.3">
      <c r="B16" s="14"/>
      <c r="C16" s="14"/>
      <c r="D16" s="23"/>
      <c r="E16" s="15"/>
      <c r="F16" s="14"/>
      <c r="G16" s="14"/>
    </row>
    <row r="17" spans="2:7" x14ac:dyDescent="0.3">
      <c r="B17" s="14"/>
      <c r="C17" s="14"/>
      <c r="D17" s="23"/>
      <c r="E17" s="15"/>
      <c r="F17" s="14"/>
      <c r="G17" s="14"/>
    </row>
    <row r="18" spans="2:7" x14ac:dyDescent="0.3">
      <c r="B18" s="14"/>
      <c r="C18" s="14"/>
      <c r="D18" s="23"/>
      <c r="E18" s="15"/>
      <c r="F18" s="14"/>
      <c r="G18" s="14"/>
    </row>
    <row r="19" spans="2:7" x14ac:dyDescent="0.3">
      <c r="B19" s="14"/>
      <c r="C19" s="14"/>
      <c r="D19" s="23"/>
      <c r="E19" s="15"/>
      <c r="F19" s="14"/>
      <c r="G19" s="14"/>
    </row>
    <row r="20" spans="2:7" x14ac:dyDescent="0.3">
      <c r="B20" s="14"/>
      <c r="C20" s="14"/>
      <c r="D20" s="23"/>
      <c r="E20" s="15"/>
      <c r="F20" s="14"/>
      <c r="G20" s="14"/>
    </row>
    <row r="21" spans="2:7" x14ac:dyDescent="0.3">
      <c r="B21" s="14"/>
      <c r="C21" s="14"/>
      <c r="D21" s="23"/>
      <c r="E21" s="15"/>
      <c r="F21" s="14"/>
      <c r="G21" s="14"/>
    </row>
    <row r="22" spans="2:7" x14ac:dyDescent="0.3">
      <c r="B22" s="14"/>
      <c r="C22" s="14"/>
      <c r="D22" s="23"/>
      <c r="E22" s="15"/>
      <c r="F22" s="14"/>
      <c r="G22" s="14"/>
    </row>
    <row r="24" spans="2:7" x14ac:dyDescent="0.3">
      <c r="D24" s="5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6D65-57AB-4216-9786-986376818DD7}">
  <dimension ref="A1:G6"/>
  <sheetViews>
    <sheetView workbookViewId="0">
      <selection activeCell="G2" sqref="G2"/>
    </sheetView>
  </sheetViews>
  <sheetFormatPr defaultRowHeight="14.4" x14ac:dyDescent="0.3"/>
  <cols>
    <col min="1" max="1" width="18.21875" bestFit="1" customWidth="1"/>
    <col min="2" max="7" width="11.109375" bestFit="1" customWidth="1"/>
    <col min="8" max="10" width="12.109375" bestFit="1" customWidth="1"/>
    <col min="24" max="24" width="8.77734375" bestFit="1" customWidth="1"/>
    <col min="25" max="30" width="11.109375" bestFit="1" customWidth="1"/>
  </cols>
  <sheetData>
    <row r="1" spans="1:7" x14ac:dyDescent="0.3">
      <c r="A1" s="24" t="s">
        <v>69</v>
      </c>
      <c r="B1" s="25">
        <v>43800</v>
      </c>
      <c r="C1" s="25">
        <v>44166</v>
      </c>
      <c r="D1" s="25">
        <v>44531</v>
      </c>
      <c r="E1" s="25">
        <v>44896</v>
      </c>
      <c r="F1" s="25">
        <v>45261</v>
      </c>
      <c r="G1" s="25">
        <v>45627</v>
      </c>
    </row>
    <row r="2" spans="1:7" ht="28.8" x14ac:dyDescent="0.3">
      <c r="A2" s="27" t="s">
        <v>90</v>
      </c>
      <c r="B2" s="26" t="s">
        <v>91</v>
      </c>
      <c r="C2" s="26" t="s">
        <v>88</v>
      </c>
      <c r="D2" s="26" t="s">
        <v>86</v>
      </c>
      <c r="E2" s="26" t="s">
        <v>81</v>
      </c>
      <c r="F2" s="26" t="s">
        <v>70</v>
      </c>
      <c r="G2" s="26" t="s">
        <v>71</v>
      </c>
    </row>
    <row r="3" spans="1:7" ht="28.8" x14ac:dyDescent="0.3">
      <c r="A3" s="27" t="s">
        <v>72</v>
      </c>
      <c r="B3" s="26" t="s">
        <v>80</v>
      </c>
      <c r="C3" s="26" t="s">
        <v>80</v>
      </c>
      <c r="D3" s="26" t="s">
        <v>80</v>
      </c>
      <c r="E3" s="26" t="s">
        <v>80</v>
      </c>
      <c r="F3" s="26" t="s">
        <v>73</v>
      </c>
      <c r="G3" s="26" t="s">
        <v>74</v>
      </c>
    </row>
    <row r="4" spans="1:7" ht="28.8" x14ac:dyDescent="0.3">
      <c r="A4" s="27" t="s">
        <v>82</v>
      </c>
      <c r="B4" s="26" t="s">
        <v>80</v>
      </c>
      <c r="C4" s="26" t="s">
        <v>80</v>
      </c>
      <c r="D4" s="26" t="s">
        <v>80</v>
      </c>
      <c r="E4" s="26" t="s">
        <v>83</v>
      </c>
      <c r="F4" s="26" t="s">
        <v>75</v>
      </c>
      <c r="G4" s="26" t="s">
        <v>76</v>
      </c>
    </row>
    <row r="5" spans="1:7" ht="28.8" x14ac:dyDescent="0.3">
      <c r="A5" s="27" t="s">
        <v>77</v>
      </c>
      <c r="B5" s="26" t="s">
        <v>92</v>
      </c>
      <c r="C5" s="26" t="s">
        <v>89</v>
      </c>
      <c r="D5" s="26" t="s">
        <v>87</v>
      </c>
      <c r="E5" s="26" t="s">
        <v>84</v>
      </c>
      <c r="F5" s="26" t="s">
        <v>78</v>
      </c>
      <c r="G5" s="26" t="s">
        <v>79</v>
      </c>
    </row>
    <row r="6" spans="1:7" x14ac:dyDescent="0.3">
      <c r="A6" s="27" t="s">
        <v>85</v>
      </c>
      <c r="B6" s="28">
        <v>236197769</v>
      </c>
      <c r="C6" s="28">
        <v>236197769</v>
      </c>
      <c r="D6" s="28">
        <v>236197769</v>
      </c>
      <c r="E6" s="28">
        <v>236197769</v>
      </c>
      <c r="F6" s="28">
        <v>236197769</v>
      </c>
      <c r="G6" s="28">
        <v>236197769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84CC-0EE0-4380-A041-930CE3A8AB8A}">
  <dimension ref="A1:H38"/>
  <sheetViews>
    <sheetView showGridLines="0" workbookViewId="0">
      <selection activeCell="J45" sqref="J45"/>
    </sheetView>
  </sheetViews>
  <sheetFormatPr defaultRowHeight="14.4" x14ac:dyDescent="0.3"/>
  <cols>
    <col min="1" max="1" width="14.21875" bestFit="1" customWidth="1"/>
    <col min="2" max="6" width="12" customWidth="1"/>
    <col min="7" max="7" width="25.6640625" bestFit="1" customWidth="1"/>
    <col min="8" max="8" width="12.33203125" bestFit="1" customWidth="1"/>
  </cols>
  <sheetData>
    <row r="1" spans="1:8" x14ac:dyDescent="0.3">
      <c r="A1" s="9" t="s">
        <v>9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10</v>
      </c>
      <c r="H1" s="10" t="s">
        <v>11</v>
      </c>
    </row>
    <row r="2" spans="1:8" x14ac:dyDescent="0.3">
      <c r="A2" s="8">
        <v>1981</v>
      </c>
      <c r="B2" s="8"/>
      <c r="C2" s="8"/>
      <c r="D2" s="8"/>
      <c r="E2" s="8">
        <v>1</v>
      </c>
      <c r="F2" s="8"/>
      <c r="G2" s="8">
        <v>1</v>
      </c>
      <c r="H2" s="8">
        <f>G2</f>
        <v>1</v>
      </c>
    </row>
    <row r="3" spans="1:8" x14ac:dyDescent="0.3">
      <c r="A3" s="8">
        <v>1988</v>
      </c>
      <c r="B3" s="8"/>
      <c r="C3" s="8"/>
      <c r="D3" s="8"/>
      <c r="E3" s="8">
        <v>1</v>
      </c>
      <c r="F3" s="8"/>
      <c r="G3" s="8">
        <v>1</v>
      </c>
      <c r="H3" s="8">
        <f>SUM($G$2:G3)</f>
        <v>2</v>
      </c>
    </row>
    <row r="4" spans="1:8" x14ac:dyDescent="0.3">
      <c r="A4" s="8">
        <v>1989</v>
      </c>
      <c r="B4" s="8"/>
      <c r="C4" s="8"/>
      <c r="D4" s="8"/>
      <c r="E4" s="8">
        <v>1</v>
      </c>
      <c r="F4" s="8"/>
      <c r="G4" s="8">
        <v>1</v>
      </c>
      <c r="H4" s="8">
        <f>SUM($G$2:G4)</f>
        <v>3</v>
      </c>
    </row>
    <row r="5" spans="1:8" x14ac:dyDescent="0.3">
      <c r="A5" s="8">
        <v>1990</v>
      </c>
      <c r="B5" s="8"/>
      <c r="C5" s="8"/>
      <c r="D5" s="8"/>
      <c r="E5" s="8">
        <v>1</v>
      </c>
      <c r="F5" s="8"/>
      <c r="G5" s="8">
        <v>1</v>
      </c>
      <c r="H5" s="8">
        <f>SUM($G$2:G5)</f>
        <v>4</v>
      </c>
    </row>
    <row r="6" spans="1:8" x14ac:dyDescent="0.3">
      <c r="A6" s="8">
        <v>1991</v>
      </c>
      <c r="B6" s="8"/>
      <c r="C6" s="8"/>
      <c r="D6" s="8"/>
      <c r="E6" s="8">
        <v>2</v>
      </c>
      <c r="F6" s="8"/>
      <c r="G6" s="8">
        <v>2</v>
      </c>
      <c r="H6" s="8">
        <f>SUM($G$2:G6)</f>
        <v>6</v>
      </c>
    </row>
    <row r="7" spans="1:8" x14ac:dyDescent="0.3">
      <c r="A7" s="8">
        <v>1993</v>
      </c>
      <c r="B7" s="8"/>
      <c r="C7" s="8">
        <v>1</v>
      </c>
      <c r="D7" s="8"/>
      <c r="E7" s="8">
        <v>1</v>
      </c>
      <c r="F7" s="8"/>
      <c r="G7" s="8">
        <v>2</v>
      </c>
      <c r="H7" s="8">
        <f>SUM($G$2:G7)</f>
        <v>8</v>
      </c>
    </row>
    <row r="8" spans="1:8" x14ac:dyDescent="0.3">
      <c r="A8" s="8">
        <v>1994</v>
      </c>
      <c r="B8" s="8"/>
      <c r="C8" s="8"/>
      <c r="D8" s="8"/>
      <c r="E8" s="8">
        <v>1</v>
      </c>
      <c r="F8" s="8"/>
      <c r="G8" s="8">
        <v>1</v>
      </c>
      <c r="H8" s="8">
        <f>SUM($G$2:G8)</f>
        <v>9</v>
      </c>
    </row>
    <row r="9" spans="1:8" x14ac:dyDescent="0.3">
      <c r="A9" s="8">
        <v>1995</v>
      </c>
      <c r="B9" s="8"/>
      <c r="C9" s="8"/>
      <c r="D9" s="8"/>
      <c r="E9" s="8"/>
      <c r="F9" s="8">
        <v>1</v>
      </c>
      <c r="G9" s="8">
        <v>1</v>
      </c>
      <c r="H9" s="8">
        <f>SUM($G$2:G9)</f>
        <v>10</v>
      </c>
    </row>
    <row r="10" spans="1:8" x14ac:dyDescent="0.3">
      <c r="A10" s="8">
        <v>1996</v>
      </c>
      <c r="B10" s="8"/>
      <c r="C10" s="8"/>
      <c r="D10" s="8"/>
      <c r="E10" s="8">
        <v>3</v>
      </c>
      <c r="F10" s="8"/>
      <c r="G10" s="8">
        <v>3</v>
      </c>
      <c r="H10" s="8">
        <f>SUM($G$2:G10)</f>
        <v>13</v>
      </c>
    </row>
    <row r="11" spans="1:8" x14ac:dyDescent="0.3">
      <c r="A11" s="8">
        <v>1997</v>
      </c>
      <c r="B11" s="8"/>
      <c r="C11" s="8">
        <v>1</v>
      </c>
      <c r="D11" s="8"/>
      <c r="E11" s="8">
        <v>2</v>
      </c>
      <c r="F11" s="8"/>
      <c r="G11" s="8">
        <v>3</v>
      </c>
      <c r="H11" s="8">
        <f>SUM($G$2:G11)</f>
        <v>16</v>
      </c>
    </row>
    <row r="12" spans="1:8" x14ac:dyDescent="0.3">
      <c r="A12" s="8">
        <v>1998</v>
      </c>
      <c r="B12" s="8"/>
      <c r="C12" s="8"/>
      <c r="D12" s="8"/>
      <c r="E12" s="8">
        <v>1</v>
      </c>
      <c r="F12" s="8">
        <v>1</v>
      </c>
      <c r="G12" s="8">
        <v>2</v>
      </c>
      <c r="H12" s="8">
        <f>SUM($G$2:G12)</f>
        <v>18</v>
      </c>
    </row>
    <row r="13" spans="1:8" x14ac:dyDescent="0.3">
      <c r="A13" s="8">
        <v>1999</v>
      </c>
      <c r="B13" s="8">
        <v>1</v>
      </c>
      <c r="C13" s="8">
        <v>1</v>
      </c>
      <c r="D13" s="8"/>
      <c r="E13" s="8">
        <v>2</v>
      </c>
      <c r="F13" s="8">
        <v>1</v>
      </c>
      <c r="G13" s="8">
        <v>5</v>
      </c>
      <c r="H13" s="8">
        <f>SUM($G$2:G13)</f>
        <v>23</v>
      </c>
    </row>
    <row r="14" spans="1:8" x14ac:dyDescent="0.3">
      <c r="A14" s="8">
        <v>2000</v>
      </c>
      <c r="B14" s="8">
        <v>1</v>
      </c>
      <c r="C14" s="8"/>
      <c r="D14" s="8">
        <v>1</v>
      </c>
      <c r="E14" s="8">
        <v>2</v>
      </c>
      <c r="F14" s="8"/>
      <c r="G14" s="8">
        <v>4</v>
      </c>
      <c r="H14" s="8">
        <f>SUM($G$2:G14)</f>
        <v>27</v>
      </c>
    </row>
    <row r="15" spans="1:8" x14ac:dyDescent="0.3">
      <c r="A15" s="8">
        <v>2001</v>
      </c>
      <c r="B15" s="8">
        <v>1</v>
      </c>
      <c r="C15" s="8">
        <v>1</v>
      </c>
      <c r="D15" s="8"/>
      <c r="E15" s="8">
        <v>1</v>
      </c>
      <c r="F15" s="8"/>
      <c r="G15" s="8">
        <v>3</v>
      </c>
      <c r="H15" s="8">
        <f>SUM($G$2:G15)</f>
        <v>30</v>
      </c>
    </row>
    <row r="16" spans="1:8" x14ac:dyDescent="0.3">
      <c r="A16" s="8">
        <v>2002</v>
      </c>
      <c r="B16" s="8"/>
      <c r="C16" s="8"/>
      <c r="D16" s="8"/>
      <c r="E16" s="8">
        <v>4</v>
      </c>
      <c r="F16" s="8"/>
      <c r="G16" s="8">
        <v>4</v>
      </c>
      <c r="H16" s="8">
        <f>SUM($G$2:G16)</f>
        <v>34</v>
      </c>
    </row>
    <row r="17" spans="1:8" x14ac:dyDescent="0.3">
      <c r="A17" s="8">
        <v>2003</v>
      </c>
      <c r="B17" s="8">
        <v>2</v>
      </c>
      <c r="C17" s="8">
        <v>1</v>
      </c>
      <c r="D17" s="8"/>
      <c r="E17" s="8">
        <v>4</v>
      </c>
      <c r="F17" s="8">
        <v>2</v>
      </c>
      <c r="G17" s="8">
        <v>9</v>
      </c>
      <c r="H17" s="8">
        <f>SUM($G$2:G17)</f>
        <v>43</v>
      </c>
    </row>
    <row r="18" spans="1:8" x14ac:dyDescent="0.3">
      <c r="A18" s="8">
        <v>2004</v>
      </c>
      <c r="B18" s="8"/>
      <c r="C18" s="8">
        <v>1</v>
      </c>
      <c r="D18" s="8">
        <v>1</v>
      </c>
      <c r="E18" s="8">
        <v>4</v>
      </c>
      <c r="F18" s="8"/>
      <c r="G18" s="8">
        <v>6</v>
      </c>
      <c r="H18" s="8">
        <f>SUM($G$2:G18)</f>
        <v>49</v>
      </c>
    </row>
    <row r="19" spans="1:8" x14ac:dyDescent="0.3">
      <c r="A19" s="8">
        <v>2005</v>
      </c>
      <c r="B19" s="8">
        <v>1</v>
      </c>
      <c r="C19" s="8">
        <v>3</v>
      </c>
      <c r="D19" s="8"/>
      <c r="E19" s="8">
        <v>5</v>
      </c>
      <c r="F19" s="8">
        <v>2</v>
      </c>
      <c r="G19" s="8">
        <v>11</v>
      </c>
      <c r="H19" s="8">
        <f>SUM($G$2:G19)</f>
        <v>60</v>
      </c>
    </row>
    <row r="20" spans="1:8" x14ac:dyDescent="0.3">
      <c r="A20" s="8">
        <v>2006</v>
      </c>
      <c r="B20" s="8">
        <v>1</v>
      </c>
      <c r="C20" s="8"/>
      <c r="D20" s="8"/>
      <c r="E20" s="8">
        <v>9</v>
      </c>
      <c r="F20" s="8">
        <v>1</v>
      </c>
      <c r="G20" s="8">
        <v>11</v>
      </c>
      <c r="H20" s="8">
        <f>SUM($G$2:G20)</f>
        <v>71</v>
      </c>
    </row>
    <row r="21" spans="1:8" x14ac:dyDescent="0.3">
      <c r="A21" s="8">
        <v>2007</v>
      </c>
      <c r="B21" s="8"/>
      <c r="C21" s="8">
        <v>2</v>
      </c>
      <c r="D21" s="8"/>
      <c r="E21" s="8">
        <v>5</v>
      </c>
      <c r="F21" s="8">
        <v>2</v>
      </c>
      <c r="G21" s="8">
        <v>9</v>
      </c>
      <c r="H21" s="8">
        <f>SUM($G$2:G21)</f>
        <v>80</v>
      </c>
    </row>
    <row r="22" spans="1:8" x14ac:dyDescent="0.3">
      <c r="A22" s="8">
        <v>2008</v>
      </c>
      <c r="B22" s="8"/>
      <c r="C22" s="8">
        <v>1</v>
      </c>
      <c r="D22" s="8">
        <v>1</v>
      </c>
      <c r="E22" s="8">
        <v>4</v>
      </c>
      <c r="F22" s="8">
        <v>5</v>
      </c>
      <c r="G22" s="8">
        <v>11</v>
      </c>
      <c r="H22" s="8">
        <f>SUM($G$2:G22)</f>
        <v>91</v>
      </c>
    </row>
    <row r="23" spans="1:8" x14ac:dyDescent="0.3">
      <c r="A23" s="8">
        <v>2009</v>
      </c>
      <c r="B23" s="8">
        <v>1</v>
      </c>
      <c r="C23" s="8">
        <v>1</v>
      </c>
      <c r="D23" s="8">
        <v>1</v>
      </c>
      <c r="E23" s="8">
        <v>2</v>
      </c>
      <c r="F23" s="8">
        <v>1</v>
      </c>
      <c r="G23" s="8">
        <v>6</v>
      </c>
      <c r="H23" s="8">
        <f>SUM($G$2:G23)</f>
        <v>97</v>
      </c>
    </row>
    <row r="24" spans="1:8" x14ac:dyDescent="0.3">
      <c r="A24" s="8">
        <v>2010</v>
      </c>
      <c r="B24" s="8">
        <v>1</v>
      </c>
      <c r="C24" s="8">
        <v>1</v>
      </c>
      <c r="D24" s="8"/>
      <c r="E24" s="8">
        <v>3</v>
      </c>
      <c r="F24" s="8">
        <v>2</v>
      </c>
      <c r="G24" s="8">
        <v>7</v>
      </c>
      <c r="H24" s="8">
        <f>SUM($G$2:G24)</f>
        <v>104</v>
      </c>
    </row>
    <row r="25" spans="1:8" x14ac:dyDescent="0.3">
      <c r="A25" s="8">
        <v>2011</v>
      </c>
      <c r="B25" s="8">
        <v>1</v>
      </c>
      <c r="C25" s="8"/>
      <c r="D25" s="8">
        <v>1</v>
      </c>
      <c r="E25" s="8">
        <v>4</v>
      </c>
      <c r="F25" s="8"/>
      <c r="G25" s="8">
        <v>6</v>
      </c>
      <c r="H25" s="8">
        <f>SUM($G$2:G25)</f>
        <v>110</v>
      </c>
    </row>
    <row r="26" spans="1:8" x14ac:dyDescent="0.3">
      <c r="A26" s="8">
        <v>2012</v>
      </c>
      <c r="B26" s="8">
        <v>2</v>
      </c>
      <c r="C26" s="8">
        <v>3</v>
      </c>
      <c r="D26" s="8">
        <v>1</v>
      </c>
      <c r="E26" s="8">
        <v>8</v>
      </c>
      <c r="F26" s="8">
        <v>2</v>
      </c>
      <c r="G26" s="8">
        <v>16</v>
      </c>
      <c r="H26" s="8">
        <f>SUM($G$2:G26)</f>
        <v>126</v>
      </c>
    </row>
    <row r="27" spans="1:8" x14ac:dyDescent="0.3">
      <c r="A27" s="8">
        <v>2013</v>
      </c>
      <c r="B27" s="8">
        <v>2</v>
      </c>
      <c r="C27" s="8">
        <v>2</v>
      </c>
      <c r="D27" s="8">
        <v>2</v>
      </c>
      <c r="E27" s="8">
        <v>11</v>
      </c>
      <c r="F27" s="8">
        <v>3</v>
      </c>
      <c r="G27" s="8">
        <v>20</v>
      </c>
      <c r="H27" s="8">
        <f>SUM($G$2:G27)</f>
        <v>146</v>
      </c>
    </row>
    <row r="28" spans="1:8" x14ac:dyDescent="0.3">
      <c r="A28" s="8">
        <v>2014</v>
      </c>
      <c r="B28" s="8"/>
      <c r="C28" s="8">
        <v>5</v>
      </c>
      <c r="D28" s="8"/>
      <c r="E28" s="8">
        <v>6</v>
      </c>
      <c r="F28" s="8"/>
      <c r="G28" s="8">
        <v>11</v>
      </c>
      <c r="H28" s="8">
        <f>SUM($G$2:G28)</f>
        <v>157</v>
      </c>
    </row>
    <row r="29" spans="1:8" x14ac:dyDescent="0.3">
      <c r="A29" s="8">
        <v>2015</v>
      </c>
      <c r="B29" s="8"/>
      <c r="C29" s="8"/>
      <c r="D29" s="8">
        <v>1</v>
      </c>
      <c r="E29" s="8">
        <v>7</v>
      </c>
      <c r="F29" s="8"/>
      <c r="G29" s="8">
        <v>8</v>
      </c>
      <c r="H29" s="8">
        <f>SUM($G$2:G29)</f>
        <v>165</v>
      </c>
    </row>
    <row r="30" spans="1:8" x14ac:dyDescent="0.3">
      <c r="A30" s="8">
        <v>2016</v>
      </c>
      <c r="B30" s="8"/>
      <c r="C30" s="8"/>
      <c r="D30" s="8"/>
      <c r="E30" s="8"/>
      <c r="F30" s="8">
        <v>1</v>
      </c>
      <c r="G30" s="8">
        <v>1</v>
      </c>
      <c r="H30" s="8">
        <f>SUM($G$2:G30)</f>
        <v>166</v>
      </c>
    </row>
    <row r="31" spans="1:8" x14ac:dyDescent="0.3">
      <c r="A31" s="8">
        <v>2017</v>
      </c>
      <c r="B31" s="8">
        <v>1</v>
      </c>
      <c r="C31" s="8">
        <v>3</v>
      </c>
      <c r="D31" s="8"/>
      <c r="E31" s="8">
        <v>2</v>
      </c>
      <c r="F31" s="8">
        <v>2</v>
      </c>
      <c r="G31" s="8">
        <v>8</v>
      </c>
      <c r="H31" s="8">
        <f>SUM($G$2:G31)</f>
        <v>174</v>
      </c>
    </row>
    <row r="32" spans="1:8" x14ac:dyDescent="0.3">
      <c r="A32" s="8">
        <v>2018</v>
      </c>
      <c r="B32" s="8">
        <v>2</v>
      </c>
      <c r="C32" s="8">
        <v>2</v>
      </c>
      <c r="D32" s="8"/>
      <c r="E32" s="8">
        <v>3</v>
      </c>
      <c r="F32" s="8">
        <v>1</v>
      </c>
      <c r="G32" s="8">
        <v>8</v>
      </c>
      <c r="H32" s="8">
        <f>SUM($G$2:G32)</f>
        <v>182</v>
      </c>
    </row>
    <row r="33" spans="1:8" x14ac:dyDescent="0.3">
      <c r="A33" s="8">
        <v>2019</v>
      </c>
      <c r="B33" s="8">
        <v>1</v>
      </c>
      <c r="C33" s="8">
        <v>5</v>
      </c>
      <c r="D33" s="8"/>
      <c r="E33" s="8">
        <v>9</v>
      </c>
      <c r="F33" s="8">
        <v>6</v>
      </c>
      <c r="G33" s="8">
        <v>21</v>
      </c>
      <c r="H33" s="8">
        <f>SUM($G$2:G33)</f>
        <v>203</v>
      </c>
    </row>
    <row r="34" spans="1:8" x14ac:dyDescent="0.3">
      <c r="A34" s="8">
        <v>2020</v>
      </c>
      <c r="B34" s="8">
        <v>4</v>
      </c>
      <c r="C34" s="8">
        <v>6</v>
      </c>
      <c r="D34" s="8">
        <v>1</v>
      </c>
      <c r="E34" s="8">
        <v>10</v>
      </c>
      <c r="F34" s="8">
        <v>5</v>
      </c>
      <c r="G34" s="8">
        <v>26</v>
      </c>
      <c r="H34" s="8">
        <f>SUM($G$2:G34)</f>
        <v>229</v>
      </c>
    </row>
    <row r="35" spans="1:8" x14ac:dyDescent="0.3">
      <c r="A35" s="8">
        <v>2021</v>
      </c>
      <c r="B35" s="8">
        <v>6</v>
      </c>
      <c r="C35" s="8">
        <v>3</v>
      </c>
      <c r="D35" s="8">
        <v>5</v>
      </c>
      <c r="E35" s="8">
        <v>18</v>
      </c>
      <c r="F35" s="8">
        <v>9</v>
      </c>
      <c r="G35" s="8">
        <v>41</v>
      </c>
      <c r="H35" s="8">
        <f>SUM($G$2:G35)</f>
        <v>270</v>
      </c>
    </row>
    <row r="36" spans="1:8" x14ac:dyDescent="0.3">
      <c r="A36" s="8">
        <v>2022</v>
      </c>
      <c r="B36" s="8">
        <v>4</v>
      </c>
      <c r="C36" s="8">
        <v>5</v>
      </c>
      <c r="D36" s="8">
        <v>2</v>
      </c>
      <c r="E36" s="8">
        <v>35</v>
      </c>
      <c r="F36" s="8">
        <v>8</v>
      </c>
      <c r="G36" s="8">
        <v>54</v>
      </c>
      <c r="H36" s="8">
        <f>SUM($G$2:G36)</f>
        <v>324</v>
      </c>
    </row>
    <row r="37" spans="1:8" x14ac:dyDescent="0.3">
      <c r="A37" s="8">
        <v>2023</v>
      </c>
      <c r="B37" s="8">
        <v>7</v>
      </c>
      <c r="C37" s="8">
        <v>14</v>
      </c>
      <c r="D37" s="8">
        <v>3</v>
      </c>
      <c r="E37" s="8">
        <v>28</v>
      </c>
      <c r="F37" s="8">
        <v>9</v>
      </c>
      <c r="G37" s="8">
        <v>61</v>
      </c>
      <c r="H37" s="8">
        <f>SUM($G$2:G37)</f>
        <v>385</v>
      </c>
    </row>
    <row r="38" spans="1:8" x14ac:dyDescent="0.3">
      <c r="A38" s="8">
        <v>2024</v>
      </c>
      <c r="B38" s="8">
        <v>6</v>
      </c>
      <c r="C38" s="8">
        <v>11</v>
      </c>
      <c r="D38" s="8">
        <v>5</v>
      </c>
      <c r="E38" s="8">
        <v>39</v>
      </c>
      <c r="F38" s="8">
        <v>10</v>
      </c>
      <c r="G38" s="8">
        <v>72</v>
      </c>
      <c r="H38" s="8">
        <f>SUM($G$2:G38)</f>
        <v>457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ignoredErrors>
    <ignoredError sqref="H3:H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C6D-279C-46C3-9647-3AC2DA2348E6}">
  <dimension ref="A1:L11"/>
  <sheetViews>
    <sheetView tabSelected="1" workbookViewId="0">
      <selection activeCell="J12" sqref="J12"/>
    </sheetView>
  </sheetViews>
  <sheetFormatPr defaultRowHeight="14.4" x14ac:dyDescent="0.3"/>
  <cols>
    <col min="2" max="3" width="6.88671875" bestFit="1" customWidth="1"/>
    <col min="4" max="4" width="5.88671875" bestFit="1" customWidth="1"/>
    <col min="5" max="5" width="7.5546875" bestFit="1" customWidth="1"/>
    <col min="6" max="6" width="14.109375" bestFit="1" customWidth="1"/>
    <col min="7" max="7" width="13.6640625" bestFit="1" customWidth="1"/>
    <col min="8" max="8" width="28.5546875" bestFit="1" customWidth="1"/>
    <col min="9" max="9" width="15.5546875" bestFit="1" customWidth="1"/>
    <col min="10" max="10" width="23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12</v>
      </c>
      <c r="E1" s="11" t="s">
        <v>93</v>
      </c>
      <c r="F1" t="s">
        <v>100</v>
      </c>
      <c r="G1" t="s">
        <v>94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</row>
    <row r="2" spans="1:12" hidden="1" x14ac:dyDescent="0.3">
      <c r="A2">
        <v>2019</v>
      </c>
      <c r="B2" s="6">
        <v>4.3999999999999997E-2</v>
      </c>
      <c r="C2" s="6">
        <v>4.3099999999999999E-2</v>
      </c>
      <c r="D2" s="11">
        <v>5.9700000000000003E-2</v>
      </c>
      <c r="E2" s="6">
        <v>0.31580000000000003</v>
      </c>
      <c r="F2" s="7">
        <f>E2-B2</f>
        <v>0.27180000000000004</v>
      </c>
      <c r="G2" s="6">
        <v>1.17E-2</v>
      </c>
      <c r="H2" s="7">
        <v>6.7699999999999996E-2</v>
      </c>
      <c r="I2" s="7">
        <v>2.5100000000000001E-2</v>
      </c>
      <c r="J2" s="7">
        <f>H2-I2</f>
        <v>4.2599999999999999E-2</v>
      </c>
      <c r="K2" s="7">
        <v>8.5000000000000006E-2</v>
      </c>
    </row>
    <row r="3" spans="1:12" x14ac:dyDescent="0.3">
      <c r="A3">
        <v>2020</v>
      </c>
      <c r="B3" s="6">
        <v>1.9E-2</v>
      </c>
      <c r="C3" s="6">
        <v>4.5199999999999997E-2</v>
      </c>
      <c r="D3" s="11">
        <v>2.7699999999999999E-2</v>
      </c>
      <c r="E3" s="6">
        <v>2.92E-2</v>
      </c>
      <c r="F3" s="7">
        <f>E3-B3</f>
        <v>1.0200000000000001E-2</v>
      </c>
      <c r="G3" s="6">
        <v>4.36E-2</v>
      </c>
      <c r="H3" s="7">
        <v>6.7699999999999996E-2</v>
      </c>
      <c r="I3" s="7">
        <v>2.5100000000000001E-2</v>
      </c>
      <c r="J3" s="7">
        <f t="shared" ref="J3:J7" si="0">H3-I3</f>
        <v>4.2599999999999999E-2</v>
      </c>
      <c r="K3" s="7">
        <v>8.5000000000000006E-2</v>
      </c>
      <c r="L3" s="7">
        <f>K3+J3</f>
        <v>0.12759999999999999</v>
      </c>
    </row>
    <row r="4" spans="1:12" x14ac:dyDescent="0.3">
      <c r="A4">
        <v>2021</v>
      </c>
      <c r="B4" s="7">
        <v>9.1499999999999998E-2</v>
      </c>
      <c r="C4" s="6">
        <v>0.10060000000000001</v>
      </c>
      <c r="D4" s="11">
        <v>4.3999999999999997E-2</v>
      </c>
      <c r="E4" s="6">
        <v>-0.1193</v>
      </c>
      <c r="F4" s="7">
        <f t="shared" ref="F4:F7" si="1">E4-B4</f>
        <v>-0.21079999999999999</v>
      </c>
      <c r="G4" s="6">
        <v>4.4999999999999998E-2</v>
      </c>
      <c r="H4" s="7">
        <v>7.0000000000000007E-2</v>
      </c>
      <c r="I4" s="7">
        <v>2.6499999999999999E-2</v>
      </c>
      <c r="J4" s="7">
        <f t="shared" si="0"/>
        <v>4.3500000000000011E-2</v>
      </c>
      <c r="K4" s="7">
        <v>7.8E-2</v>
      </c>
      <c r="L4" s="7">
        <f t="shared" ref="L4:L7" si="2">K4+J4</f>
        <v>0.12150000000000001</v>
      </c>
    </row>
    <row r="5" spans="1:12" x14ac:dyDescent="0.3">
      <c r="A5">
        <v>2022</v>
      </c>
      <c r="B5" s="7">
        <v>0.13650000000000001</v>
      </c>
      <c r="C5" s="6">
        <v>5.79E-2</v>
      </c>
      <c r="D5" s="11">
        <v>0.1237</v>
      </c>
      <c r="E5" s="6">
        <v>4.6899999999999997E-2</v>
      </c>
      <c r="F5" s="7">
        <f t="shared" si="1"/>
        <v>-8.9600000000000013E-2</v>
      </c>
      <c r="G5" s="6">
        <v>3.04E-2</v>
      </c>
      <c r="H5" s="7">
        <v>0.09</v>
      </c>
      <c r="I5" s="7">
        <v>2.9399999999999999E-2</v>
      </c>
      <c r="J5" s="7">
        <f t="shared" si="0"/>
        <v>6.0600000000000001E-2</v>
      </c>
      <c r="K5" s="7">
        <v>7.4999999999999997E-2</v>
      </c>
      <c r="L5" s="7">
        <f t="shared" si="2"/>
        <v>0.1356</v>
      </c>
    </row>
    <row r="6" spans="1:12" x14ac:dyDescent="0.3">
      <c r="A6">
        <v>2023</v>
      </c>
      <c r="B6" s="7">
        <v>0.11650000000000001</v>
      </c>
      <c r="C6" s="6">
        <v>4.6199999999999998E-2</v>
      </c>
      <c r="D6" s="11">
        <v>0.1305</v>
      </c>
      <c r="E6" s="6">
        <v>0.2228</v>
      </c>
      <c r="F6" s="7">
        <f t="shared" si="1"/>
        <v>0.10629999999999999</v>
      </c>
      <c r="G6" s="6">
        <v>2.92E-2</v>
      </c>
      <c r="H6" s="7">
        <v>0.1</v>
      </c>
      <c r="I6" s="7">
        <v>0.03</v>
      </c>
      <c r="J6" s="7">
        <f t="shared" si="0"/>
        <v>7.0000000000000007E-2</v>
      </c>
      <c r="K6" s="7">
        <v>7.1999999999999995E-2</v>
      </c>
      <c r="L6" s="7">
        <f t="shared" si="2"/>
        <v>0.14200000000000002</v>
      </c>
    </row>
    <row r="7" spans="1:12" x14ac:dyDescent="0.3">
      <c r="A7">
        <v>2024</v>
      </c>
      <c r="B7" s="7">
        <v>0.1215</v>
      </c>
      <c r="C7" s="6">
        <v>4.8300000000000003E-2</v>
      </c>
      <c r="D7" s="11">
        <v>0.1087</v>
      </c>
      <c r="E7" s="6">
        <v>-0.1036</v>
      </c>
      <c r="F7" s="7">
        <f t="shared" si="1"/>
        <v>-0.22509999999999999</v>
      </c>
      <c r="G7" s="6">
        <v>3.49E-2</v>
      </c>
      <c r="H7" s="7">
        <v>0.10349999999999999</v>
      </c>
      <c r="I7" s="7">
        <v>2.6800000000000001E-2</v>
      </c>
      <c r="J7" s="7">
        <f t="shared" si="0"/>
        <v>7.669999999999999E-2</v>
      </c>
      <c r="K7" s="7">
        <v>7.6700000000000004E-2</v>
      </c>
      <c r="L7" s="7">
        <f t="shared" si="2"/>
        <v>0.15339999999999998</v>
      </c>
    </row>
    <row r="9" spans="1:12" x14ac:dyDescent="0.3">
      <c r="E9" s="11"/>
    </row>
    <row r="11" spans="1:12" x14ac:dyDescent="0.3">
      <c r="E11" s="1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BP_VIVA3</vt:lpstr>
      <vt:lpstr>DRE_VIVA3</vt:lpstr>
      <vt:lpstr>FC_VIVA3</vt:lpstr>
      <vt:lpstr>NA_VIVA3</vt:lpstr>
      <vt:lpstr>Lojas</vt:lpstr>
      <vt:lpstr>Dados_Macro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Skywalker Carvalho</dc:creator>
  <cp:lastModifiedBy>Sofia Torgo Heisler</cp:lastModifiedBy>
  <dcterms:created xsi:type="dcterms:W3CDTF">2022-08-05T02:10:40Z</dcterms:created>
  <dcterms:modified xsi:type="dcterms:W3CDTF">2025-06-08T19:39:16Z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