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ofianOUASS\Desktop\PCoE\"/>
    </mc:Choice>
  </mc:AlternateContent>
  <xr:revisionPtr revIDLastSave="0" documentId="13_ncr:1_{93704A4C-7BF5-4370-8B0A-471B2A19F8A2}" xr6:coauthVersionLast="47" xr6:coauthVersionMax="47" xr10:uidLastSave="{00000000-0000-0000-0000-000000000000}"/>
  <bookViews>
    <workbookView xWindow="-108" yWindow="-108" windowWidth="23256" windowHeight="12456" tabRatio="627" firstSheet="3" activeTab="3" xr2:uid="{00000000-000D-0000-FFFF-FFFF00000000}"/>
  </bookViews>
  <sheets>
    <sheet name="Client ex OEM" sheetId="10" r:id="rId1"/>
    <sheet name="Abonnement Cloud" sheetId="9" r:id="rId2"/>
    <sheet name="Résiliations PCOE" sheetId="6" r:id="rId3"/>
    <sheet name="Maintenance SAP BusinessObjects" sheetId="2" r:id="rId4"/>
    <sheet name="Feuil1" sheetId="7" r:id="rId5"/>
  </sheets>
  <definedNames>
    <definedName name="_xlnm._FilterDatabase" localSheetId="1" hidden="1">'Abonnement Cloud'!$B$4:$AC$56</definedName>
    <definedName name="_xlnm._FilterDatabase" localSheetId="3" hidden="1">'Maintenance SAP BusinessObjects'!$A$1:$AY$319</definedName>
    <definedName name="_xlnm._FilterDatabase" localSheetId="2" hidden="1">'Résiliations PCOE'!$A$3:$M$3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2" l="1"/>
  <c r="E277" i="2" l="1"/>
  <c r="D221" i="2"/>
  <c r="H210" i="2"/>
  <c r="E275" i="2"/>
  <c r="F275" i="2" s="1"/>
  <c r="G275" i="2" s="1"/>
  <c r="I275" i="2"/>
  <c r="E197" i="2"/>
  <c r="C8" i="2"/>
  <c r="F283" i="2"/>
  <c r="G283" i="2" s="1"/>
  <c r="F282" i="2"/>
  <c r="G282" i="2" s="1"/>
  <c r="F284" i="2"/>
  <c r="G284" i="2" s="1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G294" i="2" s="1"/>
  <c r="F293" i="2"/>
  <c r="G293" i="2" s="1"/>
  <c r="F292" i="2"/>
  <c r="G292" i="2" s="1"/>
  <c r="F291" i="2"/>
  <c r="F290" i="2"/>
  <c r="F289" i="2"/>
  <c r="F288" i="2"/>
  <c r="F287" i="2"/>
  <c r="F286" i="2"/>
  <c r="F285" i="2"/>
  <c r="F276" i="2"/>
  <c r="G276" i="2" s="1"/>
  <c r="F274" i="2"/>
  <c r="G274" i="2" s="1"/>
  <c r="E198" i="2"/>
  <c r="I273" i="2"/>
  <c r="E273" i="2" s="1"/>
  <c r="I272" i="2"/>
  <c r="E272" i="2" s="1"/>
  <c r="E44" i="9"/>
  <c r="D24" i="9"/>
  <c r="BA23" i="9"/>
  <c r="AZ23" i="9"/>
  <c r="AY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E23" i="9"/>
  <c r="AX23" i="9" s="1"/>
  <c r="F23" i="9"/>
  <c r="G23" i="9" s="1"/>
  <c r="E59" i="2"/>
  <c r="H96" i="2"/>
  <c r="I117" i="2"/>
  <c r="H117" i="2"/>
  <c r="E24" i="9"/>
  <c r="D232" i="2"/>
  <c r="H18" i="9"/>
  <c r="H19" i="9"/>
  <c r="H10" i="9"/>
  <c r="H20" i="9"/>
  <c r="H48" i="9"/>
  <c r="E27" i="9"/>
  <c r="K86" i="2"/>
  <c r="D32" i="2"/>
  <c r="F273" i="2" l="1"/>
  <c r="G273" i="2" s="1"/>
  <c r="D37" i="2"/>
  <c r="D142" i="2"/>
  <c r="H41" i="9" l="1"/>
  <c r="H22" i="9"/>
  <c r="H193" i="2"/>
  <c r="G310" i="2"/>
  <c r="G309" i="2"/>
  <c r="G291" i="2"/>
  <c r="G290" i="2"/>
  <c r="G289" i="2"/>
  <c r="G288" i="2"/>
  <c r="G287" i="2"/>
  <c r="G286" i="2"/>
  <c r="E270" i="2"/>
  <c r="E36" i="9"/>
  <c r="E33" i="2"/>
  <c r="H33" i="2"/>
  <c r="D208" i="2"/>
  <c r="D246" i="2"/>
  <c r="D245" i="2"/>
  <c r="D106" i="2"/>
  <c r="F48" i="9"/>
  <c r="G48" i="9" s="1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F47" i="9"/>
  <c r="G47" i="9" s="1"/>
  <c r="F268" i="2"/>
  <c r="G268" i="2" s="1"/>
  <c r="Q318" i="2"/>
  <c r="D252" i="2"/>
  <c r="D253" i="2"/>
  <c r="F251" i="2"/>
  <c r="G251" i="2" s="1"/>
  <c r="F271" i="2" l="1"/>
  <c r="G271" i="2" s="1"/>
  <c r="D205" i="2"/>
  <c r="H34" i="2"/>
  <c r="E143" i="2"/>
  <c r="E218" i="2"/>
  <c r="E167" i="2"/>
  <c r="D203" i="2"/>
  <c r="D183" i="2"/>
  <c r="E65" i="2"/>
  <c r="E222" i="2"/>
  <c r="E114" i="2" l="1"/>
  <c r="BA52" i="9" l="1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H171" i="2"/>
  <c r="I171" i="2"/>
  <c r="E171" i="2"/>
  <c r="F171" i="2" s="1"/>
  <c r="G171" i="2" s="1"/>
  <c r="G285" i="2"/>
  <c r="F272" i="2"/>
  <c r="G272" i="2" s="1"/>
  <c r="F270" i="2"/>
  <c r="G270" i="2" s="1"/>
  <c r="F269" i="2"/>
  <c r="G269" i="2" s="1"/>
  <c r="E267" i="2"/>
  <c r="D267" i="2"/>
  <c r="D7" i="2"/>
  <c r="E193" i="2"/>
  <c r="E183" i="2"/>
  <c r="E115" i="2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F46" i="9"/>
  <c r="G46" i="9" s="1"/>
  <c r="F49" i="9"/>
  <c r="G49" i="9" s="1"/>
  <c r="F206" i="2"/>
  <c r="G206" i="2" s="1"/>
  <c r="E225" i="2" l="1"/>
  <c r="E25" i="2"/>
  <c r="H9" i="9"/>
  <c r="H8" i="9"/>
  <c r="H17" i="9"/>
  <c r="H16" i="9"/>
  <c r="F32" i="9"/>
  <c r="G32" i="9" s="1"/>
  <c r="S55" i="9"/>
  <c r="R55" i="9"/>
  <c r="Q55" i="9"/>
  <c r="AT54" i="9"/>
  <c r="AU53" i="9"/>
  <c r="F53" i="9"/>
  <c r="G53" i="9" s="1"/>
  <c r="F52" i="9"/>
  <c r="G52" i="9" s="1"/>
  <c r="F51" i="9"/>
  <c r="G51" i="9" s="1"/>
  <c r="F50" i="9"/>
  <c r="G50" i="9" s="1"/>
  <c r="BA17" i="9"/>
  <c r="AZ17" i="9"/>
  <c r="AY17" i="9"/>
  <c r="AX17" i="9"/>
  <c r="AW17" i="9"/>
  <c r="AV17" i="9"/>
  <c r="AU17" i="9"/>
  <c r="AT17" i="9"/>
  <c r="AS17" i="9"/>
  <c r="AR17" i="9"/>
  <c r="AQ17" i="9"/>
  <c r="AP17" i="9"/>
  <c r="AN17" i="9"/>
  <c r="AM17" i="9"/>
  <c r="AL17" i="9"/>
  <c r="AK17" i="9"/>
  <c r="AJ17" i="9"/>
  <c r="AI17" i="9"/>
  <c r="AH17" i="9"/>
  <c r="AG17" i="9"/>
  <c r="AF17" i="9"/>
  <c r="AE17" i="9"/>
  <c r="AD17" i="9"/>
  <c r="F17" i="9"/>
  <c r="G17" i="9" s="1"/>
  <c r="BA16" i="9"/>
  <c r="AZ16" i="9"/>
  <c r="AY16" i="9"/>
  <c r="AX16" i="9"/>
  <c r="AW16" i="9"/>
  <c r="AV16" i="9"/>
  <c r="AU16" i="9"/>
  <c r="AT16" i="9"/>
  <c r="AS16" i="9"/>
  <c r="AR16" i="9"/>
  <c r="AQ16" i="9"/>
  <c r="AP16" i="9"/>
  <c r="AN16" i="9"/>
  <c r="AM16" i="9"/>
  <c r="AL16" i="9"/>
  <c r="AK16" i="9"/>
  <c r="AJ16" i="9"/>
  <c r="AI16" i="9"/>
  <c r="AH16" i="9"/>
  <c r="AG16" i="9"/>
  <c r="AF16" i="9"/>
  <c r="AE16" i="9"/>
  <c r="AD16" i="9"/>
  <c r="F16" i="9"/>
  <c r="G16" i="9" s="1"/>
  <c r="BA31" i="9"/>
  <c r="AZ31" i="9"/>
  <c r="AY31" i="9"/>
  <c r="AX31" i="9"/>
  <c r="AW31" i="9"/>
  <c r="AV31" i="9"/>
  <c r="AU31" i="9"/>
  <c r="AT31" i="9"/>
  <c r="AS31" i="9"/>
  <c r="AR31" i="9"/>
  <c r="AQ31" i="9"/>
  <c r="AP31" i="9"/>
  <c r="AN31" i="9"/>
  <c r="AM31" i="9"/>
  <c r="AL31" i="9"/>
  <c r="AK31" i="9"/>
  <c r="AJ31" i="9"/>
  <c r="AI31" i="9"/>
  <c r="AH31" i="9"/>
  <c r="AG31" i="9"/>
  <c r="AF31" i="9"/>
  <c r="AE31" i="9"/>
  <c r="AD31" i="9"/>
  <c r="D31" i="9"/>
  <c r="AO31" i="9" s="1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F13" i="9"/>
  <c r="G13" i="9" s="1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F11" i="9"/>
  <c r="G11" i="9" s="1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F42" i="9"/>
  <c r="G42" i="9" s="1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F24" i="9"/>
  <c r="G24" i="9" s="1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E9" i="9"/>
  <c r="AD9" i="9"/>
  <c r="F9" i="9"/>
  <c r="G9" i="9" s="1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E8" i="9"/>
  <c r="AD8" i="9"/>
  <c r="AF8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BA43" i="9"/>
  <c r="AZ43" i="9"/>
  <c r="AY43" i="9"/>
  <c r="AX43" i="9"/>
  <c r="AW43" i="9"/>
  <c r="AV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K40" i="9"/>
  <c r="AJ40" i="9"/>
  <c r="AH40" i="9"/>
  <c r="AG40" i="9"/>
  <c r="AF40" i="9"/>
  <c r="AE40" i="9"/>
  <c r="AD40" i="9"/>
  <c r="D40" i="9"/>
  <c r="F40" i="9" s="1"/>
  <c r="G40" i="9" s="1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F6" i="9"/>
  <c r="G6" i="9" s="1"/>
  <c r="K39" i="9"/>
  <c r="BA39" i="9" s="1"/>
  <c r="H39" i="9"/>
  <c r="F39" i="9"/>
  <c r="G39" i="9" s="1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F19" i="9"/>
  <c r="G19" i="9" s="1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F18" i="9"/>
  <c r="G18" i="9" s="1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E35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F36" i="9"/>
  <c r="G36" i="9" s="1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F44" i="9"/>
  <c r="G44" i="9" s="1"/>
  <c r="AT20" i="9"/>
  <c r="F20" i="9"/>
  <c r="G20" i="9" s="1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F41" i="9"/>
  <c r="G41" i="9" s="1"/>
  <c r="BA15" i="9"/>
  <c r="AZ15" i="9"/>
  <c r="AY15" i="9"/>
  <c r="AX15" i="9"/>
  <c r="AW15" i="9"/>
  <c r="AV15" i="9"/>
  <c r="AU15" i="9"/>
  <c r="AT15" i="9"/>
  <c r="AS15" i="9"/>
  <c r="AR15" i="9"/>
  <c r="AQ15" i="9"/>
  <c r="AP15" i="9"/>
  <c r="AN15" i="9"/>
  <c r="AM15" i="9"/>
  <c r="AL15" i="9"/>
  <c r="AK15" i="9"/>
  <c r="AJ15" i="9"/>
  <c r="AI15" i="9"/>
  <c r="AH15" i="9"/>
  <c r="AG15" i="9"/>
  <c r="AF15" i="9"/>
  <c r="AE15" i="9"/>
  <c r="AD15" i="9"/>
  <c r="D15" i="9"/>
  <c r="AO15" i="9" s="1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H14" i="9"/>
  <c r="AG14" i="9"/>
  <c r="AF14" i="9"/>
  <c r="AE14" i="9"/>
  <c r="AD14" i="9"/>
  <c r="D14" i="9"/>
  <c r="AI14" i="9" s="1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BA29" i="9"/>
  <c r="AZ29" i="9"/>
  <c r="AY29" i="9"/>
  <c r="AX29" i="9"/>
  <c r="AW29" i="9"/>
  <c r="AV29" i="9"/>
  <c r="AU29" i="9"/>
  <c r="AT29" i="9"/>
  <c r="AS29" i="9"/>
  <c r="AR29" i="9"/>
  <c r="AQ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H28" i="9"/>
  <c r="F28" i="9"/>
  <c r="G28" i="9" s="1"/>
  <c r="BA25" i="9"/>
  <c r="AY25" i="9"/>
  <c r="AX25" i="9"/>
  <c r="AW25" i="9"/>
  <c r="AU25" i="9"/>
  <c r="AS25" i="9"/>
  <c r="AR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BA22" i="9"/>
  <c r="AZ22" i="9"/>
  <c r="AY22" i="9"/>
  <c r="AX22" i="9"/>
  <c r="AW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F22" i="9"/>
  <c r="G22" i="9" s="1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H34" i="9"/>
  <c r="I34" i="9" s="1"/>
  <c r="F34" i="9"/>
  <c r="G34" i="9" s="1"/>
  <c r="K33" i="9"/>
  <c r="BA33" i="9" s="1"/>
  <c r="H33" i="9"/>
  <c r="F33" i="9"/>
  <c r="G33" i="9" s="1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F10" i="9"/>
  <c r="G10" i="9" s="1"/>
  <c r="K21" i="9"/>
  <c r="AU21" i="9" s="1"/>
  <c r="AZ27" i="9"/>
  <c r="AY27" i="9"/>
  <c r="AU27" i="9"/>
  <c r="AR27" i="9"/>
  <c r="AQ27" i="9"/>
  <c r="AM27" i="9"/>
  <c r="AJ27" i="9"/>
  <c r="AI27" i="9"/>
  <c r="AE27" i="9"/>
  <c r="AX27" i="9"/>
  <c r="AY38" i="9"/>
  <c r="AX38" i="9"/>
  <c r="AV38" i="9"/>
  <c r="AU38" i="9"/>
  <c r="AT38" i="9"/>
  <c r="AQ38" i="9"/>
  <c r="AP38" i="9"/>
  <c r="AN38" i="9"/>
  <c r="AM38" i="9"/>
  <c r="AL38" i="9"/>
  <c r="AI38" i="9"/>
  <c r="AH38" i="9"/>
  <c r="AF38" i="9"/>
  <c r="AE38" i="9"/>
  <c r="AD38" i="9"/>
  <c r="BA38" i="9"/>
  <c r="AX45" i="9"/>
  <c r="AW45" i="9"/>
  <c r="AP45" i="9"/>
  <c r="AO45" i="9"/>
  <c r="AH45" i="9"/>
  <c r="AG45" i="9"/>
  <c r="AV45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G12" i="9"/>
  <c r="AJ12" i="9" s="1"/>
  <c r="K12" i="9"/>
  <c r="BA12" i="9" s="1"/>
  <c r="E12" i="9"/>
  <c r="F12" i="9" s="1"/>
  <c r="G12" i="9" s="1"/>
  <c r="BA5" i="9"/>
  <c r="AZ5" i="9"/>
  <c r="AY5" i="9"/>
  <c r="AX5" i="9"/>
  <c r="AW5" i="9"/>
  <c r="AV5" i="9"/>
  <c r="AU5" i="9"/>
  <c r="AT5" i="9"/>
  <c r="AS5" i="9"/>
  <c r="AR5" i="9"/>
  <c r="AQ5" i="9"/>
  <c r="AP5" i="9"/>
  <c r="S5" i="9"/>
  <c r="D5" i="9"/>
  <c r="D79" i="2"/>
  <c r="D41" i="2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F44" i="6"/>
  <c r="AE44" i="6"/>
  <c r="AD44" i="6"/>
  <c r="AC44" i="6"/>
  <c r="AB44" i="6"/>
  <c r="D44" i="6"/>
  <c r="F44" i="6" s="1"/>
  <c r="G44" i="6" s="1"/>
  <c r="K43" i="6"/>
  <c r="AT43" i="6" s="1"/>
  <c r="D43" i="6"/>
  <c r="F43" i="6" s="1"/>
  <c r="G43" i="6" s="1"/>
  <c r="K42" i="6"/>
  <c r="AX42" i="6" s="1"/>
  <c r="G42" i="6"/>
  <c r="F42" i="6"/>
  <c r="D42" i="6"/>
  <c r="E261" i="2"/>
  <c r="D179" i="2"/>
  <c r="E226" i="2"/>
  <c r="E227" i="2"/>
  <c r="E170" i="2"/>
  <c r="E28" i="2"/>
  <c r="E29" i="2"/>
  <c r="E311" i="2" l="1"/>
  <c r="F170" i="2"/>
  <c r="G170" i="2" s="1"/>
  <c r="AI20" i="9"/>
  <c r="AN20" i="9"/>
  <c r="AV21" i="9"/>
  <c r="AE33" i="9"/>
  <c r="AW20" i="9"/>
  <c r="AV33" i="9"/>
  <c r="AV39" i="9"/>
  <c r="AV53" i="9"/>
  <c r="AF20" i="9"/>
  <c r="AH33" i="9"/>
  <c r="AJ20" i="9"/>
  <c r="AF33" i="9"/>
  <c r="AY33" i="9"/>
  <c r="AG20" i="9"/>
  <c r="AZ20" i="9"/>
  <c r="AW39" i="9"/>
  <c r="AW53" i="9"/>
  <c r="AI33" i="9"/>
  <c r="AN54" i="9"/>
  <c r="AG21" i="9"/>
  <c r="AM33" i="9"/>
  <c r="AD39" i="9"/>
  <c r="AO17" i="9"/>
  <c r="AQ54" i="9"/>
  <c r="AJ21" i="9"/>
  <c r="AQ33" i="9"/>
  <c r="AR20" i="9"/>
  <c r="AE39" i="9"/>
  <c r="AF53" i="9"/>
  <c r="E5" i="9"/>
  <c r="F5" i="9" s="1"/>
  <c r="G5" i="9" s="1"/>
  <c r="AN21" i="9"/>
  <c r="AT33" i="9"/>
  <c r="AU20" i="9"/>
  <c r="E55" i="9"/>
  <c r="AM39" i="9"/>
  <c r="AG53" i="9"/>
  <c r="AO21" i="9"/>
  <c r="AU33" i="9"/>
  <c r="AV20" i="9"/>
  <c r="AN39" i="9"/>
  <c r="AL53" i="9"/>
  <c r="AR21" i="9"/>
  <c r="AL33" i="9"/>
  <c r="AX33" i="9"/>
  <c r="AM20" i="9"/>
  <c r="AY20" i="9"/>
  <c r="AF39" i="9"/>
  <c r="AO39" i="9"/>
  <c r="AX39" i="9"/>
  <c r="AJ53" i="9"/>
  <c r="AZ53" i="9"/>
  <c r="AU54" i="9"/>
  <c r="F15" i="9"/>
  <c r="G15" i="9" s="1"/>
  <c r="AG39" i="9"/>
  <c r="AP39" i="9"/>
  <c r="AY39" i="9"/>
  <c r="AV54" i="9"/>
  <c r="AF12" i="9"/>
  <c r="AK12" i="9"/>
  <c r="AN33" i="9"/>
  <c r="AO20" i="9"/>
  <c r="AH39" i="9"/>
  <c r="AQ39" i="9"/>
  <c r="AZ39" i="9"/>
  <c r="AN53" i="9"/>
  <c r="AE54" i="9"/>
  <c r="AY54" i="9"/>
  <c r="AX12" i="9"/>
  <c r="AW21" i="9"/>
  <c r="AP12" i="9"/>
  <c r="AF21" i="9"/>
  <c r="AZ21" i="9"/>
  <c r="AD33" i="9"/>
  <c r="AP33" i="9"/>
  <c r="AE20" i="9"/>
  <c r="AQ20" i="9"/>
  <c r="AI39" i="9"/>
  <c r="AR39" i="9"/>
  <c r="AU43" i="9"/>
  <c r="AO53" i="9"/>
  <c r="AF54" i="9"/>
  <c r="AT12" i="9"/>
  <c r="AJ39" i="9"/>
  <c r="AT39" i="9"/>
  <c r="AR53" i="9"/>
  <c r="AI54" i="9"/>
  <c r="AU12" i="9"/>
  <c r="D55" i="9"/>
  <c r="D56" i="9" s="1"/>
  <c r="AL39" i="9"/>
  <c r="AU39" i="9"/>
  <c r="AD53" i="9"/>
  <c r="AT53" i="9"/>
  <c r="AM54" i="9"/>
  <c r="F35" i="9"/>
  <c r="G35" i="9" s="1"/>
  <c r="AP21" i="9"/>
  <c r="BA35" i="9"/>
  <c r="AF9" i="9"/>
  <c r="F31" i="9"/>
  <c r="G31" i="9" s="1"/>
  <c r="AO16" i="9"/>
  <c r="AH53" i="9"/>
  <c r="AP53" i="9"/>
  <c r="AX53" i="9"/>
  <c r="AG54" i="9"/>
  <c r="AO54" i="9"/>
  <c r="AW54" i="9"/>
  <c r="AL12" i="9"/>
  <c r="AV12" i="9"/>
  <c r="AI45" i="9"/>
  <c r="AQ45" i="9"/>
  <c r="AY45" i="9"/>
  <c r="AK27" i="9"/>
  <c r="AS27" i="9"/>
  <c r="BA27" i="9"/>
  <c r="AH21" i="9"/>
  <c r="AX21" i="9"/>
  <c r="AE12" i="9"/>
  <c r="AM12" i="9"/>
  <c r="AW12" i="9"/>
  <c r="AJ45" i="9"/>
  <c r="AR45" i="9"/>
  <c r="AZ45" i="9"/>
  <c r="AG38" i="9"/>
  <c r="AO38" i="9"/>
  <c r="AW38" i="9"/>
  <c r="AD27" i="9"/>
  <c r="AL27" i="9"/>
  <c r="AT27" i="9"/>
  <c r="AI21" i="9"/>
  <c r="AQ21" i="9"/>
  <c r="AY21" i="9"/>
  <c r="AG33" i="9"/>
  <c r="AO33" i="9"/>
  <c r="AW33" i="9"/>
  <c r="AH20" i="9"/>
  <c r="AP20" i="9"/>
  <c r="AX20" i="9"/>
  <c r="AK39" i="9"/>
  <c r="AS39" i="9"/>
  <c r="F8" i="9"/>
  <c r="G8" i="9" s="1"/>
  <c r="AI53" i="9"/>
  <c r="AQ53" i="9"/>
  <c r="AY53" i="9"/>
  <c r="AH54" i="9"/>
  <c r="AP54" i="9"/>
  <c r="AX54" i="9"/>
  <c r="AK21" i="9"/>
  <c r="AS21" i="9"/>
  <c r="F14" i="9"/>
  <c r="G14" i="9" s="1"/>
  <c r="AK53" i="9"/>
  <c r="AS53" i="9"/>
  <c r="BA53" i="9"/>
  <c r="AJ54" i="9"/>
  <c r="AR54" i="9"/>
  <c r="AZ54" i="9"/>
  <c r="BA45" i="9"/>
  <c r="AD45" i="9"/>
  <c r="AT45" i="9"/>
  <c r="AF27" i="9"/>
  <c r="AN27" i="9"/>
  <c r="AV27" i="9"/>
  <c r="BA21" i="9"/>
  <c r="AH12" i="9"/>
  <c r="AR12" i="9"/>
  <c r="AZ12" i="9"/>
  <c r="AE45" i="9"/>
  <c r="AM45" i="9"/>
  <c r="AU45" i="9"/>
  <c r="AJ38" i="9"/>
  <c r="AR38" i="9"/>
  <c r="AZ38" i="9"/>
  <c r="AG27" i="9"/>
  <c r="AO27" i="9"/>
  <c r="AW27" i="9"/>
  <c r="AD21" i="9"/>
  <c r="AL21" i="9"/>
  <c r="AT21" i="9"/>
  <c r="AJ33" i="9"/>
  <c r="AR33" i="9"/>
  <c r="AZ33" i="9"/>
  <c r="AP29" i="9"/>
  <c r="AK20" i="9"/>
  <c r="AS20" i="9"/>
  <c r="BA20" i="9"/>
  <c r="AK54" i="9"/>
  <c r="AS54" i="9"/>
  <c r="BA54" i="9"/>
  <c r="AK45" i="9"/>
  <c r="AS45" i="9"/>
  <c r="AQ12" i="9"/>
  <c r="AY12" i="9"/>
  <c r="AL45" i="9"/>
  <c r="AI12" i="9"/>
  <c r="AS12" i="9"/>
  <c r="AF45" i="9"/>
  <c r="AN45" i="9"/>
  <c r="AK38" i="9"/>
  <c r="AS38" i="9"/>
  <c r="AH27" i="9"/>
  <c r="AP27" i="9"/>
  <c r="AE21" i="9"/>
  <c r="AM21" i="9"/>
  <c r="AK33" i="9"/>
  <c r="AS33" i="9"/>
  <c r="AD20" i="9"/>
  <c r="AL20" i="9"/>
  <c r="AE53" i="9"/>
  <c r="AM53" i="9"/>
  <c r="AD54" i="9"/>
  <c r="AL54" i="9"/>
  <c r="AI42" i="6"/>
  <c r="AY42" i="6"/>
  <c r="AU43" i="6"/>
  <c r="AJ42" i="6"/>
  <c r="AC42" i="6"/>
  <c r="AS42" i="6"/>
  <c r="AG43" i="6"/>
  <c r="AO43" i="6"/>
  <c r="AD42" i="6"/>
  <c r="AL42" i="6"/>
  <c r="AT42" i="6"/>
  <c r="AH43" i="6"/>
  <c r="AP43" i="6"/>
  <c r="AX43" i="6"/>
  <c r="AI43" i="6"/>
  <c r="AQ43" i="6"/>
  <c r="AY43" i="6"/>
  <c r="AQ42" i="6"/>
  <c r="AM43" i="6"/>
  <c r="AR42" i="6"/>
  <c r="AN43" i="6"/>
  <c r="AU42" i="6"/>
  <c r="AF42" i="6"/>
  <c r="AN42" i="6"/>
  <c r="AV42" i="6"/>
  <c r="AB43" i="6"/>
  <c r="AJ43" i="6"/>
  <c r="AR43" i="6"/>
  <c r="AG44" i="6"/>
  <c r="AE43" i="6"/>
  <c r="AB42" i="6"/>
  <c r="AF43" i="6"/>
  <c r="AV43" i="6"/>
  <c r="AK42" i="6"/>
  <c r="AW43" i="6"/>
  <c r="AE42" i="6"/>
  <c r="AM42" i="6"/>
  <c r="AG42" i="6"/>
  <c r="AO42" i="6"/>
  <c r="AW42" i="6"/>
  <c r="AC43" i="6"/>
  <c r="AK43" i="6"/>
  <c r="AS43" i="6"/>
  <c r="AH42" i="6"/>
  <c r="AP42" i="6"/>
  <c r="AD43" i="6"/>
  <c r="AL43" i="6"/>
  <c r="F55" i="9" l="1"/>
  <c r="G55" i="9" s="1"/>
  <c r="AN55" i="9"/>
  <c r="E56" i="9"/>
  <c r="F56" i="9" s="1"/>
  <c r="G56" i="9" s="1"/>
  <c r="AY55" i="9"/>
  <c r="BA55" i="9"/>
  <c r="AT55" i="9"/>
  <c r="AO55" i="9"/>
  <c r="AX55" i="9"/>
  <c r="AP55" i="9"/>
  <c r="AR55" i="9"/>
  <c r="AG55" i="9"/>
  <c r="AK55" i="9"/>
  <c r="AD55" i="9"/>
  <c r="AJ55" i="9"/>
  <c r="AQ55" i="9"/>
  <c r="AW55" i="9"/>
  <c r="AM55" i="9"/>
  <c r="AF55" i="9"/>
  <c r="AE55" i="9"/>
  <c r="AS55" i="9"/>
  <c r="AV55" i="9"/>
  <c r="AH55" i="9"/>
  <c r="AZ55" i="9"/>
  <c r="AL55" i="9"/>
  <c r="E17" i="2"/>
  <c r="D17" i="2"/>
  <c r="D18" i="2"/>
  <c r="D108" i="2" l="1"/>
  <c r="D254" i="2" l="1"/>
  <c r="F205" i="2"/>
  <c r="D259" i="2"/>
  <c r="D214" i="2"/>
  <c r="D235" i="2" l="1"/>
  <c r="D22" i="2"/>
  <c r="D11" i="2"/>
  <c r="D128" i="2"/>
  <c r="D129" i="2"/>
  <c r="D77" i="2" l="1"/>
  <c r="F103" i="2" l="1"/>
  <c r="G103" i="2" s="1"/>
  <c r="D65" i="2" l="1"/>
  <c r="D114" i="2"/>
  <c r="D125" i="2"/>
  <c r="D102" i="2"/>
  <c r="D172" i="2"/>
  <c r="D152" i="2" l="1"/>
  <c r="D261" i="2"/>
  <c r="D262" i="2" l="1"/>
  <c r="E237" i="2"/>
  <c r="E228" i="2"/>
  <c r="E257" i="2"/>
  <c r="E255" i="2"/>
  <c r="D247" i="2"/>
  <c r="E174" i="2"/>
  <c r="E13" i="2"/>
  <c r="E159" i="2"/>
  <c r="E119" i="2"/>
  <c r="D113" i="2"/>
  <c r="E93" i="2"/>
  <c r="E90" i="2"/>
  <c r="F13" i="6"/>
  <c r="G13" i="6" s="1"/>
  <c r="E84" i="2"/>
  <c r="E78" i="2"/>
  <c r="E46" i="2"/>
  <c r="E31" i="2"/>
  <c r="D212" i="2" l="1"/>
  <c r="D3" i="2" l="1"/>
  <c r="D144" i="2" l="1"/>
  <c r="F8" i="6" l="1"/>
  <c r="G8" i="6" s="1"/>
  <c r="D266" i="2"/>
  <c r="D263" i="2"/>
  <c r="D260" i="2"/>
  <c r="D257" i="2"/>
  <c r="D255" i="2"/>
  <c r="D250" i="2"/>
  <c r="D249" i="2"/>
  <c r="D248" i="2"/>
  <c r="D244" i="2"/>
  <c r="D241" i="2"/>
  <c r="D239" i="2"/>
  <c r="D238" i="2"/>
  <c r="D237" i="2"/>
  <c r="D236" i="2"/>
  <c r="D227" i="2"/>
  <c r="D234" i="2"/>
  <c r="D233" i="2"/>
  <c r="D230" i="2"/>
  <c r="D229" i="2"/>
  <c r="D228" i="2"/>
  <c r="D226" i="2"/>
  <c r="D224" i="2"/>
  <c r="D223" i="2"/>
  <c r="D222" i="2"/>
  <c r="D220" i="2"/>
  <c r="D218" i="2"/>
  <c r="D217" i="2"/>
  <c r="D216" i="2"/>
  <c r="D213" i="2"/>
  <c r="D211" i="2"/>
  <c r="D209" i="2"/>
  <c r="D204" i="2"/>
  <c r="D201" i="2"/>
  <c r="D200" i="2"/>
  <c r="D198" i="2"/>
  <c r="D193" i="2"/>
  <c r="D192" i="2"/>
  <c r="D191" i="2"/>
  <c r="D190" i="2"/>
  <c r="D189" i="2"/>
  <c r="D187" i="2"/>
  <c r="D185" i="2"/>
  <c r="D186" i="2"/>
  <c r="D182" i="2"/>
  <c r="D180" i="2"/>
  <c r="D178" i="2"/>
  <c r="D177" i="2"/>
  <c r="D176" i="2"/>
  <c r="D174" i="2"/>
  <c r="D173" i="2"/>
  <c r="D181" i="2"/>
  <c r="D166" i="2"/>
  <c r="D165" i="2"/>
  <c r="D163" i="2"/>
  <c r="D162" i="2"/>
  <c r="D161" i="2"/>
  <c r="D160" i="2"/>
  <c r="D159" i="2"/>
  <c r="D154" i="2"/>
  <c r="D158" i="2"/>
  <c r="D157" i="2"/>
  <c r="D155" i="2"/>
  <c r="D153" i="2"/>
  <c r="D150" i="2"/>
  <c r="D149" i="2"/>
  <c r="D148" i="2"/>
  <c r="D147" i="2"/>
  <c r="D207" i="2"/>
  <c r="D146" i="2"/>
  <c r="D145" i="2"/>
  <c r="D143" i="2"/>
  <c r="D141" i="2"/>
  <c r="D140" i="2"/>
  <c r="D139" i="2"/>
  <c r="D138" i="2"/>
  <c r="D136" i="2"/>
  <c r="D135" i="2"/>
  <c r="D133" i="2"/>
  <c r="D132" i="2"/>
  <c r="D131" i="2"/>
  <c r="D130" i="2"/>
  <c r="D127" i="2"/>
  <c r="D126" i="2"/>
  <c r="D124" i="2"/>
  <c r="D121" i="2"/>
  <c r="D120" i="2"/>
  <c r="D119" i="2"/>
  <c r="D118" i="2"/>
  <c r="F114" i="2"/>
  <c r="D111" i="2"/>
  <c r="D110" i="2"/>
  <c r="D107" i="2"/>
  <c r="D105" i="2"/>
  <c r="D101" i="2"/>
  <c r="D100" i="2"/>
  <c r="D99" i="2"/>
  <c r="D98" i="2"/>
  <c r="D97" i="2"/>
  <c r="D93" i="2"/>
  <c r="D92" i="2"/>
  <c r="D91" i="2"/>
  <c r="D90" i="2"/>
  <c r="D89" i="2"/>
  <c r="D88" i="2"/>
  <c r="D87" i="2"/>
  <c r="D86" i="2"/>
  <c r="D243" i="2"/>
  <c r="D84" i="2"/>
  <c r="D83" i="2"/>
  <c r="D82" i="2"/>
  <c r="D81" i="2"/>
  <c r="D80" i="2"/>
  <c r="D78" i="2"/>
  <c r="D76" i="2"/>
  <c r="D75" i="2"/>
  <c r="D73" i="2"/>
  <c r="D72" i="2"/>
  <c r="D71" i="2"/>
  <c r="D70" i="2"/>
  <c r="D69" i="2"/>
  <c r="D68" i="2"/>
  <c r="D67" i="2"/>
  <c r="D64" i="2"/>
  <c r="D63" i="2"/>
  <c r="D61" i="2"/>
  <c r="D60" i="2"/>
  <c r="D59" i="2"/>
  <c r="D58" i="2"/>
  <c r="D55" i="2"/>
  <c r="D54" i="2"/>
  <c r="D53" i="2"/>
  <c r="D52" i="2"/>
  <c r="D50" i="2"/>
  <c r="D48" i="2"/>
  <c r="D46" i="2"/>
  <c r="D45" i="2"/>
  <c r="D44" i="2"/>
  <c r="D43" i="2"/>
  <c r="F16" i="6"/>
  <c r="G16" i="6" s="1"/>
  <c r="D42" i="2"/>
  <c r="D39" i="2"/>
  <c r="D38" i="2"/>
  <c r="D36" i="2"/>
  <c r="D31" i="2"/>
  <c r="D29" i="2"/>
  <c r="D30" i="2"/>
  <c r="D28" i="2"/>
  <c r="D27" i="2"/>
  <c r="D26" i="2"/>
  <c r="D21" i="2"/>
  <c r="D16" i="2"/>
  <c r="F41" i="6"/>
  <c r="F40" i="6"/>
  <c r="F38" i="6"/>
  <c r="G38" i="6" s="1"/>
  <c r="F36" i="6"/>
  <c r="G36" i="6" s="1"/>
  <c r="F35" i="6"/>
  <c r="G35" i="6" s="1"/>
  <c r="F33" i="6"/>
  <c r="F29" i="6"/>
  <c r="G29" i="6" s="1"/>
  <c r="F24" i="6"/>
  <c r="F23" i="6"/>
  <c r="F22" i="6"/>
  <c r="F21" i="6"/>
  <c r="F20" i="6"/>
  <c r="F19" i="6"/>
  <c r="G19" i="6" s="1"/>
  <c r="F18" i="6"/>
  <c r="F17" i="6"/>
  <c r="G17" i="6" s="1"/>
  <c r="F14" i="6"/>
  <c r="F12" i="6"/>
  <c r="F11" i="6"/>
  <c r="F10" i="6"/>
  <c r="F9" i="6"/>
  <c r="F7" i="6"/>
  <c r="G7" i="6" s="1"/>
  <c r="F5" i="6"/>
  <c r="G5" i="6" s="1"/>
  <c r="F4" i="6"/>
  <c r="D19" i="2"/>
  <c r="D15" i="2"/>
  <c r="D14" i="2"/>
  <c r="D13" i="2"/>
  <c r="D12" i="2"/>
  <c r="D10" i="2"/>
  <c r="D9" i="2"/>
  <c r="D6" i="2"/>
  <c r="D5" i="2"/>
  <c r="D4" i="2"/>
  <c r="D2" i="2"/>
  <c r="I175" i="2"/>
  <c r="H175" i="2"/>
  <c r="I81" i="2"/>
  <c r="E175" i="2"/>
  <c r="D175" i="2"/>
  <c r="I25" i="2"/>
  <c r="K149" i="2"/>
  <c r="F25" i="2"/>
  <c r="G25" i="2" s="1"/>
  <c r="F20" i="2"/>
  <c r="G20" i="2" s="1"/>
  <c r="F123" i="2"/>
  <c r="G123" i="2" s="1"/>
  <c r="D317" i="2" l="1"/>
  <c r="F149" i="2"/>
  <c r="G149" i="2" s="1"/>
  <c r="F175" i="2"/>
  <c r="G175" i="2" s="1"/>
  <c r="F231" i="2" l="1"/>
  <c r="G231" i="2" s="1"/>
  <c r="F232" i="2"/>
  <c r="G232" i="2" s="1"/>
  <c r="I214" i="2"/>
  <c r="F212" i="2" l="1"/>
  <c r="G212" i="2" s="1"/>
  <c r="H17" i="2"/>
  <c r="F152" i="2"/>
  <c r="G152" i="2" s="1"/>
  <c r="F258" i="2"/>
  <c r="G258" i="2" s="1"/>
  <c r="F66" i="2"/>
  <c r="G66" i="2" s="1"/>
  <c r="F256" i="2"/>
  <c r="G256" i="2" s="1"/>
  <c r="F214" i="2"/>
  <c r="G214" i="2" s="1"/>
  <c r="F151" i="2"/>
  <c r="G151" i="2" s="1"/>
  <c r="F265" i="2"/>
  <c r="G265" i="2" s="1"/>
  <c r="F108" i="2"/>
  <c r="G108" i="2" s="1"/>
  <c r="K23" i="2"/>
  <c r="F17" i="2" l="1"/>
  <c r="G17" i="2" s="1"/>
  <c r="F267" i="2"/>
  <c r="G267" i="2" s="1"/>
  <c r="K234" i="2"/>
  <c r="F234" i="2"/>
  <c r="G234" i="2" s="1"/>
  <c r="K251" i="2" l="1"/>
  <c r="K88" i="2" l="1"/>
  <c r="F18" i="2"/>
  <c r="F16" i="2"/>
  <c r="G16" i="2" s="1"/>
  <c r="K16" i="2"/>
  <c r="G18" i="2" l="1"/>
  <c r="F74" i="2"/>
  <c r="G74" i="2" s="1"/>
  <c r="K7" i="2" l="1"/>
  <c r="F182" i="2"/>
  <c r="G182" i="2" s="1"/>
  <c r="K182" i="2"/>
  <c r="F21" i="2"/>
  <c r="G21" i="2" s="1"/>
  <c r="K21" i="2"/>
  <c r="K205" i="2"/>
  <c r="G205" i="2"/>
  <c r="K79" i="2"/>
  <c r="F79" i="2"/>
  <c r="G79" i="2" s="1"/>
  <c r="K133" i="2"/>
  <c r="F133" i="2"/>
  <c r="G133" i="2" s="1"/>
  <c r="K167" i="2"/>
  <c r="F167" i="2"/>
  <c r="G167" i="2" s="1"/>
  <c r="F40" i="2"/>
  <c r="G40" i="2" s="1"/>
  <c r="K39" i="2"/>
  <c r="F39" i="2"/>
  <c r="G39" i="2" s="1"/>
  <c r="K184" i="2"/>
  <c r="F184" i="2"/>
  <c r="G184" i="2" s="1"/>
  <c r="K189" i="2"/>
  <c r="F189" i="2"/>
  <c r="G189" i="2" s="1"/>
  <c r="F7" i="2" l="1"/>
  <c r="G7" i="2" s="1"/>
  <c r="F82" i="2"/>
  <c r="G82" i="2" s="1"/>
  <c r="F240" i="2" l="1"/>
  <c r="G240" i="2" s="1"/>
  <c r="F128" i="2"/>
  <c r="G128" i="2" s="1"/>
  <c r="F160" i="2"/>
  <c r="G160" i="2" s="1"/>
  <c r="F225" i="2" l="1"/>
  <c r="G225" i="2" s="1"/>
  <c r="F88" i="2" l="1"/>
  <c r="G88" i="2" s="1"/>
  <c r="E156" i="2"/>
  <c r="E317" i="2" s="1"/>
  <c r="E318" i="2" s="1"/>
  <c r="F99" i="2"/>
  <c r="G99" i="2" s="1"/>
  <c r="F136" i="2" l="1"/>
  <c r="G136" i="2" s="1"/>
  <c r="F266" i="2"/>
  <c r="G266" i="2" s="1"/>
  <c r="F156" i="2"/>
  <c r="G156" i="2" s="1"/>
  <c r="F230" i="2" l="1"/>
  <c r="G230" i="2" s="1"/>
  <c r="K9" i="2" l="1"/>
  <c r="K158" i="2"/>
  <c r="K55" i="2"/>
  <c r="F77" i="2"/>
  <c r="G77" i="2" s="1"/>
  <c r="F158" i="2" l="1"/>
  <c r="G158" i="2" s="1"/>
  <c r="F62" i="2"/>
  <c r="G62" i="2" s="1"/>
  <c r="F140" i="2"/>
  <c r="G140" i="2" s="1"/>
  <c r="F186" i="2"/>
  <c r="G186" i="2" s="1"/>
  <c r="K140" i="2"/>
  <c r="K191" i="2" l="1"/>
  <c r="F191" i="2"/>
  <c r="G191" i="2" s="1"/>
  <c r="K198" i="2"/>
  <c r="F198" i="2"/>
  <c r="G198" i="2" s="1"/>
  <c r="K145" i="2"/>
  <c r="F145" i="2"/>
  <c r="G145" i="2" s="1"/>
  <c r="K12" i="2"/>
  <c r="F12" i="2"/>
  <c r="G12" i="2" s="1"/>
  <c r="K215" i="2"/>
  <c r="K56" i="2"/>
  <c r="F254" i="2"/>
  <c r="G254" i="2" s="1"/>
  <c r="F56" i="2"/>
  <c r="G56" i="2" s="1"/>
  <c r="F14" i="2"/>
  <c r="G14" i="2" s="1"/>
  <c r="F174" i="2"/>
  <c r="G174" i="2" s="1"/>
  <c r="F215" i="2"/>
  <c r="G215" i="2" s="1"/>
  <c r="F122" i="2"/>
  <c r="G122" i="2" s="1"/>
  <c r="F129" i="2"/>
  <c r="G129" i="2" s="1"/>
  <c r="F95" i="2"/>
  <c r="G95" i="2" s="1"/>
  <c r="F55" i="2"/>
  <c r="G55" i="2" s="1"/>
  <c r="K185" i="2" l="1"/>
  <c r="F185" i="2"/>
  <c r="G185" i="2" s="1"/>
  <c r="K220" i="2"/>
  <c r="F220" i="2"/>
  <c r="G220" i="2" s="1"/>
  <c r="F104" i="2" l="1"/>
  <c r="G104" i="2" s="1"/>
  <c r="F219" i="2" l="1"/>
  <c r="G219" i="2" s="1"/>
  <c r="F125" i="2"/>
  <c r="G125" i="2" s="1"/>
  <c r="K129" i="2"/>
  <c r="K95" i="2"/>
  <c r="K63" i="2" l="1"/>
  <c r="F63" i="2"/>
  <c r="G63" i="2" s="1"/>
  <c r="K70" i="2"/>
  <c r="F70" i="2"/>
  <c r="G70" i="2" s="1"/>
  <c r="K257" i="2"/>
  <c r="F257" i="2"/>
  <c r="G257" i="2" s="1"/>
  <c r="K78" i="2"/>
  <c r="F78" i="2"/>
  <c r="G78" i="2" s="1"/>
  <c r="F92" i="2"/>
  <c r="G92" i="2" s="1"/>
  <c r="F216" i="2" l="1"/>
  <c r="G216" i="2" s="1"/>
  <c r="K216" i="2"/>
  <c r="F86" i="2"/>
  <c r="G86" i="2" s="1"/>
  <c r="F113" i="2"/>
  <c r="G113" i="2" s="1"/>
  <c r="K113" i="2"/>
  <c r="F54" i="2"/>
  <c r="G54" i="2" s="1"/>
  <c r="K54" i="2"/>
  <c r="F13" i="2" l="1"/>
  <c r="G13" i="2" s="1"/>
  <c r="F211" i="2"/>
  <c r="G211" i="2" s="1"/>
  <c r="K211" i="2"/>
  <c r="F261" i="2"/>
  <c r="G261" i="2" s="1"/>
  <c r="F262" i="2"/>
  <c r="G262" i="2" s="1"/>
  <c r="F135" i="2"/>
  <c r="G135" i="2" s="1"/>
  <c r="K135" i="2"/>
  <c r="F178" i="2"/>
  <c r="G178" i="2" s="1"/>
  <c r="K178" i="2"/>
  <c r="K51" i="2"/>
  <c r="F60" i="2" l="1"/>
  <c r="G60" i="2" s="1"/>
  <c r="K43" i="2" l="1"/>
  <c r="F43" i="2"/>
  <c r="G43" i="2" s="1"/>
  <c r="K111" i="2"/>
  <c r="F111" i="2"/>
  <c r="G111" i="2" s="1"/>
  <c r="K248" i="2"/>
  <c r="F248" i="2"/>
  <c r="G248" i="2" s="1"/>
  <c r="K69" i="2"/>
  <c r="F69" i="2"/>
  <c r="G69" i="2" s="1"/>
  <c r="K242" i="2" l="1"/>
  <c r="F242" i="2"/>
  <c r="G242" i="2" s="1"/>
  <c r="K150" i="2"/>
  <c r="F150" i="2"/>
  <c r="G150" i="2" s="1"/>
  <c r="K229" i="2"/>
  <c r="F229" i="2"/>
  <c r="G229" i="2" s="1"/>
  <c r="F168" i="2" l="1"/>
  <c r="G168" i="2" s="1"/>
  <c r="K168" i="2"/>
  <c r="F169" i="2"/>
  <c r="G169" i="2" s="1"/>
  <c r="K169" i="2"/>
  <c r="F193" i="2"/>
  <c r="G193" i="2" s="1"/>
  <c r="K193" i="2"/>
  <c r="K130" i="2" l="1"/>
  <c r="K38" i="2"/>
  <c r="F204" i="2"/>
  <c r="G204" i="2" s="1"/>
  <c r="F130" i="2"/>
  <c r="G130" i="2" s="1"/>
  <c r="F38" i="2"/>
  <c r="G38" i="2" s="1"/>
  <c r="F34" i="2" l="1"/>
  <c r="G34" i="2" s="1"/>
  <c r="K162" i="2" l="1"/>
  <c r="F162" i="2"/>
  <c r="G162" i="2" s="1"/>
  <c r="F221" i="2"/>
  <c r="G221" i="2" s="1"/>
  <c r="F238" i="2" l="1"/>
  <c r="G238" i="2" s="1"/>
  <c r="F76" i="2"/>
  <c r="G76" i="2" s="1"/>
  <c r="F263" i="2" l="1"/>
  <c r="G263" i="2" s="1"/>
  <c r="K238" i="2" l="1"/>
  <c r="F81" i="2"/>
  <c r="G81" i="2" s="1"/>
  <c r="F260" i="2" l="1"/>
  <c r="G260" i="2" s="1"/>
  <c r="F32" i="2" l="1"/>
  <c r="G32" i="2" s="1"/>
  <c r="F159" i="2" l="1"/>
  <c r="G159" i="2" s="1"/>
  <c r="K73" i="2" l="1"/>
  <c r="F73" i="2"/>
  <c r="G73" i="2" s="1"/>
  <c r="F52" i="2" l="1"/>
  <c r="G52" i="2" s="1"/>
  <c r="F68" i="2" l="1"/>
  <c r="G68" i="2" s="1"/>
  <c r="F65" i="2" l="1"/>
  <c r="G65" i="2" s="1"/>
  <c r="F195" i="2"/>
  <c r="G195" i="2" s="1"/>
  <c r="F194" i="2"/>
  <c r="G194" i="2" s="1"/>
  <c r="F134" i="2" l="1"/>
  <c r="K120" i="2" l="1"/>
  <c r="F259" i="2" l="1"/>
  <c r="G259" i="2" s="1"/>
  <c r="F243" i="2" l="1"/>
  <c r="F210" i="2" l="1"/>
  <c r="G210" i="2" s="1"/>
  <c r="F102" i="2"/>
  <c r="G102" i="2" s="1"/>
  <c r="F37" i="2"/>
  <c r="G37" i="2" s="1"/>
  <c r="F47" i="2"/>
  <c r="G47" i="2" s="1"/>
  <c r="F197" i="2"/>
  <c r="G197" i="2" s="1"/>
  <c r="F109" i="2"/>
  <c r="G109" i="2" s="1"/>
  <c r="F177" i="2"/>
  <c r="G177" i="2" s="1"/>
  <c r="F96" i="2"/>
  <c r="G96" i="2" s="1"/>
  <c r="F85" i="2"/>
  <c r="G85" i="2" s="1"/>
  <c r="F117" i="2"/>
  <c r="G117" i="2" s="1"/>
  <c r="K102" i="2"/>
  <c r="K109" i="2"/>
  <c r="K177" i="2"/>
  <c r="K96" i="2"/>
  <c r="F3" i="2" l="1"/>
  <c r="G3" i="2" s="1"/>
  <c r="F5" i="2"/>
  <c r="G5" i="2" s="1"/>
  <c r="F187" i="2"/>
  <c r="G187" i="2" s="1"/>
  <c r="F15" i="2"/>
  <c r="G15" i="2" s="1"/>
  <c r="F19" i="2"/>
  <c r="F28" i="2"/>
  <c r="G28" i="2" s="1"/>
  <c r="F30" i="2"/>
  <c r="G30" i="2" s="1"/>
  <c r="F29" i="2"/>
  <c r="G29" i="2" s="1"/>
  <c r="F31" i="2"/>
  <c r="G31" i="2" s="1"/>
  <c r="F33" i="2"/>
  <c r="G33" i="2" s="1"/>
  <c r="F35" i="2"/>
  <c r="G35" i="2" s="1"/>
  <c r="F46" i="2"/>
  <c r="G46" i="2" s="1"/>
  <c r="F50" i="2"/>
  <c r="G50" i="2" s="1"/>
  <c r="F53" i="2"/>
  <c r="G53" i="2" s="1"/>
  <c r="F61" i="2"/>
  <c r="G61" i="2" s="1"/>
  <c r="F64" i="2"/>
  <c r="G64" i="2" s="1"/>
  <c r="F67" i="2"/>
  <c r="G67" i="2" s="1"/>
  <c r="F59" i="2"/>
  <c r="G59" i="2" s="1"/>
  <c r="F71" i="2"/>
  <c r="G71" i="2" s="1"/>
  <c r="F72" i="2"/>
  <c r="G72" i="2" s="1"/>
  <c r="F80" i="2"/>
  <c r="G80" i="2" s="1"/>
  <c r="F83" i="2"/>
  <c r="G83" i="2" s="1"/>
  <c r="F75" i="2"/>
  <c r="G75" i="2" s="1"/>
  <c r="F84" i="2"/>
  <c r="G84" i="2" s="1"/>
  <c r="G243" i="2"/>
  <c r="F87" i="2"/>
  <c r="G87" i="2" s="1"/>
  <c r="F89" i="2"/>
  <c r="G89" i="2" s="1"/>
  <c r="F90" i="2"/>
  <c r="G90" i="2" s="1"/>
  <c r="F91" i="2"/>
  <c r="G91" i="2" s="1"/>
  <c r="F97" i="2"/>
  <c r="G97" i="2" s="1"/>
  <c r="F105" i="2"/>
  <c r="G105" i="2" s="1"/>
  <c r="F106" i="2"/>
  <c r="G106" i="2" s="1"/>
  <c r="F121" i="2"/>
  <c r="G121" i="2" s="1"/>
  <c r="F120" i="2"/>
  <c r="G120" i="2" s="1"/>
  <c r="F119" i="2"/>
  <c r="G119" i="2" s="1"/>
  <c r="F124" i="2"/>
  <c r="G124" i="2" s="1"/>
  <c r="F126" i="2"/>
  <c r="G126" i="2" s="1"/>
  <c r="F131" i="2"/>
  <c r="G131" i="2" s="1"/>
  <c r="F132" i="2"/>
  <c r="G132" i="2" s="1"/>
  <c r="G134" i="2"/>
  <c r="F137" i="2"/>
  <c r="G137" i="2" s="1"/>
  <c r="F138" i="2"/>
  <c r="G138" i="2" s="1"/>
  <c r="F139" i="2"/>
  <c r="G139" i="2" s="1"/>
  <c r="F141" i="2"/>
  <c r="G141" i="2" s="1"/>
  <c r="F142" i="2"/>
  <c r="G142" i="2" s="1"/>
  <c r="F146" i="2"/>
  <c r="G146" i="2" s="1"/>
  <c r="F153" i="2"/>
  <c r="G153" i="2" s="1"/>
  <c r="F155" i="2"/>
  <c r="G155" i="2" s="1"/>
  <c r="F154" i="2"/>
  <c r="G154" i="2" s="1"/>
  <c r="F161" i="2"/>
  <c r="G161" i="2" s="1"/>
  <c r="F163" i="2"/>
  <c r="G163" i="2" s="1"/>
  <c r="F164" i="2"/>
  <c r="G164" i="2" s="1"/>
  <c r="F165" i="2"/>
  <c r="G165" i="2" s="1"/>
  <c r="F166" i="2"/>
  <c r="G166" i="2" s="1"/>
  <c r="F172" i="2"/>
  <c r="G172" i="2" s="1"/>
  <c r="F176" i="2"/>
  <c r="G176" i="2" s="1"/>
  <c r="F180" i="2"/>
  <c r="G180" i="2" s="1"/>
  <c r="F188" i="2"/>
  <c r="G188" i="2" s="1"/>
  <c r="F200" i="2"/>
  <c r="G200" i="2" s="1"/>
  <c r="G201" i="2"/>
  <c r="F202" i="2"/>
  <c r="G202" i="2" s="1"/>
  <c r="F208" i="2"/>
  <c r="G208" i="2" s="1"/>
  <c r="F209" i="2"/>
  <c r="G209" i="2" s="1"/>
  <c r="F244" i="2"/>
  <c r="G244" i="2" s="1"/>
  <c r="F213" i="2"/>
  <c r="G213" i="2" s="1"/>
  <c r="F217" i="2"/>
  <c r="G217" i="2" s="1"/>
  <c r="F222" i="2"/>
  <c r="F223" i="2"/>
  <c r="G223" i="2" s="1"/>
  <c r="F224" i="2"/>
  <c r="G224" i="2" s="1"/>
  <c r="F227" i="2"/>
  <c r="G227" i="2" s="1"/>
  <c r="F233" i="2"/>
  <c r="G233" i="2" s="1"/>
  <c r="F236" i="2"/>
  <c r="G236" i="2" s="1"/>
  <c r="F237" i="2"/>
  <c r="G237" i="2" s="1"/>
  <c r="F241" i="2"/>
  <c r="G241" i="2" s="1"/>
  <c r="F245" i="2"/>
  <c r="G245" i="2" s="1"/>
  <c r="F246" i="2"/>
  <c r="G246" i="2" s="1"/>
  <c r="F247" i="2"/>
  <c r="G247" i="2" s="1"/>
  <c r="F255" i="2"/>
  <c r="G255" i="2" s="1"/>
  <c r="F144" i="2"/>
  <c r="G144" i="2" s="1"/>
  <c r="F190" i="2"/>
  <c r="G190" i="2" s="1"/>
  <c r="F207" i="2"/>
  <c r="G207" i="2" s="1"/>
  <c r="F101" i="2"/>
  <c r="G101" i="2" s="1"/>
  <c r="F36" i="2"/>
  <c r="G36" i="2" s="1"/>
  <c r="F48" i="2"/>
  <c r="G48" i="2" s="1"/>
  <c r="F26" i="2"/>
  <c r="G26" i="2" s="1"/>
  <c r="F157" i="2"/>
  <c r="G157" i="2" s="1"/>
  <c r="F264" i="2"/>
  <c r="G264" i="2" s="1"/>
  <c r="F10" i="2"/>
  <c r="G10" i="2" s="1"/>
  <c r="F11" i="2"/>
  <c r="G11" i="2" s="1"/>
  <c r="F147" i="2"/>
  <c r="G147" i="2" s="1"/>
  <c r="F110" i="2"/>
  <c r="G110" i="2" s="1"/>
  <c r="F181" i="2"/>
  <c r="G181" i="2" s="1"/>
  <c r="F107" i="2"/>
  <c r="G107" i="2" s="1"/>
  <c r="F118" i="2"/>
  <c r="G118" i="2" s="1"/>
  <c r="F9" i="2"/>
  <c r="G9" i="2" s="1"/>
  <c r="F8" i="2"/>
  <c r="G8" i="2" s="1"/>
  <c r="F183" i="2"/>
  <c r="G183" i="2" s="1"/>
  <c r="F252" i="2"/>
  <c r="G252" i="2" s="1"/>
  <c r="F253" i="2"/>
  <c r="G253" i="2" s="1"/>
  <c r="F42" i="2"/>
  <c r="G42" i="2" s="1"/>
  <c r="F199" i="2"/>
  <c r="G199" i="2" s="1"/>
  <c r="F235" i="2"/>
  <c r="G235" i="2" s="1"/>
  <c r="F228" i="2"/>
  <c r="G228" i="2" s="1"/>
  <c r="F6" i="2"/>
  <c r="G6" i="2" s="1"/>
  <c r="F27" i="2"/>
  <c r="G27" i="2" s="1"/>
  <c r="F116" i="2"/>
  <c r="G116" i="2" s="1"/>
  <c r="F22" i="2"/>
  <c r="G22" i="2" s="1"/>
  <c r="F112" i="2"/>
  <c r="G112" i="2" s="1"/>
  <c r="F100" i="2"/>
  <c r="G100" i="2" s="1"/>
  <c r="F179" i="2"/>
  <c r="G179" i="2" s="1"/>
  <c r="F4" i="2"/>
  <c r="G4" i="2" s="1"/>
  <c r="F239" i="2"/>
  <c r="G239" i="2" s="1"/>
  <c r="F143" i="2"/>
  <c r="G143" i="2" s="1"/>
  <c r="F203" i="2"/>
  <c r="G203" i="2" s="1"/>
  <c r="F249" i="2"/>
  <c r="G249" i="2" s="1"/>
  <c r="G114" i="2"/>
  <c r="F45" i="2"/>
  <c r="G45" i="2" s="1"/>
  <c r="F173" i="2"/>
  <c r="G173" i="2" s="1"/>
  <c r="F127" i="2"/>
  <c r="G127" i="2" s="1"/>
  <c r="F192" i="2"/>
  <c r="G192" i="2" s="1"/>
  <c r="F250" i="2"/>
  <c r="G250" i="2" s="1"/>
  <c r="G19" i="2" l="1"/>
  <c r="G222" i="2"/>
  <c r="F2" i="2"/>
  <c r="K190" i="2"/>
  <c r="K207" i="2"/>
  <c r="K101" i="2"/>
  <c r="K36" i="2"/>
  <c r="K48" i="2"/>
  <c r="K26" i="2"/>
  <c r="K157" i="2"/>
  <c r="K264" i="2"/>
  <c r="K10" i="2"/>
  <c r="K11" i="2"/>
  <c r="K147" i="2"/>
  <c r="K110" i="2"/>
  <c r="K181" i="2"/>
  <c r="K107" i="2"/>
  <c r="K118" i="2"/>
  <c r="K8" i="2"/>
  <c r="K183" i="2"/>
  <c r="K252" i="2"/>
  <c r="K253" i="2"/>
  <c r="K42" i="2"/>
  <c r="K199" i="2"/>
  <c r="K235" i="2"/>
  <c r="K228" i="2"/>
  <c r="K6" i="2"/>
  <c r="K27" i="2"/>
  <c r="K116" i="2"/>
  <c r="K22" i="2"/>
  <c r="K112" i="2"/>
  <c r="K100" i="2"/>
  <c r="K179" i="2"/>
  <c r="K4" i="2"/>
  <c r="K239" i="2"/>
  <c r="K143" i="2"/>
  <c r="K203" i="2"/>
  <c r="K249" i="2"/>
  <c r="K114" i="2"/>
  <c r="K45" i="2"/>
  <c r="K127" i="2"/>
  <c r="K192" i="2"/>
  <c r="K250" i="2"/>
  <c r="G2" i="2" l="1"/>
  <c r="K144" i="2"/>
  <c r="K263" i="2"/>
  <c r="K255" i="2"/>
  <c r="K246" i="2"/>
  <c r="K245" i="2"/>
  <c r="K241" i="2"/>
  <c r="K236" i="2"/>
  <c r="K233" i="2"/>
  <c r="K227" i="2"/>
  <c r="K226" i="2"/>
  <c r="K224" i="2"/>
  <c r="K223" i="2"/>
  <c r="K222" i="2"/>
  <c r="K218" i="2"/>
  <c r="K217" i="2"/>
  <c r="K213" i="2"/>
  <c r="K244" i="2"/>
  <c r="K209" i="2"/>
  <c r="K208" i="2"/>
  <c r="K202" i="2"/>
  <c r="K201" i="2"/>
  <c r="K200" i="2"/>
  <c r="K188" i="2"/>
  <c r="K180" i="2"/>
  <c r="K176" i="2"/>
  <c r="K172" i="2"/>
  <c r="K166" i="2"/>
  <c r="K165" i="2"/>
  <c r="K164" i="2"/>
  <c r="K163" i="2"/>
  <c r="K161" i="2"/>
  <c r="K154" i="2"/>
  <c r="K155" i="2"/>
  <c r="K153" i="2"/>
  <c r="K148" i="2"/>
  <c r="K146" i="2"/>
  <c r="K141" i="2"/>
  <c r="K139" i="2"/>
  <c r="K138" i="2"/>
  <c r="K137" i="2"/>
  <c r="K132" i="2"/>
  <c r="K131" i="2"/>
  <c r="K126" i="2"/>
  <c r="K124" i="2"/>
  <c r="K121" i="2"/>
  <c r="K106" i="2"/>
  <c r="K105" i="2"/>
  <c r="K98" i="2"/>
  <c r="K97" i="2"/>
  <c r="K93" i="2"/>
  <c r="K91" i="2"/>
  <c r="K90" i="2"/>
  <c r="K89" i="2"/>
  <c r="K87" i="2"/>
  <c r="K243" i="2"/>
  <c r="K84" i="2"/>
  <c r="K75" i="2"/>
  <c r="K83" i="2"/>
  <c r="K80" i="2"/>
  <c r="K72" i="2"/>
  <c r="K71" i="2"/>
  <c r="K59" i="2"/>
  <c r="K67" i="2"/>
  <c r="K64" i="2"/>
  <c r="K61" i="2"/>
  <c r="K58" i="2"/>
  <c r="K53" i="2"/>
  <c r="K50" i="2"/>
  <c r="K46" i="2"/>
  <c r="K44" i="2"/>
  <c r="K41" i="2"/>
  <c r="K35" i="2"/>
  <c r="K29" i="2"/>
  <c r="K30" i="2"/>
  <c r="K28" i="2"/>
  <c r="K15" i="2"/>
  <c r="K187" i="2"/>
  <c r="K5" i="2"/>
  <c r="K3" i="2"/>
  <c r="K2" i="2"/>
  <c r="F226" i="2" l="1"/>
  <c r="G226" i="2" s="1"/>
  <c r="F218" i="2" l="1"/>
  <c r="G218" i="2" s="1"/>
  <c r="F98" i="2"/>
  <c r="G98" i="2" s="1"/>
  <c r="F93" i="2"/>
  <c r="G93" i="2" s="1"/>
  <c r="F58" i="2"/>
  <c r="G58" i="2" s="1"/>
  <c r="F148" i="2"/>
  <c r="G148" i="2" s="1"/>
  <c r="F44" i="2"/>
  <c r="G44" i="2" s="1"/>
  <c r="F41" i="2" l="1"/>
  <c r="F317" i="2" s="1"/>
  <c r="D311" i="2"/>
  <c r="D318" i="2" s="1"/>
  <c r="G41" i="2" l="1"/>
  <c r="F311" i="2"/>
  <c r="G311" i="2" s="1"/>
  <c r="F31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Alain REPIQUET</author>
    <author>Alain Repiquet</author>
    <author>tc={8641083D-B7C5-4F76-A571-B5FC7DE0BDAE}</author>
  </authors>
  <commentList>
    <comment ref="D24" authorId="0" shapeId="0" xr:uid="{733539CB-CCF9-B64D-831B-1FCE99E032B9}">
      <text>
        <r>
          <rPr>
            <b/>
            <sz val="10"/>
            <color rgb="FF000000"/>
            <rFont val="Tahoma"/>
            <family val="2"/>
          </rPr>
          <t>Alain REPIQUET: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Attention : facturation double car oubli 2022
</t>
        </r>
      </text>
    </comment>
    <comment ref="D40" authorId="1" shapeId="0" xr:uid="{1C9D4F38-7E55-4090-8DFA-F3EAB7E22C7F}">
      <text>
        <r>
          <rPr>
            <b/>
            <sz val="9"/>
            <color rgb="FF000000"/>
            <rFont val="Tahoma"/>
            <family val="2"/>
          </rPr>
          <t>Alain Repiquet: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16800 facturé
</t>
        </r>
        <r>
          <rPr>
            <sz val="9"/>
            <color rgb="FF000000"/>
            <rFont val="Tahoma"/>
            <family val="2"/>
          </rPr>
          <t xml:space="preserve">4300 estimé sur fin d'année
</t>
        </r>
      </text>
    </comment>
    <comment ref="E44" authorId="2" shapeId="0" xr:uid="{8641083D-B7C5-4F76-A571-B5FC7DE0BDAE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5206.32 € total factures SAP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tc={5EE1CFCA-3B8F-40CC-86CC-CD25FD4705E2}</author>
    <author>tc={349EA861-622B-4834-BACB-A6FD3C12C6CD}</author>
    <author>tc={85145B46-4C04-4815-8FC9-9B860BECE938}</author>
    <author>tc={EEF44DC3-7189-4A10-B227-F51E10CBFA76}</author>
    <author>tc={D2CABF1C-3146-49F5-8D18-86234C12870D}</author>
    <author>tc={9FAE4E65-A6E9-D644-B6F4-03D362846B17}</author>
    <author>tc={BDD6AC7B-4DE9-B748-BA92-AC6A4FD11E68}</author>
    <author>tc={135F7510-A875-458C-8460-61DD3F32B74F}</author>
    <author>tc={C6CAC97F-61CF-428F-9B8D-BA2F70AFB843}</author>
    <author>tc={24118508-8A20-4074-871E-1C277A9AAE02}</author>
    <author>Alain Repiquet</author>
    <author>tc={710CA800-E66F-481D-AD36-FDE8C46FFB6A}</author>
    <author>tc={76FF7732-3128-4763-BE37-8D956ED7B465}</author>
    <author>tc={83B0D7CE-FE2F-42A5-ACAB-55C47724253C}</author>
    <author>tc={06E1D184-B89A-44A7-BA19-5B9892DE7D7F}</author>
    <author>tc={D9386EAD-CB26-492E-B19D-0F34743B8B26}</author>
    <author>tc={B4397657-24BA-9F46-B6AF-48C8A7747FCE}</author>
    <author>tc={647C7C9B-04E5-C14C-86DC-A233711E95D2}</author>
    <author>tc={0CA634BB-1304-4CB0-9D97-8011A4FBE12E}</author>
    <author>tc={18CA5F76-834A-410D-BECD-4059C4A14394}</author>
    <author>tc={DCA88FE1-54A9-4176-B5D0-3A031D06CB1E}</author>
    <author>tc={FECE8AF8-CE57-431B-AE2F-561FBC2BDAA9}</author>
    <author>tc={96F6EDC4-59BD-40AD-9340-E59D5ECDCEC6}</author>
    <author>tc={1F98A837-1C96-4025-8C9D-42DAF390F31C}</author>
    <author>Alain REPIQUET</author>
    <author>tc={8495A4AF-7786-41A6-94D5-32F4AF5309BA}</author>
    <author>tc={A78D6BE7-A995-4501-AC87-8923BCADC4B7}</author>
    <author>tc={2DA7AF6F-5D71-4B92-BD6D-29BE7658F155}</author>
    <author>tc={B7CDA509-0779-468F-A0F3-60F6B9927599}</author>
    <author>tc={72D650B2-C73B-4DAE-908E-403BDCF76942}</author>
    <author>tc={1146E8EB-F26F-4203-9B20-41196C1AC9DD}</author>
    <author>tc={303305EB-8FEC-4230-9FCD-031405DC7537}</author>
    <author>tc={4F0EB152-CCFA-4C0A-A4BC-BC4820BEE553}</author>
    <author>Audrey Carneiro</author>
    <author>tc={BD5ACD3E-8167-FE4C-B8DE-2FE3701D0F87}</author>
    <author>tc={17E4283D-FD0D-7742-BA05-130F92FEADB5}</author>
    <author>tc={E0DBC14F-4839-794B-B066-8DDEBF02AE45}</author>
    <author>tc={3AB596F5-002F-40FC-9BF2-0E859B591EED}</author>
    <author>tc={54719577-FF27-4B6A-8606-D032F033AC46}</author>
    <author>tc={BB8E8DF2-D9CD-4200-900D-CBC45344D5AE}</author>
    <author>tc={4E09BDDF-7D2E-4C80-B749-AA867F9D20ED}</author>
    <author>Fanny Lim</author>
  </authors>
  <commentList>
    <comment ref="V5" authorId="0" shapeId="0" xr:uid="{5EE1CFCA-3B8F-40CC-86CC-CD25FD4705E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 client a payé directement sans facture !!!</t>
      </text>
    </comment>
    <comment ref="E13" authorId="1" shapeId="0" xr:uid="{349EA861-622B-4834-BACB-A6FD3C12C6C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1 427,39 €
Parc 2 : 6 532,13 €</t>
      </text>
    </comment>
    <comment ref="E16" authorId="2" shapeId="0" xr:uid="{85145B46-4C04-4815-8FC9-9B860BECE93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BO &gt; 5.150,66€
Parc 2 : DI Server &gt; 3.266,67</t>
      </text>
    </comment>
    <comment ref="E28" authorId="3" shapeId="0" xr:uid="{EEF44DC3-7189-4A10-B227-F51E10CBFA7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2 457,75
Parc 2 : 9 216,57</t>
      </text>
    </comment>
    <comment ref="E31" authorId="4" shapeId="0" xr:uid="{D2CABF1C-3146-49F5-8D18-86234C12870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9 472,89 €
Parc 2 :    401,43 €</t>
      </text>
    </comment>
    <comment ref="D33" authorId="5" shapeId="0" xr:uid="{9FAE4E65-A6E9-D644-B6F4-03D362846B1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Exceptionnel 2023</t>
      </text>
    </comment>
    <comment ref="H33" authorId="6" shapeId="0" xr:uid="{BDD6AC7B-4DE9-B748-BA92-AC6A4FD11E6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Avoir de 2 mois imputés par SAP en 2023
</t>
      </text>
    </comment>
    <comment ref="D39" authorId="7" shapeId="0" xr:uid="{135F7510-A875-458C-8460-61DD3F32B74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BO : 32 597,27
BODI : 8 240,52</t>
      </text>
    </comment>
    <comment ref="E46" authorId="8" shapeId="0" xr:uid="{C6CAC97F-61CF-428F-9B8D-BA2F70AFB84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2 369,97 €
Parc 2 :    370,38 €</t>
      </text>
    </comment>
    <comment ref="U54" authorId="9" shapeId="0" xr:uid="{24118508-8A20-4074-871E-1C277A9AAE0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répondra début semaine 51, veut arrêter BO</t>
      </text>
    </comment>
    <comment ref="E58" authorId="10" shapeId="0" xr:uid="{E5A78094-7FBC-4D8D-873C-9DD91B988194}">
      <text>
        <r>
          <rPr>
            <b/>
            <sz val="9"/>
            <color rgb="FF000000"/>
            <rFont val="Tahoma"/>
            <family val="2"/>
          </rPr>
          <t>Alain Repiquet: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201,21 ?</t>
        </r>
      </text>
    </comment>
    <comment ref="E65" authorId="11" shapeId="0" xr:uid="{710CA800-E66F-481D-AD36-FDE8C46FFB6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2 457,79 €
Parc 2 : 1 17,16 €
Réponse :
    C’est 1117,16</t>
      </text>
    </comment>
    <comment ref="E78" authorId="12" shapeId="0" xr:uid="{76FF7732-3128-4763-BE37-8D956ED7B46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6 261,67
Parc 2 : 2 642,08</t>
      </text>
    </comment>
    <comment ref="E84" authorId="13" shapeId="0" xr:uid="{83B0D7CE-FE2F-42A5-ACAB-55C47724253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10 062,85 €
Parc 2 :  2 788,43 €</t>
      </text>
    </comment>
    <comment ref="E90" authorId="14" shapeId="0" xr:uid="{06E1D184-B89A-44A7-BA19-5B9892DE7D7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2 801,84 €
Parc 2 : 1 167,41 €</t>
      </text>
    </comment>
    <comment ref="E93" authorId="15" shapeId="0" xr:uid="{D9386EAD-CB26-492E-B19D-0F34743B8B2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2 900,55 €
Parc 2 : 3 380,73 €</t>
      </text>
    </comment>
    <comment ref="E111" authorId="16" shapeId="0" xr:uid="{B4397657-24BA-9F46-B6AF-48C8A7747FC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Facture de 1238,44 ok</t>
      </text>
    </comment>
    <comment ref="I111" authorId="17" shapeId="0" xr:uid="{647C7C9B-04E5-C14C-86DC-A233711E95D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</t>
      </text>
    </comment>
    <comment ref="E114" authorId="18" shapeId="0" xr:uid="{0CA634BB-1304-4CB0-9D97-8011A4FBE12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4 465,86 €
Parc 2 : 3 035,34 €</t>
      </text>
    </comment>
    <comment ref="E119" authorId="19" shapeId="0" xr:uid="{18CA5F76-834A-410D-BECD-4059C4A1439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629,67 €
Parc 2 : 1 633,97 €</t>
      </text>
    </comment>
    <comment ref="E159" authorId="20" shapeId="0" xr:uid="{DCA88FE1-54A9-4176-B5D0-3A031D06CB1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2 113,67 €
Parc 2 : 2 122,64 €</t>
      </text>
    </comment>
    <comment ref="D167" authorId="21" shapeId="0" xr:uid="{FECE8AF8-CE57-431B-AE2F-561FBC2BDA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Maintenance sur 13 mois</t>
      </text>
    </comment>
    <comment ref="H170" authorId="22" shapeId="0" xr:uid="{96F6EDC4-59BD-40AD-9340-E59D5ECDCEC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Remise de bienvenue en 2023 de 2000€</t>
      </text>
    </comment>
    <comment ref="E174" authorId="23" shapeId="0" xr:uid="{1F98A837-1C96-4025-8C9D-42DAF390F31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2 008,86 €
Parc 2 : 2 419,77 €</t>
      </text>
    </comment>
    <comment ref="D193" authorId="24" shapeId="0" xr:uid="{449E75A1-4E77-E94E-8940-34FBA57B0E79}">
      <text>
        <r>
          <rPr>
            <b/>
            <sz val="10"/>
            <color rgb="FF000000"/>
            <rFont val="Tahoma"/>
            <family val="2"/>
          </rPr>
          <t>Alain REPIQUET: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Echéancier 4 fois</t>
        </r>
      </text>
    </comment>
    <comment ref="E193" authorId="24" shapeId="0" xr:uid="{A5CFBBF5-3122-2543-BEBD-DB6A6F7108B9}">
      <text>
        <r>
          <rPr>
            <b/>
            <sz val="10"/>
            <color rgb="FF000000"/>
            <rFont val="Tahoma"/>
            <family val="2"/>
          </rPr>
          <t>Alain REPIQUET: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facture 18655,93 OK</t>
        </r>
      </text>
    </comment>
    <comment ref="E197" authorId="10" shapeId="0" xr:uid="{67B7A5C5-5FD2-4A72-AF66-1E8669D7BE29}">
      <text>
        <r>
          <rPr>
            <b/>
            <sz val="9"/>
            <color rgb="FF000000"/>
            <rFont val="Tahoma"/>
            <family val="2"/>
          </rPr>
          <t>Alain Repiquet: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BOBJ+SAP PAPER : (1045+631,64) 
</t>
        </r>
        <r>
          <rPr>
            <sz val="9"/>
            <color rgb="FF000000"/>
            <rFont val="Tahoma"/>
            <family val="2"/>
          </rPr>
          <t xml:space="preserve">16727,39 ok </t>
        </r>
      </text>
    </comment>
    <comment ref="E198" authorId="25" shapeId="0" xr:uid="{8495A4AF-7786-41A6-94D5-32F4AF5309B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8 937,28 €
Parc 2 : 2 014,49 €
Parc 3 : 2 014,49 €
Réponse :
    2014,49 facturé
Réponse :
    8937,28 facturé
</t>
      </text>
    </comment>
    <comment ref="D205" authorId="26" shapeId="0" xr:uid="{A78D6BE7-A995-4501-AC87-8923BCADC4B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50% de la marge est reversée à B&amp;D</t>
      </text>
    </comment>
    <comment ref="D211" authorId="27" shapeId="0" xr:uid="{2DA7AF6F-5D71-4B92-BD6D-29BE7658F15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Dont Sybase : 1 123,32€</t>
      </text>
    </comment>
    <comment ref="D214" authorId="28" shapeId="0" xr:uid="{B7CDA509-0779-468F-A0F3-60F6B992759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Remise de 660€ pour compensation retard de livraison des licences</t>
      </text>
    </comment>
    <comment ref="D219" authorId="29" shapeId="0" xr:uid="{72D650B2-C73B-4DAE-908E-403BDCF7694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Prix arbitraire décidé par moi-même !!</t>
      </text>
    </comment>
    <comment ref="E222" authorId="30" shapeId="0" xr:uid="{1146E8EB-F26F-4203-9B20-41196C1AC9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2 401,89 €
Parc 2 : 2 401,98 €
Parc 3 : 303,87 €</t>
      </text>
    </comment>
    <comment ref="E228" authorId="31" shapeId="0" xr:uid="{303305EB-8FEC-4230-9FCD-031405DC753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5 428,42 €
Parc 2 : 6 756,58 €</t>
      </text>
    </comment>
    <comment ref="E237" authorId="32" shapeId="0" xr:uid="{4F0EB152-CCFA-4C0A-A4BC-BC4820BEE55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1 657,5 €
Parc 2 : 1 259,34 €
Parc 3 : 1 791,09 €
Réponse :
    1791,09 facturé
</t>
      </text>
    </comment>
    <comment ref="E240" authorId="33" shapeId="0" xr:uid="{DA85FE43-C92D-4179-9350-2C931EDFE43A}">
      <text>
        <r>
          <rPr>
            <sz val="11"/>
            <color rgb="FF000000"/>
            <rFont val="Calibri"/>
            <family val="2"/>
          </rPr>
          <t xml:space="preserve">Audrey Carneiro:
</t>
        </r>
        <r>
          <rPr>
            <sz val="11"/>
            <color rgb="FF000000"/>
            <rFont val="Calibri"/>
            <family val="2"/>
          </rPr>
          <t xml:space="preserve">Calcul :
</t>
        </r>
        <r>
          <rPr>
            <sz val="11"/>
            <color rgb="FF000000"/>
            <rFont val="Calibri"/>
            <family val="2"/>
          </rPr>
          <t xml:space="preserve">5400 view ok facture Wiisdom
</t>
        </r>
        <r>
          <rPr>
            <sz val="11"/>
            <color rgb="FF000000"/>
            <rFont val="Calibri"/>
            <family val="2"/>
          </rPr>
          <t xml:space="preserve">5053.80 Eyes ? 
</t>
        </r>
      </text>
    </comment>
    <comment ref="D245" authorId="34" shapeId="0" xr:uid="{BD5ACD3E-8167-FE4C-B8DE-2FE3701D0F8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mois</t>
      </text>
    </comment>
    <comment ref="D246" authorId="35" shapeId="0" xr:uid="{17E4283D-FD0D-7742-BA05-130F92FEAD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mois</t>
      </text>
    </comment>
    <comment ref="D247" authorId="36" shapeId="0" xr:uid="{E0DBC14F-4839-794B-B066-8DDEBF02AE4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Ajouter les deux lignes de dessus
</t>
      </text>
    </comment>
    <comment ref="E251" authorId="10" shapeId="0" xr:uid="{F2E4F7D8-F64F-40C2-AFB0-B37C3D56712C}">
      <text>
        <r>
          <rPr>
            <b/>
            <sz val="9"/>
            <color rgb="FF000000"/>
            <rFont val="Tahoma"/>
            <family val="2"/>
          </rPr>
          <t>Alain Repiquet: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ACOIR SAP COVID
</t>
        </r>
      </text>
    </comment>
    <comment ref="D252" authorId="37" shapeId="0" xr:uid="{3AB596F5-002F-40FC-9BF2-0E859B591EE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Séparation 360. On enlève 4 000€</t>
      </text>
    </comment>
    <comment ref="E255" authorId="38" shapeId="0" xr:uid="{54719577-FF27-4B6A-8606-D032F033AC46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12 065,21 €
Parc 2 : 8 04,27 €
Réponse :
    Facture 804,23 ok
Réponse :
    12065,21 facturé
</t>
      </text>
    </comment>
    <comment ref="E257" authorId="39" shapeId="0" xr:uid="{BB8E8DF2-D9CD-4200-900D-CBC45344D5A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6 522,26 €
Parc 2 : 1 696,58€</t>
      </text>
    </comment>
    <comment ref="E261" authorId="40" shapeId="0" xr:uid="{4E09BDDF-7D2E-4C80-B749-AA867F9D20E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Parc 1 : 2 234,32
Parc 2 : 472,68
Réponse :
    2234,32 FACTURE OK</t>
      </text>
    </comment>
    <comment ref="D299" authorId="41" shapeId="0" xr:uid="{C4734EE8-F7FB-FB4A-A537-6A5CB6BBB4A4}">
      <text>
        <r>
          <rPr>
            <b/>
            <sz val="9"/>
            <color rgb="FF000000"/>
            <rFont val="Tahoma"/>
            <family val="2"/>
          </rPr>
          <t>Fanny Lim: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Contrat d'apport d'affaire : le prix de vente au client final est de 5074 EUROS
</t>
        </r>
        <r>
          <rPr>
            <sz val="9"/>
            <color rgb="FF000000"/>
            <rFont val="Tahoma"/>
            <family val="2"/>
          </rPr>
          <t>Prix de vente en Franc pacifique (XPF) 605</t>
        </r>
        <r>
          <rPr>
            <sz val="9"/>
            <color rgb="FF000000"/>
            <rFont val="Tahoma"/>
            <family val="2"/>
          </rPr>
          <t> </t>
        </r>
        <r>
          <rPr>
            <sz val="9"/>
            <color rgb="FF000000"/>
            <rFont val="Tahoma"/>
            <family val="2"/>
          </rPr>
          <t>489</t>
        </r>
      </text>
    </comment>
    <comment ref="E299" authorId="41" shapeId="0" xr:uid="{ACA6D2E7-01D4-BB40-AD97-97B6AD93FC72}">
      <text>
        <r>
          <rPr>
            <b/>
            <sz val="9"/>
            <color rgb="FF000000"/>
            <rFont val="Tahoma"/>
            <family val="2"/>
          </rPr>
          <t>Fanny Lim: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Prix d'achat en France pacifique (XPF) 465</t>
        </r>
        <r>
          <rPr>
            <sz val="9"/>
            <color rgb="FF000000"/>
            <rFont val="Tahoma"/>
            <family val="2"/>
          </rPr>
          <t> </t>
        </r>
        <r>
          <rPr>
            <sz val="9"/>
            <color rgb="FF000000"/>
            <rFont val="Tahoma"/>
            <family val="2"/>
          </rPr>
          <t>773</t>
        </r>
      </text>
    </comment>
    <comment ref="G299" authorId="41" shapeId="0" xr:uid="{993FBA33-540E-7444-BE8A-B81023112E0B}">
      <text>
        <r>
          <rPr>
            <b/>
            <sz val="9"/>
            <color indexed="81"/>
            <rFont val="Tahoma"/>
            <family val="2"/>
          </rPr>
          <t>Fanny Lim:</t>
        </r>
        <r>
          <rPr>
            <sz val="9"/>
            <color indexed="81"/>
            <rFont val="Tahoma"/>
            <family val="2"/>
          </rPr>
          <t xml:space="preserve">
Prix d'achat en France pacifique (XPF) 465 773</t>
        </r>
      </text>
    </comment>
    <comment ref="D304" authorId="41" shapeId="0" xr:uid="{196E9F98-0413-904D-9449-41D60FE9617D}">
      <text>
        <r>
          <rPr>
            <b/>
            <sz val="9"/>
            <color rgb="FF000000"/>
            <rFont val="Tahoma"/>
            <family val="2"/>
          </rPr>
          <t>Fanny Lim: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Contrat d'apport d'affaire : le prix de vente au client final est de 4358 EUROS
</t>
        </r>
        <r>
          <rPr>
            <sz val="9"/>
            <color rgb="FF000000"/>
            <rFont val="Tahoma"/>
            <family val="2"/>
          </rPr>
          <t xml:space="preserve">Prix de vente en Franc pacifique (XPF) 624057
</t>
        </r>
      </text>
    </comment>
    <comment ref="E304" authorId="41" shapeId="0" xr:uid="{1D7792B5-F774-EB43-91F6-66EEAA93ADD1}">
      <text>
        <r>
          <rPr>
            <b/>
            <sz val="9"/>
            <color rgb="FF000000"/>
            <rFont val="Tahoma"/>
            <family val="2"/>
          </rPr>
          <t>Fanny Lim: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Prix d'achat en France pacifique (XPF) 390 965</t>
        </r>
      </text>
    </comment>
    <comment ref="G304" authorId="41" shapeId="0" xr:uid="{9C8DFFE9-180A-2E43-88C9-DD9BE11C3E23}">
      <text>
        <r>
          <rPr>
            <b/>
            <sz val="9"/>
            <color indexed="81"/>
            <rFont val="Tahoma"/>
            <family val="2"/>
          </rPr>
          <t>Fanny Lim:</t>
        </r>
        <r>
          <rPr>
            <sz val="9"/>
            <color indexed="81"/>
            <rFont val="Tahoma"/>
            <family val="2"/>
          </rPr>
          <t xml:space="preserve">
Prix d'achat en France pacifique (XPF) 390 965</t>
        </r>
      </text>
    </comment>
  </commentList>
</comments>
</file>

<file path=xl/sharedStrings.xml><?xml version="1.0" encoding="utf-8"?>
<sst xmlns="http://schemas.openxmlformats.org/spreadsheetml/2006/main" count="2521" uniqueCount="589">
  <si>
    <t>SUIVI DES COMPTES OEM</t>
  </si>
  <si>
    <t>Editeur</t>
  </si>
  <si>
    <t>Client final</t>
  </si>
  <si>
    <t>Type maintenance</t>
  </si>
  <si>
    <t>Contact direct</t>
  </si>
  <si>
    <t>Parc</t>
  </si>
  <si>
    <t>AAERON</t>
  </si>
  <si>
    <t>OPH Gennevilliers</t>
  </si>
  <si>
    <t>PCOE</t>
  </si>
  <si>
    <t>Edge 5 NU</t>
  </si>
  <si>
    <t>INTERSYSTEMS</t>
  </si>
  <si>
    <t>AHBFC</t>
  </si>
  <si>
    <t>BO Pro 10 NU</t>
  </si>
  <si>
    <t>IDEA</t>
  </si>
  <si>
    <t>ARCHE MC2</t>
  </si>
  <si>
    <t>GIP CPAGE</t>
  </si>
  <si>
    <t>CIRIL</t>
  </si>
  <si>
    <t>CLOUD 2023</t>
  </si>
  <si>
    <t xml:space="preserve"> </t>
  </si>
  <si>
    <t>Indicateurs</t>
  </si>
  <si>
    <t>Données de base</t>
  </si>
  <si>
    <t>Facturation</t>
  </si>
  <si>
    <t>Workflow de gestion</t>
  </si>
  <si>
    <t>Imputation comptable Ventes</t>
  </si>
  <si>
    <t>Imputation comptable Achats</t>
  </si>
  <si>
    <t>Agence</t>
  </si>
  <si>
    <t>Client</t>
  </si>
  <si>
    <t>Statut</t>
  </si>
  <si>
    <t>CA cloud annuel</t>
  </si>
  <si>
    <t>Achat SAP</t>
  </si>
  <si>
    <t xml:space="preserve">Marge cloud </t>
  </si>
  <si>
    <t>Marge %</t>
  </si>
  <si>
    <t>Montant vente annuel si prorata</t>
  </si>
  <si>
    <t>Montant annuel Achat si prorata</t>
  </si>
  <si>
    <t>Date anniversaire</t>
  </si>
  <si>
    <t>Mois d'imputation</t>
  </si>
  <si>
    <t>Fin de contrat SAP</t>
  </si>
  <si>
    <t>Type de contenu SAP</t>
  </si>
  <si>
    <t>Numéro de facture</t>
  </si>
  <si>
    <t>Date de facture</t>
  </si>
  <si>
    <t>CA maintenance réel</t>
  </si>
  <si>
    <t>Achat SAP  réel</t>
  </si>
  <si>
    <t>Marge maintenance réelle</t>
  </si>
  <si>
    <t>Proposition SAP reçue</t>
  </si>
  <si>
    <t>Proposition  SAP envoyée</t>
  </si>
  <si>
    <t>Proposition Seenovate créée</t>
  </si>
  <si>
    <t>Proposition Seenovate envoyée</t>
  </si>
  <si>
    <t>Proposition signée par le client</t>
  </si>
  <si>
    <t>Attente  N° Cde client avant facturation</t>
  </si>
  <si>
    <t>Facture  créée</t>
  </si>
  <si>
    <t>Commande faite SAP</t>
  </si>
  <si>
    <t>Facture SAP reçue</t>
  </si>
  <si>
    <t>Remarques</t>
  </si>
  <si>
    <t>janvier</t>
  </si>
  <si>
    <t>février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</si>
  <si>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</si>
  <si>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</si>
  <si>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</si>
  <si>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</si>
  <si>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</si>
  <si>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</si>
  <si>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</si>
  <si>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</si>
  <si>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</si>
  <si>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décembre</t>
  </si>
  <si>
    <t>PREVISIONS</t>
  </si>
  <si>
    <t>Lyon</t>
  </si>
  <si>
    <t>AGENCE NATIONALE DE COHESION DES TERRITOIRES</t>
  </si>
  <si>
    <t>Juin</t>
  </si>
  <si>
    <t>SCP/SAC</t>
  </si>
  <si>
    <t>ALPTIS</t>
  </si>
  <si>
    <t>Résiliation au 28/02/2023</t>
  </si>
  <si>
    <t>Paris</t>
  </si>
  <si>
    <t>BIOGARAN</t>
  </si>
  <si>
    <t>CCFLEX</t>
  </si>
  <si>
    <t>Mars</t>
  </si>
  <si>
    <t>25 NUL SAC</t>
  </si>
  <si>
    <t>10% du TCV</t>
  </si>
  <si>
    <t>10% de l'ACV</t>
  </si>
  <si>
    <t>CONSEIL SUPERIEUR DU NOTARIAT</t>
  </si>
  <si>
    <t>SAC/SCP</t>
  </si>
  <si>
    <t>COUR DES COMPTES</t>
  </si>
  <si>
    <t>360bind</t>
  </si>
  <si>
    <t>x</t>
  </si>
  <si>
    <t>ESSENTIEL ET DOMICILE</t>
  </si>
  <si>
    <t>SAC</t>
  </si>
  <si>
    <t>15 users</t>
  </si>
  <si>
    <t>FEDERATION FRANCAISE DE NATATION</t>
  </si>
  <si>
    <t>25 SAC</t>
  </si>
  <si>
    <t>FLEX N GATE</t>
  </si>
  <si>
    <t>CCP</t>
  </si>
  <si>
    <t>SAC Planning</t>
  </si>
  <si>
    <t>Datawarehousecloud</t>
  </si>
  <si>
    <t>GENERALE DE TELEPHONE</t>
  </si>
  <si>
    <t>Février</t>
  </si>
  <si>
    <t>HMY</t>
  </si>
  <si>
    <t>10 users SAC</t>
  </si>
  <si>
    <t>FAC-20190809-01591</t>
  </si>
  <si>
    <t>HYDRO (SAPA)</t>
  </si>
  <si>
    <t>3 users</t>
  </si>
  <si>
    <t>jamais acheté à SAP (reprise MICROPOLE)</t>
  </si>
  <si>
    <t>INTERINVEST</t>
  </si>
  <si>
    <t>10 users SAC + 1 Plan Pred Professional Edition</t>
  </si>
  <si>
    <t>FAC-20191003-01621</t>
  </si>
  <si>
    <t>Via Seenovate</t>
  </si>
  <si>
    <t>10 NUL SAC</t>
  </si>
  <si>
    <t>INTERSELECTION AA</t>
  </si>
  <si>
    <t>résiliation au 20/07/2022</t>
  </si>
  <si>
    <t>KLEE GROUP</t>
  </si>
  <si>
    <t>L'AUXILIAIRE</t>
  </si>
  <si>
    <t>LOXAM</t>
  </si>
  <si>
    <t>Rennes</t>
  </si>
  <si>
    <t>MACIF</t>
  </si>
  <si>
    <t>Appport d'affaires Need4viz</t>
  </si>
  <si>
    <t>Need4viz</t>
  </si>
  <si>
    <t>Bordeaux</t>
  </si>
  <si>
    <t>MEDECINS SANS FRONTIERE</t>
  </si>
  <si>
    <t>Jasper</t>
  </si>
  <si>
    <t>Premium</t>
  </si>
  <si>
    <t>METROPOLE DE DIJON</t>
  </si>
  <si>
    <t>3 ans facturé</t>
  </si>
  <si>
    <t>10 users</t>
  </si>
  <si>
    <t>Facturation OK 3 ans</t>
  </si>
  <si>
    <t>Tout est facturé en 2018</t>
  </si>
  <si>
    <t>3 ans facturé+ regul 0,41 an</t>
  </si>
  <si>
    <t>30 users</t>
  </si>
  <si>
    <t>Montpellier</t>
  </si>
  <si>
    <t>NUTRITION ET SANTE</t>
  </si>
  <si>
    <t>OAK CONSULTING</t>
  </si>
  <si>
    <t>août</t>
  </si>
  <si>
    <t>OCVIA MAINTENANCE</t>
  </si>
  <si>
    <t>résiliation au 31/12/2022</t>
  </si>
  <si>
    <t>PRISMA MEDIA</t>
  </si>
  <si>
    <t>résiliation au 31/12/2021</t>
  </si>
  <si>
    <t>ROUTIN</t>
  </si>
  <si>
    <t>31/02/2024</t>
  </si>
  <si>
    <t>SAC 25 NUL</t>
  </si>
  <si>
    <t>ROYAL CANIN</t>
  </si>
  <si>
    <t>GCP</t>
  </si>
  <si>
    <t>TDF</t>
  </si>
  <si>
    <t>200 users BOC</t>
  </si>
  <si>
    <t>FAC202001-01728</t>
  </si>
  <si>
    <t>360view</t>
  </si>
  <si>
    <t>TOTALENERGIES REPORTINGCEE</t>
  </si>
  <si>
    <t>TRANSGOURMET</t>
  </si>
  <si>
    <t>VALANTUR</t>
  </si>
  <si>
    <t>Résiliation au 30/09/2021</t>
  </si>
  <si>
    <t>CEVA SANTE</t>
  </si>
  <si>
    <t>Tagetik apport d'affaires</t>
  </si>
  <si>
    <t>CEVA SANTE rattrapage 2022</t>
  </si>
  <si>
    <t>Tagetik apport d'affaire</t>
  </si>
  <si>
    <t>INNOVAL</t>
  </si>
  <si>
    <t>SAC 3 ans 40 NU</t>
  </si>
  <si>
    <t>FOND DE GARANTIE VICTIMES</t>
  </si>
  <si>
    <t>360 eyes</t>
  </si>
  <si>
    <t>FIN DE DOCUMENT</t>
  </si>
  <si>
    <t>TOTAL HORS PREVISIONS</t>
  </si>
  <si>
    <t>TOTAL AVEC PREVISIONS</t>
  </si>
  <si>
    <t>RESILIATIONS</t>
  </si>
  <si>
    <t>ERP Number 
Réf SAP</t>
  </si>
  <si>
    <t>CA maintenance facturé</t>
  </si>
  <si>
    <t>Achat SAP Maintenance ou GBS ou NEED4VIZ</t>
  </si>
  <si>
    <t xml:space="preserve">Marge maintenance </t>
  </si>
  <si>
    <t>Type de support SAP</t>
  </si>
  <si>
    <t>Type de contrat</t>
  </si>
  <si>
    <t>Année de résiliation</t>
  </si>
  <si>
    <t>Resp
Commercial</t>
  </si>
  <si>
    <t>AMAX BLANCHARD</t>
  </si>
  <si>
    <t>Enterprise</t>
  </si>
  <si>
    <t>APREVA  (groupe AESIO)</t>
  </si>
  <si>
    <t>Entreprise</t>
  </si>
  <si>
    <t>BOBJ</t>
  </si>
  <si>
    <t>ASCOMETAL</t>
  </si>
  <si>
    <t>BISCUITERIE FILET BLEU</t>
  </si>
  <si>
    <t>CAMAIEU</t>
  </si>
  <si>
    <t>Standard</t>
  </si>
  <si>
    <t>SAP PAPER</t>
  </si>
  <si>
    <t>Liquidation judiciaire en 2022.</t>
  </si>
  <si>
    <t>CCI OCCITANIE</t>
  </si>
  <si>
    <t>CCPA</t>
  </si>
  <si>
    <t>CH FOCH</t>
  </si>
  <si>
    <t>DELSEY</t>
  </si>
  <si>
    <t>ENEDIS VIA CODILOG</t>
  </si>
  <si>
    <t>360</t>
  </si>
  <si>
    <t>EUROPE QUALITÉ</t>
  </si>
  <si>
    <t>Ex BPI</t>
  </si>
  <si>
    <t>HYDRO (SAPA France)</t>
  </si>
  <si>
    <t>ID BEAUTY</t>
  </si>
  <si>
    <t>Action judiciaire.</t>
  </si>
  <si>
    <t>INEO SYSTRANS</t>
  </si>
  <si>
    <t>sap PAPER</t>
  </si>
  <si>
    <t>LES ECHOS</t>
  </si>
  <si>
    <t>Fusion avec Le Parisien puis LVMH (SAP direct).</t>
  </si>
  <si>
    <t>LORANS SA</t>
  </si>
  <si>
    <t>MAIRIE DE VICHY</t>
  </si>
  <si>
    <t>SAP PATHRU</t>
  </si>
  <si>
    <t>MARIONNAUD</t>
  </si>
  <si>
    <t>MIJE</t>
  </si>
  <si>
    <t>Disparition de BO. Changement de contact. Crise COVID.</t>
  </si>
  <si>
    <t>OPAC 38 (ALPES ISERE HABITAT)</t>
  </si>
  <si>
    <t xml:space="preserve">BOBJ </t>
  </si>
  <si>
    <t>OUEST France</t>
  </si>
  <si>
    <t>ROSSMANN</t>
  </si>
  <si>
    <t>ROUTIN (360)</t>
  </si>
  <si>
    <t>SELOGER</t>
  </si>
  <si>
    <t>SERAP INDUSTRIES</t>
  </si>
  <si>
    <t>SILA</t>
  </si>
  <si>
    <t>SYNERGIE EST @rsoe</t>
  </si>
  <si>
    <t>TERRES INOVIA</t>
  </si>
  <si>
    <t xml:space="preserve">SAP PAPER </t>
  </si>
  <si>
    <t>TOP OFFICE</t>
  </si>
  <si>
    <t>TRAPIL (SOCIETE DES TRANSPORTS PETROLIERS)</t>
  </si>
  <si>
    <t>UGC</t>
  </si>
  <si>
    <t>N4Z</t>
  </si>
  <si>
    <t>UNIVERSITE PARIS DIDEROT</t>
  </si>
  <si>
    <t>VITIVISTA</t>
  </si>
  <si>
    <t>WEBHELP NL</t>
  </si>
  <si>
    <t>XEFI</t>
  </si>
  <si>
    <t>SDIS 49</t>
  </si>
  <si>
    <t>SAP BOBJ</t>
  </si>
  <si>
    <t>GLE</t>
  </si>
  <si>
    <t>OK</t>
  </si>
  <si>
    <t>SDIS 76</t>
  </si>
  <si>
    <t>BDE</t>
  </si>
  <si>
    <t>SDIS 76 (extension)</t>
  </si>
  <si>
    <t>Montant vente annuel N+1</t>
  </si>
  <si>
    <t>Montant annuel Achat N+1</t>
  </si>
  <si>
    <t>Parc/Techno</t>
  </si>
  <si>
    <t>Relance client**</t>
  </si>
  <si>
    <t>ADEF HABITAT (ALGONIS)</t>
  </si>
  <si>
    <t>AEGLE</t>
  </si>
  <si>
    <t>AFP</t>
  </si>
  <si>
    <t>AGC 22 (CER FRANCE 22)</t>
  </si>
  <si>
    <t>AGEAS</t>
  </si>
  <si>
    <t>AGEFIPH</t>
  </si>
  <si>
    <t>-</t>
  </si>
  <si>
    <t>360View</t>
  </si>
  <si>
    <t>AGENCE ESPACES VERTS ILE DE France</t>
  </si>
  <si>
    <t>AGRICA</t>
  </si>
  <si>
    <t>AKFED</t>
  </si>
  <si>
    <t>ACA</t>
  </si>
  <si>
    <t>ALKOR (MAJUSCULES)</t>
  </si>
  <si>
    <t>ALLIANCE OPTIQUE</t>
  </si>
  <si>
    <t>ALLIANZ AFRICA</t>
  </si>
  <si>
    <t>23/12/2022 - 16/01/2023</t>
  </si>
  <si>
    <t>ALPTIS (BO + DI Server)</t>
  </si>
  <si>
    <t>TCH - ACA</t>
  </si>
  <si>
    <t>23-000079</t>
  </si>
  <si>
    <t>ALPTIS (extension = pbs dates/prorata)</t>
  </si>
  <si>
    <t>fact ALPTIS sur année calendaire 2023. A recaler côté SAP pour 2024</t>
  </si>
  <si>
    <t>ALPTIS (Power Designer)</t>
  </si>
  <si>
    <t>23-000043</t>
  </si>
  <si>
    <t>ANGERS LOIRE HABITAT</t>
  </si>
  <si>
    <t>APRIL TECHNOLOGIES</t>
  </si>
  <si>
    <t>Janvier</t>
  </si>
  <si>
    <t>% aug PAPER non disponible</t>
  </si>
  <si>
    <t>CA205A2210-00537</t>
  </si>
  <si>
    <t>AREAS DOMMAGES</t>
  </si>
  <si>
    <t>Vu avec audrey</t>
  </si>
  <si>
    <t>ASCOVAL (résiliation anticipée)</t>
  </si>
  <si>
    <t>ATOL LES OPTICIENS</t>
  </si>
  <si>
    <t>2 contrats</t>
  </si>
  <si>
    <t>1 contrat</t>
  </si>
  <si>
    <t>AUTORITE DE LA CONCURRENCE</t>
  </si>
  <si>
    <t>AXA Liabilities Management</t>
  </si>
  <si>
    <t>BAI SA (BRITTANY FERRIES) - BO</t>
  </si>
  <si>
    <t>BAI SA (BRITTANY FERRIES) - Replication Server</t>
  </si>
  <si>
    <t>BAI SA (BRITTANY FERRIES) - SYBASE</t>
  </si>
  <si>
    <t>BANDAI NAMCO EUROPE</t>
  </si>
  <si>
    <t>BANDAI NAMCO EUROPE (360)</t>
  </si>
  <si>
    <t>BERNARD SERVICES</t>
  </si>
  <si>
    <t>BEZIERS MEDITERRANEE</t>
  </si>
  <si>
    <t>ATA</t>
  </si>
  <si>
    <t>Tacite reconduction</t>
  </si>
  <si>
    <t xml:space="preserve">Marché renouvelable 2 fois avec augm. Indice syntec.Attente retour SAP pour ne pas augmenter. </t>
  </si>
  <si>
    <t>BFORBANK</t>
  </si>
  <si>
    <t>BGFI</t>
  </si>
  <si>
    <t>BOIRON</t>
  </si>
  <si>
    <t xml:space="preserve">Erreur du client sur BDC </t>
  </si>
  <si>
    <t>BONTAZ CENTRE (résiliation au 31/12/23)</t>
  </si>
  <si>
    <t>BPI France</t>
  </si>
  <si>
    <t>CAISSE DES FRANCAIS DE L ETRANGER</t>
  </si>
  <si>
    <t>CAPEL</t>
  </si>
  <si>
    <t>CARGLASS SERVICES</t>
  </si>
  <si>
    <t>CARIF OREF PDL</t>
  </si>
  <si>
    <t>CAST</t>
  </si>
  <si>
    <t>CD74 (extension ARE sept 2021)</t>
  </si>
  <si>
    <t>ATA - ACA</t>
  </si>
  <si>
    <t>CENTIGON FRANCE SAS</t>
  </si>
  <si>
    <t>CENTRE NATIONAL DU CINEMA (résil 31/12/22)</t>
  </si>
  <si>
    <t>2023 : 5260,23</t>
  </si>
  <si>
    <t>CENTRE OSCAR LAMBRET</t>
  </si>
  <si>
    <t>CER FRANCE 29</t>
  </si>
  <si>
    <t>CERESIA (ACOLYANCE)</t>
  </si>
  <si>
    <t>CERMIX COFRAC</t>
  </si>
  <si>
    <t>Attention souhaite résilier BO fin 2023</t>
  </si>
  <si>
    <t>CETIM</t>
  </si>
  <si>
    <t>14/12/22</t>
  </si>
  <si>
    <t>CFCAL</t>
  </si>
  <si>
    <t>CH AUXERRE</t>
  </si>
  <si>
    <t>CH COLMAR</t>
  </si>
  <si>
    <t>Doublon facture</t>
  </si>
  <si>
    <t>Avoir SAP sur extension facturée en double*</t>
  </si>
  <si>
    <t>CH DROME VIVARAIS (LE VALMONT)</t>
  </si>
  <si>
    <t>CH LE CATEAU CAMBRESIS</t>
  </si>
  <si>
    <t>CH LES SOURCES NICE</t>
  </si>
  <si>
    <t>CH PROVINS LEON BINET</t>
  </si>
  <si>
    <t>15/12/2022</t>
  </si>
  <si>
    <t>CH ST AMAND LES EAUX</t>
  </si>
  <si>
    <t>problème contrat, montants faux à vérifier</t>
  </si>
  <si>
    <t>CH TROYES</t>
  </si>
  <si>
    <t>CH WISSEMBOURG</t>
  </si>
  <si>
    <t>CHAMPAGNE LANSON</t>
  </si>
  <si>
    <t>CHAMPAGNES ROEDERER</t>
  </si>
  <si>
    <t>CHICOREE LEROUX</t>
  </si>
  <si>
    <t>ancien prix =&gt; ?</t>
  </si>
  <si>
    <t>erreur montant et interlocuteur. Modifié</t>
  </si>
  <si>
    <t>CHS SEVREY</t>
  </si>
  <si>
    <t>CHU BESANCON</t>
  </si>
  <si>
    <t>CHU BESANCON (extension 2020)</t>
  </si>
  <si>
    <t>CHU BESANCON (extension 2021)</t>
  </si>
  <si>
    <t>CHU RENNES (EES CLEVIA/ EIFFAGE)</t>
  </si>
  <si>
    <t>CIVC</t>
  </si>
  <si>
    <t>CIVC (Data Integrator 2020)</t>
  </si>
  <si>
    <t>CLARINS LOGISTIQUE</t>
  </si>
  <si>
    <t>CLARINS LOGISTIQUE (extension)</t>
  </si>
  <si>
    <t>CNIEL (MAISON DU LAIT)</t>
  </si>
  <si>
    <t>CONSEIL DEPART. DE HTE SAVOIE 74 (INETUM)</t>
  </si>
  <si>
    <t>DATES SAP au 31/12 vs. Dates client décalées.</t>
  </si>
  <si>
    <t>CORDON ELECTRONICS</t>
  </si>
  <si>
    <t>CPRN</t>
  </si>
  <si>
    <t>Prorata du 01/05/2022 au 31/12/2024</t>
  </si>
  <si>
    <t>DAMART (DSB)</t>
  </si>
  <si>
    <t>DANFOSS</t>
  </si>
  <si>
    <t>DARGAUX (PLURIAD)</t>
  </si>
  <si>
    <t>DARVA</t>
  </si>
  <si>
    <t>DELTA SECURITY</t>
  </si>
  <si>
    <t>DENIS MATERIAUX</t>
  </si>
  <si>
    <t>DEPARTEMENT DE LA MARNE</t>
  </si>
  <si>
    <t>DEPARTEMENT DES HAUTES-ALPES (05)</t>
  </si>
  <si>
    <t>plateforme Chorus en maintenance</t>
  </si>
  <si>
    <t>Mobilize FS (ex DIAC) via INFIDIS</t>
  </si>
  <si>
    <t>EXTENSION - RNWL 2024</t>
  </si>
  <si>
    <t>/</t>
  </si>
  <si>
    <t>2024 !!</t>
  </si>
  <si>
    <t>DIAGNOSTICA STAGO</t>
  </si>
  <si>
    <t>DOGGLABEL</t>
  </si>
  <si>
    <t>Montant à corriger</t>
  </si>
  <si>
    <t>EBI SA - ECOBANK</t>
  </si>
  <si>
    <t>EDELIS</t>
  </si>
  <si>
    <t>EMINENCE SA</t>
  </si>
  <si>
    <t>Predictive Analytics</t>
  </si>
  <si>
    <t>Fusion de 2 parcs upgradés</t>
  </si>
  <si>
    <t>ENSOSP</t>
  </si>
  <si>
    <t>NBE</t>
  </si>
  <si>
    <t>ENTORIA (CIPRE ASSURANCES)</t>
  </si>
  <si>
    <t>RENOUVELLEMENT 16 MOIS A FAIRE</t>
  </si>
  <si>
    <t>EPS VILLE EVRARD</t>
  </si>
  <si>
    <t>EPSM VALLEE DE L'ARVE</t>
  </si>
  <si>
    <t>ESI GROUP</t>
  </si>
  <si>
    <t>EURAPHARMA</t>
  </si>
  <si>
    <t>FEDERATION FRANCAISE DE L'ACIER (A3M)</t>
  </si>
  <si>
    <t>2023 : 4014,74</t>
  </si>
  <si>
    <t>FGAO ou FGV (Fond de garantie Assurance)</t>
  </si>
  <si>
    <t>FINERGAL</t>
  </si>
  <si>
    <t>FINEST INGR. BAKERY (DGF)</t>
  </si>
  <si>
    <t>FONDATION AKDN</t>
  </si>
  <si>
    <t>Màj 04/11/22 : BO vs. 360</t>
  </si>
  <si>
    <t>GESTIONOVA</t>
  </si>
  <si>
    <t>GFK</t>
  </si>
  <si>
    <t>GIE AMAE (ASSU2000)</t>
  </si>
  <si>
    <t>GIE SESAM VITALE</t>
  </si>
  <si>
    <t>GIP ALFA CENTRE</t>
  </si>
  <si>
    <t>GIP CPAGE (Need4viz)</t>
  </si>
  <si>
    <t>N4V</t>
  </si>
  <si>
    <t>GIP CPAGE OEM</t>
  </si>
  <si>
    <t>Octobre</t>
  </si>
  <si>
    <t>OEM</t>
  </si>
  <si>
    <t>SAP OEM</t>
  </si>
  <si>
    <t>GREF DE  BRETAGNE</t>
  </si>
  <si>
    <t>GREF DE  BRETAGNE (NEED4VIZ)</t>
  </si>
  <si>
    <t>HAMMERSON</t>
  </si>
  <si>
    <t>Alain</t>
  </si>
  <si>
    <t>HMY (complément Need4viz)</t>
  </si>
  <si>
    <t>HMY (Need4viz)</t>
  </si>
  <si>
    <t>HOLDER</t>
  </si>
  <si>
    <t>Client souhaite réduire son parc, mais impossible, Alain</t>
  </si>
  <si>
    <t>HOP!</t>
  </si>
  <si>
    <t>HOPITAL PRIVE D'ANTONY</t>
  </si>
  <si>
    <t>HOPITAL PRIVE GERIATRIQUE LES MAGNOLIAS (HPGM)</t>
  </si>
  <si>
    <t>HOSPICES CIVILS DE LYON</t>
  </si>
  <si>
    <t>/!\ RNWL 2022 : 31/12 !</t>
  </si>
  <si>
    <t>Commande et facture mensuelle/Marché signé en 09/2017 durée 4 ans. 2022 : facturé pour l'année.</t>
  </si>
  <si>
    <t>ICO</t>
  </si>
  <si>
    <t>ICO extension</t>
  </si>
  <si>
    <t>IMPRIMERIE TONNELLIER SAS</t>
  </si>
  <si>
    <t>INTEFP</t>
  </si>
  <si>
    <t>IPC</t>
  </si>
  <si>
    <t>IPS WEST AFRICA</t>
  </si>
  <si>
    <t>ISB FRANCE</t>
  </si>
  <si>
    <t>IUT POITIERS</t>
  </si>
  <si>
    <t>JEANNE ARTHES</t>
  </si>
  <si>
    <t>JM WESTON</t>
  </si>
  <si>
    <t>JULES (HAPPPY CHIC)</t>
  </si>
  <si>
    <t>KEOLIS CAEN MOBILITE</t>
  </si>
  <si>
    <t>KEPLER</t>
  </si>
  <si>
    <t>KERIA</t>
  </si>
  <si>
    <t>KIABI (BUNSHA)</t>
  </si>
  <si>
    <t>KILOUTOU</t>
  </si>
  <si>
    <t>29/02/2023</t>
  </si>
  <si>
    <t>KLESIA</t>
  </si>
  <si>
    <t>LA COURONNE</t>
  </si>
  <si>
    <t>LABORATOIRE OMEGA PHARMA (PERRIGO)</t>
  </si>
  <si>
    <t>LACOSTE</t>
  </si>
  <si>
    <t>LALIQUE</t>
  </si>
  <si>
    <t>LE FURET DU NORD</t>
  </si>
  <si>
    <t>LOCA SERVICES (SAS BOUVE)</t>
  </si>
  <si>
    <t>ARE</t>
  </si>
  <si>
    <t>LUCIEN ALLONE</t>
  </si>
  <si>
    <t>MAIRIE DE BAGNEUX</t>
  </si>
  <si>
    <t>MAIRIE DE LA ROCHE SUR YON</t>
  </si>
  <si>
    <t>MAIRIE DE VANNES</t>
  </si>
  <si>
    <t>MAISON LOUIS LATOUR</t>
  </si>
  <si>
    <t>MANUTAN COLLECTIVITES</t>
  </si>
  <si>
    <t>PAPER ou oubli ?</t>
  </si>
  <si>
    <t>MATCH Belgique</t>
  </si>
  <si>
    <t>MATCH France</t>
  </si>
  <si>
    <t>Ancien prix</t>
  </si>
  <si>
    <t>MDS</t>
  </si>
  <si>
    <t>MELICONI</t>
  </si>
  <si>
    <t>Indice Syntec sept 22 : 3,87%</t>
  </si>
  <si>
    <t>TCH</t>
  </si>
  <si>
    <t>EN JANV. FAIRE Prop.financière 3 mois du 01/01/20 au 31/03/20 (tjm 2019) et prop. 9 mois 01/04/20 au 31/12/20 new tjm.Marché de 2 ans du 01/04/17 au 31/03/19 + 2 ans</t>
  </si>
  <si>
    <t>MICROPORT CRM (SORIN)</t>
  </si>
  <si>
    <t>MONDIAL RELAY</t>
  </si>
  <si>
    <t>MONDIAL RELAY (extension)</t>
  </si>
  <si>
    <t>MONIQUE RANOU SA</t>
  </si>
  <si>
    <t>MORET INDUSTRIES</t>
  </si>
  <si>
    <t>MOVITEX</t>
  </si>
  <si>
    <t>MUTEX</t>
  </si>
  <si>
    <t>MUTUALIA</t>
  </si>
  <si>
    <t>Mutuelle Fraternelle Assurance (MFA)</t>
  </si>
  <si>
    <t>MUTUELLE INTEGRANCE</t>
  </si>
  <si>
    <t>NEXITY (SAP BFC)</t>
  </si>
  <si>
    <t>NEXITY (SAP BO)</t>
  </si>
  <si>
    <t>NEXITY (SAP BPC)</t>
  </si>
  <si>
    <t>NEXTPOOL</t>
  </si>
  <si>
    <t>NINKASI (résil 31/12/22)</t>
  </si>
  <si>
    <t>NNT CLOUD COMMUNICATIONS (ARKADIN)</t>
  </si>
  <si>
    <t>NOCIBE</t>
  </si>
  <si>
    <t>NUTRITION ET SANTÉ</t>
  </si>
  <si>
    <t>OKAIDI (ID GROUP)</t>
  </si>
  <si>
    <t>1710659 (900606)</t>
  </si>
  <si>
    <t>SAP BOBJ + PAPER</t>
  </si>
  <si>
    <t>ONEY</t>
  </si>
  <si>
    <t>ONEY (ABANDON)</t>
  </si>
  <si>
    <t>ORCHESTRA (NEWORCH)</t>
  </si>
  <si>
    <t>SAP BOBJ + PAPER + 360</t>
  </si>
  <si>
    <t>1045 et 631 sont des paper</t>
  </si>
  <si>
    <t>OREXAD RUBIX</t>
  </si>
  <si>
    <t>PANAGET</t>
  </si>
  <si>
    <t>2023 : 1167,41</t>
  </si>
  <si>
    <t>PHILIBERT</t>
  </si>
  <si>
    <t>POWERDATA</t>
  </si>
  <si>
    <t>Le client veut résilier Thierry prend en charge le dossier</t>
  </si>
  <si>
    <t>RAKUTEN (PRICE MINISTER)</t>
  </si>
  <si>
    <t>RAMERY</t>
  </si>
  <si>
    <t>REGION GRAND EST</t>
  </si>
  <si>
    <t>PA = BOBJ + PAPER</t>
  </si>
  <si>
    <t>Montage avec commission de 50% de la marge a reverser à B&amp;D</t>
  </si>
  <si>
    <t>PV = au parc SAP BOBJ</t>
  </si>
  <si>
    <t>RENNES METROPOLE KEOLIS</t>
  </si>
  <si>
    <t>ROSTAING</t>
  </si>
  <si>
    <t>RPC CONTAINERS (GCS)</t>
  </si>
  <si>
    <t>SAINT MACLOU</t>
  </si>
  <si>
    <t>SAINT MACLOU (extension 5 CAL)</t>
  </si>
  <si>
    <t>SALAUN EVASION</t>
  </si>
  <si>
    <t>SALAUN EVASION (extension = pbs de dates)</t>
  </si>
  <si>
    <t>SANEF</t>
  </si>
  <si>
    <t>Montant de 23 900 € car engagement contractuel</t>
  </si>
  <si>
    <t>SANTELYS</t>
  </si>
  <si>
    <t>SANTEVET</t>
  </si>
  <si>
    <t>SARIA INDUSTRIE</t>
  </si>
  <si>
    <t>SARIA INDUSTRIE (NEED4VIZ)</t>
  </si>
  <si>
    <t>SAS AGAPES</t>
  </si>
  <si>
    <t>SCHAEFFLER</t>
  </si>
  <si>
    <t>SDIS 35</t>
  </si>
  <si>
    <t>SECURITAS ALERT</t>
  </si>
  <si>
    <t>SECUTIX FRANCE SA</t>
  </si>
  <si>
    <t>SEEGROUP</t>
  </si>
  <si>
    <t>SEMITAN</t>
  </si>
  <si>
    <t>SERARE (NEW COURT MANAGEMENT)</t>
  </si>
  <si>
    <t>SERGIC INVEST</t>
  </si>
  <si>
    <t>SIEP DU SANTERRE</t>
  </si>
  <si>
    <t>SKERING</t>
  </si>
  <si>
    <t>Pas d'aug = vendu en 2022</t>
  </si>
  <si>
    <t>Attentdre retour d'audrey</t>
  </si>
  <si>
    <t>SOITEC</t>
  </si>
  <si>
    <t>STET</t>
  </si>
  <si>
    <t>SULLY GROUP</t>
  </si>
  <si>
    <t>SAP Sybase</t>
  </si>
  <si>
    <t>Juillet</t>
  </si>
  <si>
    <t>SAP BO</t>
  </si>
  <si>
    <t>SUNCLEAR</t>
  </si>
  <si>
    <t>TENDRIADE-COLLET</t>
  </si>
  <si>
    <t>TEXDECOR</t>
  </si>
  <si>
    <t>Textiles Well (CSP FASHION GROUP PARIS)</t>
  </si>
  <si>
    <t>TIPIAK</t>
  </si>
  <si>
    <t>TORAY FILMS</t>
  </si>
  <si>
    <t>Parc Power designer résilié</t>
  </si>
  <si>
    <t>pénalités clients à ajouter</t>
  </si>
  <si>
    <t>TOYOTA FINANCIAL SERVICES</t>
  </si>
  <si>
    <t>TRANSPORTS MESGUEN</t>
  </si>
  <si>
    <t>TRIMANE</t>
  </si>
  <si>
    <t>UGC (360 Eyes et 360 Plus)</t>
  </si>
  <si>
    <t>Wiiisdom</t>
  </si>
  <si>
    <t>UGC (BO)</t>
  </si>
  <si>
    <t>UGC (Data Integrator)</t>
  </si>
  <si>
    <t>V2D LINGERIE (STEFFY)</t>
  </si>
  <si>
    <t>V33</t>
  </si>
  <si>
    <t>VAL SOLUTIONS</t>
  </si>
  <si>
    <t>VALFRANCE</t>
  </si>
  <si>
    <t>VILLE DE MEAUX</t>
  </si>
  <si>
    <t>SEMERU / VILLE DE PARIS</t>
  </si>
  <si>
    <t>VIVENDI</t>
  </si>
  <si>
    <t>VYNEX</t>
  </si>
  <si>
    <t>Parc BO 1 + extension 2020</t>
  </si>
  <si>
    <t>Sybase</t>
  </si>
  <si>
    <t>VYV CARE IT</t>
  </si>
  <si>
    <t>W HA</t>
  </si>
  <si>
    <t>W HA (N4V)</t>
  </si>
  <si>
    <t>WEBHELP</t>
  </si>
  <si>
    <t>WEBHELP extension</t>
  </si>
  <si>
    <t>CENPAC (360)</t>
  </si>
  <si>
    <t>JPW</t>
  </si>
  <si>
    <t>ASSOCIATION HOSPITALIERE BOURGOGNE FRANCHE COMTE</t>
  </si>
  <si>
    <t>OPH GENNEVILLIERS</t>
  </si>
  <si>
    <t>MONDIAL RELAY (extension 25 NU)</t>
  </si>
  <si>
    <t>BOUE GROUP via IDEA</t>
  </si>
  <si>
    <t>SIGIDURS via CIRIL</t>
  </si>
  <si>
    <t>L'AUXILIAIRE (360)</t>
  </si>
  <si>
    <t>PAVLLON PREVOYANCE</t>
  </si>
  <si>
    <t>PEDAB</t>
  </si>
  <si>
    <t>IBM</t>
  </si>
  <si>
    <t>IBM DB2</t>
  </si>
  <si>
    <t>BACKEUROP via IDEA</t>
  </si>
  <si>
    <t>Août</t>
  </si>
  <si>
    <t>REPRISES CIBLES</t>
  </si>
  <si>
    <t>AQUITANIS</t>
  </si>
  <si>
    <t>GROUPE HEPPNER</t>
  </si>
  <si>
    <t>JDK</t>
  </si>
  <si>
    <t>CENPAC</t>
  </si>
  <si>
    <t>MDS (360)</t>
  </si>
  <si>
    <t>MDS (NEED4VIZ)</t>
  </si>
  <si>
    <t>MAIRIE DE ROUEN</t>
  </si>
  <si>
    <t>REGION GRAND EST (360)</t>
  </si>
  <si>
    <t>PARC A REPRENDRE 2023</t>
  </si>
  <si>
    <t>CONSEIL DEPARTEMENTAL DE LA SAVOIE  - 953535</t>
  </si>
  <si>
    <t>XYRIC  - 947807</t>
  </si>
  <si>
    <t>CIRIL (SDIS 84) - (OXIO CHEZ SAP ERP 1175605)</t>
  </si>
  <si>
    <t>BANQUE DE NOUVELLE CALEDONIE (ROI) - 1773259</t>
  </si>
  <si>
    <t>PORCHER INDUSTRIES - 972537</t>
  </si>
  <si>
    <t>LA PROVENCE - 970207</t>
  </si>
  <si>
    <t>NANTES METROPOLE - 945875</t>
  </si>
  <si>
    <t>HEYTENS FRANCE - 945159</t>
  </si>
  <si>
    <t>PROVINCE NORD CAP EMPLOI (ROI) -1784917</t>
  </si>
  <si>
    <t>GROUPE IES - 934586</t>
  </si>
  <si>
    <t>INTRUM JUSTICIA GRC - 1045475</t>
  </si>
  <si>
    <t>EXTENSIONS PARC</t>
  </si>
  <si>
    <t>TOTAL SANS PREVISIONS</t>
  </si>
  <si>
    <t>A</t>
  </si>
  <si>
    <t>B</t>
  </si>
  <si>
    <t>C</t>
  </si>
  <si>
    <t>I</t>
  </si>
  <si>
    <t>J</t>
  </si>
  <si>
    <t>K</t>
  </si>
  <si>
    <t>11-111111</t>
  </si>
  <si>
    <t>ERP_Number_Ref_SAP</t>
  </si>
  <si>
    <t>Devis</t>
  </si>
  <si>
    <t>Accord de principe</t>
  </si>
  <si>
    <t>Signature client</t>
  </si>
  <si>
    <t>Achat éditeur</t>
  </si>
  <si>
    <t>Renouvelé</t>
  </si>
  <si>
    <t>Traitement comptable</t>
  </si>
  <si>
    <t>Paiement SAP</t>
  </si>
  <si>
    <t>Demande de résiliation</t>
  </si>
  <si>
    <t>Communication éditeur</t>
  </si>
  <si>
    <t>Résilié</t>
  </si>
  <si>
    <t>Converti ou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</si>
</sst>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_€"/>
    <numFmt numFmtId="166" formatCode="#,##0.00\ &quot;€&quot;"/>
    <numFmt numFmtId="167" formatCode="_-* #,##0.00\ [$€-40C]_-;\-* #,##0.00\ [$€-40C]_-;_-* &quot;-&quot;??\ [$€-40C]_-;_-@_-"/>
    <numFmt numFmtId="168" formatCode="[$-40C]mmm\-yy;@"/>
    <numFmt numFmtId="169" formatCode="dd/mm/yy;@"/>
  </numFmts>
  <fonts count="6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0.5999938962981048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72"/>
      <color theme="1"/>
      <name val="Arial"/>
      <family val="2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7030A0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36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1"/>
      <color rgb="FF0066FF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ED7D31"/>
      <name val="Calibri"/>
      <family val="2"/>
      <scheme val="minor"/>
    </font>
    <font>
      <b/>
      <sz val="11"/>
      <color rgb="FFFF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7B7B7B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name val="Calibri"/>
      <family val="2"/>
      <scheme val="minor"/>
    </font>
    <font>
      <b/>
      <sz val="48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7B7B7B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FFFF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757171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14" borderId="0" applyNumberFormat="0" applyBorder="0" applyAlignment="0" applyProtection="0"/>
    <xf numFmtId="0" fontId="31" fillId="19" borderId="0" applyNumberFormat="0" applyBorder="0" applyAlignment="0" applyProtection="0"/>
    <xf numFmtId="44" fontId="3" fillId="0" borderId="0" applyFont="0" applyFill="0" applyBorder="0" applyAlignment="0" applyProtection="0"/>
  </cellStyleXfs>
  <cellXfs count="559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7" borderId="1" xfId="0" applyFont="1" applyFill="1" applyBorder="1"/>
    <xf numFmtId="0" fontId="10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5" fillId="8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2" fontId="8" fillId="8" borderId="1" xfId="0" applyNumberFormat="1" applyFont="1" applyFill="1" applyBorder="1" applyAlignment="1">
      <alignment horizontal="center" vertical="center"/>
    </xf>
    <xf numFmtId="14" fontId="8" fillId="8" borderId="1" xfId="0" applyNumberFormat="1" applyFont="1" applyFill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0" fontId="5" fillId="10" borderId="6" xfId="0" applyFont="1" applyFill="1" applyBorder="1" applyAlignment="1">
      <alignment horizontal="center"/>
    </xf>
    <xf numFmtId="0" fontId="19" fillId="0" borderId="0" xfId="0" applyFont="1" applyAlignment="1">
      <alignment vertical="center"/>
    </xf>
    <xf numFmtId="0" fontId="5" fillId="15" borderId="4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14" borderId="1" xfId="3" applyFont="1" applyBorder="1"/>
    <xf numFmtId="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8" fillId="8" borderId="11" xfId="0" applyFont="1" applyFill="1" applyBorder="1" applyAlignment="1">
      <alignment vertical="center"/>
    </xf>
    <xf numFmtId="0" fontId="5" fillId="14" borderId="1" xfId="3" applyFont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5" fillId="17" borderId="1" xfId="3" applyFont="1" applyFill="1" applyBorder="1" applyAlignment="1">
      <alignment horizontal="center" vertical="center"/>
    </xf>
    <xf numFmtId="0" fontId="0" fillId="17" borderId="1" xfId="3" applyFont="1" applyFill="1" applyBorder="1"/>
    <xf numFmtId="0" fontId="8" fillId="16" borderId="1" xfId="0" applyFont="1" applyFill="1" applyBorder="1" applyAlignment="1">
      <alignment horizontal="center" vertical="center"/>
    </xf>
    <xf numFmtId="4" fontId="20" fillId="8" borderId="1" xfId="0" applyNumberFormat="1" applyFont="1" applyFill="1" applyBorder="1" applyAlignment="1">
      <alignment horizontal="center" vertical="center"/>
    </xf>
    <xf numFmtId="4" fontId="21" fillId="10" borderId="9" xfId="0" applyNumberFormat="1" applyFont="1" applyFill="1" applyBorder="1"/>
    <xf numFmtId="9" fontId="21" fillId="10" borderId="9" xfId="1" applyFont="1" applyFill="1" applyBorder="1"/>
    <xf numFmtId="0" fontId="0" fillId="10" borderId="0" xfId="0" applyFill="1" applyAlignment="1">
      <alignment wrapText="1"/>
    </xf>
    <xf numFmtId="14" fontId="17" fillId="10" borderId="6" xfId="0" applyNumberFormat="1" applyFont="1" applyFill="1" applyBorder="1" applyAlignment="1">
      <alignment horizontal="center"/>
    </xf>
    <xf numFmtId="165" fontId="16" fillId="10" borderId="6" xfId="0" applyNumberFormat="1" applyFont="1" applyFill="1" applyBorder="1"/>
    <xf numFmtId="2" fontId="8" fillId="10" borderId="6" xfId="0" applyNumberFormat="1" applyFont="1" applyFill="1" applyBorder="1" applyAlignment="1">
      <alignment horizontal="center"/>
    </xf>
    <xf numFmtId="2" fontId="8" fillId="10" borderId="10" xfId="0" applyNumberFormat="1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0" fillId="10" borderId="6" xfId="0" applyFill="1" applyBorder="1"/>
    <xf numFmtId="0" fontId="0" fillId="10" borderId="10" xfId="0" applyFill="1" applyBorder="1" applyAlignment="1">
      <alignment horizontal="center"/>
    </xf>
    <xf numFmtId="0" fontId="9" fillId="10" borderId="6" xfId="0" applyFont="1" applyFill="1" applyBorder="1" applyAlignment="1">
      <alignment horizontal="center"/>
    </xf>
    <xf numFmtId="2" fontId="11" fillId="10" borderId="6" xfId="0" applyNumberFormat="1" applyFont="1" applyFill="1" applyBorder="1" applyAlignment="1">
      <alignment horizontal="center"/>
    </xf>
    <xf numFmtId="2" fontId="11" fillId="10" borderId="6" xfId="0" applyNumberFormat="1" applyFont="1" applyFill="1" applyBorder="1"/>
    <xf numFmtId="0" fontId="17" fillId="10" borderId="6" xfId="0" applyFont="1" applyFill="1" applyBorder="1" applyAlignment="1">
      <alignment horizontal="center"/>
    </xf>
    <xf numFmtId="14" fontId="21" fillId="10" borderId="6" xfId="0" applyNumberFormat="1" applyFont="1" applyFill="1" applyBorder="1" applyAlignment="1">
      <alignment horizontal="left"/>
    </xf>
    <xf numFmtId="164" fontId="0" fillId="10" borderId="9" xfId="2" applyFont="1" applyFill="1" applyBorder="1"/>
    <xf numFmtId="164" fontId="0" fillId="0" borderId="0" xfId="2" applyFont="1"/>
    <xf numFmtId="164" fontId="18" fillId="10" borderId="9" xfId="2" applyFont="1" applyFill="1" applyBorder="1"/>
    <xf numFmtId="0" fontId="0" fillId="10" borderId="1" xfId="0" applyFill="1" applyBorder="1"/>
    <xf numFmtId="0" fontId="9" fillId="10" borderId="1" xfId="0" applyFont="1" applyFill="1" applyBorder="1"/>
    <xf numFmtId="4" fontId="21" fillId="10" borderId="1" xfId="0" applyNumberFormat="1" applyFont="1" applyFill="1" applyBorder="1"/>
    <xf numFmtId="9" fontId="21" fillId="10" borderId="1" xfId="1" applyFont="1" applyFill="1" applyBorder="1"/>
    <xf numFmtId="164" fontId="0" fillId="10" borderId="1" xfId="2" applyFont="1" applyFill="1" applyBorder="1"/>
    <xf numFmtId="14" fontId="0" fillId="10" borderId="1" xfId="0" applyNumberFormat="1" applyFill="1" applyBorder="1"/>
    <xf numFmtId="14" fontId="21" fillId="10" borderId="1" xfId="0" applyNumberFormat="1" applyFont="1" applyFill="1" applyBorder="1" applyAlignment="1">
      <alignment horizontal="left"/>
    </xf>
    <xf numFmtId="14" fontId="0" fillId="10" borderId="1" xfId="0" applyNumberFormat="1" applyFill="1" applyBorder="1" applyAlignment="1">
      <alignment horizontal="center"/>
    </xf>
    <xf numFmtId="14" fontId="17" fillId="10" borderId="1" xfId="0" applyNumberFormat="1" applyFont="1" applyFill="1" applyBorder="1" applyAlignment="1">
      <alignment horizontal="center"/>
    </xf>
    <xf numFmtId="0" fontId="9" fillId="10" borderId="1" xfId="0" applyFont="1" applyFill="1" applyBorder="1" applyAlignment="1">
      <alignment wrapText="1"/>
    </xf>
    <xf numFmtId="14" fontId="9" fillId="10" borderId="1" xfId="0" applyNumberFormat="1" applyFont="1" applyFill="1" applyBorder="1"/>
    <xf numFmtId="165" fontId="16" fillId="10" borderId="1" xfId="0" applyNumberFormat="1" applyFont="1" applyFill="1" applyBorder="1"/>
    <xf numFmtId="2" fontId="8" fillId="10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14" fontId="0" fillId="10" borderId="1" xfId="0" applyNumberFormat="1" applyFill="1" applyBorder="1" applyAlignment="1">
      <alignment horizontal="right"/>
    </xf>
    <xf numFmtId="0" fontId="0" fillId="0" borderId="1" xfId="0" applyBorder="1"/>
    <xf numFmtId="4" fontId="21" fillId="0" borderId="1" xfId="0" applyNumberFormat="1" applyFont="1" applyBorder="1"/>
    <xf numFmtId="9" fontId="21" fillId="0" borderId="1" xfId="1" applyFont="1" applyFill="1" applyBorder="1"/>
    <xf numFmtId="164" fontId="0" fillId="0" borderId="1" xfId="2" applyFont="1" applyFill="1" applyBorder="1"/>
    <xf numFmtId="14" fontId="9" fillId="0" borderId="1" xfId="0" applyNumberFormat="1" applyFont="1" applyBorder="1"/>
    <xf numFmtId="14" fontId="0" fillId="0" borderId="1" xfId="0" applyNumberForma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165" fontId="16" fillId="0" borderId="1" xfId="0" applyNumberFormat="1" applyFont="1" applyBorder="1"/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14" fontId="21" fillId="0" borderId="1" xfId="0" applyNumberFormat="1" applyFont="1" applyBorder="1"/>
    <xf numFmtId="14" fontId="1" fillId="0" borderId="1" xfId="0" applyNumberFormat="1" applyFont="1" applyBorder="1"/>
    <xf numFmtId="0" fontId="12" fillId="0" borderId="1" xfId="0" applyFont="1" applyBorder="1"/>
    <xf numFmtId="0" fontId="1" fillId="0" borderId="1" xfId="0" applyFont="1" applyBorder="1"/>
    <xf numFmtId="0" fontId="8" fillId="0" borderId="1" xfId="0" applyFont="1" applyBorder="1"/>
    <xf numFmtId="4" fontId="0" fillId="0" borderId="1" xfId="0" applyNumberFormat="1" applyBorder="1"/>
    <xf numFmtId="0" fontId="8" fillId="10" borderId="1" xfId="0" applyFont="1" applyFill="1" applyBorder="1"/>
    <xf numFmtId="0" fontId="1" fillId="17" borderId="1" xfId="3" applyFont="1" applyFill="1" applyBorder="1"/>
    <xf numFmtId="9" fontId="21" fillId="8" borderId="9" xfId="1" applyFont="1" applyFill="1" applyBorder="1"/>
    <xf numFmtId="4" fontId="23" fillId="8" borderId="1" xfId="0" applyNumberFormat="1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left" vertical="center"/>
    </xf>
    <xf numFmtId="9" fontId="21" fillId="0" borderId="1" xfId="1" applyFont="1" applyBorder="1"/>
    <xf numFmtId="164" fontId="0" fillId="0" borderId="1" xfId="2" applyFont="1" applyBorder="1"/>
    <xf numFmtId="0" fontId="24" fillId="10" borderId="1" xfId="3" applyFont="1" applyFill="1" applyBorder="1" applyAlignment="1">
      <alignment vertical="center"/>
    </xf>
    <xf numFmtId="0" fontId="0" fillId="2" borderId="1" xfId="3" applyFont="1" applyFill="1" applyBorder="1" applyAlignment="1">
      <alignment vertical="center"/>
    </xf>
    <xf numFmtId="0" fontId="8" fillId="11" borderId="0" xfId="0" applyFont="1" applyFill="1"/>
    <xf numFmtId="4" fontId="8" fillId="11" borderId="0" xfId="0" applyNumberFormat="1" applyFont="1" applyFill="1"/>
    <xf numFmtId="9" fontId="8" fillId="11" borderId="0" xfId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2" fontId="17" fillId="10" borderId="6" xfId="0" applyNumberFormat="1" applyFont="1" applyFill="1" applyBorder="1" applyAlignment="1">
      <alignment horizontal="center"/>
    </xf>
    <xf numFmtId="2" fontId="17" fillId="10" borderId="6" xfId="0" applyNumberFormat="1" applyFont="1" applyFill="1" applyBorder="1" applyAlignment="1">
      <alignment horizontal="left" wrapText="1"/>
    </xf>
    <xf numFmtId="14" fontId="0" fillId="0" borderId="0" xfId="2" applyNumberFormat="1" applyFont="1" applyFill="1"/>
    <xf numFmtId="164" fontId="17" fillId="10" borderId="6" xfId="2" applyFont="1" applyFill="1" applyBorder="1" applyAlignment="1">
      <alignment horizontal="center"/>
    </xf>
    <xf numFmtId="0" fontId="9" fillId="0" borderId="2" xfId="0" applyFont="1" applyBorder="1"/>
    <xf numFmtId="0" fontId="5" fillId="17" borderId="1" xfId="3" applyFont="1" applyFill="1" applyBorder="1"/>
    <xf numFmtId="165" fontId="0" fillId="0" borderId="1" xfId="0" applyNumberFormat="1" applyBorder="1"/>
    <xf numFmtId="166" fontId="0" fillId="0" borderId="1" xfId="0" applyNumberFormat="1" applyBorder="1"/>
    <xf numFmtId="165" fontId="9" fillId="0" borderId="1" xfId="0" applyNumberFormat="1" applyFont="1" applyBorder="1"/>
    <xf numFmtId="165" fontId="0" fillId="10" borderId="1" xfId="0" applyNumberFormat="1" applyFill="1" applyBorder="1"/>
    <xf numFmtId="0" fontId="5" fillId="7" borderId="1" xfId="0" applyFont="1" applyFill="1" applyBorder="1"/>
    <xf numFmtId="14" fontId="17" fillId="10" borderId="1" xfId="0" applyNumberFormat="1" applyFont="1" applyFill="1" applyBorder="1"/>
    <xf numFmtId="14" fontId="1" fillId="10" borderId="1" xfId="0" applyNumberFormat="1" applyFont="1" applyFill="1" applyBorder="1"/>
    <xf numFmtId="14" fontId="1" fillId="10" borderId="1" xfId="0" applyNumberFormat="1" applyFont="1" applyFill="1" applyBorder="1" applyAlignment="1">
      <alignment horizontal="right"/>
    </xf>
    <xf numFmtId="0" fontId="17" fillId="10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left" wrapText="1"/>
    </xf>
    <xf numFmtId="14" fontId="17" fillId="10" borderId="1" xfId="0" applyNumberFormat="1" applyFont="1" applyFill="1" applyBorder="1" applyAlignment="1">
      <alignment horizontal="left" wrapText="1"/>
    </xf>
    <xf numFmtId="14" fontId="0" fillId="10" borderId="1" xfId="0" applyNumberFormat="1" applyFill="1" applyBorder="1" applyAlignment="1">
      <alignment horizontal="left" wrapText="1"/>
    </xf>
    <xf numFmtId="0" fontId="17" fillId="10" borderId="1" xfId="0" applyFont="1" applyFill="1" applyBorder="1"/>
    <xf numFmtId="0" fontId="5" fillId="10" borderId="1" xfId="0" applyFont="1" applyFill="1" applyBorder="1" applyAlignment="1">
      <alignment horizontal="center"/>
    </xf>
    <xf numFmtId="2" fontId="11" fillId="10" borderId="1" xfId="0" applyNumberFormat="1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2" fontId="8" fillId="10" borderId="1" xfId="0" applyNumberFormat="1" applyFont="1" applyFill="1" applyBorder="1" applyAlignment="1">
      <alignment horizontal="center" wrapText="1"/>
    </xf>
    <xf numFmtId="17" fontId="9" fillId="10" borderId="1" xfId="0" applyNumberFormat="1" applyFont="1" applyFill="1" applyBorder="1" applyAlignment="1">
      <alignment horizontal="center"/>
    </xf>
    <xf numFmtId="17" fontId="8" fillId="10" borderId="1" xfId="0" applyNumberFormat="1" applyFont="1" applyFill="1" applyBorder="1" applyAlignment="1">
      <alignment horizontal="center"/>
    </xf>
    <xf numFmtId="49" fontId="8" fillId="10" borderId="1" xfId="0" applyNumberFormat="1" applyFont="1" applyFill="1" applyBorder="1" applyAlignment="1">
      <alignment horizontal="center"/>
    </xf>
    <xf numFmtId="2" fontId="11" fillId="10" borderId="1" xfId="0" applyNumberFormat="1" applyFont="1" applyFill="1" applyBorder="1"/>
    <xf numFmtId="12" fontId="0" fillId="10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0" fontId="17" fillId="10" borderId="1" xfId="0" quotePrefix="1" applyFont="1" applyFill="1" applyBorder="1" applyAlignment="1">
      <alignment horizontal="center"/>
    </xf>
    <xf numFmtId="0" fontId="15" fillId="12" borderId="0" xfId="0" applyFont="1" applyFill="1" applyAlignment="1">
      <alignment horizontal="center" vertical="center" wrapText="1"/>
    </xf>
    <xf numFmtId="166" fontId="0" fillId="10" borderId="1" xfId="0" applyNumberFormat="1" applyFill="1" applyBorder="1"/>
    <xf numFmtId="14" fontId="21" fillId="10" borderId="1" xfId="0" applyNumberFormat="1" applyFont="1" applyFill="1" applyBorder="1"/>
    <xf numFmtId="14" fontId="9" fillId="10" borderId="1" xfId="0" applyNumberFormat="1" applyFont="1" applyFill="1" applyBorder="1" applyAlignment="1">
      <alignment horizontal="right"/>
    </xf>
    <xf numFmtId="165" fontId="0" fillId="10" borderId="1" xfId="0" applyNumberFormat="1" applyFill="1" applyBorder="1" applyAlignment="1">
      <alignment horizontal="right"/>
    </xf>
    <xf numFmtId="166" fontId="9" fillId="10" borderId="1" xfId="0" applyNumberFormat="1" applyFont="1" applyFill="1" applyBorder="1"/>
    <xf numFmtId="165" fontId="1" fillId="10" borderId="1" xfId="0" applyNumberFormat="1" applyFont="1" applyFill="1" applyBorder="1"/>
    <xf numFmtId="4" fontId="1" fillId="10" borderId="1" xfId="0" applyNumberFormat="1" applyFont="1" applyFill="1" applyBorder="1"/>
    <xf numFmtId="9" fontId="1" fillId="10" borderId="1" xfId="1" applyFont="1" applyFill="1" applyBorder="1"/>
    <xf numFmtId="14" fontId="1" fillId="10" borderId="0" xfId="2" applyNumberFormat="1" applyFont="1" applyFill="1"/>
    <xf numFmtId="165" fontId="5" fillId="10" borderId="1" xfId="0" applyNumberFormat="1" applyFont="1" applyFill="1" applyBorder="1"/>
    <xf numFmtId="14" fontId="0" fillId="10" borderId="0" xfId="2" applyNumberFormat="1" applyFont="1" applyFill="1"/>
    <xf numFmtId="14" fontId="9" fillId="10" borderId="4" xfId="0" applyNumberFormat="1" applyFont="1" applyFill="1" applyBorder="1"/>
    <xf numFmtId="2" fontId="5" fillId="10" borderId="1" xfId="0" applyNumberFormat="1" applyFont="1" applyFill="1" applyBorder="1" applyAlignment="1">
      <alignment horizontal="right"/>
    </xf>
    <xf numFmtId="2" fontId="5" fillId="10" borderId="1" xfId="0" applyNumberFormat="1" applyFont="1" applyFill="1" applyBorder="1"/>
    <xf numFmtId="0" fontId="17" fillId="0" borderId="1" xfId="0" applyFont="1" applyBorder="1" applyAlignment="1">
      <alignment horizontal="center"/>
    </xf>
    <xf numFmtId="166" fontId="9" fillId="0" borderId="1" xfId="0" applyNumberFormat="1" applyFont="1" applyBorder="1"/>
    <xf numFmtId="0" fontId="2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right"/>
    </xf>
    <xf numFmtId="0" fontId="0" fillId="0" borderId="1" xfId="0" quotePrefix="1" applyBorder="1" applyAlignment="1">
      <alignment wrapText="1"/>
    </xf>
    <xf numFmtId="165" fontId="5" fillId="10" borderId="6" xfId="0" applyNumberFormat="1" applyFont="1" applyFill="1" applyBorder="1"/>
    <xf numFmtId="0" fontId="29" fillId="0" borderId="1" xfId="0" applyFont="1" applyBorder="1" applyAlignment="1">
      <alignment horizontal="center"/>
    </xf>
    <xf numFmtId="165" fontId="30" fillId="10" borderId="1" xfId="0" applyNumberFormat="1" applyFont="1" applyFill="1" applyBorder="1"/>
    <xf numFmtId="165" fontId="32" fillId="20" borderId="1" xfId="0" applyNumberFormat="1" applyFont="1" applyFill="1" applyBorder="1" applyAlignment="1">
      <alignment horizontal="center"/>
    </xf>
    <xf numFmtId="0" fontId="0" fillId="0" borderId="7" xfId="0" applyBorder="1"/>
    <xf numFmtId="0" fontId="0" fillId="0" borderId="1" xfId="0" applyBorder="1" applyAlignment="1">
      <alignment horizontal="left"/>
    </xf>
    <xf numFmtId="166" fontId="33" fillId="0" borderId="1" xfId="0" applyNumberFormat="1" applyFont="1" applyBorder="1"/>
    <xf numFmtId="0" fontId="36" fillId="16" borderId="1" xfId="0" applyFont="1" applyFill="1" applyBorder="1" applyAlignment="1">
      <alignment horizontal="center" vertical="center"/>
    </xf>
    <xf numFmtId="0" fontId="36" fillId="14" borderId="1" xfId="3" applyFont="1" applyBorder="1" applyAlignment="1">
      <alignment horizontal="center" vertical="center"/>
    </xf>
    <xf numFmtId="0" fontId="36" fillId="17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9" fillId="10" borderId="1" xfId="0" applyNumberFormat="1" applyFont="1" applyFill="1" applyBorder="1" applyAlignment="1">
      <alignment horizontal="right"/>
    </xf>
    <xf numFmtId="166" fontId="9" fillId="10" borderId="1" xfId="2" applyNumberFormat="1" applyFont="1" applyFill="1" applyBorder="1"/>
    <xf numFmtId="166" fontId="1" fillId="10" borderId="1" xfId="0" applyNumberFormat="1" applyFont="1" applyFill="1" applyBorder="1"/>
    <xf numFmtId="166" fontId="22" fillId="0" borderId="1" xfId="0" applyNumberFormat="1" applyFont="1" applyBorder="1"/>
    <xf numFmtId="166" fontId="1" fillId="0" borderId="1" xfId="0" applyNumberFormat="1" applyFont="1" applyBorder="1"/>
    <xf numFmtId="0" fontId="3" fillId="2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6" fillId="8" borderId="1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0" fontId="36" fillId="15" borderId="1" xfId="0" applyFont="1" applyFill="1" applyBorder="1" applyAlignment="1">
      <alignment horizontal="center" vertical="center" wrapText="1"/>
    </xf>
    <xf numFmtId="0" fontId="37" fillId="12" borderId="1" xfId="0" applyFont="1" applyFill="1" applyBorder="1" applyAlignment="1">
      <alignment horizontal="center" vertical="center" wrapText="1"/>
    </xf>
    <xf numFmtId="0" fontId="37" fillId="20" borderId="1" xfId="0" applyFont="1" applyFill="1" applyBorder="1" applyAlignment="1">
      <alignment horizontal="center" vertical="center" wrapText="1"/>
    </xf>
    <xf numFmtId="0" fontId="36" fillId="16" borderId="1" xfId="0" applyFont="1" applyFill="1" applyBorder="1" applyAlignment="1">
      <alignment horizontal="center" vertical="center" wrapText="1"/>
    </xf>
    <xf numFmtId="0" fontId="38" fillId="0" borderId="1" xfId="0" applyFont="1" applyBorder="1"/>
    <xf numFmtId="9" fontId="21" fillId="8" borderId="1" xfId="1" applyFont="1" applyFill="1" applyBorder="1"/>
    <xf numFmtId="0" fontId="0" fillId="3" borderId="1" xfId="0" applyFill="1" applyBorder="1"/>
    <xf numFmtId="0" fontId="0" fillId="9" borderId="1" xfId="0" applyFill="1" applyBorder="1"/>
    <xf numFmtId="14" fontId="17" fillId="10" borderId="1" xfId="0" quotePrefix="1" applyNumberFormat="1" applyFont="1" applyFill="1" applyBorder="1" applyAlignment="1">
      <alignment horizontal="center"/>
    </xf>
    <xf numFmtId="0" fontId="12" fillId="10" borderId="1" xfId="0" applyFont="1" applyFill="1" applyBorder="1" applyAlignment="1">
      <alignment wrapText="1"/>
    </xf>
    <xf numFmtId="14" fontId="17" fillId="10" borderId="1" xfId="0" quotePrefix="1" applyNumberFormat="1" applyFont="1" applyFill="1" applyBorder="1" applyAlignment="1">
      <alignment horizontal="left" wrapText="1"/>
    </xf>
    <xf numFmtId="16" fontId="0" fillId="10" borderId="1" xfId="0" applyNumberForma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5" borderId="1" xfId="0" applyFill="1" applyBorder="1"/>
    <xf numFmtId="0" fontId="12" fillId="8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vertical="top" wrapText="1"/>
    </xf>
    <xf numFmtId="0" fontId="0" fillId="8" borderId="1" xfId="0" applyFill="1" applyBorder="1"/>
    <xf numFmtId="0" fontId="8" fillId="8" borderId="1" xfId="0" applyFont="1" applyFill="1" applyBorder="1"/>
    <xf numFmtId="0" fontId="27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6" fontId="33" fillId="8" borderId="1" xfId="0" applyNumberFormat="1" applyFont="1" applyFill="1" applyBorder="1"/>
    <xf numFmtId="4" fontId="21" fillId="8" borderId="1" xfId="0" applyNumberFormat="1" applyFont="1" applyFill="1" applyBorder="1"/>
    <xf numFmtId="164" fontId="0" fillId="8" borderId="1" xfId="2" applyFont="1" applyFill="1" applyBorder="1"/>
    <xf numFmtId="0" fontId="9" fillId="8" borderId="1" xfId="0" applyFont="1" applyFill="1" applyBorder="1"/>
    <xf numFmtId="0" fontId="33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8" fillId="21" borderId="1" xfId="0" applyFont="1" applyFill="1" applyBorder="1" applyAlignment="1">
      <alignment vertical="center"/>
    </xf>
    <xf numFmtId="0" fontId="33" fillId="0" borderId="1" xfId="0" applyFont="1" applyBorder="1" applyAlignment="1">
      <alignment horizontal="center"/>
    </xf>
    <xf numFmtId="4" fontId="33" fillId="0" borderId="1" xfId="0" applyNumberFormat="1" applyFont="1" applyBorder="1"/>
    <xf numFmtId="9" fontId="33" fillId="0" borderId="1" xfId="1" applyFont="1" applyFill="1" applyBorder="1"/>
    <xf numFmtId="165" fontId="33" fillId="0" borderId="1" xfId="0" applyNumberFormat="1" applyFont="1" applyBorder="1"/>
    <xf numFmtId="165" fontId="0" fillId="4" borderId="1" xfId="0" applyNumberFormat="1" applyFill="1" applyBorder="1"/>
    <xf numFmtId="164" fontId="0" fillId="4" borderId="1" xfId="2" applyFont="1" applyFill="1" applyBorder="1"/>
    <xf numFmtId="4" fontId="21" fillId="22" borderId="1" xfId="0" applyNumberFormat="1" applyFont="1" applyFill="1" applyBorder="1"/>
    <xf numFmtId="9" fontId="21" fillId="22" borderId="1" xfId="1" applyFont="1" applyFill="1" applyBorder="1"/>
    <xf numFmtId="166" fontId="0" fillId="22" borderId="1" xfId="0" applyNumberFormat="1" applyFill="1" applyBorder="1"/>
    <xf numFmtId="166" fontId="33" fillId="22" borderId="1" xfId="0" applyNumberFormat="1" applyFont="1" applyFill="1" applyBorder="1"/>
    <xf numFmtId="0" fontId="8" fillId="22" borderId="1" xfId="0" applyFont="1" applyFill="1" applyBorder="1"/>
    <xf numFmtId="166" fontId="9" fillId="22" borderId="1" xfId="0" applyNumberFormat="1" applyFont="1" applyFill="1" applyBorder="1"/>
    <xf numFmtId="166" fontId="1" fillId="10" borderId="1" xfId="0" applyNumberFormat="1" applyFont="1" applyFill="1" applyBorder="1" applyAlignment="1">
      <alignment horizontal="right"/>
    </xf>
    <xf numFmtId="49" fontId="3" fillId="0" borderId="0" xfId="0" applyNumberFormat="1" applyFont="1"/>
    <xf numFmtId="49" fontId="36" fillId="15" borderId="1" xfId="0" applyNumberFormat="1" applyFont="1" applyFill="1" applyBorder="1" applyAlignment="1">
      <alignment horizontal="center" vertical="center" wrapText="1"/>
    </xf>
    <xf numFmtId="49" fontId="17" fillId="10" borderId="1" xfId="0" applyNumberFormat="1" applyFont="1" applyFill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6" fillId="0" borderId="0" xfId="0" applyNumberFormat="1" applyFont="1"/>
    <xf numFmtId="0" fontId="12" fillId="10" borderId="1" xfId="0" applyFont="1" applyFill="1" applyBorder="1" applyAlignment="1">
      <alignment horizontal="left" wrapText="1"/>
    </xf>
    <xf numFmtId="165" fontId="9" fillId="10" borderId="1" xfId="0" applyNumberFormat="1" applyFont="1" applyFill="1" applyBorder="1"/>
    <xf numFmtId="0" fontId="21" fillId="10" borderId="1" xfId="1" applyNumberFormat="1" applyFont="1" applyFill="1" applyBorder="1"/>
    <xf numFmtId="4" fontId="1" fillId="0" borderId="1" xfId="0" applyNumberFormat="1" applyFont="1" applyBorder="1"/>
    <xf numFmtId="9" fontId="1" fillId="0" borderId="1" xfId="1" applyFont="1" applyFill="1" applyBorder="1"/>
    <xf numFmtId="2" fontId="1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14" borderId="1" xfId="3" applyFont="1" applyBorder="1"/>
    <xf numFmtId="0" fontId="28" fillId="0" borderId="1" xfId="0" applyFont="1" applyBorder="1"/>
    <xf numFmtId="9" fontId="28" fillId="10" borderId="1" xfId="1" applyFont="1" applyFill="1" applyBorder="1"/>
    <xf numFmtId="164" fontId="28" fillId="10" borderId="1" xfId="2" applyFont="1" applyFill="1" applyBorder="1"/>
    <xf numFmtId="14" fontId="28" fillId="10" borderId="1" xfId="0" applyNumberFormat="1" applyFont="1" applyFill="1" applyBorder="1"/>
    <xf numFmtId="14" fontId="28" fillId="10" borderId="1" xfId="0" applyNumberFormat="1" applyFont="1" applyFill="1" applyBorder="1" applyAlignment="1">
      <alignment horizontal="left"/>
    </xf>
    <xf numFmtId="14" fontId="28" fillId="10" borderId="1" xfId="0" applyNumberFormat="1" applyFont="1" applyFill="1" applyBorder="1" applyAlignment="1">
      <alignment horizontal="center"/>
    </xf>
    <xf numFmtId="49" fontId="28" fillId="10" borderId="1" xfId="0" applyNumberFormat="1" applyFont="1" applyFill="1" applyBorder="1" applyAlignment="1">
      <alignment horizontal="center"/>
    </xf>
    <xf numFmtId="14" fontId="28" fillId="10" borderId="1" xfId="0" applyNumberFormat="1" applyFont="1" applyFill="1" applyBorder="1" applyAlignment="1">
      <alignment horizontal="left" wrapText="1"/>
    </xf>
    <xf numFmtId="165" fontId="42" fillId="20" borderId="1" xfId="0" applyNumberFormat="1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2" fontId="25" fillId="10" borderId="1" xfId="0" applyNumberFormat="1" applyFont="1" applyFill="1" applyBorder="1" applyAlignment="1">
      <alignment horizontal="center"/>
    </xf>
    <xf numFmtId="0" fontId="28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wrapText="1"/>
    </xf>
    <xf numFmtId="0" fontId="28" fillId="14" borderId="1" xfId="3" applyFont="1" applyBorder="1"/>
    <xf numFmtId="0" fontId="28" fillId="17" borderId="1" xfId="3" applyFont="1" applyFill="1" applyBorder="1"/>
    <xf numFmtId="0" fontId="5" fillId="0" borderId="1" xfId="0" applyFont="1" applyBorder="1" applyAlignment="1">
      <alignment horizontal="center"/>
    </xf>
    <xf numFmtId="49" fontId="33" fillId="10" borderId="1" xfId="0" applyNumberFormat="1" applyFont="1" applyFill="1" applyBorder="1" applyAlignment="1">
      <alignment horizontal="center"/>
    </xf>
    <xf numFmtId="49" fontId="35" fillId="0" borderId="0" xfId="0" applyNumberFormat="1" applyFont="1" applyAlignment="1">
      <alignment horizontal="center" vertical="center"/>
    </xf>
    <xf numFmtId="0" fontId="8" fillId="9" borderId="1" xfId="0" applyFont="1" applyFill="1" applyBorder="1"/>
    <xf numFmtId="168" fontId="9" fillId="10" borderId="1" xfId="0" applyNumberFormat="1" applyFont="1" applyFill="1" applyBorder="1" applyAlignment="1">
      <alignment horizontal="center"/>
    </xf>
    <xf numFmtId="49" fontId="5" fillId="5" borderId="1" xfId="0" applyNumberFormat="1" applyFont="1" applyFill="1" applyBorder="1" applyAlignment="1">
      <alignment horizontal="center" vertical="center"/>
    </xf>
    <xf numFmtId="49" fontId="36" fillId="5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" fontId="17" fillId="10" borderId="1" xfId="0" applyNumberFormat="1" applyFont="1" applyFill="1" applyBorder="1" applyAlignment="1">
      <alignment horizontal="center"/>
    </xf>
    <xf numFmtId="1" fontId="17" fillId="10" borderId="1" xfId="0" quotePrefix="1" applyNumberFormat="1" applyFont="1" applyFill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36" fillId="5" borderId="1" xfId="0" applyFont="1" applyFill="1" applyBorder="1" applyAlignment="1">
      <alignment horizontal="center" vertical="center" wrapText="1"/>
    </xf>
    <xf numFmtId="14" fontId="17" fillId="10" borderId="1" xfId="0" applyNumberFormat="1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10" borderId="1" xfId="0" applyNumberFormat="1" applyFill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8" fillId="0" borderId="16" xfId="0" applyFont="1" applyBorder="1"/>
    <xf numFmtId="0" fontId="0" fillId="0" borderId="16" xfId="0" applyBorder="1"/>
    <xf numFmtId="0" fontId="38" fillId="0" borderId="0" xfId="0" applyFont="1"/>
    <xf numFmtId="165" fontId="22" fillId="0" borderId="1" xfId="0" applyNumberFormat="1" applyFont="1" applyBorder="1"/>
    <xf numFmtId="166" fontId="43" fillId="0" borderId="1" xfId="0" applyNumberFormat="1" applyFont="1" applyBorder="1"/>
    <xf numFmtId="49" fontId="17" fillId="4" borderId="1" xfId="0" applyNumberFormat="1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4" fontId="9" fillId="0" borderId="1" xfId="0" applyNumberFormat="1" applyFont="1" applyBorder="1"/>
    <xf numFmtId="9" fontId="9" fillId="0" borderId="1" xfId="1" applyFont="1" applyFill="1" applyBorder="1"/>
    <xf numFmtId="165" fontId="0" fillId="0" borderId="1" xfId="0" applyNumberFormat="1" applyBorder="1" applyAlignment="1">
      <alignment horizontal="right"/>
    </xf>
    <xf numFmtId="0" fontId="28" fillId="2" borderId="1" xfId="0" applyFont="1" applyFill="1" applyBorder="1" applyAlignment="1">
      <alignment horizontal="center"/>
    </xf>
    <xf numFmtId="4" fontId="28" fillId="2" borderId="1" xfId="0" applyNumberFormat="1" applyFont="1" applyFill="1" applyBorder="1"/>
    <xf numFmtId="166" fontId="9" fillId="0" borderId="1" xfId="0" applyNumberFormat="1" applyFont="1" applyBorder="1" applyAlignment="1">
      <alignment horizontal="right"/>
    </xf>
    <xf numFmtId="169" fontId="5" fillId="10" borderId="1" xfId="0" applyNumberFormat="1" applyFont="1" applyFill="1" applyBorder="1" applyAlignment="1">
      <alignment horizontal="center"/>
    </xf>
    <xf numFmtId="169" fontId="8" fillId="10" borderId="1" xfId="0" applyNumberFormat="1" applyFont="1" applyFill="1" applyBorder="1" applyAlignment="1">
      <alignment horizontal="center"/>
    </xf>
    <xf numFmtId="169" fontId="8" fillId="0" borderId="1" xfId="0" applyNumberFormat="1" applyFont="1" applyBorder="1" applyAlignment="1">
      <alignment horizontal="center"/>
    </xf>
    <xf numFmtId="169" fontId="0" fillId="10" borderId="1" xfId="0" applyNumberFormat="1" applyFill="1" applyBorder="1" applyAlignment="1">
      <alignment horizontal="center"/>
    </xf>
    <xf numFmtId="169" fontId="26" fillId="18" borderId="1" xfId="0" applyNumberFormat="1" applyFont="1" applyFill="1" applyBorder="1" applyAlignment="1">
      <alignment horizontal="center"/>
    </xf>
    <xf numFmtId="169" fontId="9" fillId="10" borderId="1" xfId="0" applyNumberFormat="1" applyFont="1" applyFill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69" fontId="28" fillId="10" borderId="1" xfId="0" applyNumberFormat="1" applyFont="1" applyFill="1" applyBorder="1" applyAlignment="1">
      <alignment horizontal="center"/>
    </xf>
    <xf numFmtId="169" fontId="12" fillId="0" borderId="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16" xfId="0" applyFont="1" applyBorder="1" applyAlignment="1">
      <alignment vertical="center"/>
    </xf>
    <xf numFmtId="14" fontId="45" fillId="18" borderId="1" xfId="0" applyNumberFormat="1" applyFont="1" applyFill="1" applyBorder="1"/>
    <xf numFmtId="44" fontId="0" fillId="8" borderId="1" xfId="5" applyFont="1" applyFill="1" applyBorder="1"/>
    <xf numFmtId="169" fontId="46" fillId="10" borderId="1" xfId="0" applyNumberFormat="1" applyFont="1" applyFill="1" applyBorder="1" applyAlignment="1">
      <alignment horizontal="center"/>
    </xf>
    <xf numFmtId="169" fontId="46" fillId="0" borderId="1" xfId="0" applyNumberFormat="1" applyFont="1" applyBorder="1" applyAlignment="1">
      <alignment horizontal="center"/>
    </xf>
    <xf numFmtId="0" fontId="47" fillId="0" borderId="1" xfId="0" applyFont="1" applyBorder="1" applyAlignment="1">
      <alignment wrapText="1"/>
    </xf>
    <xf numFmtId="166" fontId="44" fillId="0" borderId="1" xfId="0" applyNumberFormat="1" applyFont="1" applyBorder="1"/>
    <xf numFmtId="166" fontId="9" fillId="7" borderId="1" xfId="0" applyNumberFormat="1" applyFont="1" applyFill="1" applyBorder="1"/>
    <xf numFmtId="166" fontId="9" fillId="7" borderId="1" xfId="2" applyNumberFormat="1" applyFont="1" applyFill="1" applyBorder="1"/>
    <xf numFmtId="0" fontId="34" fillId="7" borderId="1" xfId="0" applyFont="1" applyFill="1" applyBorder="1"/>
    <xf numFmtId="0" fontId="0" fillId="13" borderId="1" xfId="0" applyFill="1" applyBorder="1"/>
    <xf numFmtId="14" fontId="1" fillId="13" borderId="1" xfId="0" applyNumberFormat="1" applyFont="1" applyFill="1" applyBorder="1"/>
    <xf numFmtId="14" fontId="21" fillId="13" borderId="1" xfId="0" applyNumberFormat="1" applyFont="1" applyFill="1" applyBorder="1" applyAlignment="1">
      <alignment horizontal="left"/>
    </xf>
    <xf numFmtId="14" fontId="17" fillId="13" borderId="1" xfId="0" applyNumberFormat="1" applyFont="1" applyFill="1" applyBorder="1" applyAlignment="1">
      <alignment horizontal="center"/>
    </xf>
    <xf numFmtId="49" fontId="17" fillId="13" borderId="1" xfId="0" applyNumberFormat="1" applyFont="1" applyFill="1" applyBorder="1" applyAlignment="1">
      <alignment horizontal="center"/>
    </xf>
    <xf numFmtId="14" fontId="0" fillId="13" borderId="1" xfId="0" applyNumberFormat="1" applyFill="1" applyBorder="1"/>
    <xf numFmtId="165" fontId="32" fillId="13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2" fontId="8" fillId="13" borderId="1" xfId="0" applyNumberFormat="1" applyFont="1" applyFill="1" applyBorder="1" applyAlignment="1">
      <alignment horizontal="center"/>
    </xf>
    <xf numFmtId="169" fontId="8" fillId="13" borderId="1" xfId="0" applyNumberFormat="1" applyFont="1" applyFill="1" applyBorder="1" applyAlignment="1">
      <alignment horizontal="center"/>
    </xf>
    <xf numFmtId="0" fontId="0" fillId="13" borderId="1" xfId="0" applyFill="1" applyBorder="1" applyAlignment="1">
      <alignment wrapText="1"/>
    </xf>
    <xf numFmtId="0" fontId="0" fillId="13" borderId="1" xfId="3" applyFont="1" applyFill="1" applyBorder="1"/>
    <xf numFmtId="166" fontId="9" fillId="7" borderId="1" xfId="0" applyNumberFormat="1" applyFont="1" applyFill="1" applyBorder="1" applyAlignment="1">
      <alignment horizontal="right"/>
    </xf>
    <xf numFmtId="166" fontId="22" fillId="0" borderId="1" xfId="0" applyNumberFormat="1" applyFont="1" applyBorder="1" applyAlignment="1">
      <alignment horizontal="right"/>
    </xf>
    <xf numFmtId="166" fontId="0" fillId="7" borderId="1" xfId="0" applyNumberFormat="1" applyFill="1" applyBorder="1"/>
    <xf numFmtId="0" fontId="0" fillId="0" borderId="3" xfId="0" applyBorder="1"/>
    <xf numFmtId="14" fontId="0" fillId="10" borderId="4" xfId="0" applyNumberFormat="1" applyFill="1" applyBorder="1"/>
    <xf numFmtId="169" fontId="1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4" fontId="21" fillId="10" borderId="1" xfId="0" applyNumberFormat="1" applyFont="1" applyFill="1" applyBorder="1" applyAlignment="1">
      <alignment vertical="center"/>
    </xf>
    <xf numFmtId="164" fontId="0" fillId="0" borderId="1" xfId="2" applyFont="1" applyFill="1" applyBorder="1" applyAlignment="1"/>
    <xf numFmtId="0" fontId="0" fillId="0" borderId="4" xfId="0" applyBorder="1"/>
    <xf numFmtId="9" fontId="21" fillId="10" borderId="1" xfId="1" applyFont="1" applyFill="1" applyBorder="1" applyAlignment="1">
      <alignment vertical="center"/>
    </xf>
    <xf numFmtId="0" fontId="41" fillId="0" borderId="1" xfId="0" applyFont="1" applyBorder="1" applyAlignment="1">
      <alignment wrapText="1"/>
    </xf>
    <xf numFmtId="0" fontId="8" fillId="7" borderId="4" xfId="0" applyFont="1" applyFill="1" applyBorder="1"/>
    <xf numFmtId="166" fontId="9" fillId="7" borderId="1" xfId="0" applyNumberFormat="1" applyFont="1" applyFill="1" applyBorder="1" applyAlignment="1">
      <alignment vertical="center"/>
    </xf>
    <xf numFmtId="2" fontId="5" fillId="10" borderId="6" xfId="0" applyNumberFormat="1" applyFont="1" applyFill="1" applyBorder="1"/>
    <xf numFmtId="165" fontId="5" fillId="10" borderId="0" xfId="0" applyNumberFormat="1" applyFont="1" applyFill="1"/>
    <xf numFmtId="2" fontId="5" fillId="10" borderId="9" xfId="0" applyNumberFormat="1" applyFont="1" applyFill="1" applyBorder="1"/>
    <xf numFmtId="165" fontId="5" fillId="10" borderId="9" xfId="0" applyNumberFormat="1" applyFont="1" applyFill="1" applyBorder="1"/>
    <xf numFmtId="164" fontId="0" fillId="10" borderId="6" xfId="2" applyFont="1" applyFill="1" applyBorder="1"/>
    <xf numFmtId="14" fontId="0" fillId="10" borderId="0" xfId="0" applyNumberFormat="1" applyFill="1"/>
    <xf numFmtId="14" fontId="1" fillId="10" borderId="4" xfId="2" applyNumberFormat="1" applyFont="1" applyFill="1" applyBorder="1"/>
    <xf numFmtId="14" fontId="1" fillId="10" borderId="1" xfId="2" applyNumberFormat="1" applyFont="1" applyFill="1" applyBorder="1"/>
    <xf numFmtId="14" fontId="3" fillId="10" borderId="3" xfId="2" applyNumberFormat="1" applyFont="1" applyFill="1" applyBorder="1"/>
    <xf numFmtId="14" fontId="0" fillId="10" borderId="1" xfId="2" applyNumberFormat="1" applyFont="1" applyFill="1" applyBorder="1"/>
    <xf numFmtId="14" fontId="9" fillId="10" borderId="0" xfId="0" applyNumberFormat="1" applyFont="1" applyFill="1"/>
    <xf numFmtId="14" fontId="1" fillId="10" borderId="4" xfId="0" applyNumberFormat="1" applyFont="1" applyFill="1" applyBorder="1"/>
    <xf numFmtId="14" fontId="1" fillId="10" borderId="0" xfId="0" applyNumberFormat="1" applyFont="1" applyFill="1"/>
    <xf numFmtId="14" fontId="0" fillId="10" borderId="2" xfId="2" applyNumberFormat="1" applyFont="1" applyFill="1" applyBorder="1"/>
    <xf numFmtId="14" fontId="21" fillId="10" borderId="6" xfId="0" applyNumberFormat="1" applyFont="1" applyFill="1" applyBorder="1"/>
    <xf numFmtId="14" fontId="0" fillId="0" borderId="0" xfId="0" applyNumberFormat="1" applyAlignment="1">
      <alignment horizontal="center"/>
    </xf>
    <xf numFmtId="14" fontId="0" fillId="0" borderId="1" xfId="2" applyNumberFormat="1" applyFont="1" applyFill="1" applyBorder="1"/>
    <xf numFmtId="14" fontId="0" fillId="0" borderId="0" xfId="0" applyNumberFormat="1"/>
    <xf numFmtId="14" fontId="0" fillId="0" borderId="3" xfId="2" applyNumberFormat="1" applyFont="1" applyFill="1" applyBorder="1"/>
    <xf numFmtId="14" fontId="0" fillId="10" borderId="0" xfId="0" applyNumberFormat="1" applyFill="1" applyAlignment="1">
      <alignment horizontal="center"/>
    </xf>
    <xf numFmtId="14" fontId="3" fillId="10" borderId="1" xfId="2" applyNumberFormat="1" applyFont="1" applyFill="1" applyBorder="1"/>
    <xf numFmtId="14" fontId="17" fillId="0" borderId="6" xfId="0" applyNumberFormat="1" applyFont="1" applyBorder="1" applyAlignment="1">
      <alignment horizontal="center"/>
    </xf>
    <xf numFmtId="2" fontId="17" fillId="10" borderId="1" xfId="0" applyNumberFormat="1" applyFont="1" applyFill="1" applyBorder="1" applyAlignment="1">
      <alignment horizontal="center"/>
    </xf>
    <xf numFmtId="0" fontId="0" fillId="0" borderId="6" xfId="0" applyBorder="1"/>
    <xf numFmtId="2" fontId="17" fillId="10" borderId="1" xfId="0" applyNumberFormat="1" applyFont="1" applyFill="1" applyBorder="1" applyAlignment="1">
      <alignment horizontal="left" wrapText="1"/>
    </xf>
    <xf numFmtId="0" fontId="9" fillId="0" borderId="6" xfId="0" applyFont="1" applyBorder="1"/>
    <xf numFmtId="2" fontId="0" fillId="10" borderId="1" xfId="0" applyNumberFormat="1" applyFill="1" applyBorder="1" applyAlignment="1">
      <alignment horizontal="left" wrapText="1"/>
    </xf>
    <xf numFmtId="2" fontId="17" fillId="10" borderId="2" xfId="0" applyNumberFormat="1" applyFont="1" applyFill="1" applyBorder="1" applyAlignment="1">
      <alignment horizontal="left" wrapText="1"/>
    </xf>
    <xf numFmtId="0" fontId="0" fillId="0" borderId="13" xfId="0" applyBorder="1"/>
    <xf numFmtId="14" fontId="17" fillId="9" borderId="1" xfId="0" applyNumberFormat="1" applyFont="1" applyFill="1" applyBorder="1" applyAlignment="1">
      <alignment horizontal="center"/>
    </xf>
    <xf numFmtId="0" fontId="17" fillId="10" borderId="13" xfId="0" applyFont="1" applyFill="1" applyBorder="1" applyAlignment="1">
      <alignment horizontal="center"/>
    </xf>
    <xf numFmtId="14" fontId="0" fillId="0" borderId="6" xfId="0" applyNumberFormat="1" applyBorder="1"/>
    <xf numFmtId="14" fontId="9" fillId="10" borderId="6" xfId="0" applyNumberFormat="1" applyFont="1" applyFill="1" applyBorder="1"/>
    <xf numFmtId="14" fontId="0" fillId="10" borderId="6" xfId="0" applyNumberFormat="1" applyFill="1" applyBorder="1"/>
    <xf numFmtId="14" fontId="9" fillId="0" borderId="6" xfId="0" applyNumberFormat="1" applyFont="1" applyBorder="1"/>
    <xf numFmtId="165" fontId="16" fillId="0" borderId="6" xfId="0" applyNumberFormat="1" applyFont="1" applyBorder="1"/>
    <xf numFmtId="2" fontId="8" fillId="0" borderId="6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0" fontId="8" fillId="7" borderId="1" xfId="0" applyFont="1" applyFill="1" applyBorder="1" applyAlignment="1">
      <alignment vertical="center"/>
    </xf>
    <xf numFmtId="166" fontId="0" fillId="7" borderId="1" xfId="0" applyNumberFormat="1" applyFill="1" applyBorder="1" applyAlignment="1">
      <alignment horizontal="right"/>
    </xf>
    <xf numFmtId="0" fontId="0" fillId="22" borderId="1" xfId="3" applyFont="1" applyFill="1" applyBorder="1"/>
    <xf numFmtId="0" fontId="5" fillId="7" borderId="1" xfId="0" applyFont="1" applyFill="1" applyBorder="1" applyAlignment="1">
      <alignment vertical="center"/>
    </xf>
    <xf numFmtId="166" fontId="43" fillId="10" borderId="1" xfId="0" applyNumberFormat="1" applyFont="1" applyFill="1" applyBorder="1"/>
    <xf numFmtId="165" fontId="43" fillId="10" borderId="1" xfId="0" applyNumberFormat="1" applyFont="1" applyFill="1" applyBorder="1"/>
    <xf numFmtId="4" fontId="50" fillId="0" borderId="1" xfId="0" applyNumberFormat="1" applyFont="1" applyBorder="1"/>
    <xf numFmtId="166" fontId="22" fillId="2" borderId="1" xfId="0" applyNumberFormat="1" applyFont="1" applyFill="1" applyBorder="1"/>
    <xf numFmtId="166" fontId="44" fillId="2" borderId="1" xfId="0" applyNumberFormat="1" applyFont="1" applyFill="1" applyBorder="1"/>
    <xf numFmtId="166" fontId="44" fillId="2" borderId="1" xfId="2" applyNumberFormat="1" applyFont="1" applyFill="1" applyBorder="1"/>
    <xf numFmtId="166" fontId="22" fillId="2" borderId="1" xfId="2" applyNumberFormat="1" applyFont="1" applyFill="1" applyBorder="1"/>
    <xf numFmtId="166" fontId="40" fillId="7" borderId="1" xfId="0" applyNumberFormat="1" applyFont="1" applyFill="1" applyBorder="1" applyAlignment="1">
      <alignment horizontal="right"/>
    </xf>
    <xf numFmtId="9" fontId="50" fillId="0" borderId="1" xfId="0" applyNumberFormat="1" applyFont="1" applyBorder="1"/>
    <xf numFmtId="9" fontId="21" fillId="0" borderId="16" xfId="1" applyFont="1" applyFill="1" applyBorder="1"/>
    <xf numFmtId="166" fontId="26" fillId="0" borderId="1" xfId="0" applyNumberFormat="1" applyFont="1" applyBorder="1"/>
    <xf numFmtId="166" fontId="0" fillId="0" borderId="16" xfId="0" applyNumberFormat="1" applyBorder="1"/>
    <xf numFmtId="14" fontId="26" fillId="18" borderId="1" xfId="0" applyNumberFormat="1" applyFont="1" applyFill="1" applyBorder="1"/>
    <xf numFmtId="14" fontId="0" fillId="10" borderId="16" xfId="0" applyNumberFormat="1" applyFill="1" applyBorder="1"/>
    <xf numFmtId="14" fontId="50" fillId="0" borderId="1" xfId="0" applyNumberFormat="1" applyFont="1" applyBorder="1"/>
    <xf numFmtId="14" fontId="21" fillId="0" borderId="16" xfId="0" applyNumberFormat="1" applyFont="1" applyBorder="1"/>
    <xf numFmtId="14" fontId="51" fillId="18" borderId="1" xfId="0" applyNumberFormat="1" applyFont="1" applyFill="1" applyBorder="1" applyAlignment="1">
      <alignment horizontal="center"/>
    </xf>
    <xf numFmtId="14" fontId="17" fillId="10" borderId="16" xfId="0" applyNumberFormat="1" applyFont="1" applyFill="1" applyBorder="1" applyAlignment="1">
      <alignment horizontal="center"/>
    </xf>
    <xf numFmtId="49" fontId="51" fillId="18" borderId="1" xfId="0" applyNumberFormat="1" applyFont="1" applyFill="1" applyBorder="1" applyAlignment="1">
      <alignment horizontal="center"/>
    </xf>
    <xf numFmtId="49" fontId="17" fillId="10" borderId="16" xfId="0" applyNumberFormat="1" applyFont="1" applyFill="1" applyBorder="1" applyAlignment="1">
      <alignment horizontal="center"/>
    </xf>
    <xf numFmtId="2" fontId="30" fillId="10" borderId="1" xfId="0" applyNumberFormat="1" applyFont="1" applyFill="1" applyBorder="1"/>
    <xf numFmtId="0" fontId="12" fillId="7" borderId="1" xfId="0" applyFont="1" applyFill="1" applyBorder="1"/>
    <xf numFmtId="166" fontId="33" fillId="2" borderId="1" xfId="0" applyNumberFormat="1" applyFont="1" applyFill="1" applyBorder="1"/>
    <xf numFmtId="166" fontId="0" fillId="9" borderId="1" xfId="0" applyNumberFormat="1" applyFill="1" applyBorder="1"/>
    <xf numFmtId="164" fontId="0" fillId="9" borderId="1" xfId="2" applyFont="1" applyFill="1" applyBorder="1"/>
    <xf numFmtId="166" fontId="33" fillId="9" borderId="1" xfId="0" applyNumberFormat="1" applyFont="1" applyFill="1" applyBorder="1"/>
    <xf numFmtId="166" fontId="22" fillId="8" borderId="1" xfId="0" applyNumberFormat="1" applyFont="1" applyFill="1" applyBorder="1"/>
    <xf numFmtId="164" fontId="5" fillId="10" borderId="1" xfId="2" applyFont="1" applyFill="1" applyBorder="1"/>
    <xf numFmtId="166" fontId="0" fillId="7" borderId="1" xfId="0" applyNumberFormat="1" applyFill="1" applyBorder="1" applyAlignment="1">
      <alignment vertical="center"/>
    </xf>
    <xf numFmtId="166" fontId="33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/>
    <xf numFmtId="166" fontId="18" fillId="2" borderId="1" xfId="0" applyNumberFormat="1" applyFont="1" applyFill="1" applyBorder="1"/>
    <xf numFmtId="0" fontId="12" fillId="0" borderId="4" xfId="0" applyFont="1" applyBorder="1"/>
    <xf numFmtId="0" fontId="0" fillId="17" borderId="0" xfId="3" applyFont="1" applyFill="1"/>
    <xf numFmtId="0" fontId="0" fillId="14" borderId="0" xfId="3" applyFont="1"/>
    <xf numFmtId="169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65" fontId="32" fillId="20" borderId="0" xfId="0" applyNumberFormat="1" applyFont="1" applyFill="1" applyAlignment="1">
      <alignment horizontal="center"/>
    </xf>
    <xf numFmtId="49" fontId="17" fillId="0" borderId="0" xfId="0" applyNumberFormat="1" applyFont="1" applyAlignment="1">
      <alignment horizontal="center"/>
    </xf>
    <xf numFmtId="14" fontId="21" fillId="0" borderId="0" xfId="0" applyNumberFormat="1" applyFont="1"/>
    <xf numFmtId="166" fontId="0" fillId="0" borderId="0" xfId="0" applyNumberFormat="1"/>
    <xf numFmtId="9" fontId="21" fillId="0" borderId="0" xfId="1" applyFont="1"/>
    <xf numFmtId="4" fontId="21" fillId="0" borderId="0" xfId="0" applyNumberFormat="1" applyFont="1"/>
    <xf numFmtId="166" fontId="22" fillId="0" borderId="0" xfId="0" applyNumberFormat="1" applyFont="1"/>
    <xf numFmtId="0" fontId="8" fillId="0" borderId="0" xfId="0" applyFont="1"/>
    <xf numFmtId="166" fontId="9" fillId="10" borderId="4" xfId="0" applyNumberFormat="1" applyFont="1" applyFill="1" applyBorder="1"/>
    <xf numFmtId="4" fontId="21" fillId="10" borderId="4" xfId="0" applyNumberFormat="1" applyFont="1" applyFill="1" applyBorder="1"/>
    <xf numFmtId="9" fontId="21" fillId="10" borderId="4" xfId="1" applyFont="1" applyFill="1" applyBorder="1"/>
    <xf numFmtId="0" fontId="0" fillId="0" borderId="4" xfId="0" applyBorder="1" applyAlignment="1">
      <alignment wrapText="1"/>
    </xf>
    <xf numFmtId="0" fontId="8" fillId="5" borderId="1" xfId="0" applyFont="1" applyFill="1" applyBorder="1"/>
    <xf numFmtId="0" fontId="9" fillId="5" borderId="1" xfId="0" applyFont="1" applyFill="1" applyBorder="1" applyAlignment="1">
      <alignment horizontal="center"/>
    </xf>
    <xf numFmtId="166" fontId="22" fillId="5" borderId="1" xfId="0" applyNumberFormat="1" applyFont="1" applyFill="1" applyBorder="1"/>
    <xf numFmtId="4" fontId="21" fillId="5" borderId="1" xfId="0" applyNumberFormat="1" applyFont="1" applyFill="1" applyBorder="1"/>
    <xf numFmtId="9" fontId="21" fillId="5" borderId="1" xfId="1" applyFont="1" applyFill="1" applyBorder="1"/>
    <xf numFmtId="14" fontId="0" fillId="5" borderId="1" xfId="0" applyNumberFormat="1" applyFill="1" applyBorder="1"/>
    <xf numFmtId="14" fontId="21" fillId="5" borderId="1" xfId="0" applyNumberFormat="1" applyFont="1" applyFill="1" applyBorder="1"/>
    <xf numFmtId="14" fontId="17" fillId="5" borderId="1" xfId="0" applyNumberFormat="1" applyFont="1" applyFill="1" applyBorder="1" applyAlignment="1">
      <alignment horizontal="center"/>
    </xf>
    <xf numFmtId="49" fontId="17" fillId="5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/>
    </xf>
    <xf numFmtId="165" fontId="54" fillId="20" borderId="1" xfId="0" applyNumberFormat="1" applyFont="1" applyFill="1" applyBorder="1" applyAlignment="1">
      <alignment horizontal="center"/>
    </xf>
    <xf numFmtId="0" fontId="9" fillId="14" borderId="1" xfId="3" applyFont="1" applyBorder="1"/>
    <xf numFmtId="0" fontId="9" fillId="17" borderId="1" xfId="3" applyFont="1" applyFill="1" applyBorder="1"/>
    <xf numFmtId="164" fontId="0" fillId="7" borderId="1" xfId="2" applyFont="1" applyFill="1" applyBorder="1"/>
    <xf numFmtId="166" fontId="26" fillId="7" borderId="1" xfId="0" applyNumberFormat="1" applyFont="1" applyFill="1" applyBorder="1"/>
    <xf numFmtId="166" fontId="0" fillId="7" borderId="1" xfId="2" applyNumberFormat="1" applyFont="1" applyFill="1" applyBorder="1"/>
    <xf numFmtId="166" fontId="1" fillId="5" borderId="1" xfId="0" applyNumberFormat="1" applyFont="1" applyFill="1" applyBorder="1"/>
    <xf numFmtId="0" fontId="5" fillId="8" borderId="0" xfId="0" applyFont="1" applyFill="1"/>
    <xf numFmtId="0" fontId="0" fillId="8" borderId="0" xfId="0" applyFill="1" applyAlignment="1">
      <alignment horizontal="center"/>
    </xf>
    <xf numFmtId="166" fontId="0" fillId="8" borderId="0" xfId="0" applyNumberFormat="1" applyFill="1"/>
    <xf numFmtId="0" fontId="0" fillId="8" borderId="0" xfId="0" applyFill="1"/>
    <xf numFmtId="49" fontId="0" fillId="8" borderId="0" xfId="0" applyNumberFormat="1" applyFill="1"/>
    <xf numFmtId="0" fontId="14" fillId="8" borderId="0" xfId="0" applyFont="1" applyFill="1"/>
    <xf numFmtId="0" fontId="9" fillId="8" borderId="0" xfId="0" applyFont="1" applyFill="1" applyAlignment="1">
      <alignment horizontal="center"/>
    </xf>
    <xf numFmtId="0" fontId="9" fillId="8" borderId="0" xfId="0" applyFont="1" applyFill="1"/>
    <xf numFmtId="164" fontId="22" fillId="10" borderId="1" xfId="2" applyFont="1" applyFill="1" applyBorder="1"/>
    <xf numFmtId="165" fontId="12" fillId="10" borderId="1" xfId="0" applyNumberFormat="1" applyFont="1" applyFill="1" applyBorder="1"/>
    <xf numFmtId="0" fontId="0" fillId="2" borderId="0" xfId="0" applyFill="1"/>
    <xf numFmtId="0" fontId="0" fillId="6" borderId="0" xfId="0" applyFill="1"/>
    <xf numFmtId="0" fontId="55" fillId="0" borderId="0" xfId="0" applyFont="1" applyAlignment="1">
      <alignment vertical="center"/>
    </xf>
    <xf numFmtId="0" fontId="5" fillId="23" borderId="1" xfId="0" applyFont="1" applyFill="1" applyBorder="1"/>
    <xf numFmtId="166" fontId="9" fillId="23" borderId="1" xfId="0" applyNumberFormat="1" applyFont="1" applyFill="1" applyBorder="1"/>
    <xf numFmtId="166" fontId="18" fillId="8" borderId="1" xfId="0" applyNumberFormat="1" applyFont="1" applyFill="1" applyBorder="1"/>
    <xf numFmtId="0" fontId="0" fillId="24" borderId="1" xfId="0" applyFill="1" applyBorder="1"/>
    <xf numFmtId="0" fontId="8" fillId="23" borderId="1" xfId="0" applyFont="1" applyFill="1" applyBorder="1"/>
    <xf numFmtId="0" fontId="9" fillId="24" borderId="1" xfId="0" applyFont="1" applyFill="1" applyBorder="1" applyAlignment="1">
      <alignment horizontal="center"/>
    </xf>
    <xf numFmtId="166" fontId="26" fillId="23" borderId="1" xfId="0" applyNumberFormat="1" applyFont="1" applyFill="1" applyBorder="1"/>
    <xf numFmtId="9" fontId="20" fillId="0" borderId="16" xfId="1" applyFont="1" applyFill="1" applyBorder="1"/>
    <xf numFmtId="166" fontId="0" fillId="5" borderId="1" xfId="0" applyNumberFormat="1" applyFill="1" applyBorder="1"/>
    <xf numFmtId="166" fontId="22" fillId="25" borderId="1" xfId="0" applyNumberFormat="1" applyFont="1" applyFill="1" applyBorder="1"/>
    <xf numFmtId="0" fontId="3" fillId="10" borderId="1" xfId="0" applyFont="1" applyFill="1" applyBorder="1"/>
    <xf numFmtId="0" fontId="27" fillId="10" borderId="1" xfId="0" applyFont="1" applyFill="1" applyBorder="1" applyAlignment="1">
      <alignment horizontal="center"/>
    </xf>
    <xf numFmtId="166" fontId="18" fillId="10" borderId="1" xfId="0" applyNumberFormat="1" applyFont="1" applyFill="1" applyBorder="1"/>
    <xf numFmtId="0" fontId="5" fillId="10" borderId="1" xfId="0" applyFont="1" applyFill="1" applyBorder="1"/>
    <xf numFmtId="166" fontId="40" fillId="10" borderId="1" xfId="0" applyNumberFormat="1" applyFont="1" applyFill="1" applyBorder="1"/>
    <xf numFmtId="166" fontId="33" fillId="10" borderId="1" xfId="0" applyNumberFormat="1" applyFont="1" applyFill="1" applyBorder="1"/>
    <xf numFmtId="167" fontId="9" fillId="10" borderId="1" xfId="0" applyNumberFormat="1" applyFont="1" applyFill="1" applyBorder="1" applyAlignment="1">
      <alignment horizontal="right"/>
    </xf>
    <xf numFmtId="167" fontId="33" fillId="10" borderId="1" xfId="0" applyNumberFormat="1" applyFont="1" applyFill="1" applyBorder="1" applyAlignment="1">
      <alignment horizontal="right"/>
    </xf>
    <xf numFmtId="166" fontId="44" fillId="10" borderId="1" xfId="0" applyNumberFormat="1" applyFont="1" applyFill="1" applyBorder="1"/>
    <xf numFmtId="4" fontId="44" fillId="10" borderId="1" xfId="0" applyNumberFormat="1" applyFont="1" applyFill="1" applyBorder="1"/>
    <xf numFmtId="9" fontId="44" fillId="10" borderId="1" xfId="1" applyFont="1" applyFill="1" applyBorder="1"/>
    <xf numFmtId="0" fontId="9" fillId="10" borderId="1" xfId="4" applyFont="1" applyFill="1" applyBorder="1"/>
    <xf numFmtId="166" fontId="22" fillId="10" borderId="1" xfId="0" applyNumberFormat="1" applyFont="1" applyFill="1" applyBorder="1"/>
    <xf numFmtId="166" fontId="9" fillId="10" borderId="15" xfId="0" applyNumberFormat="1" applyFont="1" applyFill="1" applyBorder="1"/>
    <xf numFmtId="4" fontId="21" fillId="10" borderId="15" xfId="0" applyNumberFormat="1" applyFont="1" applyFill="1" applyBorder="1"/>
    <xf numFmtId="9" fontId="21" fillId="10" borderId="15" xfId="1" applyFont="1" applyFill="1" applyBorder="1"/>
    <xf numFmtId="165" fontId="44" fillId="10" borderId="1" xfId="0" applyNumberFormat="1" applyFont="1" applyFill="1" applyBorder="1"/>
    <xf numFmtId="0" fontId="29" fillId="26" borderId="1" xfId="0" applyFont="1" applyFill="1" applyBorder="1" applyAlignment="1">
      <alignment horizontal="center"/>
    </xf>
    <xf numFmtId="14" fontId="9" fillId="10" borderId="1" xfId="0" applyNumberFormat="1" applyFont="1" applyFill="1" applyBorder="1" applyAlignment="1">
      <alignment horizontal="left"/>
    </xf>
    <xf numFmtId="0" fontId="27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164" fontId="0" fillId="10" borderId="1" xfId="2" applyFont="1" applyFill="1" applyBorder="1" applyAlignment="1">
      <alignment vertical="center"/>
    </xf>
    <xf numFmtId="14" fontId="1" fillId="10" borderId="1" xfId="0" applyNumberFormat="1" applyFont="1" applyFill="1" applyBorder="1" applyAlignment="1">
      <alignment vertical="center"/>
    </xf>
    <xf numFmtId="14" fontId="21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49" fontId="17" fillId="10" borderId="1" xfId="0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165" fontId="32" fillId="20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14" borderId="1" xfId="3" applyFont="1" applyBorder="1" applyAlignment="1">
      <alignment vertical="center"/>
    </xf>
    <xf numFmtId="0" fontId="0" fillId="17" borderId="1" xfId="3" applyFont="1" applyFill="1" applyBorder="1" applyAlignment="1">
      <alignment vertical="center"/>
    </xf>
    <xf numFmtId="0" fontId="12" fillId="10" borderId="1" xfId="0" applyFont="1" applyFill="1" applyBorder="1"/>
    <xf numFmtId="166" fontId="0" fillId="10" borderId="1" xfId="0" applyNumberFormat="1" applyFill="1" applyBorder="1" applyAlignment="1">
      <alignment horizontal="right"/>
    </xf>
    <xf numFmtId="0" fontId="12" fillId="10" borderId="1" xfId="4" applyFont="1" applyFill="1" applyBorder="1"/>
    <xf numFmtId="166" fontId="22" fillId="7" borderId="1" xfId="0" applyNumberFormat="1" applyFont="1" applyFill="1" applyBorder="1"/>
    <xf numFmtId="166" fontId="9" fillId="24" borderId="1" xfId="2" applyNumberFormat="1" applyFont="1" applyFill="1" applyBorder="1"/>
    <xf numFmtId="0" fontId="30" fillId="0" borderId="1" xfId="0" applyFont="1" applyBorder="1"/>
    <xf numFmtId="166" fontId="3" fillId="7" borderId="1" xfId="2" applyNumberFormat="1" applyFont="1" applyFill="1" applyBorder="1" applyAlignment="1">
      <alignment vertical="center"/>
    </xf>
    <xf numFmtId="166" fontId="40" fillId="0" borderId="1" xfId="0" applyNumberFormat="1" applyFont="1" applyBorder="1" applyAlignment="1">
      <alignment horizontal="center"/>
    </xf>
    <xf numFmtId="164" fontId="33" fillId="0" borderId="1" xfId="2" applyFont="1" applyFill="1" applyBorder="1"/>
    <xf numFmtId="0" fontId="5" fillId="0" borderId="1" xfId="0" applyFont="1" applyBorder="1"/>
    <xf numFmtId="0" fontId="8" fillId="0" borderId="1" xfId="0" applyFont="1" applyBorder="1" applyAlignment="1">
      <alignment horizontal="center"/>
    </xf>
    <xf numFmtId="0" fontId="56" fillId="0" borderId="1" xfId="0" applyFont="1" applyBorder="1"/>
    <xf numFmtId="0" fontId="8" fillId="0" borderId="16" xfId="0" applyFont="1" applyBorder="1"/>
    <xf numFmtId="0" fontId="8" fillId="0" borderId="16" xfId="0" applyFont="1" applyBorder="1" applyAlignment="1">
      <alignment horizontal="center"/>
    </xf>
    <xf numFmtId="166" fontId="56" fillId="0" borderId="16" xfId="0" applyNumberFormat="1" applyFont="1" applyBorder="1"/>
    <xf numFmtId="9" fontId="57" fillId="0" borderId="16" xfId="0" applyNumberFormat="1" applyFont="1" applyBorder="1"/>
    <xf numFmtId="14" fontId="56" fillId="18" borderId="16" xfId="0" applyNumberFormat="1" applyFont="1" applyFill="1" applyBorder="1"/>
    <xf numFmtId="14" fontId="57" fillId="0" borderId="16" xfId="0" applyNumberFormat="1" applyFont="1" applyBorder="1"/>
    <xf numFmtId="14" fontId="58" fillId="18" borderId="16" xfId="0" applyNumberFormat="1" applyFont="1" applyFill="1" applyBorder="1" applyAlignment="1">
      <alignment horizontal="center"/>
    </xf>
    <xf numFmtId="49" fontId="58" fillId="18" borderId="16" xfId="0" applyNumberFormat="1" applyFont="1" applyFill="1" applyBorder="1" applyAlignment="1">
      <alignment horizontal="center"/>
    </xf>
    <xf numFmtId="0" fontId="56" fillId="0" borderId="16" xfId="0" applyFont="1" applyBorder="1"/>
    <xf numFmtId="14" fontId="56" fillId="0" borderId="16" xfId="0" applyNumberFormat="1" applyFont="1" applyBorder="1"/>
    <xf numFmtId="165" fontId="59" fillId="27" borderId="16" xfId="0" applyNumberFormat="1" applyFont="1" applyFill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169" fontId="8" fillId="0" borderId="16" xfId="0" applyNumberFormat="1" applyFont="1" applyBorder="1" applyAlignment="1">
      <alignment horizontal="center"/>
    </xf>
    <xf numFmtId="0" fontId="56" fillId="0" borderId="16" xfId="0" applyFont="1" applyBorder="1" applyAlignment="1">
      <alignment wrapText="1"/>
    </xf>
    <xf numFmtId="9" fontId="50" fillId="0" borderId="16" xfId="0" applyNumberFormat="1" applyFont="1" applyBorder="1"/>
    <xf numFmtId="166" fontId="26" fillId="0" borderId="16" xfId="0" applyNumberFormat="1" applyFont="1" applyBorder="1"/>
    <xf numFmtId="14" fontId="26" fillId="18" borderId="16" xfId="0" applyNumberFormat="1" applyFont="1" applyFill="1" applyBorder="1"/>
    <xf numFmtId="14" fontId="50" fillId="0" borderId="16" xfId="0" applyNumberFormat="1" applyFont="1" applyBorder="1"/>
    <xf numFmtId="14" fontId="51" fillId="18" borderId="16" xfId="0" applyNumberFormat="1" applyFont="1" applyFill="1" applyBorder="1" applyAlignment="1">
      <alignment horizontal="center"/>
    </xf>
    <xf numFmtId="49" fontId="51" fillId="18" borderId="16" xfId="0" applyNumberFormat="1" applyFont="1" applyFill="1" applyBorder="1" applyAlignment="1">
      <alignment horizontal="center"/>
    </xf>
    <xf numFmtId="0" fontId="26" fillId="0" borderId="16" xfId="0" applyFont="1" applyBorder="1"/>
    <xf numFmtId="14" fontId="26" fillId="0" borderId="16" xfId="0" applyNumberFormat="1" applyFont="1" applyBorder="1"/>
    <xf numFmtId="165" fontId="62" fillId="27" borderId="16" xfId="0" applyNumberFormat="1" applyFont="1" applyFill="1" applyBorder="1" applyAlignment="1">
      <alignment horizontal="center"/>
    </xf>
    <xf numFmtId="0" fontId="26" fillId="0" borderId="16" xfId="0" applyFont="1" applyBorder="1" applyAlignment="1">
      <alignment wrapText="1"/>
    </xf>
    <xf numFmtId="164" fontId="3" fillId="0" borderId="1" xfId="2" applyFont="1" applyFill="1" applyBorder="1"/>
    <xf numFmtId="164" fontId="3" fillId="0" borderId="1" xfId="2" applyFont="1" applyFill="1" applyBorder="1" applyAlignment="1">
      <alignment vertical="center"/>
    </xf>
    <xf numFmtId="14" fontId="0" fillId="0" borderId="17" xfId="0" applyNumberFormat="1" applyBorder="1"/>
    <xf numFmtId="14" fontId="0" fillId="0" borderId="17" xfId="0" applyNumberFormat="1" applyBorder="1" applyAlignment="1">
      <alignment horizontal="right"/>
    </xf>
    <xf numFmtId="0" fontId="26" fillId="0" borderId="1" xfId="0" applyFont="1" applyBorder="1"/>
    <xf numFmtId="166" fontId="27" fillId="0" borderId="1" xfId="0" applyNumberFormat="1" applyFont="1" applyBorder="1" applyAlignment="1">
      <alignment horizontal="center"/>
    </xf>
    <xf numFmtId="166" fontId="22" fillId="2" borderId="1" xfId="0" applyNumberFormat="1" applyFont="1" applyFill="1" applyBorder="1" applyAlignment="1">
      <alignment vertical="center"/>
    </xf>
    <xf numFmtId="166" fontId="0" fillId="7" borderId="16" xfId="0" applyNumberFormat="1" applyFill="1" applyBorder="1"/>
    <xf numFmtId="0" fontId="63" fillId="7" borderId="1" xfId="0" applyFont="1" applyFill="1" applyBorder="1"/>
    <xf numFmtId="14" fontId="5" fillId="10" borderId="1" xfId="0" applyNumberFormat="1" applyFont="1" applyFill="1" applyBorder="1" applyAlignment="1">
      <alignment horizontal="center"/>
    </xf>
    <xf numFmtId="14" fontId="8" fillId="10" borderId="1" xfId="0" applyNumberFormat="1" applyFont="1" applyFill="1" applyBorder="1" applyAlignment="1">
      <alignment horizontal="center"/>
    </xf>
    <xf numFmtId="0" fontId="5" fillId="17" borderId="1" xfId="3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15" borderId="12" xfId="0" applyFont="1" applyFill="1" applyBorder="1" applyAlignment="1">
      <alignment horizontal="center"/>
    </xf>
    <xf numFmtId="0" fontId="15" fillId="12" borderId="0" xfId="0" applyFont="1" applyFill="1" applyAlignment="1">
      <alignment horizontal="center" vertical="center" wrapText="1"/>
    </xf>
    <xf numFmtId="0" fontId="5" fillId="16" borderId="1" xfId="0" applyFont="1" applyFill="1" applyBorder="1" applyAlignment="1">
      <alignment horizontal="center"/>
    </xf>
    <xf numFmtId="0" fontId="5" fillId="14" borderId="1" xfId="3" applyFont="1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49" fontId="5" fillId="15" borderId="1" xfId="0" applyNumberFormat="1" applyFont="1" applyFill="1" applyBorder="1" applyAlignment="1">
      <alignment horizontal="center" vertical="center"/>
    </xf>
  </cellXfs>
  <cellStyles count="6">
    <cellStyle name="20 % - Accent2" xfId="3" builtinId="34"/>
    <cellStyle name="Milliers" xfId="2" builtinId="3"/>
    <cellStyle name="Monétaire" xfId="5" builtinId="4"/>
    <cellStyle name="Normal" xfId="0" builtinId="0"/>
    <cellStyle name="Pourcentage" xfId="1" builtinId="5"/>
    <cellStyle name="Satisfaisant" xfId="4" builtinId="26"/>
  </cellStyles>
  <dxfs count="0"/>
  <tableStyles count="0" defaultTableStyle="TableStyleMedium2" defaultPivotStyle="PivotStyleLight16"/>
  <colors>
    <mruColors>
      <color rgb="FF008000"/>
      <color rgb="FF0066FF"/>
      <color rgb="FFFFCCFF"/>
      <color rgb="FFFF5050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seenovate.com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296333</xdr:colOff>
      <xdr:row>1</xdr:row>
      <xdr:rowOff>146756</xdr:rowOff>
    </xdr:from>
    <xdr:to>
      <xdr:col>1</xdr:col>
      <xdr:colOff>1897380</xdr:colOff>
      <xdr:row>3</xdr:row>
      <xdr:rowOff>0</xdr:rowOff>
    </xdr:to>
    <xdr:pic>
      <xdr:nvPicPr>
        <xdr:cNvPr id="2" name="Image 1" descr="logo_seenovate">
          <a:extLst>
            <a:ext uri="{FF2B5EF4-FFF2-40B4-BE49-F238E27FC236}">
              <a16:creationId xmlns:a16="http://schemas.microsoft.com/office/drawing/2014/main" id="{822008CD-0B07-AB49-99CD-E69DF42D381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13" y="329636"/>
          <a:ext cx="1601047" cy="8971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469900</xdr:colOff>
      <xdr:row>1</xdr:row>
      <xdr:rowOff>0</xdr:rowOff>
    </xdr:from>
    <xdr:to>
      <xdr:col>1</xdr:col>
      <xdr:colOff>2287905</xdr:colOff>
      <xdr:row>1</xdr:row>
      <xdr:rowOff>1002665</xdr:rowOff>
    </xdr:to>
    <xdr:pic>
      <xdr:nvPicPr>
        <xdr:cNvPr id="2" name="Image 1" descr="logo_seenovate">
          <a:hlinkClick xmlns:r="http://schemas.openxmlformats.org/officeDocument/2006/relationships" r:id="rId1" tooltip="Site web"/>
          <a:extLst>
            <a:ext uri="{FF2B5EF4-FFF2-40B4-BE49-F238E27FC236}">
              <a16:creationId xmlns:a16="http://schemas.microsoft.com/office/drawing/2014/main" id="{C0E4EEDD-1FD2-4930-9257-18A92C1F8A2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180975"/>
          <a:ext cx="1818005" cy="100266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516254</xdr:colOff>
      <xdr:row>0</xdr:row>
      <xdr:rowOff>127634</xdr:rowOff>
    </xdr:from>
    <xdr:to>
      <xdr:col>1</xdr:col>
      <xdr:colOff>533400</xdr:colOff>
      <xdr:row>0</xdr:row>
      <xdr:rowOff>573404</xdr:rowOff>
    </xdr:to>
    <xdr:pic>
      <xdr:nvPicPr>
        <xdr:cNvPr id="2" name="Image 1" descr="logo_seenovate">
          <a:extLst>
            <a:ext uri="{FF2B5EF4-FFF2-40B4-BE49-F238E27FC236}">
              <a16:creationId xmlns:a16="http://schemas.microsoft.com/office/drawing/2014/main" id="{11C6C8D0-F3A4-4FE1-A0BB-860F8F36866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4" y="127634"/>
          <a:ext cx="798196" cy="4457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131657</xdr:colOff>
      <xdr:row>0</xdr:row>
      <xdr:rowOff>0</xdr:rowOff>
    </xdr:from>
    <xdr:to>
      <xdr:col>0</xdr:col>
      <xdr:colOff>934932</xdr:colOff>
      <xdr:row>0</xdr:row>
      <xdr:rowOff>460375</xdr:rowOff>
    </xdr:to>
    <xdr:pic>
      <xdr:nvPicPr>
        <xdr:cNvPr id="2" name="Image 1" descr="logo_seenovate">
          <a:extLst>
            <a:ext uri="{FF2B5EF4-FFF2-40B4-BE49-F238E27FC236}">
              <a16:creationId xmlns:a16="http://schemas.microsoft.com/office/drawing/2014/main" id="{E8274E1A-28F8-4F86-A3C9-9AB3E54E21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57" y="272204"/>
          <a:ext cx="805815" cy="4489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ne TAULELLE" id="{38B54972-54C5-4763-8A28-0BB5C05A8383}" userId="S::anne.taulelle@seenovate.com::48af9315-86a6-4e41-80ef-e837e17cc7e0" providerId="AD"/>
  <person displayName="Alain REPIQUET" id="{45F19D96-D517-5C4E-87B8-FCD781667E08}" userId="S::alain.repiquet@seenovate.com::1015473e-0ada-4e1a-bb73-b66949b5b0b1" providerId="AD"/>
  <person displayName="Grégory LEROUX" id="{C5D2CC8A-44EF-403A-9BFA-0EDEDBDF960E}" userId="S::gregory.leroux@seenovate.com::ae48d90f-43f8-4f35-bfae-3c47e6986e7a" providerId="AD"/>
  <person displayName="Audrey Carneiro" id="{E7A34A8E-C034-469E-849C-6BCB5949BFF3}" userId="S::audrey.carneiro@seenovate.com::4467a5a8-b806-471b-8dad-eef9076dc0df" providerId="AD"/>
  <person displayName="Dominique LOPEZ" id="{699172A9-EB31-494D-B1B6-0DC56F9024F1}" userId="S::dominique.lopez@seenovate.com::250a01b8-3447-4efb-8cab-1e9805aeded0" providerId="AD"/>
  <person displayName="Baptiste D'Espinose" id="{EB71596B-4BCE-405D-A8E0-EB8EAFF60640}" userId="S::baptiste.despinose@seenovate.com::1ccdb015-4357-41f3-b8b0-3562a16a4f98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4" dT="2022-11-28T13:46:29.32" personId="{699172A9-EB31-494D-B1B6-0DC56F9024F1}" id="{8641083D-B7C5-4F76-A571-B5FC7DE0BDAE}">
    <text xml:space="preserve">5206.32 € total factures SAP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5" dT="2022-12-20T10:29:29.67" personId="{C5D2CC8A-44EF-403A-9BFA-0EDEDBDF960E}" id="{5EE1CFCA-3B8F-40CC-86CC-CD25FD4705E2}">
    <text>Le client a payé directement sans facture !!!</text>
  </threadedComment>
  <threadedComment ref="E13" dT="2022-11-04T16:10:32.58" personId="{E7A34A8E-C034-469E-849C-6BCB5949BFF3}" id="{349EA861-622B-4834-BACB-A6FD3C12C6CD}">
    <text>Parc 1 : 1 427,39 €
Parc 2 : 6 532,13 €</text>
  </threadedComment>
  <threadedComment ref="E16" dT="2022-11-03T16:48:59.28" personId="{E7A34A8E-C034-469E-849C-6BCB5949BFF3}" id="{85145B46-4C04-4815-8FC9-9B860BECE938}">
    <text>Parc 1 : BO &gt; 5.150,66€
Parc 2 : DI Server &gt; 3.266,67</text>
  </threadedComment>
  <threadedComment ref="E28" dT="2022-12-22T13:34:58.26" personId="{E7A34A8E-C034-469E-849C-6BCB5949BFF3}" id="{EEF44DC3-7189-4A10-B227-F51E10CBFA76}">
    <text>Parc 1 : 2 457,75
Parc 2 : 9 216,57</text>
  </threadedComment>
  <threadedComment ref="E31" dT="2022-11-04T14:16:08.94" personId="{E7A34A8E-C034-469E-849C-6BCB5949BFF3}" id="{D2CABF1C-3146-49F5-8D18-86234C12870D}">
    <text>Parc 1 : 9 472,89 €
Parc 2 :    401,43 €</text>
  </threadedComment>
  <threadedComment ref="D33" dT="2023-01-31T13:47:29.83" personId="{45F19D96-D517-5C4E-87B8-FCD781667E08}" id="{9FAE4E65-A6E9-D644-B6F4-03D362846B17}">
    <text>Exceptionnel 2023</text>
  </threadedComment>
  <threadedComment ref="H33" dT="2023-03-13T07:15:29.61" personId="{45F19D96-D517-5C4E-87B8-FCD781667E08}" id="{BDD6AC7B-4DE9-B748-BA92-AC6A4FD11E68}">
    <text xml:space="preserve">Avoir de 2 mois imputés par SAP en 2023
</text>
  </threadedComment>
  <threadedComment ref="D39" dT="2022-12-22T15:22:59.09" personId="{E7A34A8E-C034-469E-849C-6BCB5949BFF3}" id="{135F7510-A875-458C-8460-61DD3F32B74F}">
    <text>BO : 32 597,27
BODI : 8 240,52</text>
  </threadedComment>
  <threadedComment ref="E46" dT="2022-11-04T15:00:57.64" personId="{E7A34A8E-C034-469E-849C-6BCB5949BFF3}" id="{C6CAC97F-61CF-428F-9B8D-BA2F70AFB843}">
    <text>Parc 1 : 2 369,97 €
Parc 2 :    370,38 €</text>
  </threadedComment>
  <threadedComment ref="U54" dT="2022-12-16T11:19:22.71" personId="{38B54972-54C5-4763-8A28-0BB5C05A8383}" id="{24118508-8A20-4074-871E-1C277A9AAE02}">
    <text>répondra début semaine 51, veut arrêter BO</text>
  </threadedComment>
  <threadedComment ref="E65" dT="2022-11-04T15:03:59.70" personId="{E7A34A8E-C034-469E-849C-6BCB5949BFF3}" id="{710CA800-E66F-481D-AD36-FDE8C46FFB6A}">
    <text>Parc 1 : 2 457,79 €
Parc 2 : 1 17,16 €</text>
  </threadedComment>
  <threadedComment ref="E65" dT="2023-01-17T13:55:08.48" personId="{45F19D96-D517-5C4E-87B8-FCD781667E08}" id="{745B91E3-9DDE-134D-BFD8-1B350BDE32B5}" parentId="{710CA800-E66F-481D-AD36-FDE8C46FFB6A}">
    <text>C’est 1117,16</text>
  </threadedComment>
  <threadedComment ref="E78" dT="2022-11-04T15:32:54.32" personId="{E7A34A8E-C034-469E-849C-6BCB5949BFF3}" id="{76FF7732-3128-4763-BE37-8D956ED7B465}">
    <text>Parc 1 : 6 261,67
Parc 2 : 2 642,08</text>
  </threadedComment>
  <threadedComment ref="E84" dT="2022-11-04T15:37:09.67" personId="{E7A34A8E-C034-469E-849C-6BCB5949BFF3}" id="{83B0D7CE-FE2F-42A5-ACAB-55C47724253C}">
    <text>Parc 1 : 10 062,85 €
Parc 2 :  2 788,43 €</text>
  </threadedComment>
  <threadedComment ref="E90" dT="2022-11-04T15:39:42.91" personId="{E7A34A8E-C034-469E-849C-6BCB5949BFF3}" id="{06E1D184-B89A-44A7-BA19-5B9892DE7D7F}">
    <text>Parc 1 : 2 801,84 €
Parc 2 : 1 167,41 €</text>
  </threadedComment>
  <threadedComment ref="E93" dT="2022-11-04T15:43:14.27" personId="{E7A34A8E-C034-469E-849C-6BCB5949BFF3}" id="{D9386EAD-CB26-492E-B19D-0F34743B8B26}">
    <text>Parc 1 : 2 900,55 €
Parc 2 : 3 380,73 €</text>
  </threadedComment>
  <threadedComment ref="E111" dT="2023-02-01T16:02:13.65" personId="{45F19D96-D517-5C4E-87B8-FCD781667E08}" id="{B4397657-24BA-9F46-B6AF-48C8A7747FCE}">
    <text>Facture de 1238,44 ok</text>
  </threadedComment>
  <threadedComment ref="I111" dT="2023-02-01T16:02:13.65" personId="{45F19D96-D517-5C4E-87B8-FCD781667E08}" id="{647C7C9B-04E5-C14C-86DC-A233711E95D2}">
    <text/>
  </threadedComment>
  <threadedComment ref="E114" dT="2022-11-04T15:51:03.23" personId="{E7A34A8E-C034-469E-849C-6BCB5949BFF3}" id="{0CA634BB-1304-4CB0-9D97-8011A4FBE12E}">
    <text>Parc 1 : 4 465,86 €
Parc 2 : 3 035,34 €</text>
  </threadedComment>
  <threadedComment ref="E119" dT="2022-11-04T15:54:29.65" personId="{E7A34A8E-C034-469E-849C-6BCB5949BFF3}" id="{18CA5F76-834A-410D-BECD-4059C4A14394}">
    <text>Parc 1 : 629,67 €
Parc 2 : 1 633,97 €</text>
  </threadedComment>
  <threadedComment ref="E159" dT="2022-11-04T16:08:25.67" personId="{E7A34A8E-C034-469E-849C-6BCB5949BFF3}" id="{DCA88FE1-54A9-4176-B5D0-3A031D06CB1E}">
    <text>Parc 1 : 2 113,67 €
Parc 2 : 2 122,64 €</text>
  </threadedComment>
  <threadedComment ref="D167" dT="2022-12-15T09:26:59.67" personId="{C5D2CC8A-44EF-403A-9BFA-0EDEDBDF960E}" id="{FECE8AF8-CE57-431B-AE2F-561FBC2BDAA9}">
    <text>Maintenance sur 13 mois</text>
  </threadedComment>
  <threadedComment ref="H170" dT="2022-12-22T13:44:22.33" personId="{E7A34A8E-C034-469E-849C-6BCB5949BFF3}" id="{96F6EDC4-59BD-40AD-9340-E59D5ECDCEC6}">
    <text>Remise de bienvenue en 2023 de 2000€</text>
  </threadedComment>
  <threadedComment ref="E174" dT="2022-11-04T16:12:10.98" personId="{E7A34A8E-C034-469E-849C-6BCB5949BFF3}" id="{1F98A837-1C96-4025-8C9D-42DAF390F31C}">
    <text>Parc 1 : 2 008,86 €
Parc 2 : 2 419,77 €</text>
  </threadedComment>
  <threadedComment ref="E198" dT="2022-11-04T16:20:11.53" personId="{E7A34A8E-C034-469E-849C-6BCB5949BFF3}" id="{8495A4AF-7786-41A6-94D5-32F4AF5309BA}">
    <text>Parc 1 : 8 937,28 €
Parc 2 : 2 014,49 €
Parc 3 : 2 014,49 €</text>
  </threadedComment>
  <threadedComment ref="E198" dT="2023-01-17T13:40:03.13" personId="{45F19D96-D517-5C4E-87B8-FCD781667E08}" id="{D22CEBD5-F0DB-964D-BADC-95A0708B4525}" parentId="{8495A4AF-7786-41A6-94D5-32F4AF5309BA}">
    <text>2014,49 facturé</text>
  </threadedComment>
  <threadedComment ref="E198" dT="2023-01-17T13:43:25.94" personId="{45F19D96-D517-5C4E-87B8-FCD781667E08}" id="{3FB9E840-5962-5743-A8F0-D39DC0A97C8E}" parentId="{8495A4AF-7786-41A6-94D5-32F4AF5309BA}">
    <text xml:space="preserve">8937,28 facturé
</text>
  </threadedComment>
  <threadedComment ref="D205" dT="2022-12-13T09:15:37.97" personId="{38B54972-54C5-4763-8A28-0BB5C05A8383}" id="{A78D6BE7-A995-4501-AC87-8923BCADC4B7}">
    <text>50% de la marge est reversée à B&amp;D</text>
  </threadedComment>
  <threadedComment ref="D211" dT="2022-12-22T14:37:50.70" personId="{E7A34A8E-C034-469E-849C-6BCB5949BFF3}" id="{2DA7AF6F-5D71-4B92-BD6D-29BE7658F155}">
    <text>Dont Sybase : 1 123,32€</text>
  </threadedComment>
  <threadedComment ref="D214" dT="2022-12-12T10:20:24.04" personId="{C5D2CC8A-44EF-403A-9BFA-0EDEDBDF960E}" id="{B7CDA509-0779-468F-A0F3-60F6B9927599}">
    <text>Remise de 660€ pour compensation retard de livraison des licences</text>
  </threadedComment>
  <threadedComment ref="D219" dT="2022-12-08T17:40:39.30" personId="{C5D2CC8A-44EF-403A-9BFA-0EDEDBDF960E}" id="{72D650B2-C73B-4DAE-908E-403BDCF76942}">
    <text>Prix arbitraire décidé par moi-même !!</text>
  </threadedComment>
  <threadedComment ref="E222" dT="2022-11-04T16:33:10.18" personId="{E7A34A8E-C034-469E-849C-6BCB5949BFF3}" id="{1146E8EB-F26F-4203-9B20-41196C1AC9DD}">
    <text>Parc 1 : 2 401,89 €
Parc 2 : 2 401,98 €
Parc 3 : 303,87 €</text>
  </threadedComment>
  <threadedComment ref="E228" dT="2022-11-04T17:13:49.78" personId="{E7A34A8E-C034-469E-849C-6BCB5949BFF3}" id="{303305EB-8FEC-4230-9FCD-031405DC7537}">
    <text>Parc 1 : 5 428,42 €
Parc 2 : 6 756,58 €</text>
  </threadedComment>
  <threadedComment ref="E237" dT="2022-11-04T17:17:25.32" personId="{E7A34A8E-C034-469E-849C-6BCB5949BFF3}" id="{4F0EB152-CCFA-4C0A-A4BC-BC4820BEE553}">
    <text>Parc 1 : 1 657,5 €
Parc 2 : 1 259,34 €
Parc 3 : 1 791,09 €</text>
  </threadedComment>
  <threadedComment ref="E237" dT="2023-07-10T14:01:36.23" personId="{45F19D96-D517-5C4E-87B8-FCD781667E08}" id="{D619BA4A-AA9A-8F4E-A08D-FB684832508C}" parentId="{4F0EB152-CCFA-4C0A-A4BC-BC4820BEE553}">
    <text xml:space="preserve">1791,09 facturé
</text>
  </threadedComment>
  <threadedComment ref="D245" dT="2023-03-09T10:26:56.16" personId="{45F19D96-D517-5C4E-87B8-FCD781667E08}" id="{BD5ACD3E-8167-FE4C-B8DE-2FE3701D0F87}">
    <text>2 mois</text>
  </threadedComment>
  <threadedComment ref="D246" dT="2023-03-09T10:27:05.84" personId="{45F19D96-D517-5C4E-87B8-FCD781667E08}" id="{17E4283D-FD0D-7742-BA05-130F92FEADB5}">
    <text>2 mois</text>
  </threadedComment>
  <threadedComment ref="D247" dT="2023-03-09T10:30:04.89" personId="{45F19D96-D517-5C4E-87B8-FCD781667E08}" id="{E0DBC14F-4839-794B-B066-8DDEBF02AE45}">
    <text xml:space="preserve">Ajouter les deux lignes de dessus
</text>
  </threadedComment>
  <threadedComment ref="D252" dT="2023-02-07T10:58:58.00" personId="{EB71596B-4BCE-405D-A8E0-EB8EAFF60640}" id="{3AB596F5-002F-40FC-9BF2-0E859B591EED}">
    <text>Séparation 360. On enlève 4 000€</text>
  </threadedComment>
  <threadedComment ref="E255" dT="2022-11-04T16:50:27.94" personId="{E7A34A8E-C034-469E-849C-6BCB5949BFF3}" id="{54719577-FF27-4B6A-8606-D032F033AC46}">
    <text>Parc 1 : 12 065,21 €
Parc 2 : 8 04,27 €</text>
  </threadedComment>
  <threadedComment ref="E255" dT="2023-01-17T09:27:17.00" personId="{45F19D96-D517-5C4E-87B8-FCD781667E08}" id="{591DAD28-D7F4-CD42-AC11-DF3605BA0190}" parentId="{54719577-FF27-4B6A-8606-D032F033AC46}">
    <text>Facture 804,23 ok</text>
  </threadedComment>
  <threadedComment ref="E255" dT="2023-01-17T13:20:57.20" personId="{45F19D96-D517-5C4E-87B8-FCD781667E08}" id="{E4F60464-8449-F64B-B2A7-D1AF063F792D}" parentId="{54719577-FF27-4B6A-8606-D032F033AC46}">
    <text xml:space="preserve">12065,21 facturé
</text>
  </threadedComment>
  <threadedComment ref="E257" dT="2022-11-04T17:09:32.39" personId="{E7A34A8E-C034-469E-849C-6BCB5949BFF3}" id="{BB8E8DF2-D9CD-4200-900D-CBC45344D5AE}">
    <text>Parc 1 : 6 522,26 €
Parc 2 : 1 696,58€</text>
  </threadedComment>
  <threadedComment ref="E261" dT="2022-12-22T16:04:51.35" personId="{E7A34A8E-C034-469E-849C-6BCB5949BFF3}" id="{4E09BDDF-7D2E-4C80-B749-AA867F9D20ED}">
    <text>Parc 1 : 2 234,32
Parc 2 : 472,68</text>
  </threadedComment>
  <threadedComment ref="E261" dT="2023-01-20T12:13:04.58" personId="{45F19D96-D517-5C4E-87B8-FCD781667E08}" id="{C976CD93-9300-D942-8461-63025095D2F7}" parentId="{4E09BDDF-7D2E-4C80-B749-AA867F9D20ED}">
    <text>2234,32 FACTURE OK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A2E0-1E59-344E-A869-ED986E1394C0}">
  <sheetPr>
    <tabColor theme="4" tint="0.59999389629810485"/>
  </sheetPr>
  <dimension ref="A3:AE32"/>
  <sheetViews>
    <sheetView topLeftCell="A21" workbookViewId="0">
      <selection activeCell="B41" sqref="B41"/>
    </sheetView>
  </sheetViews>
  <sheetFormatPr baseColWidth="10" defaultColWidth="11.44140625" defaultRowHeight="14.4" x14ac:dyDescent="0.3"/>
  <cols>
    <col min="2" max="2" width="33.109375" customWidth="1"/>
    <col min="3" max="4" width="25" customWidth="1"/>
    <col min="5" max="5" width="33" customWidth="1"/>
    <col min="6" max="6" width="19.44140625" customWidth="1"/>
  </cols>
  <sheetData>
    <row r="3" spans="1:31" s="6" customFormat="1" ht="68.099999999999994" customHeight="1" x14ac:dyDescent="0.5">
      <c r="A3"/>
      <c r="B3" s="104"/>
      <c r="C3" s="452" t="s">
        <v>0</v>
      </c>
      <c r="D3" s="21"/>
      <c r="E3" s="104"/>
      <c r="F3" s="105"/>
      <c r="G3" s="105"/>
      <c r="H3" s="105"/>
      <c r="I3" s="104"/>
      <c r="J3" s="104"/>
      <c r="K3" s="1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</row>
    <row r="10" spans="1:31" x14ac:dyDescent="0.3">
      <c r="B10" s="450" t="s">
        <v>1</v>
      </c>
      <c r="C10" s="450" t="s">
        <v>2</v>
      </c>
      <c r="D10" s="450" t="s">
        <v>3</v>
      </c>
      <c r="E10" s="450" t="s">
        <v>4</v>
      </c>
      <c r="F10" s="450" t="s">
        <v>5</v>
      </c>
    </row>
    <row r="13" spans="1:31" x14ac:dyDescent="0.3">
      <c r="B13" s="13" t="s">
        <v>6</v>
      </c>
      <c r="C13" s="13" t="s">
        <v>7</v>
      </c>
      <c r="D13" s="13" t="s">
        <v>8</v>
      </c>
      <c r="E13" s="13" t="s">
        <v>1</v>
      </c>
      <c r="F13" s="13" t="s">
        <v>9</v>
      </c>
    </row>
    <row r="14" spans="1:31" x14ac:dyDescent="0.3">
      <c r="B14" s="13"/>
      <c r="C14" s="13"/>
      <c r="D14" s="13"/>
      <c r="E14" s="13"/>
      <c r="F14" s="13"/>
    </row>
    <row r="15" spans="1:31" x14ac:dyDescent="0.3">
      <c r="B15" s="13"/>
      <c r="C15" s="13"/>
      <c r="D15" s="13"/>
      <c r="E15" s="13"/>
      <c r="F15" s="13"/>
    </row>
    <row r="16" spans="1:31" x14ac:dyDescent="0.3">
      <c r="B16" s="13"/>
      <c r="C16" s="13"/>
      <c r="D16" s="13"/>
      <c r="E16" s="13"/>
      <c r="F16" s="13"/>
    </row>
    <row r="17" spans="2:6" x14ac:dyDescent="0.3">
      <c r="B17" s="451" t="s">
        <v>10</v>
      </c>
      <c r="C17" s="451" t="s">
        <v>11</v>
      </c>
      <c r="D17" s="451" t="s">
        <v>8</v>
      </c>
      <c r="E17" s="451" t="s">
        <v>2</v>
      </c>
      <c r="F17" s="451" t="s">
        <v>12</v>
      </c>
    </row>
    <row r="18" spans="2:6" x14ac:dyDescent="0.3">
      <c r="B18" s="451"/>
      <c r="C18" s="451"/>
      <c r="D18" s="451"/>
      <c r="E18" s="451"/>
      <c r="F18" s="451"/>
    </row>
    <row r="19" spans="2:6" x14ac:dyDescent="0.3">
      <c r="B19" s="451"/>
      <c r="C19" s="451"/>
      <c r="D19" s="451"/>
      <c r="E19" s="451"/>
      <c r="F19" s="451"/>
    </row>
    <row r="20" spans="2:6" x14ac:dyDescent="0.3">
      <c r="B20" s="13" t="s">
        <v>13</v>
      </c>
      <c r="C20" s="13"/>
      <c r="D20" s="13"/>
      <c r="E20" s="13"/>
      <c r="F20" s="13"/>
    </row>
    <row r="21" spans="2:6" x14ac:dyDescent="0.3">
      <c r="B21" s="13"/>
      <c r="C21" s="13"/>
      <c r="D21" s="13"/>
      <c r="E21" s="13"/>
      <c r="F21" s="13"/>
    </row>
    <row r="22" spans="2:6" x14ac:dyDescent="0.3">
      <c r="B22" s="13"/>
      <c r="C22" s="13"/>
      <c r="D22" s="13"/>
      <c r="E22" s="13"/>
      <c r="F22" s="13"/>
    </row>
    <row r="23" spans="2:6" x14ac:dyDescent="0.3">
      <c r="B23" s="451" t="s">
        <v>14</v>
      </c>
      <c r="C23" s="451"/>
      <c r="D23" s="451"/>
      <c r="E23" s="451"/>
      <c r="F23" s="451"/>
    </row>
    <row r="24" spans="2:6" x14ac:dyDescent="0.3">
      <c r="B24" s="451"/>
      <c r="C24" s="451"/>
      <c r="D24" s="451"/>
      <c r="E24" s="451"/>
      <c r="F24" s="451"/>
    </row>
    <row r="25" spans="2:6" x14ac:dyDescent="0.3">
      <c r="B25" s="451"/>
      <c r="C25" s="451"/>
      <c r="D25" s="451"/>
      <c r="E25" s="451"/>
      <c r="F25" s="451"/>
    </row>
    <row r="26" spans="2:6" x14ac:dyDescent="0.3">
      <c r="B26" s="13" t="s">
        <v>15</v>
      </c>
      <c r="C26" s="13"/>
      <c r="D26" s="13"/>
      <c r="E26" s="13"/>
      <c r="F26" s="13"/>
    </row>
    <row r="27" spans="2:6" x14ac:dyDescent="0.3">
      <c r="B27" s="13"/>
      <c r="C27" s="13"/>
      <c r="D27" s="13"/>
      <c r="E27" s="13"/>
      <c r="F27" s="13"/>
    </row>
    <row r="28" spans="2:6" x14ac:dyDescent="0.3">
      <c r="B28" s="13"/>
      <c r="C28" s="13"/>
      <c r="D28" s="13"/>
      <c r="E28" s="13"/>
      <c r="F28" s="13"/>
    </row>
    <row r="29" spans="2:6" x14ac:dyDescent="0.3">
      <c r="B29" s="451" t="s">
        <v>16</v>
      </c>
      <c r="C29" s="451"/>
      <c r="D29" s="451"/>
      <c r="E29" s="451"/>
      <c r="F29" s="451"/>
    </row>
    <row r="30" spans="2:6" x14ac:dyDescent="0.3">
      <c r="B30" s="451"/>
      <c r="C30" s="451"/>
      <c r="D30" s="451"/>
      <c r="E30" s="451"/>
      <c r="F30" s="451"/>
    </row>
    <row r="31" spans="2:6" x14ac:dyDescent="0.3">
      <c r="B31" s="451"/>
      <c r="C31" s="451"/>
      <c r="D31" s="451"/>
      <c r="E31" s="451"/>
      <c r="F31" s="451"/>
    </row>
    <row r="32" spans="2:6" x14ac:dyDescent="0.3">
      <c r="B32" s="451"/>
      <c r="C32" s="451"/>
      <c r="D32" s="451"/>
      <c r="E32" s="451"/>
      <c r="F32" s="45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EE18-D47C-4E41-B1A5-0C4713B1D3A1}">
  <sheetPr>
    <tabColor rgb="FF00B050"/>
  </sheetPr>
  <dimension ref="A2:BA91"/>
  <sheetViews>
    <sheetView zoomScaleNormal="100" workbookViewId="0">
      <pane xSplit="2" ySplit="4" topLeftCell="I5" activePane="bottomRight" state="frozen"/>
      <selection pane="topRight" activeCell="B1" sqref="B1"/>
      <selection pane="bottomLeft" activeCell="A5" sqref="A5"/>
      <selection pane="bottomRight" activeCell="B1" sqref="B1"/>
    </sheetView>
  </sheetViews>
  <sheetFormatPr baseColWidth="10" defaultColWidth="10.44140625" defaultRowHeight="14.4" x14ac:dyDescent="0.3"/>
  <cols>
    <col min="1" max="1" width="10.44140625" style="104"/>
    <col min="2" max="2" width="42.44140625" style="10" customWidth="1"/>
    <col min="3" max="3" width="25.44140625" style="10" customWidth="1"/>
    <col min="4" max="6" width="14.44140625" style="104" customWidth="1"/>
    <col min="7" max="9" width="13.44140625" style="104" customWidth="1"/>
    <col min="10" max="12" width="12.44140625" style="104" customWidth="1"/>
    <col min="13" max="13" width="15.44140625" style="104" customWidth="1"/>
    <col min="14" max="14" width="51.44140625" style="12" customWidth="1"/>
    <col min="15" max="15" width="32.44140625" style="12" customWidth="1"/>
    <col min="16" max="16" width="17.44140625" style="12" customWidth="1"/>
    <col min="17" max="19" width="2.44140625" style="104" customWidth="1"/>
    <col min="20" max="20" width="14.44140625" style="104" customWidth="1"/>
    <col min="21" max="21" width="13" style="104" customWidth="1"/>
    <col min="22" max="22" width="13.44140625" style="105" customWidth="1"/>
    <col min="23" max="23" width="14.44140625" style="104" customWidth="1"/>
    <col min="24" max="24" width="15" style="104" customWidth="1"/>
    <col min="25" max="25" width="15.44140625" style="7" customWidth="1"/>
    <col min="26" max="26" width="12.44140625" style="18" customWidth="1"/>
    <col min="27" max="27" width="13" style="104" customWidth="1"/>
    <col min="28" max="28" width="13" style="105" customWidth="1"/>
    <col min="29" max="29" width="47.44140625" style="104" customWidth="1"/>
    <col min="30" max="30" width="10.44140625" style="106"/>
    <col min="31" max="31" width="12.44140625" style="106" customWidth="1"/>
    <col min="32" max="41" width="10.44140625" style="104"/>
    <col min="42" max="43" width="11.44140625" style="104" bestFit="1" customWidth="1"/>
    <col min="44" max="16384" width="10.44140625" style="104"/>
  </cols>
  <sheetData>
    <row r="2" spans="1:53" ht="90" x14ac:dyDescent="0.5">
      <c r="E2" s="21" t="s">
        <v>17</v>
      </c>
      <c r="F2" s="21"/>
      <c r="G2" s="1"/>
      <c r="H2" s="1"/>
      <c r="I2" s="1"/>
      <c r="J2" s="1"/>
      <c r="K2" s="1"/>
      <c r="L2" s="1"/>
      <c r="M2" s="1"/>
      <c r="N2" s="11"/>
      <c r="O2" s="11"/>
      <c r="P2" s="11"/>
      <c r="R2" t="s">
        <v>18</v>
      </c>
    </row>
    <row r="3" spans="1:53" x14ac:dyDescent="0.3">
      <c r="D3" s="547" t="s">
        <v>19</v>
      </c>
      <c r="E3" s="547"/>
      <c r="F3" s="547"/>
      <c r="G3" s="547"/>
      <c r="H3" s="547"/>
      <c r="I3" s="547"/>
      <c r="J3" s="548" t="s">
        <v>20</v>
      </c>
      <c r="K3" s="548"/>
      <c r="L3" s="548"/>
      <c r="M3" s="548"/>
      <c r="N3" s="548"/>
      <c r="O3" s="549" t="s">
        <v>21</v>
      </c>
      <c r="P3" s="549"/>
      <c r="T3" s="550" t="s">
        <v>22</v>
      </c>
      <c r="U3" s="550"/>
      <c r="V3" s="550"/>
      <c r="W3" s="550"/>
      <c r="X3" s="550"/>
      <c r="Y3" s="550"/>
      <c r="Z3" s="550"/>
      <c r="AA3" s="550"/>
      <c r="AB3" s="550"/>
      <c r="AC3" s="550"/>
      <c r="AD3" s="551" t="s">
        <v>23</v>
      </c>
      <c r="AE3" s="551"/>
      <c r="AF3" s="551"/>
      <c r="AG3" s="551"/>
      <c r="AH3" s="551"/>
      <c r="AI3" s="551"/>
      <c r="AJ3" s="551"/>
      <c r="AK3" s="551"/>
      <c r="AL3" s="551"/>
      <c r="AM3" s="551"/>
      <c r="AN3" s="551"/>
      <c r="AO3" s="551"/>
      <c r="AP3" s="546" t="s">
        <v>24</v>
      </c>
      <c r="AQ3" s="546"/>
      <c r="AR3" s="546"/>
      <c r="AS3" s="546"/>
      <c r="AT3" s="546"/>
      <c r="AU3" s="546"/>
      <c r="AV3" s="546"/>
      <c r="AW3" s="546"/>
      <c r="AX3" s="546"/>
      <c r="AY3" s="546"/>
      <c r="AZ3" s="546"/>
      <c r="BA3" s="546"/>
    </row>
    <row r="4" spans="1:53" customFormat="1" ht="96" customHeight="1" x14ac:dyDescent="0.3">
      <c r="A4" s="14" t="s">
        <v>25</v>
      </c>
      <c r="B4" s="14" t="s">
        <v>26</v>
      </c>
      <c r="C4" s="14" t="s">
        <v>27</v>
      </c>
      <c r="D4" s="34" t="s">
        <v>28</v>
      </c>
      <c r="E4" s="35" t="s">
        <v>29</v>
      </c>
      <c r="F4" s="34" t="s">
        <v>30</v>
      </c>
      <c r="G4" s="34" t="s">
        <v>31</v>
      </c>
      <c r="H4" s="34" t="s">
        <v>32</v>
      </c>
      <c r="I4" s="34" t="s">
        <v>33</v>
      </c>
      <c r="J4" s="22" t="s">
        <v>34</v>
      </c>
      <c r="K4" s="22" t="s">
        <v>35</v>
      </c>
      <c r="L4" s="22" t="s">
        <v>36</v>
      </c>
      <c r="M4" s="22" t="s">
        <v>37</v>
      </c>
      <c r="N4" s="22" t="s">
        <v>5</v>
      </c>
      <c r="O4" s="139" t="s">
        <v>38</v>
      </c>
      <c r="P4" s="139" t="s">
        <v>39</v>
      </c>
      <c r="Q4" s="139" t="s">
        <v>40</v>
      </c>
      <c r="R4" s="139" t="s">
        <v>41</v>
      </c>
      <c r="S4" s="139" t="s">
        <v>42</v>
      </c>
      <c r="T4" s="23" t="s">
        <v>43</v>
      </c>
      <c r="U4" s="23" t="s">
        <v>44</v>
      </c>
      <c r="V4" s="24" t="s">
        <v>45</v>
      </c>
      <c r="W4" s="24" t="s">
        <v>46</v>
      </c>
      <c r="X4" s="24" t="s">
        <v>47</v>
      </c>
      <c r="Y4" s="25" t="s">
        <v>48</v>
      </c>
      <c r="Z4" s="25" t="s">
        <v>49</v>
      </c>
      <c r="AA4" s="24" t="s">
        <v>50</v>
      </c>
      <c r="AB4" s="24" t="s">
        <v>51</v>
      </c>
      <c r="AC4" s="38" t="s">
        <v>52</v>
      </c>
      <c r="AD4" s="33" t="s">
        <v>53</v>
      </c>
      <c r="AE4" s="33" t="s">
        <v>54</v>
      </c>
      <c r="AF4" s="33" t="s">
        <v>55</v>
      </c>
      <c r="AG4" s="33" t="s">
        <v>56</v>
      </c>
      <c r="AH4" s="33" t="s">
        <v>57</v>
      </c>
      <c r="AI4" s="33" t="s">
        <v>58</v>
      </c>
      <c r="AJ4" s="33" t="s">
        <v>59</v>
      </c>
      <c r="AK4" s="33" t="s">
        <v>60</v>
      </c>
      <c r="AL4" s="33" t="s">
        <v>61</v>
      </c>
      <c r="AM4" s="33" t="s">
        <v>62</v>
      </c>
      <c r="AN4" s="33" t="s">
        <v>63</v>
      </c>
      <c r="AO4" s="33" t="s">
        <v>64</v>
      </c>
      <c r="AP4" s="36" t="s">
        <v>53</v>
      </c>
      <c r="AQ4" s="36" t="s">
        <v>54</v>
      </c>
      <c r="AR4" s="36" t="s">
        <v>55</v>
      </c>
      <c r="AS4" s="36" t="s">
        <v>56</v>
      </c>
      <c r="AT4" s="36" t="s">
        <v>57</v>
      </c>
      <c r="AU4" s="36" t="s">
        <v>58</v>
      </c>
      <c r="AV4" s="36" t="s">
        <v>59</v>
      </c>
      <c r="AW4" s="36" t="s">
        <v>60</v>
      </c>
      <c r="AX4" s="36" t="s">
        <v>61</v>
      </c>
      <c r="AY4" s="36" t="s">
        <v>62</v>
      </c>
      <c r="AZ4" s="36" t="s">
        <v>63</v>
      </c>
      <c r="BA4" s="36" t="s">
        <v>64</v>
      </c>
    </row>
    <row r="5" spans="1:53" s="15" customFormat="1" ht="19.350000000000001" customHeight="1" x14ac:dyDescent="0.3">
      <c r="A5" s="96"/>
      <c r="B5" s="15" t="s">
        <v>65</v>
      </c>
      <c r="D5" s="95">
        <f>SUM(AD5:AO5)</f>
        <v>200000</v>
      </c>
      <c r="E5" s="95">
        <f>SUM(AP5:BA5)</f>
        <v>160000</v>
      </c>
      <c r="F5" s="39">
        <f t="shared" ref="F5:F52" si="0">D5-E5</f>
        <v>40000</v>
      </c>
      <c r="G5" s="94">
        <f t="shared" ref="G5:G52" si="1">F5/D5</f>
        <v>0.2</v>
      </c>
      <c r="H5" s="39"/>
      <c r="I5" s="39"/>
      <c r="J5" s="17"/>
      <c r="K5" s="17"/>
      <c r="L5" s="17"/>
      <c r="M5" s="17"/>
      <c r="N5" s="17"/>
      <c r="O5" s="17"/>
      <c r="P5" s="17"/>
      <c r="Q5" s="16"/>
      <c r="R5" s="16"/>
      <c r="S5" s="16">
        <f>Q5-R5</f>
        <v>0</v>
      </c>
      <c r="T5" s="16"/>
      <c r="U5" s="16"/>
      <c r="V5" s="16"/>
      <c r="W5" s="16"/>
      <c r="X5" s="16"/>
      <c r="Y5" s="16"/>
      <c r="Z5" s="16"/>
      <c r="AA5" s="16"/>
      <c r="AB5" s="16"/>
      <c r="AC5" s="32"/>
      <c r="AD5" s="99"/>
      <c r="AE5" s="99"/>
      <c r="AF5" s="99"/>
      <c r="AG5" s="99"/>
      <c r="AH5" s="99">
        <v>30000</v>
      </c>
      <c r="AI5" s="99">
        <v>50000</v>
      </c>
      <c r="AJ5" s="99"/>
      <c r="AK5" s="99"/>
      <c r="AL5" s="99">
        <v>20000</v>
      </c>
      <c r="AM5" s="99">
        <v>20000</v>
      </c>
      <c r="AN5" s="99"/>
      <c r="AO5" s="99">
        <v>80000</v>
      </c>
      <c r="AP5" s="100">
        <f t="shared" ref="AP5:BA5" si="2">AD5*0.8</f>
        <v>0</v>
      </c>
      <c r="AQ5" s="100">
        <f t="shared" si="2"/>
        <v>0</v>
      </c>
      <c r="AR5" s="100">
        <f t="shared" si="2"/>
        <v>0</v>
      </c>
      <c r="AS5" s="100">
        <f t="shared" si="2"/>
        <v>0</v>
      </c>
      <c r="AT5" s="100">
        <f t="shared" si="2"/>
        <v>24000</v>
      </c>
      <c r="AU5" s="100">
        <f t="shared" si="2"/>
        <v>40000</v>
      </c>
      <c r="AV5" s="100">
        <f t="shared" si="2"/>
        <v>0</v>
      </c>
      <c r="AW5" s="100">
        <f t="shared" si="2"/>
        <v>0</v>
      </c>
      <c r="AX5" s="100">
        <f t="shared" si="2"/>
        <v>16000</v>
      </c>
      <c r="AY5" s="100">
        <f t="shared" si="2"/>
        <v>16000</v>
      </c>
      <c r="AZ5" s="100">
        <f t="shared" si="2"/>
        <v>0</v>
      </c>
      <c r="BA5" s="100">
        <f t="shared" si="2"/>
        <v>64000</v>
      </c>
    </row>
    <row r="6" spans="1:53" customFormat="1" x14ac:dyDescent="0.3">
      <c r="A6" s="168" t="s">
        <v>66</v>
      </c>
      <c r="B6" s="504" t="s">
        <v>67</v>
      </c>
      <c r="C6" s="92"/>
      <c r="D6" s="393">
        <v>25896</v>
      </c>
      <c r="E6" s="331">
        <v>21700</v>
      </c>
      <c r="F6" s="40">
        <f>D6-E6</f>
        <v>4196</v>
      </c>
      <c r="G6" s="41">
        <f>F6/D6</f>
        <v>0.16203274637009576</v>
      </c>
      <c r="H6" s="153">
        <v>75745.2</v>
      </c>
      <c r="I6" s="331">
        <v>52080</v>
      </c>
      <c r="J6" s="336">
        <v>45107</v>
      </c>
      <c r="K6" s="345" t="s">
        <v>68</v>
      </c>
      <c r="L6" s="346">
        <v>44741</v>
      </c>
      <c r="M6" s="352" t="s">
        <v>69</v>
      </c>
      <c r="N6" s="354"/>
      <c r="O6" s="354"/>
      <c r="P6" s="362"/>
      <c r="Q6" s="366"/>
      <c r="R6" s="366"/>
      <c r="S6" s="366"/>
      <c r="T6" s="367"/>
      <c r="U6" s="367"/>
      <c r="V6" s="367"/>
      <c r="W6" s="367"/>
      <c r="X6" s="367"/>
      <c r="Y6" s="367"/>
      <c r="Z6" s="367"/>
      <c r="AA6" s="367"/>
      <c r="AB6" s="368"/>
      <c r="AC6" s="80"/>
      <c r="AD6" s="27">
        <f t="shared" ref="AD6:AD11" si="3">IF($K6="janvier",$D6,0)</f>
        <v>0</v>
      </c>
      <c r="AE6" s="27">
        <f t="shared" ref="AE6:AE52" si="4">IF($K6="février",$D6,0)</f>
        <v>0</v>
      </c>
      <c r="AF6" s="27">
        <f t="shared" ref="AF6:AF52" si="5">IF($K6="mars",$D6,0)</f>
        <v>0</v>
      </c>
      <c r="AG6" s="27">
        <f t="shared" ref="AG6:AG11" si="6">IF($K6="avril",$D6,0)</f>
        <v>0</v>
      </c>
      <c r="AH6" s="27">
        <f t="shared" ref="AH6:AH52" si="7">IF($K6="mai",$D6,0)</f>
        <v>0</v>
      </c>
      <c r="AI6" s="27">
        <f t="shared" ref="AI6:AI13" si="8">IF($K6="juin",$D6,0)</f>
        <v>25896</v>
      </c>
      <c r="AJ6" s="27">
        <f t="shared" ref="AJ6:AJ11" si="9">IF($K6="juillet",$D6,0)</f>
        <v>0</v>
      </c>
      <c r="AK6" s="27">
        <f>IF($K6="août",$D6,0)</f>
        <v>0</v>
      </c>
      <c r="AL6" s="27">
        <f t="shared" ref="AL6:AL39" si="10">IF($K6="septembre",$D6,0)</f>
        <v>0</v>
      </c>
      <c r="AM6" s="27">
        <f t="shared" ref="AM6:AM11" si="11">IF($K6="octobre",$D6,0)</f>
        <v>0</v>
      </c>
      <c r="AN6" s="27">
        <f t="shared" ref="AN6:AN11" si="12">IF($K6="novembre",$D6,0)</f>
        <v>0</v>
      </c>
      <c r="AO6" s="27">
        <f>IF($K6="décembre",$D6,0)</f>
        <v>0</v>
      </c>
      <c r="AP6" s="37">
        <f t="shared" ref="AP6:AP52" si="13">IF($K6="janvier",$E6,0)</f>
        <v>0</v>
      </c>
      <c r="AQ6" s="37">
        <f t="shared" ref="AQ6:AQ24" si="14">IF($K6="février",$E6,0)</f>
        <v>0</v>
      </c>
      <c r="AR6" s="37">
        <f t="shared" ref="AR6:AR52" si="15">IF($K6="mars",$E6,0)</f>
        <v>0</v>
      </c>
      <c r="AS6" s="37">
        <f t="shared" ref="AS6:AS52" si="16">IF($K6="avril",$E6,0)</f>
        <v>0</v>
      </c>
      <c r="AT6" s="37">
        <f t="shared" ref="AT6:AT24" si="17">IF($K6="mai",$E6,0)</f>
        <v>0</v>
      </c>
      <c r="AU6" s="37">
        <f t="shared" ref="AU6:AU13" si="18">IF($K6="juin",$E6,0)</f>
        <v>21700</v>
      </c>
      <c r="AV6" s="37">
        <f t="shared" ref="AV6:AV21" si="19">IF($K6="juillet",$E6,0)</f>
        <v>0</v>
      </c>
      <c r="AW6" s="37">
        <f>IF($K6="août",$E6,0)</f>
        <v>0</v>
      </c>
      <c r="AX6" s="37">
        <f t="shared" ref="AX6:AX52" si="20">IF($K6="septembre",$E6,0)</f>
        <v>0</v>
      </c>
      <c r="AY6" s="37">
        <f t="shared" ref="AY6:AY52" si="21">IF($K6="octobre",$E6,0)</f>
        <v>0</v>
      </c>
      <c r="AZ6" s="37">
        <f t="shared" ref="AZ6:AZ24" si="22">IF($K6="novembre",$E6,0)</f>
        <v>0</v>
      </c>
      <c r="BA6" s="37">
        <f t="shared" ref="BA6:BA52" si="23">IF($K6="décembre",$E6,0)</f>
        <v>0</v>
      </c>
    </row>
    <row r="7" spans="1:53" s="13" customFormat="1" x14ac:dyDescent="0.3">
      <c r="A7" s="168" t="s">
        <v>66</v>
      </c>
      <c r="B7" s="88" t="s">
        <v>70</v>
      </c>
      <c r="C7" s="92" t="s">
        <v>71</v>
      </c>
      <c r="D7" s="149"/>
      <c r="E7" s="164"/>
      <c r="F7" s="40"/>
      <c r="G7" s="41"/>
      <c r="H7" s="55"/>
      <c r="I7" s="55"/>
      <c r="J7" s="148"/>
      <c r="K7" s="54"/>
      <c r="L7" s="109"/>
      <c r="M7" s="107"/>
      <c r="N7" s="108"/>
      <c r="O7" s="43"/>
      <c r="P7" s="43"/>
      <c r="Q7" s="44"/>
      <c r="R7" s="44"/>
      <c r="S7" s="44"/>
      <c r="T7" s="51"/>
      <c r="U7" s="51"/>
      <c r="V7" s="45"/>
      <c r="W7" s="45"/>
      <c r="X7" s="45"/>
      <c r="Y7" s="45"/>
      <c r="Z7" s="45"/>
      <c r="AA7" s="52"/>
      <c r="AB7" s="46"/>
      <c r="AC7" s="71"/>
      <c r="AD7" s="27">
        <f t="shared" si="3"/>
        <v>0</v>
      </c>
      <c r="AE7" s="27">
        <f t="shared" si="4"/>
        <v>0</v>
      </c>
      <c r="AF7" s="27">
        <f t="shared" si="5"/>
        <v>0</v>
      </c>
      <c r="AG7" s="27">
        <f t="shared" si="6"/>
        <v>0</v>
      </c>
      <c r="AH7" s="27">
        <f t="shared" si="7"/>
        <v>0</v>
      </c>
      <c r="AI7" s="27">
        <f t="shared" si="8"/>
        <v>0</v>
      </c>
      <c r="AJ7" s="27">
        <f t="shared" si="9"/>
        <v>0</v>
      </c>
      <c r="AK7" s="27">
        <f>IF($K7="août",$D7,0)</f>
        <v>0</v>
      </c>
      <c r="AL7" s="27">
        <f t="shared" si="10"/>
        <v>0</v>
      </c>
      <c r="AM7" s="27">
        <f t="shared" si="11"/>
        <v>0</v>
      </c>
      <c r="AN7" s="27">
        <f t="shared" si="12"/>
        <v>0</v>
      </c>
      <c r="AO7" s="27">
        <f>IF($K7="décembre",$D7,0)</f>
        <v>0</v>
      </c>
      <c r="AP7" s="37">
        <f t="shared" si="13"/>
        <v>0</v>
      </c>
      <c r="AQ7" s="37">
        <f t="shared" si="14"/>
        <v>0</v>
      </c>
      <c r="AR7" s="37">
        <f t="shared" si="15"/>
        <v>0</v>
      </c>
      <c r="AS7" s="37">
        <f t="shared" si="16"/>
        <v>0</v>
      </c>
      <c r="AT7" s="37">
        <f t="shared" si="17"/>
        <v>0</v>
      </c>
      <c r="AU7" s="37">
        <f t="shared" si="18"/>
        <v>0</v>
      </c>
      <c r="AV7" s="37">
        <f t="shared" si="19"/>
        <v>0</v>
      </c>
      <c r="AW7" s="37">
        <f>IF($K7="août",$CJ7,0)</f>
        <v>0</v>
      </c>
      <c r="AX7" s="37">
        <f t="shared" si="20"/>
        <v>0</v>
      </c>
      <c r="AY7" s="37">
        <f t="shared" si="21"/>
        <v>0</v>
      </c>
      <c r="AZ7" s="37">
        <f t="shared" si="22"/>
        <v>0</v>
      </c>
      <c r="BA7" s="37">
        <f t="shared" si="23"/>
        <v>0</v>
      </c>
    </row>
    <row r="8" spans="1:53" customFormat="1" x14ac:dyDescent="0.3">
      <c r="A8" s="168" t="s">
        <v>72</v>
      </c>
      <c r="B8" s="90" t="s">
        <v>73</v>
      </c>
      <c r="C8" s="92" t="s">
        <v>74</v>
      </c>
      <c r="D8" s="153"/>
      <c r="E8" s="331">
        <v>0</v>
      </c>
      <c r="F8" s="40">
        <f t="shared" ref="F8:F24" si="24">D8-E8</f>
        <v>0</v>
      </c>
      <c r="G8" s="41" t="e">
        <f t="shared" ref="G8:G24" si="25">F8/D8</f>
        <v>#DIV/0!</v>
      </c>
      <c r="H8" s="333">
        <f>18000*10%</f>
        <v>1800</v>
      </c>
      <c r="I8" s="55"/>
      <c r="J8" s="336">
        <v>45016</v>
      </c>
      <c r="K8" s="345" t="s">
        <v>75</v>
      </c>
      <c r="L8" s="346">
        <v>45382</v>
      </c>
      <c r="M8" s="354" t="s">
        <v>76</v>
      </c>
      <c r="N8" s="356" t="s">
        <v>77</v>
      </c>
      <c r="O8" s="354"/>
      <c r="P8" s="362"/>
      <c r="Q8" s="366"/>
      <c r="R8" s="366"/>
      <c r="S8" s="366"/>
      <c r="T8" s="367"/>
      <c r="U8" s="367"/>
      <c r="V8" s="367"/>
      <c r="W8" s="367"/>
      <c r="X8" s="367"/>
      <c r="Y8" s="367"/>
      <c r="Z8" s="367"/>
      <c r="AA8" s="367"/>
      <c r="AB8" s="368"/>
      <c r="AC8" s="80"/>
      <c r="AD8" s="27">
        <f t="shared" si="3"/>
        <v>0</v>
      </c>
      <c r="AE8" s="27">
        <f t="shared" si="4"/>
        <v>0</v>
      </c>
      <c r="AF8" s="27">
        <f t="shared" si="5"/>
        <v>0</v>
      </c>
      <c r="AG8" s="27">
        <f t="shared" si="6"/>
        <v>0</v>
      </c>
      <c r="AH8" s="27">
        <f t="shared" si="7"/>
        <v>0</v>
      </c>
      <c r="AI8" s="27">
        <f t="shared" si="8"/>
        <v>0</v>
      </c>
      <c r="AJ8" s="27">
        <f t="shared" si="9"/>
        <v>0</v>
      </c>
      <c r="AK8" s="27">
        <f>IF($K8="août",$D8,0)/4</f>
        <v>0</v>
      </c>
      <c r="AL8" s="27">
        <f t="shared" si="10"/>
        <v>0</v>
      </c>
      <c r="AM8" s="27">
        <f t="shared" si="11"/>
        <v>0</v>
      </c>
      <c r="AN8" s="27">
        <f t="shared" si="12"/>
        <v>0</v>
      </c>
      <c r="AO8" s="27">
        <f>IF($K8="août",$D8,0)/4</f>
        <v>0</v>
      </c>
      <c r="AP8" s="37">
        <f t="shared" si="13"/>
        <v>0</v>
      </c>
      <c r="AQ8" s="37">
        <f t="shared" si="14"/>
        <v>0</v>
      </c>
      <c r="AR8" s="37">
        <f t="shared" si="15"/>
        <v>0</v>
      </c>
      <c r="AS8" s="37">
        <f t="shared" si="16"/>
        <v>0</v>
      </c>
      <c r="AT8" s="37">
        <f t="shared" si="17"/>
        <v>0</v>
      </c>
      <c r="AU8" s="37">
        <f t="shared" si="18"/>
        <v>0</v>
      </c>
      <c r="AV8" s="37">
        <f t="shared" si="19"/>
        <v>0</v>
      </c>
      <c r="AW8" s="37">
        <f>IF($K8="août",$E8,0)</f>
        <v>0</v>
      </c>
      <c r="AX8" s="37">
        <f t="shared" si="20"/>
        <v>0</v>
      </c>
      <c r="AY8" s="37">
        <f t="shared" si="21"/>
        <v>0</v>
      </c>
      <c r="AZ8" s="37">
        <f t="shared" si="22"/>
        <v>0</v>
      </c>
      <c r="BA8" s="37">
        <f t="shared" si="23"/>
        <v>0</v>
      </c>
    </row>
    <row r="9" spans="1:53" s="13" customFormat="1" x14ac:dyDescent="0.3">
      <c r="A9" s="168" t="s">
        <v>72</v>
      </c>
      <c r="B9" s="90" t="s">
        <v>73</v>
      </c>
      <c r="C9" s="92" t="s">
        <v>74</v>
      </c>
      <c r="D9" s="153"/>
      <c r="E9" s="331">
        <v>0</v>
      </c>
      <c r="F9" s="40">
        <f t="shared" si="24"/>
        <v>0</v>
      </c>
      <c r="G9" s="41" t="e">
        <f t="shared" si="25"/>
        <v>#DIV/0!</v>
      </c>
      <c r="H9" s="333">
        <f>6000*10%</f>
        <v>600</v>
      </c>
      <c r="I9" s="55"/>
      <c r="J9" s="336">
        <v>45016</v>
      </c>
      <c r="K9" s="345" t="s">
        <v>75</v>
      </c>
      <c r="L9" s="346">
        <v>45382</v>
      </c>
      <c r="M9" s="354" t="s">
        <v>76</v>
      </c>
      <c r="N9" s="356" t="s">
        <v>78</v>
      </c>
      <c r="O9" s="354"/>
      <c r="P9" s="362"/>
      <c r="Q9" s="366"/>
      <c r="R9" s="366"/>
      <c r="S9" s="366"/>
      <c r="T9" s="367"/>
      <c r="U9" s="367"/>
      <c r="V9" s="367"/>
      <c r="W9" s="367"/>
      <c r="X9" s="367"/>
      <c r="Y9" s="367"/>
      <c r="Z9" s="367"/>
      <c r="AA9" s="367"/>
      <c r="AB9" s="368"/>
      <c r="AC9" s="80"/>
      <c r="AD9" s="27">
        <f t="shared" si="3"/>
        <v>0</v>
      </c>
      <c r="AE9" s="27">
        <f t="shared" si="4"/>
        <v>0</v>
      </c>
      <c r="AF9" s="27">
        <f t="shared" si="5"/>
        <v>0</v>
      </c>
      <c r="AG9" s="27">
        <f t="shared" si="6"/>
        <v>0</v>
      </c>
      <c r="AH9" s="27">
        <f t="shared" si="7"/>
        <v>0</v>
      </c>
      <c r="AI9" s="27">
        <f t="shared" si="8"/>
        <v>0</v>
      </c>
      <c r="AJ9" s="27">
        <f t="shared" si="9"/>
        <v>0</v>
      </c>
      <c r="AK9" s="27">
        <f>IF($K9="août",$D9,0)/4</f>
        <v>0</v>
      </c>
      <c r="AL9" s="27">
        <f t="shared" si="10"/>
        <v>0</v>
      </c>
      <c r="AM9" s="27">
        <f t="shared" si="11"/>
        <v>0</v>
      </c>
      <c r="AN9" s="27">
        <f t="shared" si="12"/>
        <v>0</v>
      </c>
      <c r="AO9" s="27">
        <f>IF($K9="août",$D9,0)/4</f>
        <v>0</v>
      </c>
      <c r="AP9" s="37">
        <f t="shared" si="13"/>
        <v>0</v>
      </c>
      <c r="AQ9" s="37">
        <f t="shared" si="14"/>
        <v>0</v>
      </c>
      <c r="AR9" s="37">
        <f t="shared" si="15"/>
        <v>0</v>
      </c>
      <c r="AS9" s="37">
        <f t="shared" si="16"/>
        <v>0</v>
      </c>
      <c r="AT9" s="37">
        <f t="shared" si="17"/>
        <v>0</v>
      </c>
      <c r="AU9" s="37">
        <f t="shared" si="18"/>
        <v>0</v>
      </c>
      <c r="AV9" s="37">
        <f t="shared" si="19"/>
        <v>0</v>
      </c>
      <c r="AW9" s="37">
        <f>IF($K9="août",$E9,0)</f>
        <v>0</v>
      </c>
      <c r="AX9" s="37">
        <f t="shared" si="20"/>
        <v>0</v>
      </c>
      <c r="AY9" s="37">
        <f t="shared" si="21"/>
        <v>0</v>
      </c>
      <c r="AZ9" s="37">
        <f t="shared" si="22"/>
        <v>0</v>
      </c>
      <c r="BA9" s="37">
        <f t="shared" si="23"/>
        <v>0</v>
      </c>
    </row>
    <row r="10" spans="1:53" customFormat="1" x14ac:dyDescent="0.3">
      <c r="A10" s="168" t="s">
        <v>66</v>
      </c>
      <c r="B10" s="90" t="s">
        <v>79</v>
      </c>
      <c r="C10" s="92"/>
      <c r="D10" s="166">
        <v>54567</v>
      </c>
      <c r="E10" s="164">
        <v>38810.79</v>
      </c>
      <c r="F10" s="40">
        <f t="shared" si="24"/>
        <v>15756.21</v>
      </c>
      <c r="G10" s="41">
        <f t="shared" si="25"/>
        <v>0.28874979383143656</v>
      </c>
      <c r="H10" s="55">
        <f>E10/4</f>
        <v>9702.6975000000002</v>
      </c>
      <c r="I10" s="55"/>
      <c r="J10" s="336">
        <v>45107</v>
      </c>
      <c r="K10" s="54" t="s">
        <v>68</v>
      </c>
      <c r="L10" s="348">
        <v>44742</v>
      </c>
      <c r="M10" s="107" t="s">
        <v>80</v>
      </c>
      <c r="N10" s="108"/>
      <c r="O10" s="43"/>
      <c r="P10" s="43"/>
      <c r="Q10" s="44"/>
      <c r="R10" s="44"/>
      <c r="S10" s="44"/>
      <c r="T10" s="45"/>
      <c r="U10" s="45"/>
      <c r="V10" s="47"/>
      <c r="W10" s="45"/>
      <c r="X10" s="45"/>
      <c r="Y10" s="45"/>
      <c r="Z10" s="45"/>
      <c r="AA10" s="45"/>
      <c r="AB10" s="46"/>
      <c r="AC10" s="71"/>
      <c r="AD10" s="27">
        <f t="shared" si="3"/>
        <v>0</v>
      </c>
      <c r="AE10" s="27">
        <f t="shared" si="4"/>
        <v>0</v>
      </c>
      <c r="AF10" s="27">
        <f t="shared" si="5"/>
        <v>0</v>
      </c>
      <c r="AG10" s="27">
        <f t="shared" si="6"/>
        <v>0</v>
      </c>
      <c r="AH10" s="27">
        <f t="shared" si="7"/>
        <v>0</v>
      </c>
      <c r="AI10" s="27">
        <f t="shared" si="8"/>
        <v>54567</v>
      </c>
      <c r="AJ10" s="27">
        <f t="shared" si="9"/>
        <v>0</v>
      </c>
      <c r="AK10" s="27">
        <f t="shared" ref="AK10:AK22" si="26">IF($K10="août",$D10,0)</f>
        <v>0</v>
      </c>
      <c r="AL10" s="27">
        <f t="shared" si="10"/>
        <v>0</v>
      </c>
      <c r="AM10" s="27">
        <f t="shared" si="11"/>
        <v>0</v>
      </c>
      <c r="AN10" s="27">
        <f t="shared" si="12"/>
        <v>0</v>
      </c>
      <c r="AO10" s="27">
        <f>IF($K10="décembre",$D10,0)</f>
        <v>0</v>
      </c>
      <c r="AP10" s="37">
        <f t="shared" si="13"/>
        <v>0</v>
      </c>
      <c r="AQ10" s="37">
        <f t="shared" si="14"/>
        <v>0</v>
      </c>
      <c r="AR10" s="37">
        <f t="shared" si="15"/>
        <v>0</v>
      </c>
      <c r="AS10" s="37">
        <f t="shared" si="16"/>
        <v>0</v>
      </c>
      <c r="AT10" s="37">
        <f t="shared" si="17"/>
        <v>0</v>
      </c>
      <c r="AU10" s="37">
        <f t="shared" si="18"/>
        <v>38810.79</v>
      </c>
      <c r="AV10" s="112">
        <f t="shared" si="19"/>
        <v>0</v>
      </c>
      <c r="AW10" s="37">
        <f>IF($K10="août",$CJ10,0)</f>
        <v>0</v>
      </c>
      <c r="AX10" s="37">
        <f t="shared" si="20"/>
        <v>0</v>
      </c>
      <c r="AY10" s="37">
        <f t="shared" si="21"/>
        <v>0</v>
      </c>
      <c r="AZ10" s="37">
        <f t="shared" si="22"/>
        <v>0</v>
      </c>
      <c r="BA10" s="37">
        <f t="shared" si="23"/>
        <v>0</v>
      </c>
    </row>
    <row r="11" spans="1:53" customFormat="1" x14ac:dyDescent="0.3">
      <c r="A11" s="168" t="s">
        <v>72</v>
      </c>
      <c r="B11" s="90" t="s">
        <v>81</v>
      </c>
      <c r="C11" s="92" t="s">
        <v>82</v>
      </c>
      <c r="D11" s="149">
        <v>6250</v>
      </c>
      <c r="E11" s="164">
        <v>0</v>
      </c>
      <c r="F11" s="40">
        <f t="shared" si="24"/>
        <v>6250</v>
      </c>
      <c r="G11" s="41">
        <f t="shared" si="25"/>
        <v>1</v>
      </c>
      <c r="H11" s="55"/>
      <c r="I11" s="55"/>
      <c r="J11" s="336">
        <v>45247</v>
      </c>
      <c r="K11" s="54" t="s">
        <v>63</v>
      </c>
      <c r="L11" s="109">
        <v>44882</v>
      </c>
      <c r="M11" s="43" t="s">
        <v>82</v>
      </c>
      <c r="N11" s="356"/>
      <c r="O11" s="354"/>
      <c r="P11" s="363"/>
      <c r="Q11" s="44"/>
      <c r="R11" s="44"/>
      <c r="S11" s="44"/>
      <c r="T11" s="45"/>
      <c r="U11" s="45"/>
      <c r="V11" s="45" t="s">
        <v>83</v>
      </c>
      <c r="W11" s="45" t="s">
        <v>83</v>
      </c>
      <c r="X11" s="45" t="s">
        <v>83</v>
      </c>
      <c r="Y11" s="45" t="s">
        <v>83</v>
      </c>
      <c r="Z11" s="45" t="s">
        <v>83</v>
      </c>
      <c r="AA11" s="45"/>
      <c r="AB11" s="46"/>
      <c r="AC11" s="71"/>
      <c r="AD11" s="27">
        <f t="shared" si="3"/>
        <v>0</v>
      </c>
      <c r="AE11" s="27">
        <f t="shared" si="4"/>
        <v>0</v>
      </c>
      <c r="AF11" s="27">
        <f t="shared" si="5"/>
        <v>0</v>
      </c>
      <c r="AG11" s="27">
        <f t="shared" si="6"/>
        <v>0</v>
      </c>
      <c r="AH11" s="27">
        <f t="shared" si="7"/>
        <v>0</v>
      </c>
      <c r="AI11" s="27">
        <f t="shared" si="8"/>
        <v>0</v>
      </c>
      <c r="AJ11" s="27">
        <f t="shared" si="9"/>
        <v>0</v>
      </c>
      <c r="AK11" s="27">
        <f t="shared" si="26"/>
        <v>0</v>
      </c>
      <c r="AL11" s="27">
        <f t="shared" si="10"/>
        <v>0</v>
      </c>
      <c r="AM11" s="27">
        <f t="shared" si="11"/>
        <v>0</v>
      </c>
      <c r="AN11" s="27">
        <f t="shared" si="12"/>
        <v>6250</v>
      </c>
      <c r="AO11" s="27">
        <f>IF($K11="décembre",$D11,0)</f>
        <v>0</v>
      </c>
      <c r="AP11" s="37">
        <f t="shared" si="13"/>
        <v>0</v>
      </c>
      <c r="AQ11" s="37">
        <f t="shared" si="14"/>
        <v>0</v>
      </c>
      <c r="AR11" s="37">
        <f t="shared" si="15"/>
        <v>0</v>
      </c>
      <c r="AS11" s="37">
        <f t="shared" si="16"/>
        <v>0</v>
      </c>
      <c r="AT11" s="37">
        <f t="shared" si="17"/>
        <v>0</v>
      </c>
      <c r="AU11" s="37">
        <f t="shared" si="18"/>
        <v>0</v>
      </c>
      <c r="AV11" s="37">
        <f t="shared" si="19"/>
        <v>0</v>
      </c>
      <c r="AW11" s="37">
        <f>IF($K11="août",$E11,0)</f>
        <v>0</v>
      </c>
      <c r="AX11" s="37">
        <f t="shared" si="20"/>
        <v>0</v>
      </c>
      <c r="AY11" s="37">
        <f t="shared" si="21"/>
        <v>0</v>
      </c>
      <c r="AZ11" s="37">
        <f t="shared" si="22"/>
        <v>0</v>
      </c>
      <c r="BA11" s="37">
        <f t="shared" si="23"/>
        <v>0</v>
      </c>
    </row>
    <row r="12" spans="1:53" s="13" customFormat="1" x14ac:dyDescent="0.3">
      <c r="A12" s="168" t="s">
        <v>66</v>
      </c>
      <c r="B12" s="90" t="s">
        <v>84</v>
      </c>
      <c r="C12" s="92"/>
      <c r="D12" s="149">
        <v>4800</v>
      </c>
      <c r="E12" s="164">
        <f>4800*0.7</f>
        <v>3360</v>
      </c>
      <c r="F12" s="40">
        <f t="shared" si="24"/>
        <v>1440</v>
      </c>
      <c r="G12" s="41">
        <f t="shared" si="25"/>
        <v>0.3</v>
      </c>
      <c r="H12" s="55"/>
      <c r="I12" s="55"/>
      <c r="J12" s="339">
        <v>45199</v>
      </c>
      <c r="K12" s="54" t="str">
        <f>TEXT(30*MONTH(J12)+30,"mmmm")</f>
        <v>octobre</v>
      </c>
      <c r="L12" s="349">
        <v>45169</v>
      </c>
      <c r="M12" s="107" t="s">
        <v>85</v>
      </c>
      <c r="N12" s="108" t="s">
        <v>86</v>
      </c>
      <c r="O12" s="110"/>
      <c r="P12" s="43"/>
      <c r="Q12" s="44"/>
      <c r="R12" s="44"/>
      <c r="S12" s="44"/>
      <c r="T12" s="45"/>
      <c r="U12" s="45"/>
      <c r="V12" s="45"/>
      <c r="W12" s="45"/>
      <c r="X12" s="45"/>
      <c r="Y12" s="45"/>
      <c r="Z12" s="45"/>
      <c r="AA12" s="45"/>
      <c r="AB12" s="46"/>
      <c r="AC12" s="71"/>
      <c r="AD12" s="27">
        <v>1200</v>
      </c>
      <c r="AE12" s="27">
        <f t="shared" si="4"/>
        <v>0</v>
      </c>
      <c r="AF12" s="27">
        <f t="shared" si="5"/>
        <v>0</v>
      </c>
      <c r="AG12" s="27">
        <f>AD12</f>
        <v>1200</v>
      </c>
      <c r="AH12" s="27">
        <f t="shared" si="7"/>
        <v>0</v>
      </c>
      <c r="AI12" s="27">
        <f t="shared" si="8"/>
        <v>0</v>
      </c>
      <c r="AJ12" s="27">
        <f>AG12</f>
        <v>1200</v>
      </c>
      <c r="AK12" s="27">
        <f t="shared" si="26"/>
        <v>0</v>
      </c>
      <c r="AL12" s="27">
        <f t="shared" si="10"/>
        <v>0</v>
      </c>
      <c r="AM12" s="27">
        <f>AJ12</f>
        <v>1200</v>
      </c>
      <c r="AN12" s="27">
        <v>0</v>
      </c>
      <c r="AO12" s="27">
        <v>0</v>
      </c>
      <c r="AP12" s="37">
        <f t="shared" si="13"/>
        <v>0</v>
      </c>
      <c r="AQ12" s="37">
        <f t="shared" si="14"/>
        <v>0</v>
      </c>
      <c r="AR12" s="37">
        <f t="shared" si="15"/>
        <v>0</v>
      </c>
      <c r="AS12" s="37">
        <f t="shared" si="16"/>
        <v>0</v>
      </c>
      <c r="AT12" s="37">
        <f t="shared" si="17"/>
        <v>0</v>
      </c>
      <c r="AU12" s="37">
        <f t="shared" si="18"/>
        <v>0</v>
      </c>
      <c r="AV12" s="37">
        <f t="shared" si="19"/>
        <v>0</v>
      </c>
      <c r="AW12" s="37">
        <f>IF($K12="août",$CJ12,0)</f>
        <v>0</v>
      </c>
      <c r="AX12" s="37">
        <f t="shared" si="20"/>
        <v>0</v>
      </c>
      <c r="AY12" s="37">
        <f t="shared" si="21"/>
        <v>3360</v>
      </c>
      <c r="AZ12" s="37">
        <f t="shared" si="22"/>
        <v>0</v>
      </c>
      <c r="BA12" s="37">
        <f t="shared" si="23"/>
        <v>0</v>
      </c>
    </row>
    <row r="13" spans="1:53" s="13" customFormat="1" x14ac:dyDescent="0.3">
      <c r="A13" s="168" t="s">
        <v>72</v>
      </c>
      <c r="B13" s="90" t="s">
        <v>87</v>
      </c>
      <c r="C13" s="92" t="s">
        <v>85</v>
      </c>
      <c r="D13" s="149">
        <v>5000</v>
      </c>
      <c r="E13" s="164">
        <v>4200</v>
      </c>
      <c r="F13" s="40">
        <f t="shared" si="24"/>
        <v>800</v>
      </c>
      <c r="G13" s="41">
        <f t="shared" si="25"/>
        <v>0.16</v>
      </c>
      <c r="H13" s="62"/>
      <c r="I13" s="335"/>
      <c r="J13" s="336">
        <v>45258</v>
      </c>
      <c r="K13" s="54" t="s">
        <v>63</v>
      </c>
      <c r="L13" s="109">
        <v>45989</v>
      </c>
      <c r="M13" s="43" t="s">
        <v>88</v>
      </c>
      <c r="N13" s="356"/>
      <c r="O13" s="354"/>
      <c r="P13" s="363"/>
      <c r="Q13" s="44"/>
      <c r="R13" s="44"/>
      <c r="S13" s="44"/>
      <c r="T13" s="45"/>
      <c r="U13" s="45"/>
      <c r="V13" s="45" t="s">
        <v>83</v>
      </c>
      <c r="W13" s="45" t="s">
        <v>83</v>
      </c>
      <c r="X13" s="45" t="s">
        <v>83</v>
      </c>
      <c r="Y13" s="45" t="s">
        <v>83</v>
      </c>
      <c r="Z13" s="45" t="s">
        <v>83</v>
      </c>
      <c r="AA13" s="45"/>
      <c r="AB13" s="46"/>
      <c r="AC13" s="71"/>
      <c r="AD13" s="27">
        <f t="shared" ref="AD13:AD52" si="27">IF($K13="janvier",$D13,0)</f>
        <v>0</v>
      </c>
      <c r="AE13" s="27">
        <f t="shared" si="4"/>
        <v>0</v>
      </c>
      <c r="AF13" s="27">
        <f t="shared" si="5"/>
        <v>0</v>
      </c>
      <c r="AG13" s="27">
        <f t="shared" ref="AG13:AG52" si="28">IF($K13="avril",$D13,0)</f>
        <v>0</v>
      </c>
      <c r="AH13" s="27">
        <f t="shared" si="7"/>
        <v>0</v>
      </c>
      <c r="AI13" s="27">
        <f t="shared" si="8"/>
        <v>0</v>
      </c>
      <c r="AJ13" s="27">
        <f t="shared" ref="AJ13:AJ52" si="29">IF($K13="juillet",$D13,0)</f>
        <v>0</v>
      </c>
      <c r="AK13" s="27">
        <f t="shared" si="26"/>
        <v>0</v>
      </c>
      <c r="AL13" s="27">
        <f t="shared" si="10"/>
        <v>0</v>
      </c>
      <c r="AM13" s="27">
        <f t="shared" ref="AM13:AM39" si="30">IF($K13="octobre",$D13,0)</f>
        <v>0</v>
      </c>
      <c r="AN13" s="27">
        <f t="shared" ref="AN13:AN39" si="31">IF($K13="novembre",$D13,0)</f>
        <v>5000</v>
      </c>
      <c r="AO13" s="27">
        <f t="shared" ref="AO13:AO22" si="32">IF($K13="décembre",$D13,0)</f>
        <v>0</v>
      </c>
      <c r="AP13" s="37">
        <f t="shared" si="13"/>
        <v>0</v>
      </c>
      <c r="AQ13" s="37">
        <f t="shared" si="14"/>
        <v>0</v>
      </c>
      <c r="AR13" s="37">
        <f t="shared" si="15"/>
        <v>0</v>
      </c>
      <c r="AS13" s="37">
        <f t="shared" si="16"/>
        <v>0</v>
      </c>
      <c r="AT13" s="37">
        <f t="shared" si="17"/>
        <v>0</v>
      </c>
      <c r="AU13" s="37">
        <f t="shared" si="18"/>
        <v>0</v>
      </c>
      <c r="AV13" s="37">
        <f t="shared" si="19"/>
        <v>0</v>
      </c>
      <c r="AW13" s="37">
        <f t="shared" ref="AW13:AW20" si="33">IF($K13="août",$E13,0)</f>
        <v>0</v>
      </c>
      <c r="AX13" s="37">
        <f t="shared" si="20"/>
        <v>0</v>
      </c>
      <c r="AY13" s="37">
        <f t="shared" si="21"/>
        <v>0</v>
      </c>
      <c r="AZ13" s="37">
        <f t="shared" si="22"/>
        <v>4200</v>
      </c>
      <c r="BA13" s="37">
        <f t="shared" si="23"/>
        <v>0</v>
      </c>
    </row>
    <row r="14" spans="1:53" s="13" customFormat="1" x14ac:dyDescent="0.3">
      <c r="A14" s="168" t="s">
        <v>72</v>
      </c>
      <c r="B14" s="90" t="s">
        <v>89</v>
      </c>
      <c r="C14" s="92" t="s">
        <v>90</v>
      </c>
      <c r="D14" s="149">
        <f>11782.81*0.2</f>
        <v>2356.5619999999999</v>
      </c>
      <c r="E14" s="164">
        <v>0</v>
      </c>
      <c r="F14" s="40">
        <f t="shared" si="24"/>
        <v>2356.5619999999999</v>
      </c>
      <c r="G14" s="41">
        <f t="shared" si="25"/>
        <v>1</v>
      </c>
      <c r="H14" s="448"/>
      <c r="I14" s="335"/>
      <c r="J14" s="150">
        <v>44926</v>
      </c>
      <c r="K14" s="54" t="s">
        <v>58</v>
      </c>
      <c r="L14" s="109">
        <v>46386</v>
      </c>
      <c r="M14" s="53" t="s">
        <v>91</v>
      </c>
      <c r="N14" s="108"/>
      <c r="O14" s="53"/>
      <c r="P14" s="53"/>
      <c r="Q14" s="44"/>
      <c r="R14" s="44"/>
      <c r="S14" s="44"/>
      <c r="T14" s="20"/>
      <c r="U14" s="20"/>
      <c r="V14" s="20" t="s">
        <v>83</v>
      </c>
      <c r="W14" s="20" t="s">
        <v>83</v>
      </c>
      <c r="X14" s="20"/>
      <c r="Y14" s="50"/>
      <c r="Z14" s="47" t="s">
        <v>83</v>
      </c>
      <c r="AA14" s="48"/>
      <c r="AB14" s="49"/>
      <c r="AC14" s="71"/>
      <c r="AD14" s="27">
        <f t="shared" si="27"/>
        <v>0</v>
      </c>
      <c r="AE14" s="27">
        <f t="shared" si="4"/>
        <v>0</v>
      </c>
      <c r="AF14" s="27">
        <f t="shared" si="5"/>
        <v>0</v>
      </c>
      <c r="AG14" s="27">
        <f t="shared" si="28"/>
        <v>0</v>
      </c>
      <c r="AH14" s="27">
        <f t="shared" si="7"/>
        <v>0</v>
      </c>
      <c r="AI14" s="27">
        <f>IF($K14="juin",$D14,0)*0</f>
        <v>0</v>
      </c>
      <c r="AJ14" s="27">
        <f t="shared" si="29"/>
        <v>0</v>
      </c>
      <c r="AK14" s="27">
        <f t="shared" si="26"/>
        <v>0</v>
      </c>
      <c r="AL14" s="27">
        <f t="shared" si="10"/>
        <v>0</v>
      </c>
      <c r="AM14" s="27">
        <f t="shared" si="30"/>
        <v>0</v>
      </c>
      <c r="AN14" s="27">
        <f t="shared" si="31"/>
        <v>0</v>
      </c>
      <c r="AO14" s="27">
        <f t="shared" si="32"/>
        <v>0</v>
      </c>
      <c r="AP14" s="37">
        <f t="shared" si="13"/>
        <v>0</v>
      </c>
      <c r="AQ14" s="37">
        <f t="shared" si="14"/>
        <v>0</v>
      </c>
      <c r="AR14" s="37">
        <f t="shared" si="15"/>
        <v>0</v>
      </c>
      <c r="AS14" s="37">
        <f t="shared" si="16"/>
        <v>0</v>
      </c>
      <c r="AT14" s="37">
        <f t="shared" si="17"/>
        <v>0</v>
      </c>
      <c r="AU14" s="37">
        <f>IF($K14="juin",$E14,0)*0</f>
        <v>0</v>
      </c>
      <c r="AV14" s="37">
        <f t="shared" si="19"/>
        <v>0</v>
      </c>
      <c r="AW14" s="37">
        <f t="shared" si="33"/>
        <v>0</v>
      </c>
      <c r="AX14" s="37">
        <f t="shared" si="20"/>
        <v>0</v>
      </c>
      <c r="AY14" s="37">
        <f t="shared" si="21"/>
        <v>0</v>
      </c>
      <c r="AZ14" s="37">
        <f t="shared" si="22"/>
        <v>0</v>
      </c>
      <c r="BA14" s="37">
        <f t="shared" si="23"/>
        <v>0</v>
      </c>
    </row>
    <row r="15" spans="1:53" customFormat="1" x14ac:dyDescent="0.3">
      <c r="A15" s="168" t="s">
        <v>72</v>
      </c>
      <c r="B15" s="90" t="s">
        <v>89</v>
      </c>
      <c r="C15" s="92" t="s">
        <v>90</v>
      </c>
      <c r="D15" s="149">
        <f>54878.4*0.2</f>
        <v>10975.68</v>
      </c>
      <c r="E15" s="164">
        <v>0</v>
      </c>
      <c r="F15" s="40">
        <f t="shared" si="24"/>
        <v>10975.68</v>
      </c>
      <c r="G15" s="41">
        <f t="shared" si="25"/>
        <v>1</v>
      </c>
      <c r="H15" s="55"/>
      <c r="I15" s="55"/>
      <c r="J15" s="150">
        <v>44926</v>
      </c>
      <c r="K15" s="54" t="s">
        <v>64</v>
      </c>
      <c r="L15" s="109">
        <v>46386</v>
      </c>
      <c r="M15" s="53" t="s">
        <v>91</v>
      </c>
      <c r="N15" s="358"/>
      <c r="O15" s="361"/>
      <c r="P15" s="53"/>
      <c r="Q15" s="44"/>
      <c r="R15" s="44"/>
      <c r="S15" s="44"/>
      <c r="T15" s="20"/>
      <c r="U15" s="20"/>
      <c r="V15" s="20" t="s">
        <v>83</v>
      </c>
      <c r="W15" s="20" t="s">
        <v>83</v>
      </c>
      <c r="X15" s="20"/>
      <c r="Y15" s="50"/>
      <c r="Z15" s="47" t="s">
        <v>83</v>
      </c>
      <c r="AA15" s="48"/>
      <c r="AB15" s="49"/>
      <c r="AC15" s="71"/>
      <c r="AD15" s="27">
        <f t="shared" si="27"/>
        <v>0</v>
      </c>
      <c r="AE15" s="27">
        <f t="shared" si="4"/>
        <v>0</v>
      </c>
      <c r="AF15" s="27">
        <f t="shared" si="5"/>
        <v>0</v>
      </c>
      <c r="AG15" s="27">
        <f t="shared" si="28"/>
        <v>0</v>
      </c>
      <c r="AH15" s="27">
        <f t="shared" si="7"/>
        <v>0</v>
      </c>
      <c r="AI15" s="27">
        <f>IF($K15="juin",$D15,0)*0</f>
        <v>0</v>
      </c>
      <c r="AJ15" s="27">
        <f t="shared" si="29"/>
        <v>0</v>
      </c>
      <c r="AK15" s="27">
        <f t="shared" si="26"/>
        <v>0</v>
      </c>
      <c r="AL15" s="27">
        <f t="shared" si="10"/>
        <v>0</v>
      </c>
      <c r="AM15" s="27">
        <f t="shared" si="30"/>
        <v>0</v>
      </c>
      <c r="AN15" s="27">
        <f t="shared" si="31"/>
        <v>0</v>
      </c>
      <c r="AO15" s="27">
        <f t="shared" si="32"/>
        <v>10975.68</v>
      </c>
      <c r="AP15" s="37">
        <f t="shared" si="13"/>
        <v>0</v>
      </c>
      <c r="AQ15" s="37">
        <f t="shared" si="14"/>
        <v>0</v>
      </c>
      <c r="AR15" s="37">
        <f t="shared" si="15"/>
        <v>0</v>
      </c>
      <c r="AS15" s="37">
        <f t="shared" si="16"/>
        <v>0</v>
      </c>
      <c r="AT15" s="37">
        <f t="shared" si="17"/>
        <v>0</v>
      </c>
      <c r="AU15" s="37">
        <f>IF($K15="juin",$E15,0)*0</f>
        <v>0</v>
      </c>
      <c r="AV15" s="37">
        <f t="shared" si="19"/>
        <v>0</v>
      </c>
      <c r="AW15" s="37">
        <f t="shared" si="33"/>
        <v>0</v>
      </c>
      <c r="AX15" s="37">
        <f t="shared" si="20"/>
        <v>0</v>
      </c>
      <c r="AY15" s="37">
        <f t="shared" si="21"/>
        <v>0</v>
      </c>
      <c r="AZ15" s="37">
        <f t="shared" si="22"/>
        <v>0</v>
      </c>
      <c r="BA15" s="37">
        <f t="shared" si="23"/>
        <v>0</v>
      </c>
    </row>
    <row r="16" spans="1:53" customFormat="1" x14ac:dyDescent="0.3">
      <c r="A16" s="168" t="s">
        <v>72</v>
      </c>
      <c r="B16" s="90" t="s">
        <v>89</v>
      </c>
      <c r="C16" s="92" t="s">
        <v>74</v>
      </c>
      <c r="D16" s="149"/>
      <c r="E16" s="164">
        <v>0</v>
      </c>
      <c r="F16" s="40">
        <f t="shared" si="24"/>
        <v>0</v>
      </c>
      <c r="G16" s="41" t="e">
        <f t="shared" si="25"/>
        <v>#DIV/0!</v>
      </c>
      <c r="H16" s="149">
        <f>87000*0.1</f>
        <v>8700</v>
      </c>
      <c r="I16" s="335"/>
      <c r="J16" s="341">
        <v>45269</v>
      </c>
      <c r="K16" s="54" t="s">
        <v>64</v>
      </c>
      <c r="L16" s="109">
        <v>44897</v>
      </c>
      <c r="M16" s="43" t="s">
        <v>92</v>
      </c>
      <c r="N16" s="111" t="s">
        <v>77</v>
      </c>
      <c r="O16" s="359"/>
      <c r="P16" s="363"/>
      <c r="Q16" s="44"/>
      <c r="R16" s="44"/>
      <c r="S16" s="44"/>
      <c r="T16" s="45"/>
      <c r="U16" s="45"/>
      <c r="V16" s="45"/>
      <c r="W16" s="45"/>
      <c r="X16" s="45"/>
      <c r="Y16" s="45"/>
      <c r="Z16" s="45"/>
      <c r="AA16" s="45"/>
      <c r="AB16" s="46"/>
      <c r="AC16" s="71"/>
      <c r="AD16" s="27">
        <f t="shared" si="27"/>
        <v>0</v>
      </c>
      <c r="AE16" s="27">
        <f t="shared" si="4"/>
        <v>0</v>
      </c>
      <c r="AF16" s="27">
        <f t="shared" si="5"/>
        <v>0</v>
      </c>
      <c r="AG16" s="27">
        <f t="shared" si="28"/>
        <v>0</v>
      </c>
      <c r="AH16" s="27">
        <f t="shared" si="7"/>
        <v>0</v>
      </c>
      <c r="AI16" s="27">
        <f t="shared" ref="AI16:AI28" si="34">IF($K16="juin",$D16,0)</f>
        <v>0</v>
      </c>
      <c r="AJ16" s="27">
        <f t="shared" si="29"/>
        <v>0</v>
      </c>
      <c r="AK16" s="27">
        <f t="shared" si="26"/>
        <v>0</v>
      </c>
      <c r="AL16" s="27">
        <f t="shared" si="10"/>
        <v>0</v>
      </c>
      <c r="AM16" s="27">
        <f t="shared" si="30"/>
        <v>0</v>
      </c>
      <c r="AN16" s="27">
        <f t="shared" si="31"/>
        <v>0</v>
      </c>
      <c r="AO16" s="27">
        <f t="shared" si="32"/>
        <v>0</v>
      </c>
      <c r="AP16" s="37">
        <f t="shared" si="13"/>
        <v>0</v>
      </c>
      <c r="AQ16" s="37">
        <f t="shared" si="14"/>
        <v>0</v>
      </c>
      <c r="AR16" s="37">
        <f t="shared" si="15"/>
        <v>0</v>
      </c>
      <c r="AS16" s="37">
        <f t="shared" si="16"/>
        <v>0</v>
      </c>
      <c r="AT16" s="37">
        <f t="shared" si="17"/>
        <v>0</v>
      </c>
      <c r="AU16" s="37">
        <f t="shared" ref="AU16:AU28" si="35">IF($K16="juin",$E16,0)</f>
        <v>0</v>
      </c>
      <c r="AV16" s="37">
        <f t="shared" si="19"/>
        <v>0</v>
      </c>
      <c r="AW16" s="37">
        <f t="shared" si="33"/>
        <v>0</v>
      </c>
      <c r="AX16" s="37">
        <f t="shared" si="20"/>
        <v>0</v>
      </c>
      <c r="AY16" s="37">
        <f t="shared" si="21"/>
        <v>0</v>
      </c>
      <c r="AZ16" s="37">
        <f t="shared" si="22"/>
        <v>0</v>
      </c>
      <c r="BA16" s="37">
        <f t="shared" si="23"/>
        <v>0</v>
      </c>
    </row>
    <row r="17" spans="1:53" s="13" customFormat="1" x14ac:dyDescent="0.3">
      <c r="A17" s="168" t="s">
        <v>72</v>
      </c>
      <c r="B17" s="90" t="s">
        <v>89</v>
      </c>
      <c r="C17" s="92" t="s">
        <v>74</v>
      </c>
      <c r="D17" s="149"/>
      <c r="E17" s="164">
        <v>0</v>
      </c>
      <c r="F17" s="40">
        <f t="shared" si="24"/>
        <v>0</v>
      </c>
      <c r="G17" s="41" t="e">
        <f t="shared" si="25"/>
        <v>#DIV/0!</v>
      </c>
      <c r="H17" s="334">
        <f>29000*0.1</f>
        <v>2900</v>
      </c>
      <c r="I17" s="55"/>
      <c r="J17" s="341">
        <v>45269</v>
      </c>
      <c r="K17" s="54" t="s">
        <v>64</v>
      </c>
      <c r="L17" s="109">
        <v>45628</v>
      </c>
      <c r="M17" s="43" t="s">
        <v>92</v>
      </c>
      <c r="N17" s="356" t="s">
        <v>78</v>
      </c>
      <c r="O17" s="354"/>
      <c r="P17" s="363"/>
      <c r="Q17" s="44"/>
      <c r="R17" s="44"/>
      <c r="S17" s="44"/>
      <c r="T17" s="45"/>
      <c r="U17" s="45"/>
      <c r="V17" s="45"/>
      <c r="W17" s="45"/>
      <c r="X17" s="45"/>
      <c r="Y17" s="45"/>
      <c r="Z17" s="45"/>
      <c r="AA17" s="45"/>
      <c r="AB17" s="46"/>
      <c r="AC17" s="71"/>
      <c r="AD17" s="27">
        <f t="shared" si="27"/>
        <v>0</v>
      </c>
      <c r="AE17" s="27">
        <f t="shared" si="4"/>
        <v>0</v>
      </c>
      <c r="AF17" s="27">
        <f t="shared" si="5"/>
        <v>0</v>
      </c>
      <c r="AG17" s="27">
        <f t="shared" si="28"/>
        <v>0</v>
      </c>
      <c r="AH17" s="27">
        <f t="shared" si="7"/>
        <v>0</v>
      </c>
      <c r="AI17" s="27">
        <f t="shared" si="34"/>
        <v>0</v>
      </c>
      <c r="AJ17" s="27">
        <f t="shared" si="29"/>
        <v>0</v>
      </c>
      <c r="AK17" s="27">
        <f t="shared" si="26"/>
        <v>0</v>
      </c>
      <c r="AL17" s="27">
        <f t="shared" si="10"/>
        <v>0</v>
      </c>
      <c r="AM17" s="27">
        <f t="shared" si="30"/>
        <v>0</v>
      </c>
      <c r="AN17" s="27">
        <f t="shared" si="31"/>
        <v>0</v>
      </c>
      <c r="AO17" s="27">
        <f t="shared" si="32"/>
        <v>0</v>
      </c>
      <c r="AP17" s="37">
        <f t="shared" si="13"/>
        <v>0</v>
      </c>
      <c r="AQ17" s="37">
        <f t="shared" si="14"/>
        <v>0</v>
      </c>
      <c r="AR17" s="37">
        <f t="shared" si="15"/>
        <v>0</v>
      </c>
      <c r="AS17" s="37">
        <f t="shared" si="16"/>
        <v>0</v>
      </c>
      <c r="AT17" s="37">
        <f t="shared" si="17"/>
        <v>0</v>
      </c>
      <c r="AU17" s="37">
        <f t="shared" si="35"/>
        <v>0</v>
      </c>
      <c r="AV17" s="37">
        <f t="shared" si="19"/>
        <v>0</v>
      </c>
      <c r="AW17" s="37">
        <f t="shared" si="33"/>
        <v>0</v>
      </c>
      <c r="AX17" s="37">
        <f t="shared" si="20"/>
        <v>0</v>
      </c>
      <c r="AY17" s="37">
        <f t="shared" si="21"/>
        <v>0</v>
      </c>
      <c r="AZ17" s="37">
        <f t="shared" si="22"/>
        <v>0</v>
      </c>
      <c r="BA17" s="37">
        <f t="shared" si="23"/>
        <v>0</v>
      </c>
    </row>
    <row r="18" spans="1:53" s="13" customFormat="1" x14ac:dyDescent="0.3">
      <c r="A18" s="168" t="s">
        <v>72</v>
      </c>
      <c r="B18" s="90" t="s">
        <v>93</v>
      </c>
      <c r="C18" s="92"/>
      <c r="D18" s="152">
        <v>7392</v>
      </c>
      <c r="E18" s="331">
        <v>6240</v>
      </c>
      <c r="F18" s="40">
        <f t="shared" si="24"/>
        <v>1152</v>
      </c>
      <c r="G18" s="41">
        <f t="shared" si="25"/>
        <v>0.15584415584415584</v>
      </c>
      <c r="H18" s="55">
        <f>E18/4</f>
        <v>1560</v>
      </c>
      <c r="I18" s="55"/>
      <c r="J18" s="336">
        <v>44972</v>
      </c>
      <c r="K18" s="345" t="s">
        <v>94</v>
      </c>
      <c r="L18" s="346">
        <v>45442</v>
      </c>
      <c r="M18" s="352" t="s">
        <v>91</v>
      </c>
      <c r="N18" s="356"/>
      <c r="O18" s="356"/>
      <c r="P18" s="365"/>
      <c r="Q18" s="366"/>
      <c r="R18" s="366"/>
      <c r="S18" s="366"/>
      <c r="T18" s="367"/>
      <c r="U18" s="367"/>
      <c r="V18" s="367"/>
      <c r="W18" s="367"/>
      <c r="X18" s="367"/>
      <c r="Y18" s="367"/>
      <c r="Z18" s="367"/>
      <c r="AA18" s="367"/>
      <c r="AB18" s="368"/>
      <c r="AC18" s="80"/>
      <c r="AD18" s="27">
        <f t="shared" si="27"/>
        <v>0</v>
      </c>
      <c r="AE18" s="27">
        <f t="shared" si="4"/>
        <v>7392</v>
      </c>
      <c r="AF18" s="27">
        <f t="shared" si="5"/>
        <v>0</v>
      </c>
      <c r="AG18" s="27">
        <f t="shared" si="28"/>
        <v>0</v>
      </c>
      <c r="AH18" s="27">
        <f t="shared" si="7"/>
        <v>0</v>
      </c>
      <c r="AI18" s="27">
        <f t="shared" si="34"/>
        <v>0</v>
      </c>
      <c r="AJ18" s="27">
        <f t="shared" si="29"/>
        <v>0</v>
      </c>
      <c r="AK18" s="27">
        <f t="shared" si="26"/>
        <v>0</v>
      </c>
      <c r="AL18" s="27">
        <f t="shared" si="10"/>
        <v>0</v>
      </c>
      <c r="AM18" s="27">
        <f t="shared" si="30"/>
        <v>0</v>
      </c>
      <c r="AN18" s="27">
        <f t="shared" si="31"/>
        <v>0</v>
      </c>
      <c r="AO18" s="27">
        <f t="shared" si="32"/>
        <v>0</v>
      </c>
      <c r="AP18" s="37">
        <f t="shared" si="13"/>
        <v>0</v>
      </c>
      <c r="AQ18" s="37">
        <f t="shared" si="14"/>
        <v>6240</v>
      </c>
      <c r="AR18" s="37">
        <f t="shared" si="15"/>
        <v>0</v>
      </c>
      <c r="AS18" s="37">
        <f t="shared" si="16"/>
        <v>0</v>
      </c>
      <c r="AT18" s="37">
        <f t="shared" si="17"/>
        <v>0</v>
      </c>
      <c r="AU18" s="37">
        <f t="shared" si="35"/>
        <v>0</v>
      </c>
      <c r="AV18" s="37">
        <f t="shared" si="19"/>
        <v>0</v>
      </c>
      <c r="AW18" s="37">
        <f t="shared" si="33"/>
        <v>0</v>
      </c>
      <c r="AX18" s="37">
        <f t="shared" si="20"/>
        <v>0</v>
      </c>
      <c r="AY18" s="37">
        <f t="shared" si="21"/>
        <v>0</v>
      </c>
      <c r="AZ18" s="37">
        <f t="shared" si="22"/>
        <v>0</v>
      </c>
      <c r="BA18" s="37">
        <f t="shared" si="23"/>
        <v>0</v>
      </c>
    </row>
    <row r="19" spans="1:53" s="13" customFormat="1" x14ac:dyDescent="0.3">
      <c r="A19" s="168" t="s">
        <v>72</v>
      </c>
      <c r="B19" s="90" t="s">
        <v>93</v>
      </c>
      <c r="C19" s="92"/>
      <c r="D19" s="153">
        <v>67221</v>
      </c>
      <c r="E19" s="331">
        <v>56745</v>
      </c>
      <c r="F19" s="40">
        <f t="shared" si="24"/>
        <v>10476</v>
      </c>
      <c r="G19" s="41">
        <f t="shared" si="25"/>
        <v>0.15584415584415584</v>
      </c>
      <c r="H19" s="55">
        <f>E19/4</f>
        <v>14186.25</v>
      </c>
      <c r="J19" s="336">
        <v>45078</v>
      </c>
      <c r="K19" s="345" t="s">
        <v>68</v>
      </c>
      <c r="L19" s="346">
        <v>44241</v>
      </c>
      <c r="M19" s="352" t="s">
        <v>91</v>
      </c>
      <c r="N19" s="356"/>
      <c r="O19" s="356"/>
      <c r="P19" s="365"/>
      <c r="Q19" s="366"/>
      <c r="R19" s="366"/>
      <c r="S19" s="366"/>
      <c r="T19" s="367"/>
      <c r="U19" s="367"/>
      <c r="V19" s="367"/>
      <c r="W19" s="367"/>
      <c r="X19" s="367"/>
      <c r="Y19" s="367"/>
      <c r="Z19" s="367"/>
      <c r="AA19" s="367"/>
      <c r="AB19" s="368"/>
      <c r="AC19" s="80"/>
      <c r="AD19" s="27">
        <f t="shared" si="27"/>
        <v>0</v>
      </c>
      <c r="AE19" s="27">
        <f t="shared" si="4"/>
        <v>0</v>
      </c>
      <c r="AF19" s="27">
        <f t="shared" si="5"/>
        <v>0</v>
      </c>
      <c r="AG19" s="27">
        <f t="shared" si="28"/>
        <v>0</v>
      </c>
      <c r="AH19" s="27">
        <f t="shared" si="7"/>
        <v>0</v>
      </c>
      <c r="AI19" s="27">
        <f t="shared" si="34"/>
        <v>67221</v>
      </c>
      <c r="AJ19" s="27">
        <f t="shared" si="29"/>
        <v>0</v>
      </c>
      <c r="AK19" s="27">
        <f t="shared" si="26"/>
        <v>0</v>
      </c>
      <c r="AL19" s="27">
        <f t="shared" si="10"/>
        <v>0</v>
      </c>
      <c r="AM19" s="27">
        <f t="shared" si="30"/>
        <v>0</v>
      </c>
      <c r="AN19" s="27">
        <f t="shared" si="31"/>
        <v>0</v>
      </c>
      <c r="AO19" s="27">
        <f t="shared" si="32"/>
        <v>0</v>
      </c>
      <c r="AP19" s="37">
        <f t="shared" si="13"/>
        <v>0</v>
      </c>
      <c r="AQ19" s="37">
        <f t="shared" si="14"/>
        <v>0</v>
      </c>
      <c r="AR19" s="37">
        <f t="shared" si="15"/>
        <v>0</v>
      </c>
      <c r="AS19" s="37">
        <f t="shared" si="16"/>
        <v>0</v>
      </c>
      <c r="AT19" s="37">
        <f t="shared" si="17"/>
        <v>0</v>
      </c>
      <c r="AU19" s="37">
        <f t="shared" si="35"/>
        <v>56745</v>
      </c>
      <c r="AV19" s="37">
        <f t="shared" si="19"/>
        <v>0</v>
      </c>
      <c r="AW19" s="37">
        <f t="shared" si="33"/>
        <v>0</v>
      </c>
      <c r="AX19" s="37">
        <f t="shared" si="20"/>
        <v>0</v>
      </c>
      <c r="AY19" s="37">
        <f t="shared" si="21"/>
        <v>0</v>
      </c>
      <c r="AZ19" s="37">
        <f t="shared" si="22"/>
        <v>0</v>
      </c>
      <c r="BA19" s="37">
        <f t="shared" si="23"/>
        <v>0</v>
      </c>
    </row>
    <row r="20" spans="1:53" s="13" customFormat="1" x14ac:dyDescent="0.3">
      <c r="A20" s="319" t="s">
        <v>72</v>
      </c>
      <c r="B20" s="90" t="s">
        <v>95</v>
      </c>
      <c r="C20" s="92"/>
      <c r="D20" s="149">
        <v>2400</v>
      </c>
      <c r="E20" s="332">
        <v>1680</v>
      </c>
      <c r="F20" s="40">
        <f t="shared" si="24"/>
        <v>720</v>
      </c>
      <c r="G20" s="41">
        <f t="shared" si="25"/>
        <v>0.3</v>
      </c>
      <c r="H20" s="55">
        <f>E20/4</f>
        <v>420</v>
      </c>
      <c r="I20" s="55"/>
      <c r="J20" s="343">
        <v>43644</v>
      </c>
      <c r="K20" s="54" t="s">
        <v>68</v>
      </c>
      <c r="L20" s="350">
        <v>45105</v>
      </c>
      <c r="M20" s="43" t="s">
        <v>85</v>
      </c>
      <c r="N20" s="356" t="s">
        <v>96</v>
      </c>
      <c r="O20" s="354" t="s">
        <v>97</v>
      </c>
      <c r="P20" s="364"/>
      <c r="Q20" s="44"/>
      <c r="R20" s="44"/>
      <c r="S20" s="44"/>
      <c r="T20" s="45"/>
      <c r="U20" s="45"/>
      <c r="V20" s="45"/>
      <c r="W20" s="45"/>
      <c r="X20" s="45"/>
      <c r="Y20" s="45"/>
      <c r="Z20" s="45"/>
      <c r="AA20" s="45"/>
      <c r="AB20" s="46"/>
      <c r="AC20" s="71"/>
      <c r="AD20" s="27">
        <f t="shared" si="27"/>
        <v>0</v>
      </c>
      <c r="AE20" s="27">
        <f t="shared" si="4"/>
        <v>0</v>
      </c>
      <c r="AF20" s="27">
        <f t="shared" si="5"/>
        <v>0</v>
      </c>
      <c r="AG20" s="27">
        <f t="shared" si="28"/>
        <v>0</v>
      </c>
      <c r="AH20" s="27">
        <f t="shared" si="7"/>
        <v>0</v>
      </c>
      <c r="AI20" s="27">
        <f t="shared" si="34"/>
        <v>2400</v>
      </c>
      <c r="AJ20" s="27">
        <f t="shared" si="29"/>
        <v>0</v>
      </c>
      <c r="AK20" s="27">
        <f t="shared" si="26"/>
        <v>0</v>
      </c>
      <c r="AL20" s="27">
        <f t="shared" si="10"/>
        <v>0</v>
      </c>
      <c r="AM20" s="27">
        <f t="shared" si="30"/>
        <v>0</v>
      </c>
      <c r="AN20" s="27">
        <f t="shared" si="31"/>
        <v>0</v>
      </c>
      <c r="AO20" s="27">
        <f t="shared" si="32"/>
        <v>0</v>
      </c>
      <c r="AP20" s="37">
        <f t="shared" si="13"/>
        <v>0</v>
      </c>
      <c r="AQ20" s="37">
        <f t="shared" si="14"/>
        <v>0</v>
      </c>
      <c r="AR20" s="37">
        <f t="shared" si="15"/>
        <v>0</v>
      </c>
      <c r="AS20" s="37">
        <f t="shared" si="16"/>
        <v>0</v>
      </c>
      <c r="AT20" s="37">
        <f t="shared" si="17"/>
        <v>0</v>
      </c>
      <c r="AU20" s="37">
        <f t="shared" si="35"/>
        <v>1680</v>
      </c>
      <c r="AV20" s="37">
        <f t="shared" si="19"/>
        <v>0</v>
      </c>
      <c r="AW20" s="37">
        <f t="shared" si="33"/>
        <v>0</v>
      </c>
      <c r="AX20" s="37">
        <f t="shared" si="20"/>
        <v>0</v>
      </c>
      <c r="AY20" s="37">
        <f t="shared" si="21"/>
        <v>0</v>
      </c>
      <c r="AZ20" s="37">
        <f t="shared" si="22"/>
        <v>0</v>
      </c>
      <c r="BA20" s="37">
        <f t="shared" si="23"/>
        <v>0</v>
      </c>
    </row>
    <row r="21" spans="1:53" s="13" customFormat="1" x14ac:dyDescent="0.3">
      <c r="A21" s="319" t="s">
        <v>66</v>
      </c>
      <c r="B21" s="88" t="s">
        <v>98</v>
      </c>
      <c r="C21" s="92"/>
      <c r="D21" s="149"/>
      <c r="E21" s="332"/>
      <c r="F21" s="40"/>
      <c r="G21" s="41"/>
      <c r="H21" s="57"/>
      <c r="I21" s="55"/>
      <c r="J21" s="150">
        <v>44561</v>
      </c>
      <c r="K21" s="54" t="str">
        <f>TEXT(30*MONTH(J21)+30,"mmmm")</f>
        <v>janvier</v>
      </c>
      <c r="L21" s="109">
        <v>43830</v>
      </c>
      <c r="M21" s="107" t="s">
        <v>85</v>
      </c>
      <c r="N21" s="108" t="s">
        <v>99</v>
      </c>
      <c r="O21" s="43"/>
      <c r="P21" s="43"/>
      <c r="Q21" s="44"/>
      <c r="R21" s="44"/>
      <c r="S21" s="44"/>
      <c r="T21" s="45"/>
      <c r="U21" s="45"/>
      <c r="V21" s="45"/>
      <c r="W21" s="45"/>
      <c r="X21" s="45"/>
      <c r="Y21" s="45"/>
      <c r="Z21" s="45"/>
      <c r="AA21" s="45"/>
      <c r="AB21" s="46"/>
      <c r="AC21" s="71" t="s">
        <v>100</v>
      </c>
      <c r="AD21" s="27">
        <f t="shared" si="27"/>
        <v>0</v>
      </c>
      <c r="AE21" s="27">
        <f t="shared" si="4"/>
        <v>0</v>
      </c>
      <c r="AF21" s="27">
        <f t="shared" si="5"/>
        <v>0</v>
      </c>
      <c r="AG21" s="27">
        <f t="shared" si="28"/>
        <v>0</v>
      </c>
      <c r="AH21" s="27">
        <f t="shared" si="7"/>
        <v>0</v>
      </c>
      <c r="AI21" s="27">
        <f t="shared" si="34"/>
        <v>0</v>
      </c>
      <c r="AJ21" s="27">
        <f t="shared" si="29"/>
        <v>0</v>
      </c>
      <c r="AK21" s="27">
        <f t="shared" si="26"/>
        <v>0</v>
      </c>
      <c r="AL21" s="27">
        <f t="shared" si="10"/>
        <v>0</v>
      </c>
      <c r="AM21" s="27">
        <f t="shared" si="30"/>
        <v>0</v>
      </c>
      <c r="AN21" s="27">
        <f t="shared" si="31"/>
        <v>0</v>
      </c>
      <c r="AO21" s="27">
        <f t="shared" si="32"/>
        <v>0</v>
      </c>
      <c r="AP21" s="37">
        <f t="shared" si="13"/>
        <v>0</v>
      </c>
      <c r="AQ21" s="37">
        <f t="shared" si="14"/>
        <v>0</v>
      </c>
      <c r="AR21" s="37">
        <f t="shared" si="15"/>
        <v>0</v>
      </c>
      <c r="AS21" s="37">
        <f t="shared" si="16"/>
        <v>0</v>
      </c>
      <c r="AT21" s="37">
        <f t="shared" si="17"/>
        <v>0</v>
      </c>
      <c r="AU21" s="37">
        <f t="shared" si="35"/>
        <v>0</v>
      </c>
      <c r="AV21" s="37">
        <f t="shared" si="19"/>
        <v>0</v>
      </c>
      <c r="AW21" s="37">
        <f>IF($K21="août",$CJ21,0)</f>
        <v>0</v>
      </c>
      <c r="AX21" s="37">
        <f t="shared" si="20"/>
        <v>0</v>
      </c>
      <c r="AY21" s="37">
        <f t="shared" si="21"/>
        <v>0</v>
      </c>
      <c r="AZ21" s="37">
        <f t="shared" si="22"/>
        <v>0</v>
      </c>
      <c r="BA21" s="37">
        <f t="shared" si="23"/>
        <v>0</v>
      </c>
    </row>
    <row r="22" spans="1:53" customFormat="1" x14ac:dyDescent="0.3">
      <c r="A22" s="73" t="s">
        <v>72</v>
      </c>
      <c r="B22" s="90" t="s">
        <v>101</v>
      </c>
      <c r="C22" s="92"/>
      <c r="D22" s="149">
        <v>17000</v>
      </c>
      <c r="E22" s="149">
        <v>14910</v>
      </c>
      <c r="F22" s="60">
        <f t="shared" si="24"/>
        <v>2090</v>
      </c>
      <c r="G22" s="61">
        <f t="shared" si="25"/>
        <v>0.12294117647058823</v>
      </c>
      <c r="H22" s="62">
        <f>E22/4</f>
        <v>3727.5</v>
      </c>
      <c r="I22" s="62"/>
      <c r="J22" s="337">
        <v>45199</v>
      </c>
      <c r="K22" s="64" t="s">
        <v>61</v>
      </c>
      <c r="L22" s="109">
        <v>44104</v>
      </c>
      <c r="M22" s="353" t="s">
        <v>85</v>
      </c>
      <c r="N22" s="84" t="s">
        <v>102</v>
      </c>
      <c r="O22" s="84" t="s">
        <v>103</v>
      </c>
      <c r="P22" s="121"/>
      <c r="Q22" s="69"/>
      <c r="R22" s="69"/>
      <c r="S22" s="69"/>
      <c r="T22" s="126"/>
      <c r="U22" s="126"/>
      <c r="V22" s="126"/>
      <c r="W22" s="126"/>
      <c r="X22" s="126"/>
      <c r="Y22" s="130"/>
      <c r="Z22" s="128"/>
      <c r="AA22" s="58"/>
      <c r="AB22" s="129"/>
      <c r="AC22" s="42" t="s">
        <v>104</v>
      </c>
      <c r="AD22" s="27">
        <f t="shared" si="27"/>
        <v>0</v>
      </c>
      <c r="AE22" s="27">
        <f t="shared" si="4"/>
        <v>0</v>
      </c>
      <c r="AF22" s="27">
        <f t="shared" si="5"/>
        <v>0</v>
      </c>
      <c r="AG22" s="27">
        <f t="shared" si="28"/>
        <v>0</v>
      </c>
      <c r="AH22" s="27">
        <f t="shared" si="7"/>
        <v>0</v>
      </c>
      <c r="AI22" s="27">
        <f t="shared" si="34"/>
        <v>0</v>
      </c>
      <c r="AJ22" s="27">
        <f t="shared" si="29"/>
        <v>0</v>
      </c>
      <c r="AK22" s="27">
        <f t="shared" si="26"/>
        <v>0</v>
      </c>
      <c r="AL22" s="27">
        <f t="shared" si="10"/>
        <v>17000</v>
      </c>
      <c r="AM22" s="27">
        <f t="shared" si="30"/>
        <v>0</v>
      </c>
      <c r="AN22" s="27">
        <f t="shared" si="31"/>
        <v>0</v>
      </c>
      <c r="AO22" s="27">
        <f t="shared" si="32"/>
        <v>0</v>
      </c>
      <c r="AP22" s="37">
        <f t="shared" si="13"/>
        <v>0</v>
      </c>
      <c r="AQ22" s="37">
        <f t="shared" si="14"/>
        <v>0</v>
      </c>
      <c r="AR22" s="37">
        <f t="shared" si="15"/>
        <v>0</v>
      </c>
      <c r="AS22" s="37">
        <f t="shared" si="16"/>
        <v>0</v>
      </c>
      <c r="AT22" s="37">
        <f t="shared" si="17"/>
        <v>0</v>
      </c>
      <c r="AU22" s="37">
        <f t="shared" si="35"/>
        <v>0</v>
      </c>
      <c r="AV22" s="37">
        <v>0</v>
      </c>
      <c r="AW22" s="37">
        <f>IF($K22="août",$E22,0)</f>
        <v>0</v>
      </c>
      <c r="AX22" s="37">
        <f t="shared" si="20"/>
        <v>14910</v>
      </c>
      <c r="AY22" s="37">
        <f t="shared" si="21"/>
        <v>0</v>
      </c>
      <c r="AZ22" s="37">
        <f t="shared" si="22"/>
        <v>0</v>
      </c>
      <c r="BA22" s="37">
        <f t="shared" si="23"/>
        <v>0</v>
      </c>
    </row>
    <row r="23" spans="1:53" customFormat="1" x14ac:dyDescent="0.3">
      <c r="A23" s="73" t="s">
        <v>72</v>
      </c>
      <c r="B23" s="90" t="s">
        <v>101</v>
      </c>
      <c r="C23" s="92"/>
      <c r="D23" s="62">
        <v>2400</v>
      </c>
      <c r="E23" s="62">
        <f>2*1735.967</f>
        <v>3471.9340000000002</v>
      </c>
      <c r="F23" s="60">
        <f t="shared" ref="F23" si="36">D23-E23</f>
        <v>-1071.9340000000002</v>
      </c>
      <c r="G23" s="61">
        <f t="shared" ref="G23" si="37">F23/D23</f>
        <v>-0.44663916666666675</v>
      </c>
      <c r="H23" s="62">
        <v>2400</v>
      </c>
      <c r="I23" s="62">
        <v>1735.9670000000001</v>
      </c>
      <c r="J23" s="344">
        <v>45199</v>
      </c>
      <c r="K23" s="141" t="s">
        <v>61</v>
      </c>
      <c r="L23" s="351">
        <v>44834</v>
      </c>
      <c r="M23" s="79" t="s">
        <v>85</v>
      </c>
      <c r="N23" s="73" t="s">
        <v>105</v>
      </c>
      <c r="O23" s="73"/>
      <c r="P23" s="81"/>
      <c r="Q23" s="82"/>
      <c r="R23" s="82"/>
      <c r="S23" s="82"/>
      <c r="T23" s="83"/>
      <c r="U23" s="83"/>
      <c r="V23" s="83"/>
      <c r="W23" s="83"/>
      <c r="X23" s="83"/>
      <c r="Y23" s="83"/>
      <c r="Z23" s="83"/>
      <c r="AA23" s="83"/>
      <c r="AB23" s="83"/>
      <c r="AC23" s="26"/>
      <c r="AD23" s="27">
        <f t="shared" si="27"/>
        <v>0</v>
      </c>
      <c r="AE23" s="27">
        <f t="shared" si="4"/>
        <v>0</v>
      </c>
      <c r="AF23" s="27">
        <f t="shared" si="5"/>
        <v>0</v>
      </c>
      <c r="AG23" s="27">
        <f t="shared" si="28"/>
        <v>0</v>
      </c>
      <c r="AH23" s="27">
        <f t="shared" si="7"/>
        <v>0</v>
      </c>
      <c r="AI23" s="27">
        <f t="shared" si="34"/>
        <v>0</v>
      </c>
      <c r="AJ23" s="27">
        <f t="shared" si="29"/>
        <v>0</v>
      </c>
      <c r="AK23" s="27">
        <f>IF($K23="août",$D23,0)/4</f>
        <v>0</v>
      </c>
      <c r="AL23" s="27">
        <f t="shared" si="10"/>
        <v>2400</v>
      </c>
      <c r="AM23" s="27">
        <f t="shared" si="30"/>
        <v>0</v>
      </c>
      <c r="AN23" s="27">
        <f t="shared" si="31"/>
        <v>0</v>
      </c>
      <c r="AO23" s="27">
        <f>IF($K23="août",$D23,0)/4</f>
        <v>0</v>
      </c>
      <c r="AP23" s="37">
        <f t="shared" si="13"/>
        <v>0</v>
      </c>
      <c r="AQ23" s="37">
        <f t="shared" si="14"/>
        <v>0</v>
      </c>
      <c r="AR23" s="37">
        <f t="shared" si="15"/>
        <v>0</v>
      </c>
      <c r="AS23" s="37">
        <f t="shared" si="16"/>
        <v>0</v>
      </c>
      <c r="AT23" s="37">
        <f t="shared" si="17"/>
        <v>0</v>
      </c>
      <c r="AU23" s="37">
        <f t="shared" si="35"/>
        <v>0</v>
      </c>
      <c r="AV23" s="37">
        <f>IF($K23="juillet",$E23,0)</f>
        <v>0</v>
      </c>
      <c r="AW23" s="37">
        <f>IF($K23="août",$E23,0)</f>
        <v>0</v>
      </c>
      <c r="AX23" s="37">
        <f t="shared" si="20"/>
        <v>3471.9340000000002</v>
      </c>
      <c r="AY23" s="37">
        <f t="shared" si="21"/>
        <v>0</v>
      </c>
      <c r="AZ23" s="37">
        <f t="shared" si="22"/>
        <v>0</v>
      </c>
      <c r="BA23" s="37">
        <f t="shared" si="23"/>
        <v>0</v>
      </c>
    </row>
    <row r="24" spans="1:53" customFormat="1" x14ac:dyDescent="0.3">
      <c r="A24" s="73" t="s">
        <v>72</v>
      </c>
      <c r="B24" s="90" t="s">
        <v>101</v>
      </c>
      <c r="C24" s="92"/>
      <c r="D24" s="62">
        <f>2400</f>
        <v>2400</v>
      </c>
      <c r="E24" s="62">
        <f>2*1735.967</f>
        <v>3471.9340000000002</v>
      </c>
      <c r="F24" s="60">
        <f t="shared" si="24"/>
        <v>-1071.9340000000002</v>
      </c>
      <c r="G24" s="61">
        <f t="shared" si="25"/>
        <v>-0.44663916666666675</v>
      </c>
      <c r="H24" s="62">
        <v>2400</v>
      </c>
      <c r="I24" s="62">
        <v>1735.9670000000001</v>
      </c>
      <c r="J24" s="344">
        <v>45199</v>
      </c>
      <c r="K24" s="141" t="s">
        <v>57</v>
      </c>
      <c r="L24" s="351">
        <v>44834</v>
      </c>
      <c r="M24" s="79" t="s">
        <v>85</v>
      </c>
      <c r="N24" s="73" t="s">
        <v>105</v>
      </c>
      <c r="O24" s="73"/>
      <c r="P24" s="81"/>
      <c r="Q24" s="82"/>
      <c r="R24" s="82"/>
      <c r="S24" s="82"/>
      <c r="T24" s="83"/>
      <c r="U24" s="83"/>
      <c r="V24" s="83"/>
      <c r="W24" s="83"/>
      <c r="X24" s="83"/>
      <c r="Y24" s="83"/>
      <c r="Z24" s="83"/>
      <c r="AA24" s="83"/>
      <c r="AB24" s="83"/>
      <c r="AC24" s="26"/>
      <c r="AD24" s="27">
        <f t="shared" si="27"/>
        <v>0</v>
      </c>
      <c r="AE24" s="27">
        <f t="shared" si="4"/>
        <v>0</v>
      </c>
      <c r="AF24" s="27">
        <f t="shared" si="5"/>
        <v>0</v>
      </c>
      <c r="AG24" s="27">
        <f t="shared" si="28"/>
        <v>0</v>
      </c>
      <c r="AH24" s="27">
        <f t="shared" si="7"/>
        <v>2400</v>
      </c>
      <c r="AI24" s="27">
        <f t="shared" si="34"/>
        <v>0</v>
      </c>
      <c r="AJ24" s="27">
        <f t="shared" si="29"/>
        <v>0</v>
      </c>
      <c r="AK24" s="27">
        <f>IF($K24="août",$D24,0)/4</f>
        <v>0</v>
      </c>
      <c r="AL24" s="27">
        <f t="shared" si="10"/>
        <v>0</v>
      </c>
      <c r="AM24" s="27">
        <f t="shared" si="30"/>
        <v>0</v>
      </c>
      <c r="AN24" s="27">
        <f t="shared" si="31"/>
        <v>0</v>
      </c>
      <c r="AO24" s="27">
        <f>IF($K24="août",$D24,0)/4</f>
        <v>0</v>
      </c>
      <c r="AP24" s="37">
        <f t="shared" si="13"/>
        <v>0</v>
      </c>
      <c r="AQ24" s="37">
        <f t="shared" si="14"/>
        <v>0</v>
      </c>
      <c r="AR24" s="37">
        <f t="shared" si="15"/>
        <v>0</v>
      </c>
      <c r="AS24" s="37">
        <f t="shared" si="16"/>
        <v>0</v>
      </c>
      <c r="AT24" s="37">
        <f t="shared" si="17"/>
        <v>3471.9340000000002</v>
      </c>
      <c r="AU24" s="37">
        <f t="shared" si="35"/>
        <v>0</v>
      </c>
      <c r="AV24" s="37">
        <f>IF($K24="juillet",$E24,0)</f>
        <v>0</v>
      </c>
      <c r="AW24" s="37">
        <f>IF($K24="août",$E24,0)</f>
        <v>0</v>
      </c>
      <c r="AX24" s="37">
        <f t="shared" si="20"/>
        <v>0</v>
      </c>
      <c r="AY24" s="37">
        <f t="shared" si="21"/>
        <v>0</v>
      </c>
      <c r="AZ24" s="37">
        <f t="shared" si="22"/>
        <v>0</v>
      </c>
      <c r="BA24" s="37">
        <f t="shared" si="23"/>
        <v>0</v>
      </c>
    </row>
    <row r="25" spans="1:53" customFormat="1" x14ac:dyDescent="0.3">
      <c r="A25" s="89" t="s">
        <v>66</v>
      </c>
      <c r="B25" s="88" t="s">
        <v>106</v>
      </c>
      <c r="C25" s="92" t="s">
        <v>107</v>
      </c>
      <c r="D25" s="149"/>
      <c r="E25" s="149"/>
      <c r="F25" s="60"/>
      <c r="G25" s="61"/>
      <c r="H25" s="149"/>
      <c r="I25" s="149"/>
      <c r="J25" s="338"/>
      <c r="K25" s="64"/>
      <c r="L25" s="347"/>
      <c r="M25" s="353"/>
      <c r="N25" s="84"/>
      <c r="O25" s="84"/>
      <c r="P25" s="121"/>
      <c r="Q25" s="69"/>
      <c r="R25" s="69"/>
      <c r="S25" s="69"/>
      <c r="T25" s="126"/>
      <c r="U25" s="126"/>
      <c r="V25" s="126"/>
      <c r="W25" s="126"/>
      <c r="X25" s="126"/>
      <c r="Y25" s="130"/>
      <c r="Z25" s="128"/>
      <c r="AA25" s="58"/>
      <c r="AB25" s="129"/>
      <c r="AC25" s="42" t="s">
        <v>104</v>
      </c>
      <c r="AD25" s="27">
        <f t="shared" si="27"/>
        <v>0</v>
      </c>
      <c r="AE25" s="27">
        <f t="shared" si="4"/>
        <v>0</v>
      </c>
      <c r="AF25" s="27">
        <f t="shared" si="5"/>
        <v>0</v>
      </c>
      <c r="AG25" s="27">
        <f t="shared" si="28"/>
        <v>0</v>
      </c>
      <c r="AH25" s="27">
        <f t="shared" si="7"/>
        <v>0</v>
      </c>
      <c r="AI25" s="27">
        <f t="shared" si="34"/>
        <v>0</v>
      </c>
      <c r="AJ25" s="27">
        <f t="shared" si="29"/>
        <v>0</v>
      </c>
      <c r="AK25" s="27">
        <f>IF($K25="août",$D25,0)</f>
        <v>0</v>
      </c>
      <c r="AL25" s="27">
        <f t="shared" si="10"/>
        <v>0</v>
      </c>
      <c r="AM25" s="27">
        <f t="shared" si="30"/>
        <v>0</v>
      </c>
      <c r="AN25" s="27">
        <f t="shared" si="31"/>
        <v>0</v>
      </c>
      <c r="AO25" s="27">
        <f>IF($K25="décembre",$D25,0)</f>
        <v>0</v>
      </c>
      <c r="AP25" s="37">
        <f t="shared" si="13"/>
        <v>0</v>
      </c>
      <c r="AQ25" s="37"/>
      <c r="AR25" s="37">
        <f t="shared" si="15"/>
        <v>0</v>
      </c>
      <c r="AS25" s="37">
        <f t="shared" si="16"/>
        <v>0</v>
      </c>
      <c r="AT25" s="37"/>
      <c r="AU25" s="37">
        <f t="shared" si="35"/>
        <v>0</v>
      </c>
      <c r="AV25" s="37">
        <v>0</v>
      </c>
      <c r="AW25" s="37">
        <f>IF($K25="août",$E25,0)</f>
        <v>0</v>
      </c>
      <c r="AX25" s="37">
        <f t="shared" si="20"/>
        <v>0</v>
      </c>
      <c r="AY25" s="37">
        <f t="shared" si="21"/>
        <v>0</v>
      </c>
      <c r="AZ25" s="37">
        <v>420</v>
      </c>
      <c r="BA25" s="37">
        <f t="shared" si="23"/>
        <v>0</v>
      </c>
    </row>
    <row r="26" spans="1:53" customFormat="1" x14ac:dyDescent="0.3">
      <c r="A26" s="73" t="s">
        <v>72</v>
      </c>
      <c r="B26" s="88" t="s">
        <v>108</v>
      </c>
      <c r="C26" s="92"/>
      <c r="D26" s="153"/>
      <c r="E26" s="153"/>
      <c r="F26" s="60"/>
      <c r="G26" s="61"/>
      <c r="H26" s="62"/>
      <c r="I26" s="62"/>
      <c r="J26" s="63"/>
      <c r="K26" s="141"/>
      <c r="L26" s="78"/>
      <c r="M26" s="79"/>
      <c r="N26" s="73"/>
      <c r="O26" s="73"/>
      <c r="P26" s="81"/>
      <c r="Q26" s="82"/>
      <c r="R26" s="82"/>
      <c r="S26" s="82"/>
      <c r="T26" s="83"/>
      <c r="U26" s="83"/>
      <c r="V26" s="83"/>
      <c r="W26" s="83"/>
      <c r="X26" s="83"/>
      <c r="Y26" s="83"/>
      <c r="Z26" s="83"/>
      <c r="AA26" s="83"/>
      <c r="AB26" s="83"/>
      <c r="AC26" s="26"/>
      <c r="AD26" s="27">
        <f t="shared" si="27"/>
        <v>0</v>
      </c>
      <c r="AE26" s="27">
        <f t="shared" si="4"/>
        <v>0</v>
      </c>
      <c r="AF26" s="27">
        <f t="shared" si="5"/>
        <v>0</v>
      </c>
      <c r="AG26" s="27">
        <f t="shared" si="28"/>
        <v>0</v>
      </c>
      <c r="AH26" s="27">
        <f t="shared" si="7"/>
        <v>0</v>
      </c>
      <c r="AI26" s="27">
        <f t="shared" si="34"/>
        <v>0</v>
      </c>
      <c r="AJ26" s="27">
        <f t="shared" si="29"/>
        <v>0</v>
      </c>
      <c r="AK26" s="27">
        <f>IF($K26="août",$D26,0)/4</f>
        <v>0</v>
      </c>
      <c r="AL26" s="27">
        <f t="shared" si="10"/>
        <v>0</v>
      </c>
      <c r="AM26" s="27">
        <f t="shared" si="30"/>
        <v>0</v>
      </c>
      <c r="AN26" s="27">
        <f t="shared" si="31"/>
        <v>0</v>
      </c>
      <c r="AO26" s="27">
        <f>IF($K26="août",$D26,0)/4</f>
        <v>0</v>
      </c>
      <c r="AP26" s="37">
        <f t="shared" si="13"/>
        <v>0</v>
      </c>
      <c r="AQ26" s="37">
        <f t="shared" ref="AQ26:AQ52" si="38">IF($K26="février",$E26,0)</f>
        <v>0</v>
      </c>
      <c r="AR26" s="37">
        <f t="shared" si="15"/>
        <v>0</v>
      </c>
      <c r="AS26" s="37">
        <f t="shared" si="16"/>
        <v>0</v>
      </c>
      <c r="AT26" s="37">
        <f t="shared" ref="AT26:AT52" si="39">IF($K26="mai",$E26,0)</f>
        <v>0</v>
      </c>
      <c r="AU26" s="37">
        <f t="shared" si="35"/>
        <v>0</v>
      </c>
      <c r="AV26" s="37">
        <f t="shared" ref="AV26:AV52" si="40">IF($K26="juillet",$E26,0)</f>
        <v>0</v>
      </c>
      <c r="AW26" s="37">
        <f>IF($K26="août",$E26,0)</f>
        <v>0</v>
      </c>
      <c r="AX26" s="37">
        <f t="shared" si="20"/>
        <v>0</v>
      </c>
      <c r="AY26" s="37">
        <f t="shared" si="21"/>
        <v>0</v>
      </c>
      <c r="AZ26" s="37">
        <f t="shared" ref="AZ26:AZ52" si="41">IF($K26="novembre",$E26,0)</f>
        <v>0</v>
      </c>
      <c r="BA26" s="37">
        <f t="shared" si="23"/>
        <v>0</v>
      </c>
    </row>
    <row r="27" spans="1:53" customFormat="1" x14ac:dyDescent="0.3">
      <c r="A27" s="73" t="s">
        <v>66</v>
      </c>
      <c r="B27" s="90" t="s">
        <v>109</v>
      </c>
      <c r="C27" s="92"/>
      <c r="D27" s="449">
        <v>1200</v>
      </c>
      <c r="E27" s="149">
        <f>210*4</f>
        <v>840</v>
      </c>
      <c r="F27" s="60"/>
      <c r="G27" s="61"/>
      <c r="H27" s="62"/>
      <c r="I27" s="62"/>
      <c r="J27" s="338"/>
      <c r="K27" s="64"/>
      <c r="L27" s="347"/>
      <c r="M27" s="353"/>
      <c r="N27" s="355"/>
      <c r="O27" s="66"/>
      <c r="P27" s="66"/>
      <c r="Q27" s="69"/>
      <c r="R27" s="69"/>
      <c r="S27" s="69"/>
      <c r="T27" s="70"/>
      <c r="U27" s="70"/>
      <c r="V27" s="70"/>
      <c r="W27" s="70"/>
      <c r="X27" s="70"/>
      <c r="Y27" s="70"/>
      <c r="Z27" s="70"/>
      <c r="AA27" s="70"/>
      <c r="AB27" s="70"/>
      <c r="AC27" s="42"/>
      <c r="AD27" s="27">
        <f t="shared" si="27"/>
        <v>0</v>
      </c>
      <c r="AE27" s="27">
        <f t="shared" si="4"/>
        <v>0</v>
      </c>
      <c r="AF27" s="27">
        <f t="shared" si="5"/>
        <v>0</v>
      </c>
      <c r="AG27" s="27">
        <f t="shared" si="28"/>
        <v>0</v>
      </c>
      <c r="AH27" s="27">
        <f t="shared" si="7"/>
        <v>0</v>
      </c>
      <c r="AI27" s="27">
        <f t="shared" si="34"/>
        <v>0</v>
      </c>
      <c r="AJ27" s="27">
        <f t="shared" si="29"/>
        <v>0</v>
      </c>
      <c r="AK27" s="27">
        <f t="shared" ref="AK27:AK35" si="42">IF($K27="août",$D27,0)</f>
        <v>0</v>
      </c>
      <c r="AL27" s="27">
        <f t="shared" si="10"/>
        <v>0</v>
      </c>
      <c r="AM27" s="27">
        <f t="shared" si="30"/>
        <v>0</v>
      </c>
      <c r="AN27" s="27">
        <f t="shared" si="31"/>
        <v>0</v>
      </c>
      <c r="AO27" s="27">
        <f t="shared" ref="AO27:AO35" si="43">IF($K27="décembre",$D27,0)</f>
        <v>0</v>
      </c>
      <c r="AP27" s="37">
        <f t="shared" si="13"/>
        <v>0</v>
      </c>
      <c r="AQ27" s="37">
        <f t="shared" si="38"/>
        <v>0</v>
      </c>
      <c r="AR27" s="37">
        <f t="shared" si="15"/>
        <v>0</v>
      </c>
      <c r="AS27" s="37">
        <f t="shared" si="16"/>
        <v>0</v>
      </c>
      <c r="AT27" s="37">
        <f t="shared" si="39"/>
        <v>0</v>
      </c>
      <c r="AU27" s="37">
        <f t="shared" si="35"/>
        <v>0</v>
      </c>
      <c r="AV27" s="37">
        <f t="shared" si="40"/>
        <v>0</v>
      </c>
      <c r="AW27" s="37">
        <f>IF($K27="août",$CJ27,0)</f>
        <v>0</v>
      </c>
      <c r="AX27" s="37">
        <f t="shared" si="20"/>
        <v>0</v>
      </c>
      <c r="AY27" s="37">
        <f t="shared" si="21"/>
        <v>0</v>
      </c>
      <c r="AZ27" s="37">
        <f t="shared" si="41"/>
        <v>0</v>
      </c>
      <c r="BA27" s="37">
        <f t="shared" si="23"/>
        <v>0</v>
      </c>
    </row>
    <row r="28" spans="1:53" customFormat="1" x14ac:dyDescent="0.3">
      <c r="A28" s="73" t="s">
        <v>66</v>
      </c>
      <c r="B28" s="90" t="s">
        <v>110</v>
      </c>
      <c r="C28" s="92"/>
      <c r="D28" s="166">
        <v>225000</v>
      </c>
      <c r="E28" s="149">
        <v>201750</v>
      </c>
      <c r="F28" s="60">
        <f>D28-E28</f>
        <v>23250</v>
      </c>
      <c r="G28" s="61">
        <f>F28/D28</f>
        <v>0.10333333333333333</v>
      </c>
      <c r="H28" s="62">
        <f>E28/4</f>
        <v>50437.5</v>
      </c>
      <c r="I28" s="62"/>
      <c r="J28" s="340">
        <v>44926</v>
      </c>
      <c r="K28" s="64" t="s">
        <v>64</v>
      </c>
      <c r="L28" s="347">
        <v>44926</v>
      </c>
      <c r="M28" s="121" t="s">
        <v>80</v>
      </c>
      <c r="N28" s="355"/>
      <c r="O28" s="121"/>
      <c r="P28" s="121"/>
      <c r="Q28" s="69"/>
      <c r="R28" s="69"/>
      <c r="S28" s="69"/>
      <c r="T28" s="126"/>
      <c r="U28" s="126"/>
      <c r="V28" s="126" t="s">
        <v>83</v>
      </c>
      <c r="W28" s="126" t="s">
        <v>83</v>
      </c>
      <c r="X28" s="126"/>
      <c r="Y28" s="130"/>
      <c r="Z28" s="128" t="s">
        <v>83</v>
      </c>
      <c r="AA28" s="58"/>
      <c r="AB28" s="129"/>
      <c r="AC28" s="42"/>
      <c r="AD28" s="27">
        <f t="shared" si="27"/>
        <v>0</v>
      </c>
      <c r="AE28" s="27">
        <f t="shared" si="4"/>
        <v>0</v>
      </c>
      <c r="AF28" s="27">
        <f t="shared" si="5"/>
        <v>0</v>
      </c>
      <c r="AG28" s="27">
        <f t="shared" si="28"/>
        <v>0</v>
      </c>
      <c r="AH28" s="27">
        <f t="shared" si="7"/>
        <v>0</v>
      </c>
      <c r="AI28" s="27">
        <f t="shared" si="34"/>
        <v>0</v>
      </c>
      <c r="AJ28" s="27">
        <f t="shared" si="29"/>
        <v>0</v>
      </c>
      <c r="AK28" s="27">
        <f t="shared" si="42"/>
        <v>0</v>
      </c>
      <c r="AL28" s="27">
        <f t="shared" si="10"/>
        <v>0</v>
      </c>
      <c r="AM28" s="27">
        <f t="shared" si="30"/>
        <v>0</v>
      </c>
      <c r="AN28" s="27">
        <f t="shared" si="31"/>
        <v>0</v>
      </c>
      <c r="AO28" s="27">
        <f t="shared" si="43"/>
        <v>225000</v>
      </c>
      <c r="AP28" s="37">
        <f t="shared" si="13"/>
        <v>0</v>
      </c>
      <c r="AQ28" s="37">
        <f t="shared" si="38"/>
        <v>0</v>
      </c>
      <c r="AR28" s="37">
        <f t="shared" si="15"/>
        <v>0</v>
      </c>
      <c r="AS28" s="37">
        <f t="shared" si="16"/>
        <v>0</v>
      </c>
      <c r="AT28" s="37">
        <f t="shared" si="39"/>
        <v>0</v>
      </c>
      <c r="AU28" s="37">
        <f t="shared" si="35"/>
        <v>0</v>
      </c>
      <c r="AV28" s="37">
        <f t="shared" si="40"/>
        <v>0</v>
      </c>
      <c r="AW28" s="37">
        <f t="shared" ref="AW28:AW37" si="44">IF($K28="août",$E28,0)</f>
        <v>0</v>
      </c>
      <c r="AX28" s="37">
        <f t="shared" si="20"/>
        <v>0</v>
      </c>
      <c r="AY28" s="37">
        <f t="shared" si="21"/>
        <v>0</v>
      </c>
      <c r="AZ28" s="37">
        <f t="shared" si="41"/>
        <v>0</v>
      </c>
      <c r="BA28" s="37">
        <f t="shared" si="23"/>
        <v>201750</v>
      </c>
    </row>
    <row r="29" spans="1:53" customFormat="1" x14ac:dyDescent="0.3">
      <c r="A29" s="73" t="s">
        <v>66</v>
      </c>
      <c r="B29" s="90" t="s">
        <v>110</v>
      </c>
      <c r="C29" s="92"/>
      <c r="D29" s="149"/>
      <c r="E29" s="149"/>
      <c r="F29" s="60"/>
      <c r="G29" s="61"/>
      <c r="H29" s="62"/>
      <c r="I29" s="62"/>
      <c r="J29" s="340"/>
      <c r="K29" s="64"/>
      <c r="L29" s="347"/>
      <c r="M29" s="121"/>
      <c r="N29" s="355"/>
      <c r="O29" s="121"/>
      <c r="P29" s="121"/>
      <c r="Q29" s="69"/>
      <c r="R29" s="69"/>
      <c r="S29" s="69"/>
      <c r="T29" s="126"/>
      <c r="U29" s="126"/>
      <c r="V29" s="126" t="s">
        <v>83</v>
      </c>
      <c r="W29" s="126" t="s">
        <v>83</v>
      </c>
      <c r="X29" s="126"/>
      <c r="Y29" s="130"/>
      <c r="Z29" s="128" t="s">
        <v>83</v>
      </c>
      <c r="AA29" s="58"/>
      <c r="AB29" s="129"/>
      <c r="AC29" s="42"/>
      <c r="AD29" s="27">
        <f t="shared" si="27"/>
        <v>0</v>
      </c>
      <c r="AE29" s="27">
        <f t="shared" si="4"/>
        <v>0</v>
      </c>
      <c r="AF29" s="27">
        <f t="shared" si="5"/>
        <v>0</v>
      </c>
      <c r="AG29" s="27">
        <f t="shared" si="28"/>
        <v>0</v>
      </c>
      <c r="AH29" s="27">
        <f t="shared" si="7"/>
        <v>0</v>
      </c>
      <c r="AI29" s="27">
        <f>IF($K29="juin",$D29,0)/2</f>
        <v>0</v>
      </c>
      <c r="AJ29" s="27">
        <f t="shared" si="29"/>
        <v>0</v>
      </c>
      <c r="AK29" s="27">
        <f t="shared" si="42"/>
        <v>0</v>
      </c>
      <c r="AL29" s="27">
        <f t="shared" si="10"/>
        <v>0</v>
      </c>
      <c r="AM29" s="27">
        <f t="shared" si="30"/>
        <v>0</v>
      </c>
      <c r="AN29" s="27">
        <f t="shared" si="31"/>
        <v>0</v>
      </c>
      <c r="AO29" s="27">
        <f t="shared" si="43"/>
        <v>0</v>
      </c>
      <c r="AP29" s="37">
        <f t="shared" si="13"/>
        <v>0</v>
      </c>
      <c r="AQ29" s="37">
        <f t="shared" si="38"/>
        <v>0</v>
      </c>
      <c r="AR29" s="37">
        <f t="shared" si="15"/>
        <v>0</v>
      </c>
      <c r="AS29" s="37">
        <f t="shared" si="16"/>
        <v>0</v>
      </c>
      <c r="AT29" s="37">
        <f t="shared" si="39"/>
        <v>0</v>
      </c>
      <c r="AU29" s="37">
        <f>IF($K29="juin",$E29,0)/2</f>
        <v>0</v>
      </c>
      <c r="AV29" s="37">
        <f t="shared" si="40"/>
        <v>0</v>
      </c>
      <c r="AW29" s="37">
        <f t="shared" si="44"/>
        <v>0</v>
      </c>
      <c r="AX29" s="37">
        <f t="shared" si="20"/>
        <v>0</v>
      </c>
      <c r="AY29" s="37">
        <f t="shared" si="21"/>
        <v>0</v>
      </c>
      <c r="AZ29" s="37">
        <f t="shared" si="41"/>
        <v>0</v>
      </c>
      <c r="BA29" s="37">
        <f t="shared" si="23"/>
        <v>0</v>
      </c>
    </row>
    <row r="30" spans="1:53" customFormat="1" x14ac:dyDescent="0.3">
      <c r="A30" s="73" t="s">
        <v>66</v>
      </c>
      <c r="B30" s="90" t="s">
        <v>110</v>
      </c>
      <c r="C30" s="92"/>
      <c r="D30" s="149"/>
      <c r="E30" s="149"/>
      <c r="F30" s="60"/>
      <c r="G30" s="61"/>
      <c r="H30" s="62"/>
      <c r="I30" s="62"/>
      <c r="J30" s="340"/>
      <c r="K30" s="64"/>
      <c r="L30" s="347"/>
      <c r="M30" s="121"/>
      <c r="N30" s="355"/>
      <c r="O30" s="121"/>
      <c r="P30" s="121"/>
      <c r="Q30" s="69"/>
      <c r="R30" s="69"/>
      <c r="S30" s="69"/>
      <c r="T30" s="126"/>
      <c r="U30" s="126"/>
      <c r="V30" s="126" t="s">
        <v>83</v>
      </c>
      <c r="W30" s="126" t="s">
        <v>83</v>
      </c>
      <c r="X30" s="126"/>
      <c r="Y30" s="130"/>
      <c r="Z30" s="128" t="s">
        <v>83</v>
      </c>
      <c r="AA30" s="58"/>
      <c r="AB30" s="129"/>
      <c r="AC30" s="42"/>
      <c r="AD30" s="27">
        <f t="shared" si="27"/>
        <v>0</v>
      </c>
      <c r="AE30" s="27">
        <f t="shared" si="4"/>
        <v>0</v>
      </c>
      <c r="AF30" s="27">
        <f t="shared" si="5"/>
        <v>0</v>
      </c>
      <c r="AG30" s="27">
        <f t="shared" si="28"/>
        <v>0</v>
      </c>
      <c r="AH30" s="27">
        <f t="shared" si="7"/>
        <v>0</v>
      </c>
      <c r="AI30" s="27">
        <f>IF($K30="juin",$D30,0)*0</f>
        <v>0</v>
      </c>
      <c r="AJ30" s="27">
        <f t="shared" si="29"/>
        <v>0</v>
      </c>
      <c r="AK30" s="27">
        <f t="shared" si="42"/>
        <v>0</v>
      </c>
      <c r="AL30" s="27">
        <f t="shared" si="10"/>
        <v>0</v>
      </c>
      <c r="AM30" s="27">
        <f t="shared" si="30"/>
        <v>0</v>
      </c>
      <c r="AN30" s="27">
        <f t="shared" si="31"/>
        <v>0</v>
      </c>
      <c r="AO30" s="27">
        <f t="shared" si="43"/>
        <v>0</v>
      </c>
      <c r="AP30" s="37">
        <f t="shared" si="13"/>
        <v>0</v>
      </c>
      <c r="AQ30" s="37">
        <f t="shared" si="38"/>
        <v>0</v>
      </c>
      <c r="AR30" s="37">
        <f t="shared" si="15"/>
        <v>0</v>
      </c>
      <c r="AS30" s="37">
        <f t="shared" si="16"/>
        <v>0</v>
      </c>
      <c r="AT30" s="37">
        <f t="shared" si="39"/>
        <v>0</v>
      </c>
      <c r="AU30" s="37">
        <f>IF($K30="juin",$E30,0)*0</f>
        <v>0</v>
      </c>
      <c r="AV30" s="37">
        <f t="shared" si="40"/>
        <v>0</v>
      </c>
      <c r="AW30" s="37">
        <f t="shared" si="44"/>
        <v>0</v>
      </c>
      <c r="AX30" s="37">
        <f t="shared" si="20"/>
        <v>0</v>
      </c>
      <c r="AY30" s="37">
        <f t="shared" si="21"/>
        <v>0</v>
      </c>
      <c r="AZ30" s="37">
        <f t="shared" si="41"/>
        <v>0</v>
      </c>
      <c r="BA30" s="37">
        <f t="shared" si="23"/>
        <v>0</v>
      </c>
    </row>
    <row r="31" spans="1:53" customFormat="1" x14ac:dyDescent="0.3">
      <c r="A31" s="73" t="s">
        <v>111</v>
      </c>
      <c r="B31" s="90" t="s">
        <v>112</v>
      </c>
      <c r="C31" s="92" t="s">
        <v>113</v>
      </c>
      <c r="D31" s="149">
        <f>14000*0.15</f>
        <v>2100</v>
      </c>
      <c r="E31" s="149"/>
      <c r="F31" s="60">
        <f t="shared" ref="F31:F36" si="45">D31-E31</f>
        <v>2100</v>
      </c>
      <c r="G31" s="61">
        <f t="shared" ref="G31:G36" si="46">F31/D31</f>
        <v>1</v>
      </c>
      <c r="H31" s="62"/>
      <c r="I31" s="62"/>
      <c r="J31" s="68">
        <v>45262</v>
      </c>
      <c r="K31" s="64" t="s">
        <v>64</v>
      </c>
      <c r="L31" s="347">
        <v>44897</v>
      </c>
      <c r="M31" s="66" t="s">
        <v>114</v>
      </c>
      <c r="N31" s="84"/>
      <c r="O31" s="73"/>
      <c r="P31" s="68"/>
      <c r="Q31" s="69"/>
      <c r="R31" s="69"/>
      <c r="S31" s="69"/>
      <c r="T31" s="70"/>
      <c r="U31" s="70"/>
      <c r="V31" s="70"/>
      <c r="W31" s="70"/>
      <c r="X31" s="70"/>
      <c r="Y31" s="70"/>
      <c r="Z31" s="70"/>
      <c r="AA31" s="70"/>
      <c r="AB31" s="70"/>
      <c r="AC31" s="42"/>
      <c r="AD31" s="27">
        <f t="shared" si="27"/>
        <v>0</v>
      </c>
      <c r="AE31" s="27">
        <f t="shared" si="4"/>
        <v>0</v>
      </c>
      <c r="AF31" s="27">
        <f t="shared" si="5"/>
        <v>0</v>
      </c>
      <c r="AG31" s="27">
        <f t="shared" si="28"/>
        <v>0</v>
      </c>
      <c r="AH31" s="27">
        <f t="shared" si="7"/>
        <v>0</v>
      </c>
      <c r="AI31" s="27">
        <f t="shared" ref="AI31:AI39" si="47">IF($K31="juin",$D31,0)</f>
        <v>0</v>
      </c>
      <c r="AJ31" s="27">
        <f t="shared" si="29"/>
        <v>0</v>
      </c>
      <c r="AK31" s="27">
        <f t="shared" si="42"/>
        <v>0</v>
      </c>
      <c r="AL31" s="27">
        <f t="shared" si="10"/>
        <v>0</v>
      </c>
      <c r="AM31" s="27">
        <f t="shared" si="30"/>
        <v>0</v>
      </c>
      <c r="AN31" s="27">
        <f t="shared" si="31"/>
        <v>0</v>
      </c>
      <c r="AO31" s="27">
        <f t="shared" si="43"/>
        <v>2100</v>
      </c>
      <c r="AP31" s="37">
        <f t="shared" si="13"/>
        <v>0</v>
      </c>
      <c r="AQ31" s="37">
        <f t="shared" si="38"/>
        <v>0</v>
      </c>
      <c r="AR31" s="37">
        <f t="shared" si="15"/>
        <v>0</v>
      </c>
      <c r="AS31" s="37">
        <f t="shared" si="16"/>
        <v>0</v>
      </c>
      <c r="AT31" s="37">
        <f t="shared" si="39"/>
        <v>0</v>
      </c>
      <c r="AU31" s="37">
        <f t="shared" ref="AU31:AU52" si="48">IF($K31="juin",$E31,0)</f>
        <v>0</v>
      </c>
      <c r="AV31" s="37">
        <f t="shared" si="40"/>
        <v>0</v>
      </c>
      <c r="AW31" s="37">
        <f t="shared" si="44"/>
        <v>0</v>
      </c>
      <c r="AX31" s="37">
        <f t="shared" si="20"/>
        <v>0</v>
      </c>
      <c r="AY31" s="37">
        <f t="shared" si="21"/>
        <v>0</v>
      </c>
      <c r="AZ31" s="37">
        <f t="shared" si="41"/>
        <v>0</v>
      </c>
      <c r="BA31" s="37">
        <f t="shared" si="23"/>
        <v>0</v>
      </c>
    </row>
    <row r="32" spans="1:53" customFormat="1" x14ac:dyDescent="0.3">
      <c r="A32" s="73" t="s">
        <v>115</v>
      </c>
      <c r="B32" s="90" t="s">
        <v>116</v>
      </c>
      <c r="C32" s="92" t="s">
        <v>117</v>
      </c>
      <c r="D32" s="149">
        <v>35600</v>
      </c>
      <c r="E32" s="149">
        <v>33501.660000000003</v>
      </c>
      <c r="F32" s="60">
        <f t="shared" si="45"/>
        <v>2098.3399999999965</v>
      </c>
      <c r="G32" s="61">
        <f t="shared" si="46"/>
        <v>5.8942134831460574E-2</v>
      </c>
      <c r="H32" s="62">
        <v>37900</v>
      </c>
      <c r="I32" s="62">
        <v>35176.76</v>
      </c>
      <c r="J32" s="68">
        <v>45291</v>
      </c>
      <c r="K32" s="64" t="s">
        <v>64</v>
      </c>
      <c r="L32" s="347">
        <v>46022</v>
      </c>
      <c r="M32" s="66" t="s">
        <v>118</v>
      </c>
      <c r="N32" s="84"/>
      <c r="O32" s="73"/>
      <c r="P32" s="68"/>
      <c r="Q32" s="69"/>
      <c r="R32" s="69"/>
      <c r="S32" s="69"/>
      <c r="T32" s="70"/>
      <c r="U32" s="70"/>
      <c r="V32" s="70"/>
      <c r="W32" s="70"/>
      <c r="X32" s="70"/>
      <c r="Y32" s="70"/>
      <c r="Z32" s="70"/>
      <c r="AA32" s="70"/>
      <c r="AB32" s="70"/>
      <c r="AC32" s="42"/>
      <c r="AD32" s="27">
        <f t="shared" si="27"/>
        <v>0</v>
      </c>
      <c r="AE32" s="27">
        <f t="shared" si="4"/>
        <v>0</v>
      </c>
      <c r="AF32" s="27">
        <f t="shared" si="5"/>
        <v>0</v>
      </c>
      <c r="AG32" s="27">
        <f t="shared" si="28"/>
        <v>0</v>
      </c>
      <c r="AH32" s="27">
        <f t="shared" si="7"/>
        <v>0</v>
      </c>
      <c r="AI32" s="27">
        <f t="shared" si="47"/>
        <v>0</v>
      </c>
      <c r="AJ32" s="27">
        <f t="shared" si="29"/>
        <v>0</v>
      </c>
      <c r="AK32" s="27">
        <f t="shared" si="42"/>
        <v>0</v>
      </c>
      <c r="AL32" s="27">
        <f t="shared" si="10"/>
        <v>0</v>
      </c>
      <c r="AM32" s="27">
        <f t="shared" si="30"/>
        <v>0</v>
      </c>
      <c r="AN32" s="27">
        <f t="shared" si="31"/>
        <v>0</v>
      </c>
      <c r="AO32" s="27">
        <f t="shared" si="43"/>
        <v>35600</v>
      </c>
      <c r="AP32" s="37">
        <f t="shared" si="13"/>
        <v>0</v>
      </c>
      <c r="AQ32" s="37">
        <f t="shared" si="38"/>
        <v>0</v>
      </c>
      <c r="AR32" s="37">
        <f t="shared" si="15"/>
        <v>0</v>
      </c>
      <c r="AS32" s="37">
        <f t="shared" si="16"/>
        <v>0</v>
      </c>
      <c r="AT32" s="37">
        <f t="shared" si="39"/>
        <v>0</v>
      </c>
      <c r="AU32" s="37">
        <f t="shared" si="48"/>
        <v>0</v>
      </c>
      <c r="AV32" s="37">
        <f t="shared" si="40"/>
        <v>0</v>
      </c>
      <c r="AW32" s="37">
        <f t="shared" si="44"/>
        <v>0</v>
      </c>
      <c r="AX32" s="37">
        <f t="shared" si="20"/>
        <v>0</v>
      </c>
      <c r="AY32" s="37">
        <f t="shared" si="21"/>
        <v>0</v>
      </c>
      <c r="AZ32" s="37">
        <f t="shared" si="41"/>
        <v>0</v>
      </c>
      <c r="BA32" s="37">
        <f t="shared" si="23"/>
        <v>33501.660000000003</v>
      </c>
    </row>
    <row r="33" spans="1:53" customFormat="1" x14ac:dyDescent="0.3">
      <c r="A33" s="73" t="s">
        <v>66</v>
      </c>
      <c r="B33" s="90" t="s">
        <v>119</v>
      </c>
      <c r="C33" s="92" t="s">
        <v>120</v>
      </c>
      <c r="D33" s="149"/>
      <c r="E33" s="149"/>
      <c r="F33" s="60">
        <f t="shared" si="45"/>
        <v>0</v>
      </c>
      <c r="G33" s="61" t="e">
        <f t="shared" si="46"/>
        <v>#DIV/0!</v>
      </c>
      <c r="H33" s="149">
        <f>2400*3</f>
        <v>7200</v>
      </c>
      <c r="I33" s="149">
        <v>1680</v>
      </c>
      <c r="J33" s="338">
        <v>44135</v>
      </c>
      <c r="K33" s="64" t="str">
        <f>TEXT(30*MONTH(J33)+30,"mmmm")</f>
        <v>novembre</v>
      </c>
      <c r="L33" s="347">
        <v>44500</v>
      </c>
      <c r="M33" s="353" t="s">
        <v>85</v>
      </c>
      <c r="N33" s="355" t="s">
        <v>121</v>
      </c>
      <c r="O33" s="360" t="s">
        <v>122</v>
      </c>
      <c r="P33" s="66"/>
      <c r="Q33" s="69"/>
      <c r="R33" s="69"/>
      <c r="S33" s="69"/>
      <c r="T33" s="126"/>
      <c r="U33" s="126"/>
      <c r="V33" s="126"/>
      <c r="W33" s="126"/>
      <c r="X33" s="126"/>
      <c r="Y33" s="130"/>
      <c r="Z33" s="133"/>
      <c r="AA33" s="58"/>
      <c r="AB33" s="129"/>
      <c r="AC33" s="42" t="s">
        <v>123</v>
      </c>
      <c r="AD33" s="27">
        <f t="shared" si="27"/>
        <v>0</v>
      </c>
      <c r="AE33" s="27">
        <f t="shared" si="4"/>
        <v>0</v>
      </c>
      <c r="AF33" s="27">
        <f t="shared" si="5"/>
        <v>0</v>
      </c>
      <c r="AG33" s="27">
        <f t="shared" si="28"/>
        <v>0</v>
      </c>
      <c r="AH33" s="27">
        <f t="shared" si="7"/>
        <v>0</v>
      </c>
      <c r="AI33" s="27">
        <f t="shared" si="47"/>
        <v>0</v>
      </c>
      <c r="AJ33" s="27">
        <f t="shared" si="29"/>
        <v>0</v>
      </c>
      <c r="AK33" s="27">
        <f t="shared" si="42"/>
        <v>0</v>
      </c>
      <c r="AL33" s="27">
        <f t="shared" si="10"/>
        <v>0</v>
      </c>
      <c r="AM33" s="27">
        <f t="shared" si="30"/>
        <v>0</v>
      </c>
      <c r="AN33" s="27">
        <f t="shared" si="31"/>
        <v>0</v>
      </c>
      <c r="AO33" s="27">
        <f t="shared" si="43"/>
        <v>0</v>
      </c>
      <c r="AP33" s="37">
        <f t="shared" si="13"/>
        <v>0</v>
      </c>
      <c r="AQ33" s="37">
        <f t="shared" si="38"/>
        <v>0</v>
      </c>
      <c r="AR33" s="37">
        <f t="shared" si="15"/>
        <v>0</v>
      </c>
      <c r="AS33" s="37">
        <f t="shared" si="16"/>
        <v>0</v>
      </c>
      <c r="AT33" s="37">
        <f t="shared" si="39"/>
        <v>0</v>
      </c>
      <c r="AU33" s="37">
        <f t="shared" si="48"/>
        <v>0</v>
      </c>
      <c r="AV33" s="37">
        <f t="shared" si="40"/>
        <v>0</v>
      </c>
      <c r="AW33" s="37">
        <f t="shared" si="44"/>
        <v>0</v>
      </c>
      <c r="AX33" s="37">
        <f t="shared" si="20"/>
        <v>0</v>
      </c>
      <c r="AY33" s="37">
        <f t="shared" si="21"/>
        <v>0</v>
      </c>
      <c r="AZ33" s="37">
        <f t="shared" si="41"/>
        <v>0</v>
      </c>
      <c r="BA33" s="37">
        <f t="shared" si="23"/>
        <v>0</v>
      </c>
    </row>
    <row r="34" spans="1:53" customFormat="1" x14ac:dyDescent="0.3">
      <c r="A34" s="73" t="s">
        <v>66</v>
      </c>
      <c r="B34" s="90" t="s">
        <v>119</v>
      </c>
      <c r="C34" s="92" t="s">
        <v>124</v>
      </c>
      <c r="D34" s="149"/>
      <c r="E34" s="149"/>
      <c r="F34" s="60">
        <f t="shared" si="45"/>
        <v>0</v>
      </c>
      <c r="G34" s="61" t="e">
        <f t="shared" si="46"/>
        <v>#DIV/0!</v>
      </c>
      <c r="H34" s="149">
        <f>7200*3+7200*0.41</f>
        <v>24552</v>
      </c>
      <c r="I34" s="149">
        <f>H34*0.7</f>
        <v>17186.399999999998</v>
      </c>
      <c r="J34" s="338">
        <v>44347</v>
      </c>
      <c r="K34" s="64" t="s">
        <v>57</v>
      </c>
      <c r="L34" s="347">
        <v>45535</v>
      </c>
      <c r="M34" s="353" t="s">
        <v>85</v>
      </c>
      <c r="N34" s="357" t="s">
        <v>125</v>
      </c>
      <c r="O34" s="360" t="s">
        <v>122</v>
      </c>
      <c r="P34" s="66"/>
      <c r="Q34" s="69"/>
      <c r="R34" s="69"/>
      <c r="S34" s="69"/>
      <c r="T34" s="126"/>
      <c r="U34" s="126"/>
      <c r="V34" s="126"/>
      <c r="W34" s="126"/>
      <c r="X34" s="126"/>
      <c r="Y34" s="130"/>
      <c r="Z34" s="133"/>
      <c r="AA34" s="58"/>
      <c r="AB34" s="129"/>
      <c r="AC34" s="42" t="s">
        <v>123</v>
      </c>
      <c r="AD34" s="27">
        <f t="shared" si="27"/>
        <v>0</v>
      </c>
      <c r="AE34" s="27">
        <f t="shared" si="4"/>
        <v>0</v>
      </c>
      <c r="AF34" s="27">
        <f t="shared" si="5"/>
        <v>0</v>
      </c>
      <c r="AG34" s="27">
        <f t="shared" si="28"/>
        <v>0</v>
      </c>
      <c r="AH34" s="27">
        <f t="shared" si="7"/>
        <v>0</v>
      </c>
      <c r="AI34" s="27">
        <f t="shared" si="47"/>
        <v>0</v>
      </c>
      <c r="AJ34" s="27">
        <f t="shared" si="29"/>
        <v>0</v>
      </c>
      <c r="AK34" s="27">
        <f t="shared" si="42"/>
        <v>0</v>
      </c>
      <c r="AL34" s="27">
        <f t="shared" si="10"/>
        <v>0</v>
      </c>
      <c r="AM34" s="27">
        <f t="shared" si="30"/>
        <v>0</v>
      </c>
      <c r="AN34" s="27">
        <f t="shared" si="31"/>
        <v>0</v>
      </c>
      <c r="AO34" s="27">
        <f t="shared" si="43"/>
        <v>0</v>
      </c>
      <c r="AP34" s="37">
        <f t="shared" si="13"/>
        <v>0</v>
      </c>
      <c r="AQ34" s="37">
        <f t="shared" si="38"/>
        <v>0</v>
      </c>
      <c r="AR34" s="37">
        <f t="shared" si="15"/>
        <v>0</v>
      </c>
      <c r="AS34" s="37">
        <f t="shared" si="16"/>
        <v>0</v>
      </c>
      <c r="AT34" s="37">
        <f t="shared" si="39"/>
        <v>0</v>
      </c>
      <c r="AU34" s="37">
        <f t="shared" si="48"/>
        <v>0</v>
      </c>
      <c r="AV34" s="37">
        <f t="shared" si="40"/>
        <v>0</v>
      </c>
      <c r="AW34" s="37">
        <f t="shared" si="44"/>
        <v>0</v>
      </c>
      <c r="AX34" s="37">
        <f t="shared" si="20"/>
        <v>0</v>
      </c>
      <c r="AY34" s="37">
        <f t="shared" si="21"/>
        <v>0</v>
      </c>
      <c r="AZ34" s="37">
        <f t="shared" si="41"/>
        <v>0</v>
      </c>
      <c r="BA34" s="37">
        <f t="shared" si="23"/>
        <v>0</v>
      </c>
    </row>
    <row r="35" spans="1:53" customFormat="1" x14ac:dyDescent="0.3">
      <c r="A35" s="73" t="s">
        <v>126</v>
      </c>
      <c r="B35" s="90" t="s">
        <v>127</v>
      </c>
      <c r="C35" s="92"/>
      <c r="D35" s="393">
        <v>54890</v>
      </c>
      <c r="E35" s="153">
        <f>D35*0.8</f>
        <v>43912</v>
      </c>
      <c r="F35" s="60">
        <f t="shared" si="45"/>
        <v>10978</v>
      </c>
      <c r="G35" s="61">
        <f t="shared" si="46"/>
        <v>0.2</v>
      </c>
      <c r="H35" s="62"/>
      <c r="I35" s="62"/>
      <c r="J35" s="63">
        <v>45291</v>
      </c>
      <c r="K35" s="141" t="s">
        <v>64</v>
      </c>
      <c r="L35" s="78">
        <v>45657</v>
      </c>
      <c r="M35" s="79" t="s">
        <v>91</v>
      </c>
      <c r="N35" s="84"/>
      <c r="O35" s="84"/>
      <c r="P35" s="77"/>
      <c r="Q35" s="82"/>
      <c r="R35" s="82"/>
      <c r="S35" s="82"/>
      <c r="T35" s="83"/>
      <c r="U35" s="83"/>
      <c r="V35" s="83"/>
      <c r="W35" s="83"/>
      <c r="X35" s="83"/>
      <c r="Y35" s="83"/>
      <c r="Z35" s="83"/>
      <c r="AA35" s="83"/>
      <c r="AB35" s="83"/>
      <c r="AC35" s="26"/>
      <c r="AD35" s="27">
        <f t="shared" si="27"/>
        <v>0</v>
      </c>
      <c r="AE35" s="27">
        <f t="shared" si="4"/>
        <v>0</v>
      </c>
      <c r="AF35" s="27">
        <f t="shared" si="5"/>
        <v>0</v>
      </c>
      <c r="AG35" s="27">
        <f t="shared" si="28"/>
        <v>0</v>
      </c>
      <c r="AH35" s="27">
        <f t="shared" si="7"/>
        <v>0</v>
      </c>
      <c r="AI35" s="27">
        <f t="shared" si="47"/>
        <v>0</v>
      </c>
      <c r="AJ35" s="27">
        <f t="shared" si="29"/>
        <v>0</v>
      </c>
      <c r="AK35" s="27">
        <f t="shared" si="42"/>
        <v>0</v>
      </c>
      <c r="AL35" s="27">
        <f t="shared" si="10"/>
        <v>0</v>
      </c>
      <c r="AM35" s="27">
        <f t="shared" si="30"/>
        <v>0</v>
      </c>
      <c r="AN35" s="27">
        <f t="shared" si="31"/>
        <v>0</v>
      </c>
      <c r="AO35" s="27">
        <f t="shared" si="43"/>
        <v>54890</v>
      </c>
      <c r="AP35" s="37">
        <f t="shared" si="13"/>
        <v>0</v>
      </c>
      <c r="AQ35" s="37">
        <f t="shared" si="38"/>
        <v>0</v>
      </c>
      <c r="AR35" s="37">
        <f t="shared" si="15"/>
        <v>0</v>
      </c>
      <c r="AS35" s="37">
        <f t="shared" si="16"/>
        <v>0</v>
      </c>
      <c r="AT35" s="37">
        <f t="shared" si="39"/>
        <v>0</v>
      </c>
      <c r="AU35" s="37">
        <f t="shared" si="48"/>
        <v>0</v>
      </c>
      <c r="AV35" s="37">
        <f t="shared" si="40"/>
        <v>0</v>
      </c>
      <c r="AW35" s="37">
        <f t="shared" si="44"/>
        <v>0</v>
      </c>
      <c r="AX35" s="37">
        <f t="shared" si="20"/>
        <v>0</v>
      </c>
      <c r="AY35" s="37">
        <f t="shared" si="21"/>
        <v>0</v>
      </c>
      <c r="AZ35" s="37">
        <f t="shared" si="41"/>
        <v>0</v>
      </c>
      <c r="BA35" s="37">
        <f t="shared" si="23"/>
        <v>43912</v>
      </c>
    </row>
    <row r="36" spans="1:53" customFormat="1" x14ac:dyDescent="0.3">
      <c r="A36" s="73" t="s">
        <v>111</v>
      </c>
      <c r="B36" s="90" t="s">
        <v>128</v>
      </c>
      <c r="C36" s="92"/>
      <c r="D36" s="152">
        <v>4850</v>
      </c>
      <c r="E36" s="393">
        <f>1013.74*4</f>
        <v>4054.96</v>
      </c>
      <c r="F36" s="60">
        <f t="shared" si="45"/>
        <v>795.04</v>
      </c>
      <c r="G36" s="61">
        <f t="shared" si="46"/>
        <v>0.16392577319587628</v>
      </c>
      <c r="H36" s="62"/>
      <c r="I36" s="62"/>
      <c r="J36" s="63">
        <v>44439</v>
      </c>
      <c r="K36" s="141" t="s">
        <v>129</v>
      </c>
      <c r="L36" s="78">
        <v>44439</v>
      </c>
      <c r="M36" s="79" t="s">
        <v>85</v>
      </c>
      <c r="N36" s="73" t="s">
        <v>76</v>
      </c>
      <c r="O36" s="73"/>
      <c r="P36" s="81"/>
      <c r="Q36" s="82"/>
      <c r="R36" s="82"/>
      <c r="S36" s="82"/>
      <c r="T36" s="83"/>
      <c r="U36" s="83"/>
      <c r="V36" s="83"/>
      <c r="W36" s="83"/>
      <c r="X36" s="83"/>
      <c r="Y36" s="83"/>
      <c r="Z36" s="83"/>
      <c r="AA36" s="83"/>
      <c r="AB36" s="83"/>
      <c r="AC36" s="26"/>
      <c r="AD36" s="27">
        <f t="shared" si="27"/>
        <v>0</v>
      </c>
      <c r="AE36" s="27">
        <f t="shared" si="4"/>
        <v>0</v>
      </c>
      <c r="AF36" s="27">
        <f t="shared" si="5"/>
        <v>0</v>
      </c>
      <c r="AG36" s="27">
        <f t="shared" si="28"/>
        <v>0</v>
      </c>
      <c r="AH36" s="27">
        <f t="shared" si="7"/>
        <v>0</v>
      </c>
      <c r="AI36" s="27">
        <f t="shared" si="47"/>
        <v>0</v>
      </c>
      <c r="AJ36" s="27">
        <f t="shared" si="29"/>
        <v>0</v>
      </c>
      <c r="AK36" s="27">
        <f>IF($K36="août",$D36,0)/4</f>
        <v>1212.5</v>
      </c>
      <c r="AL36" s="27">
        <f t="shared" si="10"/>
        <v>0</v>
      </c>
      <c r="AM36" s="27">
        <f t="shared" si="30"/>
        <v>0</v>
      </c>
      <c r="AN36" s="27">
        <f t="shared" si="31"/>
        <v>0</v>
      </c>
      <c r="AO36" s="27">
        <f>IF($K36="août",$D36,0)/4</f>
        <v>1212.5</v>
      </c>
      <c r="AP36" s="37">
        <f t="shared" si="13"/>
        <v>0</v>
      </c>
      <c r="AQ36" s="37">
        <f t="shared" si="38"/>
        <v>0</v>
      </c>
      <c r="AR36" s="37">
        <f t="shared" si="15"/>
        <v>0</v>
      </c>
      <c r="AS36" s="37">
        <f t="shared" si="16"/>
        <v>0</v>
      </c>
      <c r="AT36" s="37">
        <f t="shared" si="39"/>
        <v>0</v>
      </c>
      <c r="AU36" s="37">
        <f t="shared" si="48"/>
        <v>0</v>
      </c>
      <c r="AV36" s="37">
        <f t="shared" si="40"/>
        <v>0</v>
      </c>
      <c r="AW36" s="37">
        <f t="shared" si="44"/>
        <v>4054.96</v>
      </c>
      <c r="AX36" s="37">
        <f t="shared" si="20"/>
        <v>0</v>
      </c>
      <c r="AY36" s="37">
        <f t="shared" si="21"/>
        <v>0</v>
      </c>
      <c r="AZ36" s="37">
        <f t="shared" si="41"/>
        <v>0</v>
      </c>
      <c r="BA36" s="37">
        <f t="shared" si="23"/>
        <v>0</v>
      </c>
    </row>
    <row r="37" spans="1:53" customFormat="1" x14ac:dyDescent="0.3">
      <c r="A37" s="73" t="s">
        <v>72</v>
      </c>
      <c r="B37" s="88" t="s">
        <v>130</v>
      </c>
      <c r="C37" s="92" t="s">
        <v>131</v>
      </c>
      <c r="D37" s="162"/>
      <c r="E37" s="153"/>
      <c r="F37" s="60"/>
      <c r="G37" s="61"/>
      <c r="H37" s="62"/>
      <c r="I37" s="62"/>
      <c r="J37" s="119"/>
      <c r="K37" s="141"/>
      <c r="L37" s="78"/>
      <c r="M37" s="79"/>
      <c r="N37" s="73"/>
      <c r="O37" s="73"/>
      <c r="P37" s="81"/>
      <c r="Q37" s="82"/>
      <c r="R37" s="82"/>
      <c r="S37" s="82"/>
      <c r="T37" s="83"/>
      <c r="U37" s="83"/>
      <c r="V37" s="83"/>
      <c r="W37" s="83"/>
      <c r="X37" s="83"/>
      <c r="Y37" s="83"/>
      <c r="Z37" s="83"/>
      <c r="AA37" s="83"/>
      <c r="AB37" s="83"/>
      <c r="AC37" s="26"/>
      <c r="AD37" s="27">
        <f t="shared" si="27"/>
        <v>0</v>
      </c>
      <c r="AE37" s="27">
        <f t="shared" si="4"/>
        <v>0</v>
      </c>
      <c r="AF37" s="27">
        <f t="shared" si="5"/>
        <v>0</v>
      </c>
      <c r="AG37" s="27">
        <f t="shared" si="28"/>
        <v>0</v>
      </c>
      <c r="AH37" s="27">
        <f t="shared" si="7"/>
        <v>0</v>
      </c>
      <c r="AI37" s="27">
        <f t="shared" si="47"/>
        <v>0</v>
      </c>
      <c r="AJ37" s="27">
        <f t="shared" si="29"/>
        <v>0</v>
      </c>
      <c r="AK37" s="27">
        <f>IF($K37="août",$D37,0)/4</f>
        <v>0</v>
      </c>
      <c r="AL37" s="27">
        <f t="shared" si="10"/>
        <v>0</v>
      </c>
      <c r="AM37" s="27">
        <f t="shared" si="30"/>
        <v>0</v>
      </c>
      <c r="AN37" s="27">
        <f t="shared" si="31"/>
        <v>0</v>
      </c>
      <c r="AO37" s="27">
        <f>IF($K37="août",$D37,0)/4</f>
        <v>0</v>
      </c>
      <c r="AP37" s="37">
        <f t="shared" si="13"/>
        <v>0</v>
      </c>
      <c r="AQ37" s="37">
        <f t="shared" si="38"/>
        <v>0</v>
      </c>
      <c r="AR37" s="37">
        <f t="shared" si="15"/>
        <v>0</v>
      </c>
      <c r="AS37" s="37">
        <f t="shared" si="16"/>
        <v>0</v>
      </c>
      <c r="AT37" s="37">
        <f t="shared" si="39"/>
        <v>0</v>
      </c>
      <c r="AU37" s="37">
        <f t="shared" si="48"/>
        <v>0</v>
      </c>
      <c r="AV37" s="37">
        <f t="shared" si="40"/>
        <v>0</v>
      </c>
      <c r="AW37" s="37">
        <f t="shared" si="44"/>
        <v>0</v>
      </c>
      <c r="AX37" s="37">
        <f t="shared" si="20"/>
        <v>0</v>
      </c>
      <c r="AY37" s="37">
        <f t="shared" si="21"/>
        <v>0</v>
      </c>
      <c r="AZ37" s="37">
        <f t="shared" si="41"/>
        <v>0</v>
      </c>
      <c r="BA37" s="37">
        <f t="shared" si="23"/>
        <v>0</v>
      </c>
    </row>
    <row r="38" spans="1:53" customFormat="1" x14ac:dyDescent="0.3">
      <c r="A38" s="73" t="s">
        <v>66</v>
      </c>
      <c r="B38" s="88" t="s">
        <v>132</v>
      </c>
      <c r="C38" s="92" t="s">
        <v>133</v>
      </c>
      <c r="D38" s="149"/>
      <c r="E38" s="149"/>
      <c r="F38" s="60"/>
      <c r="G38" s="61"/>
      <c r="H38" s="62"/>
      <c r="I38" s="62"/>
      <c r="J38" s="150"/>
      <c r="K38" s="64"/>
      <c r="L38" s="109"/>
      <c r="M38" s="353"/>
      <c r="N38" s="355"/>
      <c r="O38" s="66"/>
      <c r="P38" s="66"/>
      <c r="Q38" s="69"/>
      <c r="R38" s="69"/>
      <c r="S38" s="69"/>
      <c r="T38" s="70"/>
      <c r="U38" s="70"/>
      <c r="V38" s="70" t="s">
        <v>83</v>
      </c>
      <c r="W38" s="70" t="s">
        <v>83</v>
      </c>
      <c r="X38" s="70"/>
      <c r="Y38" s="70"/>
      <c r="Z38" s="70" t="s">
        <v>83</v>
      </c>
      <c r="AA38" s="70"/>
      <c r="AB38" s="70"/>
      <c r="AC38" s="42"/>
      <c r="AD38" s="27">
        <f t="shared" si="27"/>
        <v>0</v>
      </c>
      <c r="AE38" s="27">
        <f t="shared" si="4"/>
        <v>0</v>
      </c>
      <c r="AF38" s="27">
        <f t="shared" si="5"/>
        <v>0</v>
      </c>
      <c r="AG38" s="27">
        <f t="shared" si="28"/>
        <v>0</v>
      </c>
      <c r="AH38" s="27">
        <f t="shared" si="7"/>
        <v>0</v>
      </c>
      <c r="AI38" s="27">
        <f t="shared" si="47"/>
        <v>0</v>
      </c>
      <c r="AJ38" s="27">
        <f t="shared" si="29"/>
        <v>0</v>
      </c>
      <c r="AK38" s="27">
        <f t="shared" ref="AK38:AK52" si="49">IF($K38="août",$D38,0)</f>
        <v>0</v>
      </c>
      <c r="AL38" s="27">
        <f t="shared" si="10"/>
        <v>0</v>
      </c>
      <c r="AM38" s="27">
        <f t="shared" si="30"/>
        <v>0</v>
      </c>
      <c r="AN38" s="27">
        <f t="shared" si="31"/>
        <v>0</v>
      </c>
      <c r="AO38" s="27">
        <f>IF($K38="décembre",$D38,0)</f>
        <v>0</v>
      </c>
      <c r="AP38" s="37">
        <f t="shared" si="13"/>
        <v>0</v>
      </c>
      <c r="AQ38" s="37">
        <f t="shared" si="38"/>
        <v>0</v>
      </c>
      <c r="AR38" s="37">
        <f t="shared" si="15"/>
        <v>0</v>
      </c>
      <c r="AS38" s="37">
        <f t="shared" si="16"/>
        <v>0</v>
      </c>
      <c r="AT38" s="37">
        <f t="shared" si="39"/>
        <v>0</v>
      </c>
      <c r="AU38" s="37">
        <f t="shared" si="48"/>
        <v>0</v>
      </c>
      <c r="AV38" s="37">
        <f t="shared" si="40"/>
        <v>0</v>
      </c>
      <c r="AW38" s="37">
        <f>IF($K38="août",$CJ38,0)</f>
        <v>0</v>
      </c>
      <c r="AX38" s="37">
        <f t="shared" si="20"/>
        <v>0</v>
      </c>
      <c r="AY38" s="37">
        <f t="shared" si="21"/>
        <v>0</v>
      </c>
      <c r="AZ38" s="37">
        <f t="shared" si="41"/>
        <v>0</v>
      </c>
      <c r="BA38" s="37">
        <f t="shared" si="23"/>
        <v>0</v>
      </c>
    </row>
    <row r="39" spans="1:53" customFormat="1" x14ac:dyDescent="0.3">
      <c r="A39" s="73" t="s">
        <v>66</v>
      </c>
      <c r="B39" s="90" t="s">
        <v>134</v>
      </c>
      <c r="C39" s="92"/>
      <c r="D39" s="153">
        <v>6000</v>
      </c>
      <c r="E39" s="153">
        <v>4200</v>
      </c>
      <c r="F39" s="60">
        <f>D39-E39</f>
        <v>1800</v>
      </c>
      <c r="G39" s="61">
        <f>F39/D39</f>
        <v>0.3</v>
      </c>
      <c r="H39" s="62">
        <f>E39/4</f>
        <v>1050</v>
      </c>
      <c r="I39" s="62"/>
      <c r="J39" s="320">
        <v>44957</v>
      </c>
      <c r="K39" s="141" t="str">
        <f>TEXT(30*MONTH(J39)+30,"mmmm")</f>
        <v>février</v>
      </c>
      <c r="L39" s="346" t="s">
        <v>135</v>
      </c>
      <c r="M39" s="79" t="s">
        <v>85</v>
      </c>
      <c r="N39" s="79" t="s">
        <v>136</v>
      </c>
      <c r="O39" s="84"/>
      <c r="P39" s="77"/>
      <c r="Q39" s="82"/>
      <c r="R39" s="82"/>
      <c r="S39" s="82"/>
      <c r="T39" s="83"/>
      <c r="U39" s="83"/>
      <c r="V39" s="83"/>
      <c r="W39" s="83"/>
      <c r="X39" s="83"/>
      <c r="Y39" s="83"/>
      <c r="Z39" s="83"/>
      <c r="AA39" s="83"/>
      <c r="AB39" s="83"/>
      <c r="AC39" s="26"/>
      <c r="AD39" s="27">
        <f t="shared" si="27"/>
        <v>0</v>
      </c>
      <c r="AE39" s="27">
        <f t="shared" si="4"/>
        <v>6000</v>
      </c>
      <c r="AF39" s="27">
        <f t="shared" si="5"/>
        <v>0</v>
      </c>
      <c r="AG39" s="27">
        <f t="shared" si="28"/>
        <v>0</v>
      </c>
      <c r="AH39" s="27">
        <f t="shared" si="7"/>
        <v>0</v>
      </c>
      <c r="AI39" s="27">
        <f t="shared" si="47"/>
        <v>0</v>
      </c>
      <c r="AJ39" s="27">
        <f t="shared" si="29"/>
        <v>0</v>
      </c>
      <c r="AK39" s="27">
        <f t="shared" si="49"/>
        <v>0</v>
      </c>
      <c r="AL39" s="27">
        <f t="shared" si="10"/>
        <v>0</v>
      </c>
      <c r="AM39" s="27">
        <f t="shared" si="30"/>
        <v>0</v>
      </c>
      <c r="AN39" s="27">
        <f t="shared" si="31"/>
        <v>0</v>
      </c>
      <c r="AO39" s="27">
        <f>IF($K39="décembre",$D39,0)</f>
        <v>0</v>
      </c>
      <c r="AP39" s="37">
        <f t="shared" si="13"/>
        <v>0</v>
      </c>
      <c r="AQ39" s="37">
        <f t="shared" si="38"/>
        <v>4200</v>
      </c>
      <c r="AR39" s="37">
        <f t="shared" si="15"/>
        <v>0</v>
      </c>
      <c r="AS39" s="37">
        <f t="shared" si="16"/>
        <v>0</v>
      </c>
      <c r="AT39" s="37">
        <f t="shared" si="39"/>
        <v>0</v>
      </c>
      <c r="AU39" s="37">
        <f t="shared" si="48"/>
        <v>0</v>
      </c>
      <c r="AV39" s="37">
        <f t="shared" si="40"/>
        <v>0</v>
      </c>
      <c r="AW39" s="37">
        <f t="shared" ref="AW39:AW44" si="50">IF($K39="août",$E39,0)</f>
        <v>0</v>
      </c>
      <c r="AX39" s="37">
        <f t="shared" si="20"/>
        <v>0</v>
      </c>
      <c r="AY39" s="37">
        <f t="shared" si="21"/>
        <v>0</v>
      </c>
      <c r="AZ39" s="37">
        <f t="shared" si="41"/>
        <v>0</v>
      </c>
      <c r="BA39" s="37">
        <f t="shared" si="23"/>
        <v>0</v>
      </c>
    </row>
    <row r="40" spans="1:53" customFormat="1" x14ac:dyDescent="0.3">
      <c r="A40" s="73" t="s">
        <v>66</v>
      </c>
      <c r="B40" s="90" t="s">
        <v>137</v>
      </c>
      <c r="C40" s="92" t="s">
        <v>138</v>
      </c>
      <c r="D40" s="153">
        <f>16800+20800</f>
        <v>37600</v>
      </c>
      <c r="E40" s="153">
        <v>0</v>
      </c>
      <c r="F40" s="60">
        <f>D40-E40</f>
        <v>37600</v>
      </c>
      <c r="G40" s="61">
        <f>F40/D40</f>
        <v>1</v>
      </c>
      <c r="H40" s="62"/>
      <c r="I40" s="62"/>
      <c r="J40" s="320">
        <v>45107</v>
      </c>
      <c r="K40" s="141" t="s">
        <v>68</v>
      </c>
      <c r="L40" s="346">
        <v>44926</v>
      </c>
      <c r="M40" s="79" t="s">
        <v>138</v>
      </c>
      <c r="N40" s="73"/>
      <c r="O40" s="73"/>
      <c r="P40" s="81"/>
      <c r="Q40" s="82"/>
      <c r="R40" s="82"/>
      <c r="S40" s="82"/>
      <c r="T40" s="83"/>
      <c r="U40" s="83"/>
      <c r="V40" s="83"/>
      <c r="W40" s="83"/>
      <c r="X40" s="83"/>
      <c r="Y40" s="83"/>
      <c r="Z40" s="83"/>
      <c r="AA40" s="83"/>
      <c r="AB40" s="83"/>
      <c r="AC40" s="26"/>
      <c r="AD40" s="27">
        <f t="shared" si="27"/>
        <v>0</v>
      </c>
      <c r="AE40" s="27">
        <f t="shared" si="4"/>
        <v>0</v>
      </c>
      <c r="AF40" s="27">
        <f t="shared" si="5"/>
        <v>0</v>
      </c>
      <c r="AG40" s="27">
        <f t="shared" si="28"/>
        <v>0</v>
      </c>
      <c r="AH40" s="27">
        <f t="shared" si="7"/>
        <v>0</v>
      </c>
      <c r="AI40" s="27">
        <v>16800</v>
      </c>
      <c r="AJ40" s="27">
        <f t="shared" si="29"/>
        <v>0</v>
      </c>
      <c r="AK40" s="27">
        <f t="shared" si="49"/>
        <v>0</v>
      </c>
      <c r="AL40" s="27">
        <v>10400</v>
      </c>
      <c r="AM40" s="27">
        <v>0</v>
      </c>
      <c r="AN40" s="27">
        <v>0</v>
      </c>
      <c r="AO40" s="27">
        <v>10400</v>
      </c>
      <c r="AP40" s="37">
        <f t="shared" si="13"/>
        <v>0</v>
      </c>
      <c r="AQ40" s="37">
        <f t="shared" si="38"/>
        <v>0</v>
      </c>
      <c r="AR40" s="37">
        <f t="shared" si="15"/>
        <v>0</v>
      </c>
      <c r="AS40" s="37">
        <f t="shared" si="16"/>
        <v>0</v>
      </c>
      <c r="AT40" s="37">
        <f t="shared" si="39"/>
        <v>0</v>
      </c>
      <c r="AU40" s="37">
        <f t="shared" si="48"/>
        <v>0</v>
      </c>
      <c r="AV40" s="37">
        <f t="shared" si="40"/>
        <v>0</v>
      </c>
      <c r="AW40" s="37">
        <f t="shared" si="50"/>
        <v>0</v>
      </c>
      <c r="AX40" s="37">
        <f t="shared" si="20"/>
        <v>0</v>
      </c>
      <c r="AY40" s="37">
        <f t="shared" si="21"/>
        <v>0</v>
      </c>
      <c r="AZ40" s="37">
        <f t="shared" si="41"/>
        <v>0</v>
      </c>
      <c r="BA40" s="37">
        <f t="shared" si="23"/>
        <v>0</v>
      </c>
    </row>
    <row r="41" spans="1:53" customFormat="1" x14ac:dyDescent="0.3">
      <c r="A41" s="73" t="s">
        <v>72</v>
      </c>
      <c r="B41" s="90" t="s">
        <v>139</v>
      </c>
      <c r="C41" s="92" t="s">
        <v>85</v>
      </c>
      <c r="D41" s="166">
        <v>39316.199999999997</v>
      </c>
      <c r="E41" s="149">
        <v>33600</v>
      </c>
      <c r="F41" s="60">
        <f>D41-E41</f>
        <v>5716.1999999999971</v>
      </c>
      <c r="G41" s="61">
        <f>F41/D41</f>
        <v>0.14539044973827575</v>
      </c>
      <c r="H41" s="62">
        <f>E41/4</f>
        <v>8400</v>
      </c>
      <c r="I41" s="62"/>
      <c r="J41" s="151">
        <v>44926</v>
      </c>
      <c r="K41" s="64" t="s">
        <v>64</v>
      </c>
      <c r="L41" s="109">
        <v>45657</v>
      </c>
      <c r="M41" s="66"/>
      <c r="N41" s="84" t="s">
        <v>140</v>
      </c>
      <c r="O41" s="73" t="s">
        <v>141</v>
      </c>
      <c r="P41" s="68"/>
      <c r="Q41" s="69"/>
      <c r="R41" s="69"/>
      <c r="S41" s="69"/>
      <c r="T41" s="70"/>
      <c r="U41" s="70"/>
      <c r="V41" s="70" t="s">
        <v>83</v>
      </c>
      <c r="W41" s="70" t="s">
        <v>83</v>
      </c>
      <c r="X41" s="70" t="s">
        <v>83</v>
      </c>
      <c r="Y41" s="70" t="s">
        <v>83</v>
      </c>
      <c r="Z41" s="70" t="s">
        <v>83</v>
      </c>
      <c r="AA41" s="70"/>
      <c r="AB41" s="70"/>
      <c r="AC41" s="42"/>
      <c r="AD41" s="27">
        <f t="shared" si="27"/>
        <v>0</v>
      </c>
      <c r="AE41" s="27">
        <f t="shared" si="4"/>
        <v>0</v>
      </c>
      <c r="AF41" s="27">
        <f t="shared" si="5"/>
        <v>0</v>
      </c>
      <c r="AG41" s="27">
        <f t="shared" si="28"/>
        <v>0</v>
      </c>
      <c r="AH41" s="27">
        <f t="shared" si="7"/>
        <v>0</v>
      </c>
      <c r="AI41" s="27">
        <f t="shared" ref="AI41:AI53" si="51">IF($K41="juin",$D41,0)</f>
        <v>0</v>
      </c>
      <c r="AJ41" s="27">
        <f t="shared" si="29"/>
        <v>0</v>
      </c>
      <c r="AK41" s="27">
        <f t="shared" si="49"/>
        <v>0</v>
      </c>
      <c r="AL41" s="27">
        <f t="shared" ref="AL41:AL53" si="52">IF($K41="septembre",$D41,0)</f>
        <v>0</v>
      </c>
      <c r="AM41" s="27">
        <f t="shared" ref="AM41:AM53" si="53">IF($K41="octobre",$D41,0)</f>
        <v>0</v>
      </c>
      <c r="AN41" s="27">
        <f t="shared" ref="AN41:AN53" si="54">IF($K41="novembre",$D41,0)</f>
        <v>0</v>
      </c>
      <c r="AO41" s="27">
        <f t="shared" ref="AO41:AO53" si="55">IF($K41="décembre",$D41,0)</f>
        <v>39316.199999999997</v>
      </c>
      <c r="AP41" s="37">
        <f t="shared" si="13"/>
        <v>0</v>
      </c>
      <c r="AQ41" s="37">
        <f t="shared" si="38"/>
        <v>0</v>
      </c>
      <c r="AR41" s="37">
        <f t="shared" si="15"/>
        <v>0</v>
      </c>
      <c r="AS41" s="37">
        <f t="shared" si="16"/>
        <v>0</v>
      </c>
      <c r="AT41" s="37">
        <f t="shared" si="39"/>
        <v>0</v>
      </c>
      <c r="AU41" s="37">
        <f t="shared" si="48"/>
        <v>0</v>
      </c>
      <c r="AV41" s="37">
        <f t="shared" si="40"/>
        <v>0</v>
      </c>
      <c r="AW41" s="37">
        <f t="shared" si="50"/>
        <v>0</v>
      </c>
      <c r="AX41" s="37">
        <f t="shared" si="20"/>
        <v>0</v>
      </c>
      <c r="AY41" s="37">
        <f t="shared" si="21"/>
        <v>0</v>
      </c>
      <c r="AZ41" s="37">
        <f t="shared" si="41"/>
        <v>0</v>
      </c>
      <c r="BA41" s="37">
        <f t="shared" si="23"/>
        <v>33600</v>
      </c>
    </row>
    <row r="42" spans="1:53" customFormat="1" x14ac:dyDescent="0.3">
      <c r="A42" s="73" t="s">
        <v>72</v>
      </c>
      <c r="B42" s="90" t="s">
        <v>139</v>
      </c>
      <c r="C42" s="92" t="s">
        <v>142</v>
      </c>
      <c r="D42" s="166">
        <v>6000</v>
      </c>
      <c r="E42" s="149">
        <v>5400</v>
      </c>
      <c r="F42" s="60">
        <f>D42-E42</f>
        <v>600</v>
      </c>
      <c r="G42" s="61">
        <f>F42/D42</f>
        <v>0.1</v>
      </c>
      <c r="H42" s="62"/>
      <c r="I42" s="62"/>
      <c r="J42" s="320">
        <v>45291</v>
      </c>
      <c r="K42" s="64" t="s">
        <v>64</v>
      </c>
      <c r="L42" s="109">
        <v>45291</v>
      </c>
      <c r="M42" s="66" t="s">
        <v>142</v>
      </c>
      <c r="N42" s="84"/>
      <c r="O42" s="73"/>
      <c r="P42" s="68"/>
      <c r="Q42" s="69"/>
      <c r="R42" s="69"/>
      <c r="S42" s="69"/>
      <c r="T42" s="70"/>
      <c r="U42" s="70"/>
      <c r="V42" s="70" t="s">
        <v>83</v>
      </c>
      <c r="W42" s="70" t="s">
        <v>83</v>
      </c>
      <c r="X42" s="70" t="s">
        <v>83</v>
      </c>
      <c r="Y42" s="70" t="s">
        <v>83</v>
      </c>
      <c r="Z42" s="70" t="s">
        <v>83</v>
      </c>
      <c r="AA42" s="70"/>
      <c r="AB42" s="70"/>
      <c r="AC42" s="42"/>
      <c r="AD42" s="27">
        <f t="shared" si="27"/>
        <v>0</v>
      </c>
      <c r="AE42" s="27">
        <f t="shared" si="4"/>
        <v>0</v>
      </c>
      <c r="AF42" s="27">
        <f t="shared" si="5"/>
        <v>0</v>
      </c>
      <c r="AG42" s="27">
        <f t="shared" si="28"/>
        <v>0</v>
      </c>
      <c r="AH42" s="27">
        <f t="shared" si="7"/>
        <v>0</v>
      </c>
      <c r="AI42" s="27">
        <f t="shared" si="51"/>
        <v>0</v>
      </c>
      <c r="AJ42" s="27">
        <f t="shared" si="29"/>
        <v>0</v>
      </c>
      <c r="AK42" s="27">
        <f t="shared" si="49"/>
        <v>0</v>
      </c>
      <c r="AL42" s="27">
        <f t="shared" si="52"/>
        <v>0</v>
      </c>
      <c r="AM42" s="27">
        <f t="shared" si="53"/>
        <v>0</v>
      </c>
      <c r="AN42" s="27">
        <f t="shared" si="54"/>
        <v>0</v>
      </c>
      <c r="AO42" s="27">
        <f t="shared" si="55"/>
        <v>6000</v>
      </c>
      <c r="AP42" s="37">
        <f t="shared" si="13"/>
        <v>0</v>
      </c>
      <c r="AQ42" s="37">
        <f t="shared" si="38"/>
        <v>0</v>
      </c>
      <c r="AR42" s="37">
        <f t="shared" si="15"/>
        <v>0</v>
      </c>
      <c r="AS42" s="37">
        <f t="shared" si="16"/>
        <v>0</v>
      </c>
      <c r="AT42" s="37">
        <f t="shared" si="39"/>
        <v>0</v>
      </c>
      <c r="AU42" s="37">
        <f t="shared" si="48"/>
        <v>0</v>
      </c>
      <c r="AV42" s="37">
        <f t="shared" si="40"/>
        <v>0</v>
      </c>
      <c r="AW42" s="37">
        <f t="shared" si="50"/>
        <v>0</v>
      </c>
      <c r="AX42" s="37">
        <f t="shared" si="20"/>
        <v>0</v>
      </c>
      <c r="AY42" s="37">
        <f t="shared" si="21"/>
        <v>0</v>
      </c>
      <c r="AZ42" s="37">
        <f t="shared" si="41"/>
        <v>0</v>
      </c>
      <c r="BA42" s="37">
        <f t="shared" si="23"/>
        <v>5400</v>
      </c>
    </row>
    <row r="43" spans="1:53" customFormat="1" x14ac:dyDescent="0.3">
      <c r="A43" s="73" t="s">
        <v>66</v>
      </c>
      <c r="B43" s="88" t="s">
        <v>143</v>
      </c>
      <c r="C43" s="92"/>
      <c r="D43" s="153"/>
      <c r="E43" s="153"/>
      <c r="F43" s="60"/>
      <c r="G43" s="61"/>
      <c r="H43" s="153"/>
      <c r="I43" s="62"/>
      <c r="J43" s="320"/>
      <c r="K43" s="141"/>
      <c r="L43" s="346"/>
      <c r="M43" s="79"/>
      <c r="N43" s="73"/>
      <c r="O43" s="73"/>
      <c r="P43" s="81"/>
      <c r="Q43" s="82"/>
      <c r="R43" s="82"/>
      <c r="S43" s="82"/>
      <c r="T43" s="83"/>
      <c r="U43" s="83"/>
      <c r="V43" s="83"/>
      <c r="W43" s="83"/>
      <c r="X43" s="83"/>
      <c r="Y43" s="83"/>
      <c r="Z43" s="83"/>
      <c r="AA43" s="83"/>
      <c r="AB43" s="83"/>
      <c r="AC43" s="26"/>
      <c r="AD43" s="27">
        <f t="shared" si="27"/>
        <v>0</v>
      </c>
      <c r="AE43" s="27">
        <f t="shared" si="4"/>
        <v>0</v>
      </c>
      <c r="AF43" s="27">
        <f t="shared" si="5"/>
        <v>0</v>
      </c>
      <c r="AG43" s="27">
        <f t="shared" si="28"/>
        <v>0</v>
      </c>
      <c r="AH43" s="27">
        <f t="shared" si="7"/>
        <v>0</v>
      </c>
      <c r="AI43" s="27">
        <f t="shared" si="51"/>
        <v>0</v>
      </c>
      <c r="AJ43" s="27">
        <f t="shared" si="29"/>
        <v>0</v>
      </c>
      <c r="AK43" s="27">
        <f t="shared" si="49"/>
        <v>0</v>
      </c>
      <c r="AL43" s="27">
        <f t="shared" si="52"/>
        <v>0</v>
      </c>
      <c r="AM43" s="27">
        <f t="shared" si="53"/>
        <v>0</v>
      </c>
      <c r="AN43" s="27">
        <f t="shared" si="54"/>
        <v>0</v>
      </c>
      <c r="AO43" s="27">
        <f t="shared" si="55"/>
        <v>0</v>
      </c>
      <c r="AP43" s="37">
        <f t="shared" si="13"/>
        <v>0</v>
      </c>
      <c r="AQ43" s="37">
        <f t="shared" si="38"/>
        <v>0</v>
      </c>
      <c r="AR43" s="37">
        <f t="shared" si="15"/>
        <v>0</v>
      </c>
      <c r="AS43" s="37">
        <f t="shared" si="16"/>
        <v>0</v>
      </c>
      <c r="AT43" s="37">
        <f t="shared" si="39"/>
        <v>0</v>
      </c>
      <c r="AU43" s="37">
        <f t="shared" si="48"/>
        <v>0</v>
      </c>
      <c r="AV43" s="37">
        <f t="shared" si="40"/>
        <v>0</v>
      </c>
      <c r="AW43" s="37">
        <f t="shared" si="50"/>
        <v>0</v>
      </c>
      <c r="AX43" s="37">
        <f t="shared" si="20"/>
        <v>0</v>
      </c>
      <c r="AY43" s="37">
        <f t="shared" si="21"/>
        <v>0</v>
      </c>
      <c r="AZ43" s="37">
        <f t="shared" si="41"/>
        <v>0</v>
      </c>
      <c r="BA43" s="37">
        <f t="shared" si="23"/>
        <v>0</v>
      </c>
    </row>
    <row r="44" spans="1:53" customFormat="1" x14ac:dyDescent="0.3">
      <c r="A44" s="73" t="s">
        <v>66</v>
      </c>
      <c r="B44" s="90" t="s">
        <v>144</v>
      </c>
      <c r="C44" s="92"/>
      <c r="D44" s="166">
        <v>7200</v>
      </c>
      <c r="E44" s="166">
        <f>1344.53*4</f>
        <v>5378.12</v>
      </c>
      <c r="F44" s="60">
        <f>D44-E44</f>
        <v>1821.88</v>
      </c>
      <c r="G44" s="61">
        <f>F44/D44</f>
        <v>0.25303888888888892</v>
      </c>
      <c r="H44" s="62"/>
      <c r="I44" s="62"/>
      <c r="J44" s="342">
        <v>43888</v>
      </c>
      <c r="K44" s="141" t="s">
        <v>54</v>
      </c>
      <c r="L44" s="346">
        <v>44984</v>
      </c>
      <c r="M44" s="79"/>
      <c r="N44" s="84"/>
      <c r="O44" s="84"/>
      <c r="P44" s="77"/>
      <c r="Q44" s="82"/>
      <c r="R44" s="82"/>
      <c r="S44" s="82"/>
      <c r="T44" s="83"/>
      <c r="U44" s="83"/>
      <c r="V44" s="83"/>
      <c r="W44" s="83"/>
      <c r="X44" s="83"/>
      <c r="Y44" s="83"/>
      <c r="Z44" s="83"/>
      <c r="AA44" s="83"/>
      <c r="AB44" s="83"/>
      <c r="AC44" s="26"/>
      <c r="AD44" s="27">
        <f t="shared" si="27"/>
        <v>0</v>
      </c>
      <c r="AE44" s="27">
        <f t="shared" si="4"/>
        <v>7200</v>
      </c>
      <c r="AF44" s="27">
        <f t="shared" si="5"/>
        <v>0</v>
      </c>
      <c r="AG44" s="27">
        <f t="shared" si="28"/>
        <v>0</v>
      </c>
      <c r="AH44" s="27">
        <f t="shared" si="7"/>
        <v>0</v>
      </c>
      <c r="AI44" s="27">
        <f t="shared" si="51"/>
        <v>0</v>
      </c>
      <c r="AJ44" s="27">
        <f t="shared" si="29"/>
        <v>0</v>
      </c>
      <c r="AK44" s="27">
        <f t="shared" si="49"/>
        <v>0</v>
      </c>
      <c r="AL44" s="27">
        <f t="shared" si="52"/>
        <v>0</v>
      </c>
      <c r="AM44" s="27">
        <f t="shared" si="53"/>
        <v>0</v>
      </c>
      <c r="AN44" s="27">
        <f t="shared" si="54"/>
        <v>0</v>
      </c>
      <c r="AO44" s="27">
        <f t="shared" si="55"/>
        <v>0</v>
      </c>
      <c r="AP44" s="37">
        <f t="shared" si="13"/>
        <v>0</v>
      </c>
      <c r="AQ44" s="37">
        <f t="shared" si="38"/>
        <v>5378.12</v>
      </c>
      <c r="AR44" s="37">
        <f t="shared" si="15"/>
        <v>0</v>
      </c>
      <c r="AS44" s="37">
        <f t="shared" si="16"/>
        <v>0</v>
      </c>
      <c r="AT44" s="37">
        <f t="shared" si="39"/>
        <v>0</v>
      </c>
      <c r="AU44" s="37">
        <f t="shared" si="48"/>
        <v>0</v>
      </c>
      <c r="AV44" s="37">
        <f t="shared" si="40"/>
        <v>0</v>
      </c>
      <c r="AW44" s="37">
        <f t="shared" si="50"/>
        <v>0</v>
      </c>
      <c r="AX44" s="37">
        <f t="shared" si="20"/>
        <v>0</v>
      </c>
      <c r="AY44" s="37">
        <f t="shared" si="21"/>
        <v>0</v>
      </c>
      <c r="AZ44" s="37">
        <f t="shared" si="41"/>
        <v>0</v>
      </c>
      <c r="BA44" s="37">
        <f t="shared" si="23"/>
        <v>0</v>
      </c>
    </row>
    <row r="45" spans="1:53" customFormat="1" x14ac:dyDescent="0.3">
      <c r="A45" s="73" t="s">
        <v>66</v>
      </c>
      <c r="B45" s="88" t="s">
        <v>145</v>
      </c>
      <c r="C45" s="92" t="s">
        <v>146</v>
      </c>
      <c r="D45" s="149"/>
      <c r="E45" s="149"/>
      <c r="F45" s="60"/>
      <c r="G45" s="61"/>
      <c r="H45" s="62"/>
      <c r="I45" s="62"/>
      <c r="J45" s="337"/>
      <c r="K45" s="64"/>
      <c r="L45" s="109"/>
      <c r="M45" s="353"/>
      <c r="N45" s="355"/>
      <c r="O45" s="66"/>
      <c r="P45" s="66"/>
      <c r="Q45" s="69"/>
      <c r="R45" s="69"/>
      <c r="S45" s="69"/>
      <c r="T45" s="126"/>
      <c r="U45" s="126"/>
      <c r="V45" s="126" t="s">
        <v>83</v>
      </c>
      <c r="W45" s="126" t="s">
        <v>83</v>
      </c>
      <c r="X45" s="126"/>
      <c r="Y45" s="130"/>
      <c r="Z45" s="128"/>
      <c r="AA45" s="58"/>
      <c r="AB45" s="129"/>
      <c r="AC45" s="42"/>
      <c r="AD45" s="27">
        <f t="shared" si="27"/>
        <v>0</v>
      </c>
      <c r="AE45" s="27">
        <f t="shared" si="4"/>
        <v>0</v>
      </c>
      <c r="AF45" s="27">
        <f t="shared" si="5"/>
        <v>0</v>
      </c>
      <c r="AG45" s="27">
        <f t="shared" si="28"/>
        <v>0</v>
      </c>
      <c r="AH45" s="27">
        <f t="shared" si="7"/>
        <v>0</v>
      </c>
      <c r="AI45" s="27">
        <f t="shared" si="51"/>
        <v>0</v>
      </c>
      <c r="AJ45" s="27">
        <f t="shared" si="29"/>
        <v>0</v>
      </c>
      <c r="AK45" s="27">
        <f t="shared" si="49"/>
        <v>0</v>
      </c>
      <c r="AL45" s="27">
        <f t="shared" si="52"/>
        <v>0</v>
      </c>
      <c r="AM45" s="27">
        <f t="shared" si="53"/>
        <v>0</v>
      </c>
      <c r="AN45" s="27">
        <f t="shared" si="54"/>
        <v>0</v>
      </c>
      <c r="AO45" s="27">
        <f t="shared" si="55"/>
        <v>0</v>
      </c>
      <c r="AP45" s="37">
        <f t="shared" si="13"/>
        <v>0</v>
      </c>
      <c r="AQ45" s="37">
        <f t="shared" si="38"/>
        <v>0</v>
      </c>
      <c r="AR45" s="37">
        <f t="shared" si="15"/>
        <v>0</v>
      </c>
      <c r="AS45" s="37">
        <f t="shared" si="16"/>
        <v>0</v>
      </c>
      <c r="AT45" s="37">
        <f t="shared" si="39"/>
        <v>0</v>
      </c>
      <c r="AU45" s="37">
        <f t="shared" si="48"/>
        <v>0</v>
      </c>
      <c r="AV45" s="37">
        <f t="shared" si="40"/>
        <v>0</v>
      </c>
      <c r="AW45" s="37">
        <f t="shared" ref="AW45:AW52" si="56">IF($K45="août",$CJ45,0)</f>
        <v>0</v>
      </c>
      <c r="AX45" s="37">
        <f t="shared" si="20"/>
        <v>0</v>
      </c>
      <c r="AY45" s="37">
        <f t="shared" si="21"/>
        <v>0</v>
      </c>
      <c r="AZ45" s="37">
        <f t="shared" si="41"/>
        <v>0</v>
      </c>
      <c r="BA45" s="37">
        <f t="shared" si="23"/>
        <v>0</v>
      </c>
    </row>
    <row r="46" spans="1:53" customFormat="1" x14ac:dyDescent="0.3">
      <c r="A46" s="73" t="s">
        <v>115</v>
      </c>
      <c r="B46" s="90" t="s">
        <v>147</v>
      </c>
      <c r="C46" s="92" t="s">
        <v>148</v>
      </c>
      <c r="D46" s="166">
        <v>7137.9</v>
      </c>
      <c r="E46" s="149"/>
      <c r="F46" s="74">
        <f t="shared" ref="F46:F51" si="57">D46-E46</f>
        <v>7137.9</v>
      </c>
      <c r="G46" s="97">
        <f t="shared" ref="G46:G51" si="58">F46/D46</f>
        <v>1</v>
      </c>
      <c r="H46" s="62"/>
      <c r="I46" s="62"/>
      <c r="J46" s="151">
        <v>44926</v>
      </c>
      <c r="K46" s="64" t="s">
        <v>53</v>
      </c>
      <c r="L46" s="109"/>
      <c r="M46" s="66"/>
      <c r="N46" s="84"/>
      <c r="O46" s="73"/>
      <c r="P46" s="68"/>
      <c r="Q46" s="69"/>
      <c r="R46" s="69"/>
      <c r="S46" s="69"/>
      <c r="T46" s="70"/>
      <c r="U46" s="70"/>
      <c r="V46" s="70"/>
      <c r="W46" s="70"/>
      <c r="X46" s="70"/>
      <c r="Y46" s="70"/>
      <c r="Z46" s="70"/>
      <c r="AA46" s="70"/>
      <c r="AB46" s="70"/>
      <c r="AC46" s="42"/>
      <c r="AD46" s="27">
        <f t="shared" si="27"/>
        <v>7137.9</v>
      </c>
      <c r="AE46" s="27">
        <f t="shared" si="4"/>
        <v>0</v>
      </c>
      <c r="AF46" s="27">
        <f t="shared" si="5"/>
        <v>0</v>
      </c>
      <c r="AG46" s="27">
        <f t="shared" si="28"/>
        <v>0</v>
      </c>
      <c r="AH46" s="27">
        <f t="shared" si="7"/>
        <v>0</v>
      </c>
      <c r="AI46" s="27">
        <f t="shared" si="51"/>
        <v>0</v>
      </c>
      <c r="AJ46" s="27">
        <f t="shared" si="29"/>
        <v>0</v>
      </c>
      <c r="AK46" s="27">
        <f t="shared" si="49"/>
        <v>0</v>
      </c>
      <c r="AL46" s="27">
        <f t="shared" si="52"/>
        <v>0</v>
      </c>
      <c r="AM46" s="27">
        <f t="shared" si="53"/>
        <v>0</v>
      </c>
      <c r="AN46" s="27">
        <f t="shared" si="54"/>
        <v>0</v>
      </c>
      <c r="AO46" s="27">
        <f t="shared" si="55"/>
        <v>0</v>
      </c>
      <c r="AP46" s="37">
        <f t="shared" si="13"/>
        <v>0</v>
      </c>
      <c r="AQ46" s="37">
        <f t="shared" si="38"/>
        <v>0</v>
      </c>
      <c r="AR46" s="37">
        <f t="shared" si="15"/>
        <v>0</v>
      </c>
      <c r="AS46" s="37">
        <f t="shared" si="16"/>
        <v>0</v>
      </c>
      <c r="AT46" s="37">
        <f t="shared" si="39"/>
        <v>0</v>
      </c>
      <c r="AU46" s="37">
        <f t="shared" si="48"/>
        <v>0</v>
      </c>
      <c r="AV46" s="37">
        <f t="shared" si="40"/>
        <v>0</v>
      </c>
      <c r="AW46" s="37">
        <f t="shared" si="56"/>
        <v>0</v>
      </c>
      <c r="AX46" s="37">
        <f t="shared" si="20"/>
        <v>0</v>
      </c>
      <c r="AY46" s="37">
        <f t="shared" si="21"/>
        <v>0</v>
      </c>
      <c r="AZ46" s="37">
        <f t="shared" si="41"/>
        <v>0</v>
      </c>
      <c r="BA46" s="37">
        <f t="shared" si="23"/>
        <v>0</v>
      </c>
    </row>
    <row r="47" spans="1:53" customFormat="1" x14ac:dyDescent="0.3">
      <c r="A47" s="73" t="s">
        <v>115</v>
      </c>
      <c r="B47" s="90" t="s">
        <v>149</v>
      </c>
      <c r="C47" s="92" t="s">
        <v>150</v>
      </c>
      <c r="D47" s="166">
        <v>1187</v>
      </c>
      <c r="E47" s="149"/>
      <c r="F47" s="74">
        <f t="shared" si="57"/>
        <v>1187</v>
      </c>
      <c r="G47" s="97">
        <f t="shared" si="58"/>
        <v>1</v>
      </c>
      <c r="H47" s="62"/>
      <c r="I47" s="62"/>
      <c r="J47" s="151">
        <v>44926</v>
      </c>
      <c r="K47" s="64" t="s">
        <v>53</v>
      </c>
      <c r="L47" s="109"/>
      <c r="M47" s="66"/>
      <c r="N47" s="84"/>
      <c r="O47" s="73"/>
      <c r="P47" s="68"/>
      <c r="Q47" s="69"/>
      <c r="R47" s="69"/>
      <c r="S47" s="69"/>
      <c r="T47" s="70"/>
      <c r="U47" s="70"/>
      <c r="V47" s="70"/>
      <c r="W47" s="70"/>
      <c r="X47" s="70"/>
      <c r="Y47" s="70"/>
      <c r="Z47" s="70"/>
      <c r="AA47" s="70"/>
      <c r="AB47" s="70"/>
      <c r="AC47" s="42"/>
      <c r="AD47" s="27">
        <f>IF($K47="janvier",$D47,0)</f>
        <v>1187</v>
      </c>
      <c r="AE47" s="27">
        <f>IF($K47="février",$D47,0)</f>
        <v>0</v>
      </c>
      <c r="AF47" s="27">
        <f>IF($K47="mars",$D47,0)</f>
        <v>0</v>
      </c>
      <c r="AG47" s="27">
        <f>IF($K47="avril",$D47,0)</f>
        <v>0</v>
      </c>
      <c r="AH47" s="27">
        <f>IF($K47="mai",$D47,0)</f>
        <v>0</v>
      </c>
      <c r="AI47" s="27">
        <f>IF($K47="juin",$D47,0)</f>
        <v>0</v>
      </c>
      <c r="AJ47" s="27">
        <f>IF($K47="juillet",$D47,0)</f>
        <v>0</v>
      </c>
      <c r="AK47" s="27">
        <f>IF($K47="août",$D47,0)</f>
        <v>0</v>
      </c>
      <c r="AL47" s="27">
        <f>IF($K47="septembre",$D47,0)</f>
        <v>0</v>
      </c>
      <c r="AM47" s="27">
        <f>IF($K47="octobre",$D47,0)</f>
        <v>0</v>
      </c>
      <c r="AN47" s="27">
        <f>IF($K47="novembre",$D47,0)</f>
        <v>0</v>
      </c>
      <c r="AO47" s="27">
        <f>IF($K47="décembre",$D47,0)</f>
        <v>0</v>
      </c>
      <c r="AP47" s="37">
        <f>IF($K47="janvier",$E47,0)</f>
        <v>0</v>
      </c>
      <c r="AQ47" s="37">
        <f>IF($K47="février",$E47,0)</f>
        <v>0</v>
      </c>
      <c r="AR47" s="37">
        <f>IF($K47="mars",$E47,0)</f>
        <v>0</v>
      </c>
      <c r="AS47" s="37">
        <f>IF($K47="avril",$E47,0)</f>
        <v>0</v>
      </c>
      <c r="AT47" s="37">
        <f>IF($K47="mai",$E47,0)</f>
        <v>0</v>
      </c>
      <c r="AU47" s="37">
        <f>IF($K47="juin",$E47,0)</f>
        <v>0</v>
      </c>
      <c r="AV47" s="37">
        <f>IF($K47="juillet",$E47,0)</f>
        <v>0</v>
      </c>
      <c r="AW47" s="37">
        <f>IF($K47="août",$CJ47,0)</f>
        <v>0</v>
      </c>
      <c r="AX47" s="37">
        <f>IF($K47="septembre",$E47,0)</f>
        <v>0</v>
      </c>
      <c r="AY47" s="37">
        <f>IF($K47="octobre",$E47,0)</f>
        <v>0</v>
      </c>
      <c r="AZ47" s="37">
        <f>IF($K47="novembre",$E47,0)</f>
        <v>0</v>
      </c>
      <c r="BA47" s="37">
        <f>IF($K47="décembre",$E47,0)</f>
        <v>0</v>
      </c>
    </row>
    <row r="48" spans="1:53" customFormat="1" x14ac:dyDescent="0.3">
      <c r="A48" s="73" t="s">
        <v>111</v>
      </c>
      <c r="B48" s="90" t="s">
        <v>151</v>
      </c>
      <c r="C48" s="92" t="s">
        <v>152</v>
      </c>
      <c r="D48" s="166">
        <v>9600</v>
      </c>
      <c r="E48" s="149">
        <v>6720</v>
      </c>
      <c r="F48" s="74">
        <f t="shared" si="57"/>
        <v>2880</v>
      </c>
      <c r="G48" s="97">
        <f t="shared" si="58"/>
        <v>0.3</v>
      </c>
      <c r="H48" s="62">
        <f>E48/4</f>
        <v>1680</v>
      </c>
      <c r="I48" s="62"/>
      <c r="J48" s="151">
        <v>44956</v>
      </c>
      <c r="K48" s="64" t="s">
        <v>53</v>
      </c>
      <c r="L48" s="109"/>
      <c r="M48" s="66"/>
      <c r="N48" s="84"/>
      <c r="O48" s="73"/>
      <c r="P48" s="68"/>
      <c r="Q48" s="69"/>
      <c r="R48" s="69"/>
      <c r="S48" s="69"/>
      <c r="T48" s="70"/>
      <c r="U48" s="70"/>
      <c r="V48" s="70"/>
      <c r="W48" s="70"/>
      <c r="X48" s="70"/>
      <c r="Y48" s="70"/>
      <c r="Z48" s="70"/>
      <c r="AA48" s="70"/>
      <c r="AB48" s="70"/>
      <c r="AC48" s="42"/>
      <c r="AD48" s="27">
        <f t="shared" si="27"/>
        <v>9600</v>
      </c>
      <c r="AE48" s="27">
        <f t="shared" si="4"/>
        <v>0</v>
      </c>
      <c r="AF48" s="27">
        <f t="shared" si="5"/>
        <v>0</v>
      </c>
      <c r="AG48" s="27">
        <f t="shared" si="28"/>
        <v>0</v>
      </c>
      <c r="AH48" s="27">
        <f t="shared" si="7"/>
        <v>0</v>
      </c>
      <c r="AI48" s="27">
        <f t="shared" si="51"/>
        <v>0</v>
      </c>
      <c r="AJ48" s="27">
        <f t="shared" si="29"/>
        <v>0</v>
      </c>
      <c r="AK48" s="27">
        <f t="shared" si="49"/>
        <v>0</v>
      </c>
      <c r="AL48" s="27">
        <f t="shared" si="52"/>
        <v>0</v>
      </c>
      <c r="AM48" s="27">
        <f t="shared" si="53"/>
        <v>0</v>
      </c>
      <c r="AN48" s="27">
        <f t="shared" si="54"/>
        <v>0</v>
      </c>
      <c r="AO48" s="27">
        <f t="shared" si="55"/>
        <v>0</v>
      </c>
      <c r="AP48" s="37">
        <f t="shared" si="13"/>
        <v>6720</v>
      </c>
      <c r="AQ48" s="37">
        <f t="shared" si="38"/>
        <v>0</v>
      </c>
      <c r="AR48" s="37">
        <f t="shared" si="15"/>
        <v>0</v>
      </c>
      <c r="AS48" s="37">
        <f t="shared" si="16"/>
        <v>0</v>
      </c>
      <c r="AT48" s="37">
        <f t="shared" si="39"/>
        <v>0</v>
      </c>
      <c r="AU48" s="37">
        <f t="shared" si="48"/>
        <v>0</v>
      </c>
      <c r="AV48" s="37">
        <f t="shared" si="40"/>
        <v>0</v>
      </c>
      <c r="AW48" s="37">
        <f t="shared" si="56"/>
        <v>0</v>
      </c>
      <c r="AX48" s="37">
        <f t="shared" si="20"/>
        <v>0</v>
      </c>
      <c r="AY48" s="37">
        <f t="shared" si="21"/>
        <v>0</v>
      </c>
      <c r="AZ48" s="37">
        <f t="shared" si="41"/>
        <v>0</v>
      </c>
      <c r="BA48" s="37">
        <f t="shared" si="23"/>
        <v>0</v>
      </c>
    </row>
    <row r="49" spans="1:53" customFormat="1" x14ac:dyDescent="0.3">
      <c r="A49" s="73" t="s">
        <v>72</v>
      </c>
      <c r="B49" s="90" t="s">
        <v>153</v>
      </c>
      <c r="C49" s="92" t="s">
        <v>154</v>
      </c>
      <c r="D49" s="166">
        <v>6240</v>
      </c>
      <c r="E49" s="166">
        <v>3500</v>
      </c>
      <c r="F49" s="74">
        <f t="shared" si="57"/>
        <v>2740</v>
      </c>
      <c r="G49" s="97">
        <f t="shared" si="58"/>
        <v>0.4391025641025641</v>
      </c>
      <c r="H49" s="62"/>
      <c r="I49" s="62"/>
      <c r="J49" s="151">
        <v>45015</v>
      </c>
      <c r="K49" s="64" t="s">
        <v>94</v>
      </c>
      <c r="L49" s="109"/>
      <c r="M49" s="66"/>
      <c r="N49" s="84"/>
      <c r="O49" s="73"/>
      <c r="P49" s="68"/>
      <c r="Q49" s="69"/>
      <c r="R49" s="69"/>
      <c r="S49" s="69"/>
      <c r="T49" s="70"/>
      <c r="U49" s="70"/>
      <c r="V49" s="70"/>
      <c r="W49" s="70"/>
      <c r="X49" s="70"/>
      <c r="Y49" s="70"/>
      <c r="Z49" s="70"/>
      <c r="AA49" s="70"/>
      <c r="AB49" s="70"/>
      <c r="AC49" s="42"/>
      <c r="AD49" s="27">
        <f t="shared" si="27"/>
        <v>0</v>
      </c>
      <c r="AE49" s="27">
        <f t="shared" si="4"/>
        <v>6240</v>
      </c>
      <c r="AF49" s="27">
        <f t="shared" si="5"/>
        <v>0</v>
      </c>
      <c r="AG49" s="27">
        <f t="shared" si="28"/>
        <v>0</v>
      </c>
      <c r="AH49" s="27">
        <f t="shared" si="7"/>
        <v>0</v>
      </c>
      <c r="AI49" s="27">
        <f t="shared" si="51"/>
        <v>0</v>
      </c>
      <c r="AJ49" s="27">
        <f t="shared" si="29"/>
        <v>0</v>
      </c>
      <c r="AK49" s="27">
        <f t="shared" si="49"/>
        <v>0</v>
      </c>
      <c r="AL49" s="27">
        <f t="shared" si="52"/>
        <v>0</v>
      </c>
      <c r="AM49" s="27">
        <f t="shared" si="53"/>
        <v>0</v>
      </c>
      <c r="AN49" s="27">
        <f t="shared" si="54"/>
        <v>0</v>
      </c>
      <c r="AO49" s="27">
        <f t="shared" si="55"/>
        <v>0</v>
      </c>
      <c r="AP49" s="37">
        <f t="shared" si="13"/>
        <v>0</v>
      </c>
      <c r="AQ49" s="37">
        <f t="shared" si="38"/>
        <v>3500</v>
      </c>
      <c r="AR49" s="37">
        <f t="shared" si="15"/>
        <v>0</v>
      </c>
      <c r="AS49" s="37">
        <f t="shared" si="16"/>
        <v>0</v>
      </c>
      <c r="AT49" s="37">
        <f t="shared" si="39"/>
        <v>0</v>
      </c>
      <c r="AU49" s="37">
        <f t="shared" si="48"/>
        <v>0</v>
      </c>
      <c r="AV49" s="37">
        <f t="shared" si="40"/>
        <v>0</v>
      </c>
      <c r="AW49" s="37">
        <f t="shared" si="56"/>
        <v>0</v>
      </c>
      <c r="AX49" s="37">
        <f t="shared" si="20"/>
        <v>0</v>
      </c>
      <c r="AY49" s="37">
        <f t="shared" si="21"/>
        <v>0</v>
      </c>
      <c r="AZ49" s="37">
        <f t="shared" si="41"/>
        <v>0</v>
      </c>
      <c r="BA49" s="37">
        <f t="shared" si="23"/>
        <v>0</v>
      </c>
    </row>
    <row r="50" spans="1:53" customFormat="1" x14ac:dyDescent="0.3">
      <c r="A50" s="73"/>
      <c r="B50" s="88"/>
      <c r="C50" s="88"/>
      <c r="D50" s="89"/>
      <c r="E50" s="89"/>
      <c r="F50" s="74">
        <f t="shared" si="57"/>
        <v>0</v>
      </c>
      <c r="G50" s="97" t="e">
        <f t="shared" si="58"/>
        <v>#DIV/0!</v>
      </c>
      <c r="H50" s="98"/>
      <c r="I50" s="98"/>
      <c r="J50" s="81"/>
      <c r="K50" s="86"/>
      <c r="L50" s="78"/>
      <c r="M50" s="79"/>
      <c r="N50" s="73"/>
      <c r="O50" s="73"/>
      <c r="P50" s="81"/>
      <c r="Q50" s="82"/>
      <c r="R50" s="82"/>
      <c r="S50" s="82"/>
      <c r="T50" s="83"/>
      <c r="U50" s="83"/>
      <c r="V50" s="83"/>
      <c r="W50" s="83"/>
      <c r="X50" s="83"/>
      <c r="Y50" s="83"/>
      <c r="Z50" s="83"/>
      <c r="AA50" s="83"/>
      <c r="AB50" s="83"/>
      <c r="AC50" s="26"/>
      <c r="AD50" s="27">
        <f t="shared" si="27"/>
        <v>0</v>
      </c>
      <c r="AE50" s="27">
        <f t="shared" si="4"/>
        <v>0</v>
      </c>
      <c r="AF50" s="27">
        <f t="shared" si="5"/>
        <v>0</v>
      </c>
      <c r="AG50" s="27">
        <f t="shared" si="28"/>
        <v>0</v>
      </c>
      <c r="AH50" s="27">
        <f t="shared" si="7"/>
        <v>0</v>
      </c>
      <c r="AI50" s="27">
        <f t="shared" si="51"/>
        <v>0</v>
      </c>
      <c r="AJ50" s="27">
        <f t="shared" si="29"/>
        <v>0</v>
      </c>
      <c r="AK50" s="27">
        <f t="shared" si="49"/>
        <v>0</v>
      </c>
      <c r="AL50" s="27">
        <f t="shared" si="52"/>
        <v>0</v>
      </c>
      <c r="AM50" s="27">
        <f t="shared" si="53"/>
        <v>0</v>
      </c>
      <c r="AN50" s="27">
        <f t="shared" si="54"/>
        <v>0</v>
      </c>
      <c r="AO50" s="27">
        <f t="shared" si="55"/>
        <v>0</v>
      </c>
      <c r="AP50" s="37">
        <f t="shared" si="13"/>
        <v>0</v>
      </c>
      <c r="AQ50" s="37">
        <f t="shared" si="38"/>
        <v>0</v>
      </c>
      <c r="AR50" s="37">
        <f t="shared" si="15"/>
        <v>0</v>
      </c>
      <c r="AS50" s="37">
        <f t="shared" si="16"/>
        <v>0</v>
      </c>
      <c r="AT50" s="37">
        <f t="shared" si="39"/>
        <v>0</v>
      </c>
      <c r="AU50" s="37">
        <f t="shared" si="48"/>
        <v>0</v>
      </c>
      <c r="AV50" s="37">
        <f t="shared" si="40"/>
        <v>0</v>
      </c>
      <c r="AW50" s="37">
        <f t="shared" si="56"/>
        <v>0</v>
      </c>
      <c r="AX50" s="37">
        <f t="shared" si="20"/>
        <v>0</v>
      </c>
      <c r="AY50" s="37">
        <f t="shared" si="21"/>
        <v>0</v>
      </c>
      <c r="AZ50" s="37">
        <f t="shared" si="41"/>
        <v>0</v>
      </c>
      <c r="BA50" s="37">
        <f t="shared" si="23"/>
        <v>0</v>
      </c>
    </row>
    <row r="51" spans="1:53" customFormat="1" x14ac:dyDescent="0.3">
      <c r="A51" s="73"/>
      <c r="B51" s="88"/>
      <c r="C51" s="88"/>
      <c r="D51" s="89"/>
      <c r="E51" s="89"/>
      <c r="F51" s="74">
        <f t="shared" si="57"/>
        <v>0</v>
      </c>
      <c r="G51" s="97" t="e">
        <f t="shared" si="58"/>
        <v>#DIV/0!</v>
      </c>
      <c r="H51" s="98"/>
      <c r="I51" s="98"/>
      <c r="J51" s="81"/>
      <c r="K51" s="86"/>
      <c r="L51" s="78"/>
      <c r="M51" s="79"/>
      <c r="N51" s="73"/>
      <c r="O51" s="73"/>
      <c r="P51" s="81"/>
      <c r="Q51" s="82"/>
      <c r="R51" s="82"/>
      <c r="S51" s="82"/>
      <c r="T51" s="83"/>
      <c r="U51" s="83"/>
      <c r="V51" s="83"/>
      <c r="W51" s="83"/>
      <c r="X51" s="83"/>
      <c r="Y51" s="83"/>
      <c r="Z51" s="83"/>
      <c r="AA51" s="83"/>
      <c r="AB51" s="83"/>
      <c r="AC51" s="26"/>
      <c r="AD51" s="27">
        <f t="shared" si="27"/>
        <v>0</v>
      </c>
      <c r="AE51" s="27">
        <f t="shared" si="4"/>
        <v>0</v>
      </c>
      <c r="AF51" s="27">
        <f t="shared" si="5"/>
        <v>0</v>
      </c>
      <c r="AG51" s="27">
        <f t="shared" si="28"/>
        <v>0</v>
      </c>
      <c r="AH51" s="27">
        <f t="shared" si="7"/>
        <v>0</v>
      </c>
      <c r="AI51" s="27">
        <f t="shared" si="51"/>
        <v>0</v>
      </c>
      <c r="AJ51" s="27">
        <f t="shared" si="29"/>
        <v>0</v>
      </c>
      <c r="AK51" s="27">
        <f t="shared" si="49"/>
        <v>0</v>
      </c>
      <c r="AL51" s="27">
        <f t="shared" si="52"/>
        <v>0</v>
      </c>
      <c r="AM51" s="27">
        <f t="shared" si="53"/>
        <v>0</v>
      </c>
      <c r="AN51" s="27">
        <f t="shared" si="54"/>
        <v>0</v>
      </c>
      <c r="AO51" s="27">
        <f t="shared" si="55"/>
        <v>0</v>
      </c>
      <c r="AP51" s="37">
        <f t="shared" si="13"/>
        <v>0</v>
      </c>
      <c r="AQ51" s="37">
        <f t="shared" si="38"/>
        <v>0</v>
      </c>
      <c r="AR51" s="37">
        <f t="shared" si="15"/>
        <v>0</v>
      </c>
      <c r="AS51" s="37">
        <f t="shared" si="16"/>
        <v>0</v>
      </c>
      <c r="AT51" s="37">
        <f t="shared" si="39"/>
        <v>0</v>
      </c>
      <c r="AU51" s="37">
        <f t="shared" si="48"/>
        <v>0</v>
      </c>
      <c r="AV51" s="37">
        <f t="shared" si="40"/>
        <v>0</v>
      </c>
      <c r="AW51" s="37">
        <f t="shared" si="56"/>
        <v>0</v>
      </c>
      <c r="AX51" s="37">
        <f t="shared" si="20"/>
        <v>0</v>
      </c>
      <c r="AY51" s="37">
        <f t="shared" si="21"/>
        <v>0</v>
      </c>
      <c r="AZ51" s="37">
        <f t="shared" si="41"/>
        <v>0</v>
      </c>
      <c r="BA51" s="37">
        <f t="shared" si="23"/>
        <v>0</v>
      </c>
    </row>
    <row r="52" spans="1:53" customFormat="1" x14ac:dyDescent="0.3">
      <c r="A52" s="73"/>
      <c r="B52" s="88"/>
      <c r="C52" s="88"/>
      <c r="D52" s="89"/>
      <c r="E52" s="89"/>
      <c r="F52" s="74">
        <f t="shared" si="0"/>
        <v>0</v>
      </c>
      <c r="G52" s="75" t="e">
        <f t="shared" si="1"/>
        <v>#DIV/0!</v>
      </c>
      <c r="H52" s="76"/>
      <c r="I52" s="76"/>
      <c r="J52" s="81"/>
      <c r="K52" s="86"/>
      <c r="L52" s="78"/>
      <c r="M52" s="79"/>
      <c r="N52" s="73"/>
      <c r="O52" s="73"/>
      <c r="P52" s="81"/>
      <c r="Q52" s="82"/>
      <c r="R52" s="82"/>
      <c r="S52" s="82"/>
      <c r="T52" s="83"/>
      <c r="U52" s="83"/>
      <c r="V52" s="83"/>
      <c r="W52" s="83"/>
      <c r="X52" s="83"/>
      <c r="Y52" s="83"/>
      <c r="Z52" s="83"/>
      <c r="AA52" s="83"/>
      <c r="AB52" s="83"/>
      <c r="AC52" s="26"/>
      <c r="AD52" s="27">
        <f t="shared" si="27"/>
        <v>0</v>
      </c>
      <c r="AE52" s="27">
        <f t="shared" si="4"/>
        <v>0</v>
      </c>
      <c r="AF52" s="27">
        <f t="shared" si="5"/>
        <v>0</v>
      </c>
      <c r="AG52" s="27">
        <f t="shared" si="28"/>
        <v>0</v>
      </c>
      <c r="AH52" s="27">
        <f t="shared" si="7"/>
        <v>0</v>
      </c>
      <c r="AI52" s="27">
        <f t="shared" si="51"/>
        <v>0</v>
      </c>
      <c r="AJ52" s="27">
        <f t="shared" si="29"/>
        <v>0</v>
      </c>
      <c r="AK52" s="27">
        <f t="shared" si="49"/>
        <v>0</v>
      </c>
      <c r="AL52" s="27">
        <f t="shared" si="52"/>
        <v>0</v>
      </c>
      <c r="AM52" s="27">
        <f t="shared" si="53"/>
        <v>0</v>
      </c>
      <c r="AN52" s="27">
        <f t="shared" si="54"/>
        <v>0</v>
      </c>
      <c r="AO52" s="27">
        <f t="shared" si="55"/>
        <v>0</v>
      </c>
      <c r="AP52" s="37">
        <f t="shared" si="13"/>
        <v>0</v>
      </c>
      <c r="AQ52" s="37">
        <f t="shared" si="38"/>
        <v>0</v>
      </c>
      <c r="AR52" s="37">
        <f t="shared" si="15"/>
        <v>0</v>
      </c>
      <c r="AS52" s="37">
        <f t="shared" si="16"/>
        <v>0</v>
      </c>
      <c r="AT52" s="37">
        <f t="shared" si="39"/>
        <v>0</v>
      </c>
      <c r="AU52" s="37">
        <f t="shared" si="48"/>
        <v>0</v>
      </c>
      <c r="AV52" s="37">
        <f t="shared" si="40"/>
        <v>0</v>
      </c>
      <c r="AW52" s="37">
        <f t="shared" si="56"/>
        <v>0</v>
      </c>
      <c r="AX52" s="37">
        <f t="shared" si="20"/>
        <v>0</v>
      </c>
      <c r="AY52" s="37">
        <f t="shared" si="21"/>
        <v>0</v>
      </c>
      <c r="AZ52" s="37">
        <f t="shared" si="41"/>
        <v>0</v>
      </c>
      <c r="BA52" s="37">
        <f t="shared" si="23"/>
        <v>0</v>
      </c>
    </row>
    <row r="53" spans="1:53" customFormat="1" x14ac:dyDescent="0.3">
      <c r="A53" s="73"/>
      <c r="B53" s="88" t="s">
        <v>155</v>
      </c>
      <c r="C53" s="88"/>
      <c r="D53" s="89"/>
      <c r="E53" s="89"/>
      <c r="F53" s="74">
        <f>D53-E53</f>
        <v>0</v>
      </c>
      <c r="G53" s="97" t="e">
        <f>F53/D53</f>
        <v>#DIV/0!</v>
      </c>
      <c r="H53" s="98"/>
      <c r="I53" s="98"/>
      <c r="J53" s="81"/>
      <c r="K53" s="86"/>
      <c r="L53" s="78"/>
      <c r="M53" s="79"/>
      <c r="N53" s="73"/>
      <c r="O53" s="73"/>
      <c r="P53" s="81"/>
      <c r="Q53" s="82"/>
      <c r="R53" s="82"/>
      <c r="S53" s="82"/>
      <c r="T53" s="83"/>
      <c r="U53" s="83"/>
      <c r="V53" s="83"/>
      <c r="W53" s="83"/>
      <c r="X53" s="83"/>
      <c r="Y53" s="83"/>
      <c r="Z53" s="83"/>
      <c r="AA53" s="83"/>
      <c r="AB53" s="83"/>
      <c r="AC53" s="26"/>
      <c r="AD53" s="27">
        <f t="shared" ref="AD53:AD54" si="59">IF($K53="janvier",$D53,0)</f>
        <v>0</v>
      </c>
      <c r="AE53" s="27">
        <f t="shared" ref="AE53:AE54" si="60">IF($K53="février",$D53,0)</f>
        <v>0</v>
      </c>
      <c r="AF53" s="27">
        <f t="shared" ref="AF53:AF54" si="61">IF($K53="mars",$D53,0)</f>
        <v>0</v>
      </c>
      <c r="AG53" s="27">
        <f t="shared" ref="AG53:AG54" si="62">IF($K53="avril",$D53,0)</f>
        <v>0</v>
      </c>
      <c r="AH53" s="27">
        <f t="shared" ref="AH53:AH54" si="63">IF($K53="mai",$D53,0)</f>
        <v>0</v>
      </c>
      <c r="AI53" s="27">
        <f t="shared" si="51"/>
        <v>0</v>
      </c>
      <c r="AJ53" s="27">
        <f>IF($K53="juillet",$D53,0)</f>
        <v>0</v>
      </c>
      <c r="AK53" s="27">
        <f t="shared" ref="AK53:AK54" si="64">IF($K53="août",$D53,0)</f>
        <v>0</v>
      </c>
      <c r="AL53" s="27">
        <f t="shared" si="52"/>
        <v>0</v>
      </c>
      <c r="AM53" s="27">
        <f t="shared" si="53"/>
        <v>0</v>
      </c>
      <c r="AN53" s="27">
        <f t="shared" si="54"/>
        <v>0</v>
      </c>
      <c r="AO53" s="27">
        <f t="shared" si="55"/>
        <v>0</v>
      </c>
      <c r="AP53" s="37">
        <f>IF($K53="janvier",$E53,0)</f>
        <v>0</v>
      </c>
      <c r="AQ53" s="37">
        <f>IF($K53="février",$E53,0)</f>
        <v>0</v>
      </c>
      <c r="AR53" s="37">
        <f>IF($K53="mars",$E53,0)</f>
        <v>0</v>
      </c>
      <c r="AS53" s="37">
        <f>IF($K53="avril",$E53,0)</f>
        <v>0</v>
      </c>
      <c r="AT53" s="37">
        <f>IF($K53="mai",$E53,0)</f>
        <v>0</v>
      </c>
      <c r="AU53" s="37">
        <f t="shared" ref="AU53:AU54" si="65">IF($K53="juin",$E53,0)</f>
        <v>0</v>
      </c>
      <c r="AV53" s="37">
        <f t="shared" ref="AV53:AV54" si="66">IF($K53="juillet",$E53,0)</f>
        <v>0</v>
      </c>
      <c r="AW53" s="37">
        <f t="shared" ref="AW53:AW54" si="67">IF($K53="août",$CJ53,0)</f>
        <v>0</v>
      </c>
      <c r="AX53" s="37">
        <f t="shared" ref="AX53:AX54" si="68">IF($K53="septembre",$E53,0)</f>
        <v>0</v>
      </c>
      <c r="AY53" s="37">
        <f t="shared" ref="AY53:AY54" si="69">IF($K53="octobre",$E53,0)</f>
        <v>0</v>
      </c>
      <c r="AZ53" s="37">
        <f t="shared" ref="AZ53:AZ54" si="70">IF($K53="novembre",$E53,0)</f>
        <v>0</v>
      </c>
      <c r="BA53" s="37">
        <f t="shared" ref="BA53:BA54" si="71">IF($K53="décembre",$E53,0)</f>
        <v>0</v>
      </c>
    </row>
    <row r="54" spans="1:53" customFormat="1" ht="15.6" customHeight="1" x14ac:dyDescent="0.3">
      <c r="A54" s="73"/>
      <c r="B54" s="90"/>
      <c r="C54" s="90"/>
      <c r="D54" s="91"/>
      <c r="E54" s="91"/>
      <c r="F54" s="91"/>
      <c r="G54" s="74"/>
      <c r="H54" s="76"/>
      <c r="I54" s="76"/>
      <c r="J54" s="87"/>
      <c r="K54" s="86"/>
      <c r="L54" s="78"/>
      <c r="M54" s="78"/>
      <c r="N54" s="78"/>
      <c r="O54" s="78"/>
      <c r="P54" s="78"/>
      <c r="Q54" s="82"/>
      <c r="R54" s="82"/>
      <c r="S54" s="82"/>
      <c r="T54" s="83"/>
      <c r="U54" s="83"/>
      <c r="V54" s="83"/>
      <c r="W54" s="83"/>
      <c r="X54" s="83"/>
      <c r="Y54" s="83"/>
      <c r="Z54" s="83"/>
      <c r="AA54" s="83"/>
      <c r="AB54" s="83"/>
      <c r="AC54" s="26"/>
      <c r="AD54" s="27">
        <f t="shared" si="59"/>
        <v>0</v>
      </c>
      <c r="AE54" s="27">
        <f t="shared" si="60"/>
        <v>0</v>
      </c>
      <c r="AF54" s="27">
        <f t="shared" si="61"/>
        <v>0</v>
      </c>
      <c r="AG54" s="27">
        <f t="shared" si="62"/>
        <v>0</v>
      </c>
      <c r="AH54" s="27">
        <f t="shared" si="63"/>
        <v>0</v>
      </c>
      <c r="AI54" s="27">
        <f t="shared" ref="AI54" si="72">IF($K54="juin",$D54,0)</f>
        <v>0</v>
      </c>
      <c r="AJ54" s="27">
        <f t="shared" ref="AJ54" si="73">IF($K54="juillet",$D54,0)</f>
        <v>0</v>
      </c>
      <c r="AK54" s="27">
        <f t="shared" si="64"/>
        <v>0</v>
      </c>
      <c r="AL54" s="27">
        <f t="shared" ref="AL54" si="74">IF($K54="septembre",$D54,0)</f>
        <v>0</v>
      </c>
      <c r="AM54" s="27">
        <f t="shared" ref="AM54" si="75">IF($K54="octobre",$D54,0)</f>
        <v>0</v>
      </c>
      <c r="AN54" s="27">
        <f t="shared" ref="AN54" si="76">IF($K54="novembre",$D54,0)</f>
        <v>0</v>
      </c>
      <c r="AO54" s="27">
        <f t="shared" ref="AO54" si="77">IF($K54="décembre",$D54,0)</f>
        <v>0</v>
      </c>
      <c r="AP54" s="37">
        <f t="shared" ref="AP54" si="78">IF($K54="janvier",$E54,0)</f>
        <v>0</v>
      </c>
      <c r="AQ54" s="37">
        <f t="shared" ref="AQ54" si="79">IF($K54="février",$E54,0)</f>
        <v>0</v>
      </c>
      <c r="AR54" s="37">
        <f t="shared" ref="AR54" si="80">IF($K54="mars",$E54,0)</f>
        <v>0</v>
      </c>
      <c r="AS54" s="37">
        <f t="shared" ref="AS54" si="81">IF($K54="avril",$E54,0)</f>
        <v>0</v>
      </c>
      <c r="AT54" s="37">
        <f t="shared" ref="AT54" si="82">IF($K54="mai",$E54,0)</f>
        <v>0</v>
      </c>
      <c r="AU54" s="37">
        <f t="shared" si="65"/>
        <v>0</v>
      </c>
      <c r="AV54" s="37">
        <f t="shared" si="66"/>
        <v>0</v>
      </c>
      <c r="AW54" s="37">
        <f t="shared" si="67"/>
        <v>0</v>
      </c>
      <c r="AX54" s="37">
        <f t="shared" si="68"/>
        <v>0</v>
      </c>
      <c r="AY54" s="37">
        <f t="shared" si="69"/>
        <v>0</v>
      </c>
      <c r="AZ54" s="37">
        <f t="shared" si="70"/>
        <v>0</v>
      </c>
      <c r="BA54" s="37">
        <f t="shared" si="71"/>
        <v>0</v>
      </c>
    </row>
    <row r="55" spans="1:53" customFormat="1" x14ac:dyDescent="0.3">
      <c r="B55" s="101" t="s">
        <v>156</v>
      </c>
      <c r="C55" s="101"/>
      <c r="D55" s="102">
        <f>SUM(D6:D54)</f>
        <v>652579.34199999995</v>
      </c>
      <c r="E55" s="102">
        <f>SUM(E6:E54)</f>
        <v>497446.3980000001</v>
      </c>
      <c r="F55" s="102">
        <f>D55-E55</f>
        <v>155132.94399999984</v>
      </c>
      <c r="G55" s="103">
        <f>F55/D55</f>
        <v>0.2377227319586219</v>
      </c>
      <c r="H55" s="56"/>
      <c r="I55" s="56"/>
      <c r="J55" s="29"/>
      <c r="K55" s="29"/>
      <c r="L55" s="29"/>
      <c r="M55" s="29"/>
      <c r="N55" s="29"/>
      <c r="O55" s="29"/>
      <c r="P55" s="29"/>
      <c r="Q55" s="28">
        <f>SUM(Q6:Q54)</f>
        <v>0</v>
      </c>
      <c r="R55" s="28">
        <f>SUM(R6:R54)</f>
        <v>0</v>
      </c>
      <c r="S55" s="28">
        <f>SUM(S6:S54)</f>
        <v>0</v>
      </c>
      <c r="T55" s="30"/>
      <c r="U55" s="30"/>
      <c r="V55" s="31"/>
      <c r="W55" s="30"/>
      <c r="X55" s="30"/>
      <c r="Y55" s="8"/>
      <c r="Z55" s="19"/>
      <c r="AA55" s="30"/>
      <c r="AB55" s="31"/>
      <c r="AD55" s="28">
        <f>SUM(AD6:AD54)</f>
        <v>19124.900000000001</v>
      </c>
      <c r="AE55" s="28">
        <f>SUM(AE6:AE54)</f>
        <v>26832</v>
      </c>
      <c r="AF55" s="28">
        <f>SUM(AF6:AF54)</f>
        <v>0</v>
      </c>
      <c r="AG55" s="28">
        <f>SUM(AG6:AG54)</f>
        <v>1200</v>
      </c>
      <c r="AH55" s="28">
        <f>SUM(AH6:AH54)</f>
        <v>2400</v>
      </c>
      <c r="AI55" s="28"/>
      <c r="AJ55" s="28">
        <f t="shared" ref="AJ55:AT55" si="83">SUM(AJ6:AJ54)</f>
        <v>1200</v>
      </c>
      <c r="AK55" s="28">
        <f t="shared" si="83"/>
        <v>1212.5</v>
      </c>
      <c r="AL55" s="28">
        <f t="shared" si="83"/>
        <v>29800</v>
      </c>
      <c r="AM55" s="28">
        <f t="shared" si="83"/>
        <v>1200</v>
      </c>
      <c r="AN55" s="28">
        <f t="shared" si="83"/>
        <v>11250</v>
      </c>
      <c r="AO55" s="28">
        <f t="shared" si="83"/>
        <v>385494.38</v>
      </c>
      <c r="AP55" s="28">
        <f t="shared" si="83"/>
        <v>6720</v>
      </c>
      <c r="AQ55" s="28">
        <f t="shared" si="83"/>
        <v>19318.12</v>
      </c>
      <c r="AR55" s="28">
        <f t="shared" si="83"/>
        <v>0</v>
      </c>
      <c r="AS55" s="28">
        <f t="shared" si="83"/>
        <v>0</v>
      </c>
      <c r="AT55" s="28">
        <f t="shared" si="83"/>
        <v>3471.9340000000002</v>
      </c>
      <c r="AU55" s="28"/>
      <c r="AV55" s="28">
        <f t="shared" ref="AV55:BA55" si="84">SUM(AV6:AV54)</f>
        <v>0</v>
      </c>
      <c r="AW55" s="28">
        <f t="shared" si="84"/>
        <v>4054.96</v>
      </c>
      <c r="AX55" s="28">
        <f t="shared" si="84"/>
        <v>18381.934000000001</v>
      </c>
      <c r="AY55" s="28">
        <f t="shared" si="84"/>
        <v>3360</v>
      </c>
      <c r="AZ55" s="28">
        <f t="shared" si="84"/>
        <v>4620</v>
      </c>
      <c r="BA55" s="28">
        <f t="shared" si="84"/>
        <v>318163.66000000003</v>
      </c>
    </row>
    <row r="56" spans="1:53" x14ac:dyDescent="0.3">
      <c r="B56" s="101" t="s">
        <v>157</v>
      </c>
      <c r="C56" s="101"/>
      <c r="D56" s="102">
        <f>D55+SUM(D5:D5)</f>
        <v>852579.34199999995</v>
      </c>
      <c r="E56" s="102">
        <f>E55+SUM(E5:E5)</f>
        <v>657446.39800000004</v>
      </c>
      <c r="F56" s="102">
        <f>D56-E56</f>
        <v>195132.9439999999</v>
      </c>
      <c r="G56" s="103">
        <f>F56/D56</f>
        <v>0.2288736477501937</v>
      </c>
      <c r="H56" s="56"/>
      <c r="I56" s="56"/>
    </row>
    <row r="57" spans="1:53" x14ac:dyDescent="0.3">
      <c r="H57" s="56"/>
      <c r="I57" s="56"/>
    </row>
    <row r="58" spans="1:53" x14ac:dyDescent="0.3">
      <c r="B58" s="9"/>
      <c r="C58" s="9"/>
      <c r="H58" s="56"/>
      <c r="I58" s="56"/>
    </row>
    <row r="59" spans="1:53" x14ac:dyDescent="0.3">
      <c r="B59" s="9"/>
      <c r="C59" s="9"/>
      <c r="H59" s="56"/>
      <c r="I59" s="56"/>
    </row>
    <row r="60" spans="1:53" x14ac:dyDescent="0.3">
      <c r="H60" s="56"/>
      <c r="I60" s="56"/>
    </row>
    <row r="61" spans="1:53" x14ac:dyDescent="0.3">
      <c r="H61" s="56"/>
      <c r="I61" s="56"/>
    </row>
    <row r="62" spans="1:53" x14ac:dyDescent="0.3">
      <c r="H62" s="56"/>
      <c r="I62" s="56"/>
    </row>
    <row r="63" spans="1:53" x14ac:dyDescent="0.3">
      <c r="H63" s="56"/>
      <c r="I63" s="56"/>
    </row>
    <row r="64" spans="1:53" x14ac:dyDescent="0.3">
      <c r="H64" s="56"/>
      <c r="I64" s="56"/>
    </row>
    <row r="65" spans="8:9" x14ac:dyDescent="0.3">
      <c r="H65"/>
      <c r="I65"/>
    </row>
    <row r="66" spans="8:9" x14ac:dyDescent="0.3">
      <c r="H66"/>
      <c r="I66"/>
    </row>
    <row r="67" spans="8:9" x14ac:dyDescent="0.3">
      <c r="H67"/>
      <c r="I67"/>
    </row>
    <row r="68" spans="8:9" x14ac:dyDescent="0.3">
      <c r="H68"/>
      <c r="I68"/>
    </row>
    <row r="69" spans="8:9" x14ac:dyDescent="0.3">
      <c r="H69"/>
      <c r="I69"/>
    </row>
    <row r="70" spans="8:9" x14ac:dyDescent="0.3">
      <c r="H70"/>
      <c r="I70"/>
    </row>
    <row r="71" spans="8:9" x14ac:dyDescent="0.3">
      <c r="H71"/>
      <c r="I71"/>
    </row>
    <row r="72" spans="8:9" x14ac:dyDescent="0.3">
      <c r="H72"/>
      <c r="I72"/>
    </row>
    <row r="73" spans="8:9" x14ac:dyDescent="0.3">
      <c r="H73"/>
      <c r="I73"/>
    </row>
    <row r="74" spans="8:9" x14ac:dyDescent="0.3">
      <c r="H74"/>
      <c r="I74"/>
    </row>
    <row r="75" spans="8:9" x14ac:dyDescent="0.3">
      <c r="H75"/>
      <c r="I75"/>
    </row>
    <row r="76" spans="8:9" x14ac:dyDescent="0.3">
      <c r="H76"/>
      <c r="I76"/>
    </row>
    <row r="77" spans="8:9" x14ac:dyDescent="0.3">
      <c r="H77"/>
      <c r="I77"/>
    </row>
    <row r="78" spans="8:9" x14ac:dyDescent="0.3">
      <c r="H78"/>
      <c r="I78"/>
    </row>
    <row r="79" spans="8:9" x14ac:dyDescent="0.3">
      <c r="H79"/>
      <c r="I79"/>
    </row>
    <row r="80" spans="8:9" x14ac:dyDescent="0.3">
      <c r="H80"/>
      <c r="I80"/>
    </row>
    <row r="81" spans="8:9" x14ac:dyDescent="0.3">
      <c r="H81"/>
      <c r="I81"/>
    </row>
    <row r="82" spans="8:9" x14ac:dyDescent="0.3">
      <c r="H82"/>
      <c r="I82"/>
    </row>
    <row r="83" spans="8:9" x14ac:dyDescent="0.3">
      <c r="H83"/>
      <c r="I83"/>
    </row>
    <row r="84" spans="8:9" x14ac:dyDescent="0.3">
      <c r="H84"/>
      <c r="I84"/>
    </row>
    <row r="85" spans="8:9" x14ac:dyDescent="0.3">
      <c r="H85"/>
      <c r="I85"/>
    </row>
    <row r="86" spans="8:9" x14ac:dyDescent="0.3">
      <c r="H86"/>
      <c r="I86"/>
    </row>
    <row r="87" spans="8:9" x14ac:dyDescent="0.3">
      <c r="H87"/>
      <c r="I87"/>
    </row>
    <row r="88" spans="8:9" x14ac:dyDescent="0.3">
      <c r="H88"/>
      <c r="I88"/>
    </row>
    <row r="89" spans="8:9" x14ac:dyDescent="0.3">
      <c r="H89"/>
      <c r="I89"/>
    </row>
    <row r="90" spans="8:9" x14ac:dyDescent="0.3">
      <c r="H90"/>
      <c r="I90"/>
    </row>
    <row r="91" spans="8:9" x14ac:dyDescent="0.3">
      <c r="H91"/>
      <c r="I91"/>
    </row>
  </sheetData>
  <autoFilter ref="B4:AC56" xr:uid="{29710B0A-6754-4FAA-964C-39EED393679D}"/>
  <sortState xmlns:xlrd2="http://schemas.microsoft.com/office/spreadsheetml/2017/richdata2" ref="A6:BA45">
    <sortCondition ref="B6:B45"/>
  </sortState>
  <mergeCells count="6">
    <mergeCell ref="AP3:BA3"/>
    <mergeCell ref="D3:I3"/>
    <mergeCell ref="J3:N3"/>
    <mergeCell ref="O3:P3"/>
    <mergeCell ref="T3:AC3"/>
    <mergeCell ref="AD3:AO3"/>
  </mergeCells>
  <pageMargins left="0.23622047244094491" right="0.23622047244094491" top="0.74803149606299213" bottom="0.55118110236220474" header="0.31496062992125984" footer="0.31496062992125984"/>
  <pageSetup paperSize="9" scale="55" orientation="landscape" horizontalDpi="4294967293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8378-BB77-4B15-A360-69E71612C267}">
  <dimension ref="A1:AGV44"/>
  <sheetViews>
    <sheetView topLeftCell="A31" workbookViewId="0">
      <selection activeCell="F51" sqref="F51"/>
    </sheetView>
  </sheetViews>
  <sheetFormatPr baseColWidth="10" defaultColWidth="11.44140625" defaultRowHeight="14.4" x14ac:dyDescent="0.3"/>
  <cols>
    <col min="1" max="1" width="11.44140625" style="18"/>
    <col min="2" max="2" width="50.44140625" customWidth="1"/>
    <col min="3" max="3" width="11.44140625" style="18"/>
    <col min="8" max="8" width="11.44140625" style="7"/>
    <col min="12" max="12" width="57" customWidth="1"/>
    <col min="13" max="13" width="12.44140625" customWidth="1"/>
  </cols>
  <sheetData>
    <row r="1" spans="1:880" s="2" customFormat="1" ht="57" customHeight="1" x14ac:dyDescent="0.3">
      <c r="A1" s="18"/>
      <c r="B1" s="552"/>
      <c r="C1" s="552"/>
      <c r="D1" s="553" t="s">
        <v>158</v>
      </c>
      <c r="E1" s="553"/>
      <c r="F1" s="553"/>
      <c r="G1" s="553"/>
      <c r="H1" s="553"/>
      <c r="I1" s="553"/>
      <c r="J1" s="554"/>
      <c r="K1" s="255"/>
      <c r="L1" s="11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4"/>
      <c r="CL1" s="104"/>
      <c r="CM1" s="104"/>
      <c r="CN1" s="104"/>
      <c r="CO1" s="104"/>
      <c r="CP1" s="104"/>
      <c r="CQ1" s="104"/>
      <c r="CR1" s="104"/>
      <c r="CS1" s="104"/>
      <c r="CT1" s="104"/>
      <c r="CU1" s="104"/>
      <c r="CV1" s="104"/>
      <c r="CW1" s="104"/>
      <c r="CX1" s="104"/>
      <c r="CY1" s="104"/>
      <c r="CZ1" s="104"/>
      <c r="DA1" s="104"/>
      <c r="DB1" s="104"/>
      <c r="DC1" s="104"/>
      <c r="DD1" s="104"/>
      <c r="DE1" s="104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4"/>
      <c r="GW1" s="104"/>
      <c r="GX1" s="104"/>
      <c r="GY1" s="104"/>
      <c r="GZ1" s="104"/>
      <c r="HA1" s="104"/>
      <c r="HB1" s="104"/>
      <c r="HC1" s="104"/>
      <c r="HD1" s="104"/>
      <c r="HE1" s="104"/>
      <c r="HF1" s="104"/>
      <c r="HG1" s="104"/>
      <c r="HH1" s="104"/>
      <c r="HI1" s="104"/>
      <c r="HJ1" s="104"/>
      <c r="HK1" s="104"/>
      <c r="HL1" s="104"/>
      <c r="HM1" s="104"/>
      <c r="HN1" s="104"/>
      <c r="HO1" s="104"/>
      <c r="HP1" s="104"/>
      <c r="HQ1" s="104"/>
      <c r="HR1" s="104"/>
      <c r="HS1" s="104"/>
      <c r="HT1" s="104"/>
      <c r="HU1" s="104"/>
      <c r="HV1" s="104"/>
      <c r="HW1" s="104"/>
      <c r="HX1" s="104"/>
      <c r="HY1" s="104"/>
      <c r="HZ1" s="104"/>
      <c r="IA1" s="104"/>
      <c r="IB1" s="104"/>
      <c r="IC1" s="104"/>
      <c r="ID1" s="104"/>
      <c r="IE1" s="104"/>
      <c r="IF1" s="104"/>
      <c r="IG1" s="104"/>
      <c r="IH1" s="104"/>
      <c r="II1" s="104"/>
      <c r="IJ1" s="104"/>
      <c r="IK1" s="104"/>
      <c r="IL1" s="104"/>
      <c r="IM1" s="104"/>
      <c r="IN1" s="104"/>
      <c r="IO1" s="104"/>
      <c r="IP1" s="104"/>
      <c r="IQ1" s="104"/>
      <c r="IR1" s="104"/>
      <c r="IS1" s="104"/>
      <c r="IT1" s="104"/>
      <c r="IU1" s="104"/>
      <c r="IV1" s="104"/>
      <c r="IW1" s="104"/>
      <c r="IX1" s="104"/>
      <c r="IY1" s="104"/>
      <c r="IZ1" s="104"/>
      <c r="JA1" s="104"/>
      <c r="JB1" s="104"/>
      <c r="JC1" s="104"/>
      <c r="JD1" s="104"/>
      <c r="JE1" s="104"/>
      <c r="JF1" s="104"/>
      <c r="JG1" s="104"/>
      <c r="JH1" s="104"/>
      <c r="JI1" s="104"/>
      <c r="JJ1" s="104"/>
      <c r="JK1" s="104"/>
      <c r="JL1" s="104"/>
      <c r="JM1" s="104"/>
      <c r="JN1" s="104"/>
      <c r="JO1" s="104"/>
      <c r="JP1" s="104"/>
      <c r="JQ1" s="104"/>
      <c r="JR1" s="104"/>
      <c r="JS1" s="104"/>
      <c r="JT1" s="104"/>
      <c r="JU1" s="104"/>
      <c r="JV1" s="104"/>
      <c r="JW1" s="104"/>
      <c r="JX1" s="104"/>
      <c r="JY1" s="104"/>
      <c r="JZ1" s="104"/>
      <c r="KA1" s="104"/>
      <c r="KB1" s="104"/>
      <c r="KC1" s="104"/>
      <c r="KD1" s="104"/>
      <c r="KE1" s="104"/>
      <c r="KF1" s="104"/>
      <c r="KG1" s="104"/>
      <c r="KH1" s="104"/>
      <c r="KI1" s="104"/>
      <c r="KJ1" s="104"/>
      <c r="KK1" s="104"/>
      <c r="KL1" s="104"/>
      <c r="KM1" s="104"/>
      <c r="KN1" s="104"/>
      <c r="KO1" s="104"/>
      <c r="KP1" s="104"/>
      <c r="KQ1" s="104"/>
      <c r="KR1" s="104"/>
      <c r="KS1" s="104"/>
      <c r="KT1" s="104"/>
      <c r="KU1" s="104"/>
      <c r="KV1" s="104"/>
      <c r="KW1" s="104"/>
      <c r="KX1" s="104"/>
      <c r="KY1" s="104"/>
      <c r="KZ1" s="104"/>
      <c r="LA1" s="104"/>
      <c r="LB1" s="104"/>
      <c r="LC1" s="104"/>
      <c r="LD1" s="104"/>
      <c r="LE1" s="104"/>
      <c r="LF1" s="104"/>
      <c r="LG1" s="104"/>
      <c r="LH1" s="104"/>
      <c r="LI1" s="104"/>
      <c r="LJ1" s="104"/>
      <c r="LK1" s="104"/>
      <c r="LL1" s="104"/>
      <c r="LM1" s="104"/>
      <c r="LN1" s="104"/>
      <c r="LO1" s="104"/>
      <c r="LP1" s="104"/>
      <c r="LQ1" s="104"/>
      <c r="LR1" s="104"/>
      <c r="LS1" s="104"/>
      <c r="LT1" s="104"/>
      <c r="LU1" s="104"/>
      <c r="LV1" s="104"/>
      <c r="LW1" s="104"/>
      <c r="LX1" s="104"/>
      <c r="LY1" s="104"/>
      <c r="LZ1" s="104"/>
      <c r="MA1" s="104"/>
      <c r="MB1" s="104"/>
      <c r="MC1" s="104"/>
      <c r="MD1" s="104"/>
      <c r="ME1" s="104"/>
      <c r="MF1" s="104"/>
      <c r="MG1" s="104"/>
      <c r="MH1" s="104"/>
      <c r="MI1" s="104"/>
      <c r="MJ1" s="104"/>
      <c r="MK1" s="104"/>
      <c r="ML1" s="104"/>
      <c r="MM1" s="104"/>
      <c r="MN1" s="104"/>
      <c r="MO1" s="104"/>
      <c r="MP1" s="104"/>
      <c r="MQ1" s="104"/>
      <c r="MR1" s="104"/>
      <c r="MS1" s="104"/>
      <c r="MT1" s="104"/>
      <c r="MU1" s="104"/>
      <c r="MV1" s="104"/>
      <c r="MW1" s="104"/>
      <c r="MX1" s="104"/>
      <c r="MY1" s="104"/>
      <c r="MZ1" s="104"/>
      <c r="NA1" s="104"/>
      <c r="NB1" s="104"/>
      <c r="NC1" s="104"/>
      <c r="ND1" s="104"/>
      <c r="NE1" s="104"/>
      <c r="NF1" s="104"/>
      <c r="NG1" s="104"/>
      <c r="NH1" s="104"/>
      <c r="NI1" s="104"/>
      <c r="NJ1" s="104"/>
      <c r="NK1" s="104"/>
      <c r="NL1" s="104"/>
      <c r="NM1" s="104"/>
      <c r="NN1" s="104"/>
      <c r="NO1" s="104"/>
      <c r="NP1" s="104"/>
      <c r="NQ1" s="104"/>
      <c r="NR1" s="104"/>
      <c r="NS1" s="104"/>
      <c r="NT1" s="104"/>
      <c r="NU1" s="104"/>
      <c r="NV1" s="104"/>
      <c r="NW1" s="104"/>
      <c r="NX1" s="104"/>
      <c r="NY1" s="104"/>
      <c r="NZ1" s="104"/>
      <c r="OA1" s="104"/>
      <c r="OB1" s="104"/>
      <c r="OC1" s="104"/>
      <c r="OD1" s="104"/>
      <c r="OE1" s="104"/>
      <c r="OF1" s="104"/>
      <c r="OG1" s="104"/>
      <c r="OH1" s="104"/>
      <c r="OI1" s="104"/>
      <c r="OJ1" s="104"/>
      <c r="OK1" s="104"/>
      <c r="OL1" s="104"/>
      <c r="OM1" s="104"/>
      <c r="ON1" s="104"/>
      <c r="OO1" s="104"/>
      <c r="OP1" s="104"/>
      <c r="OQ1" s="104"/>
      <c r="OR1" s="104"/>
      <c r="OS1" s="104"/>
      <c r="OT1" s="104"/>
      <c r="OU1" s="104"/>
      <c r="OV1" s="104"/>
      <c r="OW1" s="104"/>
      <c r="OX1" s="104"/>
      <c r="OY1" s="104"/>
      <c r="OZ1" s="104"/>
      <c r="PA1" s="104"/>
      <c r="PB1" s="104"/>
      <c r="PC1" s="104"/>
      <c r="PD1" s="104"/>
      <c r="PE1" s="104"/>
      <c r="PF1" s="104"/>
      <c r="PG1" s="104"/>
      <c r="PH1" s="104"/>
      <c r="PI1" s="104"/>
      <c r="PJ1" s="104"/>
      <c r="PK1" s="104"/>
      <c r="PL1" s="104"/>
      <c r="PM1" s="104"/>
      <c r="PN1" s="104"/>
      <c r="PO1" s="104"/>
      <c r="PP1" s="104"/>
      <c r="PQ1" s="104"/>
      <c r="PR1" s="104"/>
      <c r="PS1" s="104"/>
      <c r="PT1" s="104"/>
      <c r="PU1" s="104"/>
      <c r="PV1" s="104"/>
      <c r="PW1" s="104"/>
      <c r="PX1" s="104"/>
      <c r="PY1" s="104"/>
      <c r="PZ1" s="104"/>
      <c r="QA1" s="104"/>
      <c r="QB1" s="104"/>
      <c r="QC1" s="104"/>
      <c r="QD1" s="104"/>
      <c r="QE1" s="104"/>
      <c r="QF1" s="104"/>
      <c r="QG1" s="104"/>
      <c r="QH1" s="104"/>
      <c r="QI1" s="104"/>
      <c r="QJ1" s="104"/>
      <c r="QK1" s="104"/>
      <c r="QL1" s="104"/>
      <c r="QM1" s="104"/>
      <c r="QN1" s="104"/>
      <c r="QO1" s="104"/>
      <c r="QP1" s="104"/>
      <c r="QQ1" s="104"/>
      <c r="QR1" s="104"/>
      <c r="QS1" s="104"/>
      <c r="QT1" s="104"/>
      <c r="QU1" s="104"/>
      <c r="QV1" s="104"/>
      <c r="QW1" s="104"/>
      <c r="QX1" s="104"/>
      <c r="QY1" s="104"/>
      <c r="QZ1" s="104"/>
      <c r="RA1" s="104"/>
      <c r="RB1" s="104"/>
      <c r="RC1" s="104"/>
      <c r="RD1" s="104"/>
      <c r="RE1" s="104"/>
      <c r="RF1" s="104"/>
      <c r="RG1" s="104"/>
      <c r="RH1" s="104"/>
      <c r="RI1" s="104"/>
      <c r="RJ1" s="104"/>
      <c r="RK1" s="104"/>
      <c r="RL1" s="104"/>
      <c r="RM1" s="104"/>
      <c r="RN1" s="104"/>
      <c r="RO1" s="104"/>
      <c r="RP1" s="104"/>
      <c r="RQ1" s="104"/>
      <c r="RR1" s="104"/>
      <c r="RS1" s="104"/>
      <c r="RT1" s="104"/>
      <c r="RU1" s="104"/>
      <c r="RV1" s="104"/>
      <c r="RW1" s="104"/>
      <c r="RX1" s="104"/>
      <c r="RY1" s="104"/>
      <c r="RZ1" s="104"/>
      <c r="SA1" s="104"/>
      <c r="SB1" s="104"/>
      <c r="SC1" s="104"/>
      <c r="SD1" s="104"/>
      <c r="SE1" s="104"/>
      <c r="SF1" s="104"/>
      <c r="SG1" s="104"/>
      <c r="SH1" s="104"/>
      <c r="SI1" s="104"/>
      <c r="SJ1" s="104"/>
      <c r="SK1" s="104"/>
      <c r="SL1" s="104"/>
      <c r="SM1" s="104"/>
      <c r="SN1" s="104"/>
      <c r="SO1" s="104"/>
      <c r="SP1" s="104"/>
      <c r="SQ1" s="104"/>
      <c r="SR1" s="104"/>
      <c r="SS1" s="104"/>
      <c r="ST1" s="104"/>
      <c r="SU1" s="104"/>
      <c r="SV1" s="104"/>
      <c r="SW1" s="104"/>
      <c r="SX1" s="104"/>
      <c r="SY1" s="104"/>
      <c r="SZ1" s="104"/>
      <c r="TA1" s="104"/>
      <c r="TB1" s="104"/>
      <c r="TC1" s="104"/>
      <c r="TD1" s="104"/>
      <c r="TE1" s="104"/>
      <c r="TF1" s="104"/>
      <c r="TG1" s="104"/>
      <c r="TH1" s="104"/>
      <c r="TI1" s="104"/>
      <c r="TJ1" s="104"/>
      <c r="TK1" s="104"/>
      <c r="TL1" s="104"/>
      <c r="TM1" s="104"/>
      <c r="TN1" s="104"/>
      <c r="TO1" s="104"/>
      <c r="TP1" s="104"/>
      <c r="TQ1" s="104"/>
      <c r="TR1" s="104"/>
      <c r="TS1" s="104"/>
      <c r="TT1" s="104"/>
      <c r="TU1" s="104"/>
      <c r="TV1" s="104"/>
      <c r="TW1" s="104"/>
      <c r="TX1" s="104"/>
      <c r="TY1" s="104"/>
      <c r="TZ1" s="104"/>
      <c r="UA1" s="104"/>
      <c r="UB1" s="104"/>
      <c r="UC1" s="104"/>
      <c r="UD1" s="104"/>
      <c r="UE1" s="104"/>
      <c r="UF1" s="104"/>
      <c r="UG1" s="104"/>
      <c r="UH1" s="104"/>
      <c r="UI1" s="104"/>
      <c r="UJ1" s="104"/>
      <c r="UK1" s="104"/>
      <c r="UL1" s="104"/>
      <c r="UM1" s="104"/>
      <c r="UN1" s="104"/>
      <c r="UO1" s="104"/>
      <c r="UP1" s="104"/>
      <c r="UQ1" s="104"/>
      <c r="UR1" s="104"/>
      <c r="US1" s="104"/>
      <c r="UT1" s="104"/>
      <c r="UU1" s="104"/>
      <c r="UV1" s="104"/>
      <c r="UW1" s="104"/>
      <c r="UX1" s="104"/>
      <c r="UY1" s="104"/>
      <c r="UZ1" s="104"/>
      <c r="VA1" s="104"/>
      <c r="VB1" s="104"/>
      <c r="VC1" s="104"/>
      <c r="VD1" s="104"/>
      <c r="VE1" s="104"/>
      <c r="VF1" s="104"/>
      <c r="VG1" s="104"/>
      <c r="VH1" s="104"/>
      <c r="VI1" s="104"/>
      <c r="VJ1" s="104"/>
      <c r="VK1" s="104"/>
      <c r="VL1" s="104"/>
      <c r="VM1" s="104"/>
      <c r="VN1" s="104"/>
      <c r="VO1" s="104"/>
      <c r="VP1" s="104"/>
      <c r="VQ1" s="104"/>
      <c r="VR1" s="104"/>
      <c r="VS1" s="104"/>
      <c r="VT1" s="104"/>
      <c r="VU1" s="104"/>
      <c r="VV1" s="104"/>
      <c r="VW1" s="104"/>
      <c r="VX1" s="104"/>
      <c r="VY1" s="104"/>
      <c r="VZ1" s="104"/>
      <c r="WA1" s="104"/>
      <c r="WB1" s="104"/>
      <c r="WC1" s="104"/>
      <c r="WD1" s="104"/>
      <c r="WE1" s="104"/>
      <c r="WF1" s="104"/>
      <c r="WG1" s="104"/>
      <c r="WH1" s="104"/>
      <c r="WI1" s="104"/>
      <c r="WJ1" s="104"/>
      <c r="WK1" s="104"/>
      <c r="WL1" s="104"/>
      <c r="WM1" s="104"/>
      <c r="WN1" s="104"/>
      <c r="WO1" s="104"/>
      <c r="WP1" s="104"/>
      <c r="WQ1" s="104"/>
      <c r="WR1" s="104"/>
      <c r="WS1" s="104"/>
      <c r="WT1" s="104"/>
      <c r="WU1" s="104"/>
      <c r="WV1" s="104"/>
      <c r="WW1" s="104"/>
      <c r="WX1" s="104"/>
      <c r="WY1" s="104"/>
      <c r="WZ1" s="104"/>
      <c r="XA1" s="104"/>
      <c r="XB1" s="104"/>
      <c r="XC1" s="104"/>
      <c r="XD1" s="104"/>
      <c r="XE1" s="104"/>
      <c r="XF1" s="104"/>
      <c r="XG1" s="104"/>
      <c r="XH1" s="104"/>
      <c r="XI1" s="104"/>
      <c r="XJ1" s="104"/>
      <c r="XK1" s="104"/>
      <c r="XL1" s="104"/>
      <c r="XM1" s="104"/>
      <c r="XN1" s="104"/>
      <c r="XO1" s="104"/>
      <c r="XP1" s="104"/>
      <c r="XQ1" s="104"/>
      <c r="XR1" s="104"/>
      <c r="XS1" s="104"/>
      <c r="XT1" s="104"/>
      <c r="XU1" s="104"/>
      <c r="XV1" s="104"/>
      <c r="XW1" s="104"/>
      <c r="XX1" s="104"/>
      <c r="XY1" s="104"/>
      <c r="XZ1" s="104"/>
      <c r="YA1" s="104"/>
      <c r="YB1" s="104"/>
      <c r="YC1" s="104"/>
      <c r="YD1" s="104"/>
      <c r="YE1" s="104"/>
      <c r="YF1" s="104"/>
      <c r="YG1" s="104"/>
      <c r="YH1" s="104"/>
      <c r="YI1" s="104"/>
      <c r="YJ1" s="104"/>
      <c r="YK1" s="104"/>
      <c r="YL1" s="104"/>
      <c r="YM1" s="104"/>
      <c r="YN1" s="104"/>
      <c r="YO1" s="104"/>
      <c r="YP1" s="104"/>
      <c r="YQ1" s="104"/>
      <c r="YR1" s="104"/>
      <c r="YS1" s="104"/>
      <c r="YT1" s="104"/>
      <c r="YU1" s="104"/>
      <c r="YV1" s="104"/>
      <c r="YW1" s="104"/>
      <c r="YX1" s="104"/>
      <c r="YY1" s="104"/>
      <c r="YZ1" s="104"/>
      <c r="ZA1" s="104"/>
      <c r="ZB1" s="104"/>
      <c r="ZC1" s="104"/>
      <c r="ZD1" s="104"/>
      <c r="ZE1" s="104"/>
      <c r="ZF1" s="104"/>
      <c r="ZG1" s="104"/>
      <c r="ZH1" s="104"/>
      <c r="ZI1" s="104"/>
      <c r="ZJ1" s="104"/>
      <c r="ZK1" s="104"/>
      <c r="ZL1" s="104"/>
      <c r="ZM1" s="104"/>
      <c r="ZN1" s="104"/>
      <c r="ZO1" s="104"/>
      <c r="ZP1" s="104"/>
      <c r="ZQ1" s="104"/>
      <c r="ZR1" s="104"/>
      <c r="ZS1" s="104"/>
      <c r="ZT1" s="104"/>
      <c r="ZU1" s="104"/>
      <c r="ZV1" s="104"/>
      <c r="ZW1" s="104"/>
      <c r="ZX1" s="104"/>
      <c r="ZY1" s="104"/>
      <c r="ZZ1" s="104"/>
      <c r="AAA1" s="104"/>
      <c r="AAB1" s="104"/>
      <c r="AAC1" s="104"/>
      <c r="AAD1" s="104"/>
      <c r="AAE1" s="104"/>
      <c r="AAF1" s="104"/>
      <c r="AAG1" s="104"/>
      <c r="AAH1" s="104"/>
      <c r="AAI1" s="104"/>
      <c r="AAJ1" s="104"/>
      <c r="AAK1" s="104"/>
      <c r="AAL1" s="104"/>
      <c r="AAM1" s="104"/>
      <c r="AAN1" s="104"/>
      <c r="AAO1" s="104"/>
      <c r="AAP1" s="104"/>
      <c r="AAQ1" s="104"/>
      <c r="AAR1" s="104"/>
      <c r="AAS1" s="104"/>
      <c r="AAT1" s="104"/>
      <c r="AAU1" s="104"/>
      <c r="AAV1" s="104"/>
      <c r="AAW1" s="104"/>
      <c r="AAX1" s="104"/>
      <c r="AAY1" s="104"/>
      <c r="AAZ1" s="104"/>
      <c r="ABA1" s="104"/>
      <c r="ABB1" s="104"/>
      <c r="ABC1" s="104"/>
      <c r="ABD1" s="104"/>
      <c r="ABE1" s="104"/>
      <c r="ABF1" s="104"/>
      <c r="ABG1" s="104"/>
      <c r="ABH1" s="104"/>
      <c r="ABI1" s="104"/>
      <c r="ABJ1" s="104"/>
      <c r="ABK1" s="104"/>
      <c r="ABL1" s="104"/>
      <c r="ABM1" s="104"/>
      <c r="ABN1" s="104"/>
      <c r="ABO1" s="104"/>
      <c r="ABP1" s="104"/>
      <c r="ABQ1" s="104"/>
      <c r="ABR1" s="104"/>
      <c r="ABS1" s="104"/>
      <c r="ABT1" s="104"/>
      <c r="ABU1" s="104"/>
      <c r="ABV1" s="104"/>
      <c r="ABW1" s="104"/>
      <c r="ABX1" s="104"/>
      <c r="ABY1" s="104"/>
      <c r="ABZ1" s="104"/>
      <c r="ACA1" s="104"/>
      <c r="ACB1" s="104"/>
      <c r="ACC1" s="104"/>
      <c r="ACD1" s="104"/>
      <c r="ACE1" s="104"/>
      <c r="ACF1" s="104"/>
      <c r="ACG1" s="104"/>
      <c r="ACH1" s="104"/>
      <c r="ACI1" s="104"/>
      <c r="ACJ1" s="104"/>
      <c r="ACK1" s="104"/>
      <c r="ACL1" s="104"/>
      <c r="ACM1" s="104"/>
      <c r="ACN1" s="104"/>
      <c r="ACO1" s="104"/>
      <c r="ACP1" s="104"/>
      <c r="ACQ1" s="104"/>
      <c r="ACR1" s="104"/>
      <c r="ACS1" s="104"/>
      <c r="ACT1" s="104"/>
      <c r="ACU1" s="104"/>
      <c r="ACV1" s="104"/>
      <c r="ACW1" s="104"/>
      <c r="ACX1" s="104"/>
      <c r="ACY1" s="104"/>
      <c r="ACZ1" s="104"/>
      <c r="ADA1" s="104"/>
      <c r="ADB1" s="104"/>
      <c r="ADC1" s="104"/>
      <c r="ADD1" s="104"/>
      <c r="ADE1" s="104"/>
      <c r="ADF1" s="104"/>
      <c r="ADG1" s="104"/>
      <c r="ADH1" s="104"/>
      <c r="ADI1" s="104"/>
      <c r="ADJ1" s="104"/>
      <c r="ADK1" s="104"/>
      <c r="ADL1" s="104"/>
      <c r="ADM1" s="104"/>
      <c r="ADN1" s="104"/>
      <c r="ADO1" s="104"/>
      <c r="ADP1" s="104"/>
      <c r="ADQ1" s="104"/>
      <c r="ADR1" s="104"/>
      <c r="ADS1" s="104"/>
      <c r="ADT1" s="104"/>
      <c r="ADU1" s="104"/>
      <c r="ADV1" s="104"/>
      <c r="ADW1" s="104"/>
      <c r="ADX1" s="104"/>
      <c r="ADY1" s="104"/>
      <c r="ADZ1" s="104"/>
      <c r="AEA1" s="104"/>
      <c r="AEB1" s="104"/>
      <c r="AEC1" s="104"/>
      <c r="AED1" s="104"/>
      <c r="AEE1" s="104"/>
      <c r="AEF1" s="104"/>
      <c r="AEG1" s="104"/>
      <c r="AEH1" s="104"/>
      <c r="AEI1" s="104"/>
      <c r="AEJ1" s="104"/>
      <c r="AEK1" s="104"/>
      <c r="AEL1" s="104"/>
      <c r="AEM1" s="104"/>
      <c r="AEN1" s="104"/>
      <c r="AEO1" s="104"/>
      <c r="AEP1" s="104"/>
      <c r="AEQ1" s="104"/>
      <c r="AER1" s="104"/>
      <c r="AES1" s="104"/>
      <c r="AET1" s="104"/>
      <c r="AEU1" s="104"/>
      <c r="AEV1" s="104"/>
      <c r="AEW1" s="104"/>
      <c r="AEX1" s="104"/>
      <c r="AEY1" s="104"/>
      <c r="AEZ1" s="104"/>
      <c r="AFA1" s="104"/>
      <c r="AFB1" s="104"/>
      <c r="AFC1" s="104"/>
      <c r="AFD1" s="104"/>
      <c r="AFE1" s="104"/>
      <c r="AFF1" s="104"/>
      <c r="AFG1" s="104"/>
      <c r="AFH1" s="104"/>
      <c r="AFI1" s="104"/>
      <c r="AFJ1" s="104"/>
      <c r="AFK1" s="104"/>
      <c r="AFL1" s="104"/>
      <c r="AFM1" s="104"/>
      <c r="AFN1" s="104"/>
      <c r="AFO1" s="104"/>
      <c r="AFP1" s="104"/>
      <c r="AFQ1" s="104"/>
      <c r="AFR1" s="104"/>
      <c r="AFS1" s="104"/>
      <c r="AFT1" s="104"/>
      <c r="AFU1" s="104"/>
      <c r="AFV1" s="104"/>
      <c r="AFW1" s="104"/>
      <c r="AFX1" s="104"/>
      <c r="AFY1" s="104"/>
      <c r="AFZ1" s="104"/>
      <c r="AGA1" s="104"/>
      <c r="AGB1" s="104"/>
      <c r="AGC1" s="104"/>
      <c r="AGD1" s="104"/>
      <c r="AGE1" s="104"/>
      <c r="AGF1" s="104"/>
      <c r="AGG1" s="104"/>
      <c r="AGH1" s="104"/>
      <c r="AGI1" s="104"/>
      <c r="AGJ1" s="104"/>
      <c r="AGK1" s="104"/>
      <c r="AGL1" s="104"/>
      <c r="AGM1" s="104"/>
      <c r="AGN1" s="104"/>
      <c r="AGO1" s="104"/>
      <c r="AGP1" s="104"/>
      <c r="AGQ1" s="104"/>
      <c r="AGR1" s="104"/>
      <c r="AGS1" s="104"/>
      <c r="AGT1" s="104"/>
      <c r="AGU1" s="104"/>
      <c r="AGV1" s="104"/>
    </row>
    <row r="2" spans="1:880" s="182" customFormat="1" ht="22.5" customHeight="1" x14ac:dyDescent="0.3">
      <c r="A2" s="555"/>
      <c r="B2" s="555"/>
      <c r="C2" s="555"/>
      <c r="D2" s="556" t="s">
        <v>19</v>
      </c>
      <c r="E2" s="556"/>
      <c r="F2" s="556"/>
      <c r="G2" s="556"/>
      <c r="H2" s="557" t="s">
        <v>20</v>
      </c>
      <c r="I2" s="557"/>
      <c r="J2" s="558"/>
      <c r="K2" s="258"/>
      <c r="L2" s="260"/>
      <c r="M2" s="181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293"/>
      <c r="AG2" s="293"/>
      <c r="AH2" s="293"/>
      <c r="AI2" s="293"/>
      <c r="AJ2" s="293"/>
      <c r="AK2" s="293"/>
      <c r="AL2" s="293"/>
      <c r="AM2" s="293"/>
      <c r="AN2" s="293"/>
      <c r="AO2" s="293"/>
      <c r="AP2" s="293"/>
      <c r="AQ2" s="293"/>
      <c r="AR2" s="293"/>
      <c r="AS2" s="293"/>
      <c r="AT2" s="293"/>
      <c r="AU2" s="293"/>
      <c r="AV2" s="293"/>
      <c r="AW2" s="293"/>
      <c r="AX2" s="293"/>
      <c r="AY2" s="293"/>
      <c r="AZ2" s="293"/>
      <c r="BA2" s="293"/>
      <c r="BB2" s="293"/>
      <c r="BC2" s="293"/>
      <c r="BD2" s="293"/>
      <c r="BE2" s="293"/>
      <c r="BF2" s="293"/>
      <c r="BG2" s="293"/>
      <c r="BH2" s="293"/>
      <c r="BI2" s="293"/>
      <c r="BJ2" s="293"/>
      <c r="BK2" s="293"/>
      <c r="BL2" s="293"/>
      <c r="BM2" s="293"/>
      <c r="BN2" s="293"/>
      <c r="BO2" s="293"/>
      <c r="BP2" s="293"/>
      <c r="BQ2" s="293"/>
      <c r="BR2" s="293"/>
      <c r="BS2" s="293"/>
      <c r="BT2" s="293"/>
      <c r="BU2" s="293"/>
      <c r="BV2" s="293"/>
      <c r="BW2" s="293"/>
      <c r="BX2" s="293"/>
      <c r="BY2" s="293"/>
      <c r="BZ2" s="293"/>
      <c r="CA2" s="293"/>
      <c r="CB2" s="293"/>
      <c r="CC2" s="293"/>
      <c r="CD2" s="293"/>
      <c r="CE2" s="293"/>
      <c r="CF2" s="293"/>
      <c r="CG2" s="293"/>
      <c r="CH2" s="293"/>
      <c r="CI2" s="293"/>
      <c r="CJ2" s="293"/>
      <c r="CK2" s="293"/>
      <c r="CL2" s="293"/>
      <c r="CM2" s="293"/>
      <c r="CN2" s="293"/>
      <c r="CO2" s="293"/>
      <c r="CP2" s="293"/>
      <c r="CQ2" s="293"/>
      <c r="CR2" s="293"/>
      <c r="CS2" s="293"/>
      <c r="CT2" s="293"/>
      <c r="CU2" s="293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3"/>
      <c r="DI2" s="293"/>
      <c r="DJ2" s="293"/>
      <c r="DK2" s="293"/>
      <c r="DL2" s="293"/>
      <c r="DM2" s="293"/>
      <c r="DN2" s="293"/>
      <c r="DO2" s="293"/>
      <c r="DP2" s="293"/>
      <c r="DQ2" s="293"/>
      <c r="DR2" s="293"/>
      <c r="DS2" s="293"/>
      <c r="DT2" s="293"/>
      <c r="DU2" s="293"/>
      <c r="DV2" s="293"/>
      <c r="DW2" s="293"/>
      <c r="DX2" s="293"/>
      <c r="DY2" s="293"/>
      <c r="DZ2" s="293"/>
      <c r="EA2" s="293"/>
      <c r="EB2" s="293"/>
      <c r="EC2" s="293"/>
      <c r="ED2" s="293"/>
      <c r="EE2" s="293"/>
      <c r="EF2" s="293"/>
      <c r="EG2" s="293"/>
      <c r="EH2" s="293"/>
      <c r="EI2" s="293"/>
      <c r="EJ2" s="293"/>
      <c r="EK2" s="293"/>
      <c r="EL2" s="293"/>
      <c r="EM2" s="293"/>
      <c r="EN2" s="293"/>
      <c r="EO2" s="293"/>
      <c r="EP2" s="293"/>
      <c r="EQ2" s="293"/>
      <c r="ER2" s="293"/>
      <c r="ES2" s="293"/>
      <c r="ET2" s="293"/>
      <c r="EU2" s="293"/>
      <c r="EV2" s="293"/>
      <c r="EW2" s="293"/>
      <c r="EX2" s="293"/>
      <c r="EY2" s="293"/>
      <c r="EZ2" s="293"/>
      <c r="FA2" s="293"/>
      <c r="FB2" s="293"/>
      <c r="FC2" s="293"/>
      <c r="FD2" s="293"/>
      <c r="FE2" s="293"/>
      <c r="FF2" s="293"/>
      <c r="FG2" s="293"/>
      <c r="FH2" s="293"/>
      <c r="FI2" s="293"/>
      <c r="FJ2" s="293"/>
      <c r="FK2" s="293"/>
      <c r="FL2" s="293"/>
      <c r="FM2" s="293"/>
      <c r="FN2" s="293"/>
      <c r="FO2" s="293"/>
      <c r="FP2" s="293"/>
      <c r="FQ2" s="293"/>
      <c r="FR2" s="293"/>
      <c r="FS2" s="293"/>
      <c r="FT2" s="293"/>
      <c r="FU2" s="293"/>
      <c r="FV2" s="293"/>
      <c r="FW2" s="293"/>
      <c r="FX2" s="293"/>
      <c r="FY2" s="293"/>
      <c r="FZ2" s="293"/>
      <c r="GA2" s="293"/>
      <c r="GB2" s="293"/>
      <c r="GC2" s="293"/>
      <c r="GD2" s="293"/>
      <c r="GE2" s="293"/>
      <c r="GF2" s="293"/>
      <c r="GG2" s="293"/>
      <c r="GH2" s="293"/>
      <c r="GI2" s="293"/>
      <c r="GJ2" s="293"/>
      <c r="GK2" s="293"/>
      <c r="GL2" s="293"/>
      <c r="GM2" s="293"/>
      <c r="GN2" s="293"/>
      <c r="GO2" s="293"/>
      <c r="GP2" s="293"/>
      <c r="GQ2" s="293"/>
      <c r="GR2" s="293"/>
      <c r="GS2" s="293"/>
      <c r="GT2" s="293"/>
      <c r="GU2" s="293"/>
      <c r="GV2" s="293"/>
      <c r="GW2" s="293"/>
      <c r="GX2" s="293"/>
      <c r="GY2" s="293"/>
      <c r="GZ2" s="293"/>
      <c r="HA2" s="293"/>
      <c r="HB2" s="293"/>
      <c r="HC2" s="293"/>
      <c r="HD2" s="293"/>
      <c r="HE2" s="293"/>
      <c r="HF2" s="293"/>
      <c r="HG2" s="293"/>
      <c r="HH2" s="293"/>
      <c r="HI2" s="293"/>
      <c r="HJ2" s="293"/>
      <c r="HK2" s="293"/>
      <c r="HL2" s="293"/>
      <c r="HM2" s="293"/>
      <c r="HN2" s="293"/>
      <c r="HO2" s="293"/>
      <c r="HP2" s="293"/>
      <c r="HQ2" s="293"/>
      <c r="HR2" s="293"/>
      <c r="HS2" s="293"/>
      <c r="HT2" s="293"/>
      <c r="HU2" s="293"/>
      <c r="HV2" s="293"/>
      <c r="HW2" s="293"/>
      <c r="HX2" s="293"/>
      <c r="HY2" s="293"/>
      <c r="HZ2" s="293"/>
      <c r="IA2" s="293"/>
      <c r="IB2" s="293"/>
      <c r="IC2" s="293"/>
      <c r="ID2" s="293"/>
      <c r="IE2" s="293"/>
      <c r="IF2" s="293"/>
      <c r="IG2" s="293"/>
      <c r="IH2" s="293"/>
      <c r="II2" s="293"/>
      <c r="IJ2" s="293"/>
      <c r="IK2" s="293"/>
      <c r="IL2" s="293"/>
      <c r="IM2" s="293"/>
      <c r="IN2" s="293"/>
      <c r="IO2" s="293"/>
      <c r="IP2" s="293"/>
      <c r="IQ2" s="293"/>
      <c r="IR2" s="293"/>
      <c r="IS2" s="293"/>
      <c r="IT2" s="293"/>
      <c r="IU2" s="293"/>
      <c r="IV2" s="293"/>
      <c r="IW2" s="293"/>
      <c r="IX2" s="293"/>
      <c r="IY2" s="293"/>
      <c r="IZ2" s="293"/>
      <c r="JA2" s="293"/>
      <c r="JB2" s="293"/>
      <c r="JC2" s="293"/>
      <c r="JD2" s="293"/>
      <c r="JE2" s="293"/>
      <c r="JF2" s="293"/>
      <c r="JG2" s="293"/>
      <c r="JH2" s="293"/>
      <c r="JI2" s="293"/>
      <c r="JJ2" s="293"/>
      <c r="JK2" s="293"/>
      <c r="JL2" s="293"/>
      <c r="JM2" s="293"/>
      <c r="JN2" s="293"/>
      <c r="JO2" s="293"/>
      <c r="JP2" s="293"/>
      <c r="JQ2" s="293"/>
      <c r="JR2" s="293"/>
      <c r="JS2" s="293"/>
      <c r="JT2" s="293"/>
      <c r="JU2" s="293"/>
      <c r="JV2" s="293"/>
      <c r="JW2" s="293"/>
      <c r="JX2" s="293"/>
      <c r="JY2" s="293"/>
      <c r="JZ2" s="293"/>
      <c r="KA2" s="293"/>
      <c r="KB2" s="293"/>
      <c r="KC2" s="293"/>
      <c r="KD2" s="293"/>
      <c r="KE2" s="293"/>
      <c r="KF2" s="293"/>
      <c r="KG2" s="293"/>
      <c r="KH2" s="293"/>
      <c r="KI2" s="293"/>
      <c r="KJ2" s="293"/>
      <c r="KK2" s="293"/>
      <c r="KL2" s="293"/>
      <c r="KM2" s="293"/>
      <c r="KN2" s="293"/>
      <c r="KO2" s="293"/>
      <c r="KP2" s="293"/>
      <c r="KQ2" s="293"/>
      <c r="KR2" s="293"/>
      <c r="KS2" s="293"/>
      <c r="KT2" s="293"/>
      <c r="KU2" s="293"/>
      <c r="KV2" s="293"/>
      <c r="KW2" s="293"/>
      <c r="KX2" s="293"/>
      <c r="KY2" s="293"/>
      <c r="KZ2" s="293"/>
      <c r="LA2" s="293"/>
      <c r="LB2" s="293"/>
      <c r="LC2" s="293"/>
      <c r="LD2" s="293"/>
      <c r="LE2" s="293"/>
      <c r="LF2" s="293"/>
      <c r="LG2" s="293"/>
      <c r="LH2" s="293"/>
      <c r="LI2" s="293"/>
      <c r="LJ2" s="293"/>
      <c r="LK2" s="293"/>
      <c r="LL2" s="293"/>
      <c r="LM2" s="293"/>
      <c r="LN2" s="293"/>
      <c r="LO2" s="293"/>
      <c r="LP2" s="293"/>
      <c r="LQ2" s="293"/>
      <c r="LR2" s="293"/>
      <c r="LS2" s="293"/>
      <c r="LT2" s="293"/>
      <c r="LU2" s="293"/>
      <c r="LV2" s="293"/>
      <c r="LW2" s="293"/>
      <c r="LX2" s="293"/>
      <c r="LY2" s="293"/>
      <c r="LZ2" s="293"/>
      <c r="MA2" s="293"/>
      <c r="MB2" s="293"/>
      <c r="MC2" s="293"/>
      <c r="MD2" s="293"/>
      <c r="ME2" s="293"/>
      <c r="MF2" s="293"/>
      <c r="MG2" s="293"/>
      <c r="MH2" s="293"/>
      <c r="MI2" s="293"/>
      <c r="MJ2" s="293"/>
      <c r="MK2" s="293"/>
      <c r="ML2" s="293"/>
      <c r="MM2" s="293"/>
      <c r="MN2" s="293"/>
      <c r="MO2" s="293"/>
      <c r="MP2" s="293"/>
      <c r="MQ2" s="293"/>
      <c r="MR2" s="293"/>
      <c r="MS2" s="293"/>
      <c r="MT2" s="293"/>
      <c r="MU2" s="293"/>
      <c r="MV2" s="293"/>
      <c r="MW2" s="293"/>
      <c r="MX2" s="293"/>
      <c r="MY2" s="293"/>
      <c r="MZ2" s="293"/>
      <c r="NA2" s="293"/>
      <c r="NB2" s="293"/>
      <c r="NC2" s="293"/>
      <c r="ND2" s="293"/>
      <c r="NE2" s="293"/>
      <c r="NF2" s="293"/>
      <c r="NG2" s="293"/>
      <c r="NH2" s="293"/>
      <c r="NI2" s="293"/>
      <c r="NJ2" s="293"/>
      <c r="NK2" s="293"/>
      <c r="NL2" s="293"/>
      <c r="NM2" s="293"/>
      <c r="NN2" s="293"/>
      <c r="NO2" s="293"/>
      <c r="NP2" s="293"/>
      <c r="NQ2" s="293"/>
      <c r="NR2" s="293"/>
      <c r="NS2" s="293"/>
      <c r="NT2" s="293"/>
      <c r="NU2" s="293"/>
      <c r="NV2" s="293"/>
      <c r="NW2" s="293"/>
      <c r="NX2" s="293"/>
      <c r="NY2" s="293"/>
      <c r="NZ2" s="293"/>
      <c r="OA2" s="293"/>
      <c r="OB2" s="293"/>
      <c r="OC2" s="293"/>
      <c r="OD2" s="293"/>
      <c r="OE2" s="293"/>
      <c r="OF2" s="293"/>
      <c r="OG2" s="293"/>
      <c r="OH2" s="293"/>
      <c r="OI2" s="293"/>
      <c r="OJ2" s="293"/>
      <c r="OK2" s="293"/>
      <c r="OL2" s="293"/>
      <c r="OM2" s="293"/>
      <c r="ON2" s="293"/>
      <c r="OO2" s="293"/>
      <c r="OP2" s="293"/>
      <c r="OQ2" s="293"/>
      <c r="OR2" s="293"/>
      <c r="OS2" s="293"/>
      <c r="OT2" s="293"/>
      <c r="OU2" s="293"/>
      <c r="OV2" s="293"/>
      <c r="OW2" s="293"/>
      <c r="OX2" s="293"/>
      <c r="OY2" s="293"/>
      <c r="OZ2" s="293"/>
      <c r="PA2" s="293"/>
      <c r="PB2" s="293"/>
      <c r="PC2" s="293"/>
      <c r="PD2" s="293"/>
      <c r="PE2" s="293"/>
      <c r="PF2" s="293"/>
      <c r="PG2" s="293"/>
      <c r="PH2" s="293"/>
      <c r="PI2" s="293"/>
      <c r="PJ2" s="293"/>
      <c r="PK2" s="293"/>
      <c r="PL2" s="293"/>
      <c r="PM2" s="293"/>
      <c r="PN2" s="293"/>
      <c r="PO2" s="293"/>
      <c r="PP2" s="293"/>
      <c r="PQ2" s="293"/>
      <c r="PR2" s="293"/>
      <c r="PS2" s="293"/>
      <c r="PT2" s="293"/>
      <c r="PU2" s="293"/>
      <c r="PV2" s="293"/>
      <c r="PW2" s="293"/>
      <c r="PX2" s="293"/>
      <c r="PY2" s="293"/>
      <c r="PZ2" s="293"/>
      <c r="QA2" s="293"/>
      <c r="QB2" s="293"/>
      <c r="QC2" s="293"/>
      <c r="QD2" s="293"/>
      <c r="QE2" s="293"/>
      <c r="QF2" s="293"/>
      <c r="QG2" s="293"/>
      <c r="QH2" s="293"/>
      <c r="QI2" s="293"/>
      <c r="QJ2" s="293"/>
      <c r="QK2" s="293"/>
      <c r="QL2" s="293"/>
      <c r="QM2" s="293"/>
      <c r="QN2" s="293"/>
      <c r="QO2" s="293"/>
      <c r="QP2" s="293"/>
      <c r="QQ2" s="293"/>
      <c r="QR2" s="293"/>
      <c r="QS2" s="293"/>
      <c r="QT2" s="293"/>
      <c r="QU2" s="293"/>
      <c r="QV2" s="293"/>
      <c r="QW2" s="293"/>
      <c r="QX2" s="293"/>
      <c r="QY2" s="293"/>
      <c r="QZ2" s="293"/>
      <c r="RA2" s="293"/>
      <c r="RB2" s="293"/>
      <c r="RC2" s="293"/>
      <c r="RD2" s="293"/>
      <c r="RE2" s="293"/>
      <c r="RF2" s="293"/>
      <c r="RG2" s="293"/>
      <c r="RH2" s="293"/>
      <c r="RI2" s="293"/>
      <c r="RJ2" s="293"/>
      <c r="RK2" s="293"/>
      <c r="RL2" s="293"/>
      <c r="RM2" s="293"/>
      <c r="RN2" s="293"/>
      <c r="RO2" s="293"/>
      <c r="RP2" s="293"/>
      <c r="RQ2" s="293"/>
      <c r="RR2" s="293"/>
      <c r="RS2" s="293"/>
      <c r="RT2" s="293"/>
      <c r="RU2" s="293"/>
      <c r="RV2" s="293"/>
      <c r="RW2" s="293"/>
      <c r="RX2" s="293"/>
      <c r="RY2" s="293"/>
      <c r="RZ2" s="293"/>
      <c r="SA2" s="293"/>
      <c r="SB2" s="293"/>
      <c r="SC2" s="293"/>
      <c r="SD2" s="293"/>
      <c r="SE2" s="293"/>
      <c r="SF2" s="293"/>
      <c r="SG2" s="293"/>
      <c r="SH2" s="293"/>
      <c r="SI2" s="293"/>
      <c r="SJ2" s="293"/>
      <c r="SK2" s="293"/>
      <c r="SL2" s="293"/>
      <c r="SM2" s="293"/>
      <c r="SN2" s="293"/>
      <c r="SO2" s="293"/>
      <c r="SP2" s="293"/>
      <c r="SQ2" s="293"/>
      <c r="SR2" s="293"/>
      <c r="SS2" s="293"/>
      <c r="ST2" s="293"/>
      <c r="SU2" s="293"/>
      <c r="SV2" s="293"/>
      <c r="SW2" s="293"/>
      <c r="SX2" s="293"/>
      <c r="SY2" s="293"/>
      <c r="SZ2" s="293"/>
      <c r="TA2" s="293"/>
      <c r="TB2" s="293"/>
      <c r="TC2" s="293"/>
      <c r="TD2" s="293"/>
      <c r="TE2" s="293"/>
      <c r="TF2" s="293"/>
      <c r="TG2" s="293"/>
      <c r="TH2" s="293"/>
      <c r="TI2" s="293"/>
      <c r="TJ2" s="293"/>
      <c r="TK2" s="293"/>
      <c r="TL2" s="293"/>
      <c r="TM2" s="293"/>
      <c r="TN2" s="293"/>
      <c r="TO2" s="293"/>
      <c r="TP2" s="293"/>
      <c r="TQ2" s="293"/>
      <c r="TR2" s="293"/>
      <c r="TS2" s="293"/>
      <c r="TT2" s="293"/>
      <c r="TU2" s="293"/>
      <c r="TV2" s="293"/>
      <c r="TW2" s="293"/>
      <c r="TX2" s="293"/>
      <c r="TY2" s="293"/>
      <c r="TZ2" s="293"/>
      <c r="UA2" s="293"/>
      <c r="UB2" s="293"/>
      <c r="UC2" s="293"/>
      <c r="UD2" s="293"/>
      <c r="UE2" s="293"/>
      <c r="UF2" s="293"/>
      <c r="UG2" s="293"/>
      <c r="UH2" s="293"/>
      <c r="UI2" s="293"/>
      <c r="UJ2" s="293"/>
      <c r="UK2" s="293"/>
      <c r="UL2" s="293"/>
      <c r="UM2" s="293"/>
      <c r="UN2" s="293"/>
      <c r="UO2" s="293"/>
      <c r="UP2" s="293"/>
      <c r="UQ2" s="293"/>
      <c r="UR2" s="293"/>
      <c r="US2" s="293"/>
      <c r="UT2" s="293"/>
      <c r="UU2" s="293"/>
      <c r="UV2" s="293"/>
      <c r="UW2" s="293"/>
      <c r="UX2" s="293"/>
      <c r="UY2" s="293"/>
      <c r="UZ2" s="293"/>
      <c r="VA2" s="293"/>
      <c r="VB2" s="293"/>
      <c r="VC2" s="293"/>
      <c r="VD2" s="293"/>
      <c r="VE2" s="293"/>
      <c r="VF2" s="293"/>
      <c r="VG2" s="293"/>
      <c r="VH2" s="293"/>
      <c r="VI2" s="293"/>
      <c r="VJ2" s="293"/>
      <c r="VK2" s="293"/>
      <c r="VL2" s="293"/>
      <c r="VM2" s="293"/>
      <c r="VN2" s="293"/>
      <c r="VO2" s="293"/>
      <c r="VP2" s="293"/>
      <c r="VQ2" s="293"/>
      <c r="VR2" s="293"/>
      <c r="VS2" s="293"/>
      <c r="VT2" s="293"/>
      <c r="VU2" s="293"/>
      <c r="VV2" s="293"/>
      <c r="VW2" s="293"/>
      <c r="VX2" s="293"/>
      <c r="VY2" s="293"/>
      <c r="VZ2" s="293"/>
      <c r="WA2" s="293"/>
      <c r="WB2" s="293"/>
      <c r="WC2" s="293"/>
      <c r="WD2" s="293"/>
      <c r="WE2" s="293"/>
      <c r="WF2" s="293"/>
      <c r="WG2" s="293"/>
      <c r="WH2" s="293"/>
      <c r="WI2" s="293"/>
      <c r="WJ2" s="293"/>
      <c r="WK2" s="293"/>
      <c r="WL2" s="293"/>
      <c r="WM2" s="293"/>
      <c r="WN2" s="293"/>
      <c r="WO2" s="293"/>
      <c r="WP2" s="293"/>
      <c r="WQ2" s="293"/>
      <c r="WR2" s="293"/>
      <c r="WS2" s="293"/>
      <c r="WT2" s="293"/>
      <c r="WU2" s="293"/>
      <c r="WV2" s="293"/>
      <c r="WW2" s="293"/>
      <c r="WX2" s="293"/>
      <c r="WY2" s="293"/>
      <c r="WZ2" s="293"/>
      <c r="XA2" s="293"/>
      <c r="XB2" s="293"/>
      <c r="XC2" s="293"/>
      <c r="XD2" s="293"/>
      <c r="XE2" s="293"/>
      <c r="XF2" s="293"/>
      <c r="XG2" s="293"/>
      <c r="XH2" s="293"/>
      <c r="XI2" s="293"/>
      <c r="XJ2" s="293"/>
      <c r="XK2" s="293"/>
      <c r="XL2" s="293"/>
      <c r="XM2" s="293"/>
      <c r="XN2" s="293"/>
      <c r="XO2" s="293"/>
      <c r="XP2" s="293"/>
      <c r="XQ2" s="293"/>
      <c r="XR2" s="293"/>
      <c r="XS2" s="293"/>
      <c r="XT2" s="293"/>
      <c r="XU2" s="293"/>
      <c r="XV2" s="293"/>
      <c r="XW2" s="293"/>
      <c r="XX2" s="293"/>
      <c r="XY2" s="293"/>
      <c r="XZ2" s="293"/>
      <c r="YA2" s="293"/>
      <c r="YB2" s="293"/>
      <c r="YC2" s="293"/>
      <c r="YD2" s="293"/>
      <c r="YE2" s="293"/>
      <c r="YF2" s="293"/>
      <c r="YG2" s="293"/>
      <c r="YH2" s="293"/>
      <c r="YI2" s="293"/>
      <c r="YJ2" s="293"/>
      <c r="YK2" s="293"/>
      <c r="YL2" s="293"/>
      <c r="YM2" s="293"/>
      <c r="YN2" s="293"/>
      <c r="YO2" s="293"/>
      <c r="YP2" s="293"/>
      <c r="YQ2" s="293"/>
      <c r="YR2" s="293"/>
      <c r="YS2" s="293"/>
      <c r="YT2" s="293"/>
      <c r="YU2" s="293"/>
      <c r="YV2" s="293"/>
      <c r="YW2" s="293"/>
      <c r="YX2" s="293"/>
      <c r="YY2" s="293"/>
      <c r="YZ2" s="293"/>
      <c r="ZA2" s="293"/>
      <c r="ZB2" s="293"/>
      <c r="ZC2" s="293"/>
      <c r="ZD2" s="293"/>
      <c r="ZE2" s="293"/>
      <c r="ZF2" s="293"/>
      <c r="ZG2" s="293"/>
      <c r="ZH2" s="293"/>
      <c r="ZI2" s="293"/>
      <c r="ZJ2" s="293"/>
      <c r="ZK2" s="293"/>
      <c r="ZL2" s="293"/>
      <c r="ZM2" s="293"/>
      <c r="ZN2" s="293"/>
      <c r="ZO2" s="293"/>
      <c r="ZP2" s="293"/>
      <c r="ZQ2" s="293"/>
      <c r="ZR2" s="293"/>
      <c r="ZS2" s="293"/>
      <c r="ZT2" s="293"/>
      <c r="ZU2" s="293"/>
      <c r="ZV2" s="293"/>
      <c r="ZW2" s="293"/>
      <c r="ZX2" s="293"/>
      <c r="ZY2" s="293"/>
      <c r="ZZ2" s="293"/>
      <c r="AAA2" s="293"/>
      <c r="AAB2" s="293"/>
      <c r="AAC2" s="293"/>
      <c r="AAD2" s="293"/>
      <c r="AAE2" s="293"/>
      <c r="AAF2" s="293"/>
      <c r="AAG2" s="293"/>
      <c r="AAH2" s="293"/>
      <c r="AAI2" s="293"/>
      <c r="AAJ2" s="293"/>
      <c r="AAK2" s="293"/>
      <c r="AAL2" s="293"/>
      <c r="AAM2" s="293"/>
      <c r="AAN2" s="293"/>
      <c r="AAO2" s="293"/>
      <c r="AAP2" s="293"/>
      <c r="AAQ2" s="293"/>
      <c r="AAR2" s="293"/>
      <c r="AAS2" s="293"/>
      <c r="AAT2" s="293"/>
      <c r="AAU2" s="293"/>
      <c r="AAV2" s="293"/>
      <c r="AAW2" s="293"/>
      <c r="AAX2" s="293"/>
      <c r="AAY2" s="293"/>
      <c r="AAZ2" s="293"/>
      <c r="ABA2" s="293"/>
      <c r="ABB2" s="293"/>
      <c r="ABC2" s="293"/>
      <c r="ABD2" s="293"/>
      <c r="ABE2" s="293"/>
      <c r="ABF2" s="293"/>
      <c r="ABG2" s="293"/>
      <c r="ABH2" s="293"/>
      <c r="ABI2" s="293"/>
      <c r="ABJ2" s="293"/>
      <c r="ABK2" s="293"/>
      <c r="ABL2" s="293"/>
      <c r="ABM2" s="293"/>
      <c r="ABN2" s="293"/>
      <c r="ABO2" s="293"/>
      <c r="ABP2" s="293"/>
      <c r="ABQ2" s="293"/>
      <c r="ABR2" s="293"/>
      <c r="ABS2" s="293"/>
      <c r="ABT2" s="293"/>
      <c r="ABU2" s="293"/>
      <c r="ABV2" s="293"/>
      <c r="ABW2" s="293"/>
      <c r="ABX2" s="293"/>
      <c r="ABY2" s="293"/>
      <c r="ABZ2" s="293"/>
      <c r="ACA2" s="293"/>
      <c r="ACB2" s="293"/>
      <c r="ACC2" s="293"/>
      <c r="ACD2" s="293"/>
      <c r="ACE2" s="293"/>
      <c r="ACF2" s="293"/>
      <c r="ACG2" s="293"/>
      <c r="ACH2" s="293"/>
      <c r="ACI2" s="293"/>
      <c r="ACJ2" s="293"/>
      <c r="ACK2" s="293"/>
      <c r="ACL2" s="293"/>
      <c r="ACM2" s="293"/>
      <c r="ACN2" s="293"/>
      <c r="ACO2" s="293"/>
      <c r="ACP2" s="293"/>
      <c r="ACQ2" s="293"/>
      <c r="ACR2" s="293"/>
      <c r="ACS2" s="293"/>
      <c r="ACT2" s="293"/>
      <c r="ACU2" s="293"/>
      <c r="ACV2" s="293"/>
      <c r="ACW2" s="293"/>
      <c r="ACX2" s="293"/>
      <c r="ACY2" s="293"/>
      <c r="ACZ2" s="293"/>
      <c r="ADA2" s="293"/>
      <c r="ADB2" s="293"/>
      <c r="ADC2" s="293"/>
      <c r="ADD2" s="293"/>
      <c r="ADE2" s="293"/>
      <c r="ADF2" s="293"/>
      <c r="ADG2" s="293"/>
      <c r="ADH2" s="293"/>
      <c r="ADI2" s="293"/>
      <c r="ADJ2" s="293"/>
      <c r="ADK2" s="293"/>
      <c r="ADL2" s="293"/>
      <c r="ADM2" s="293"/>
      <c r="ADN2" s="293"/>
      <c r="ADO2" s="293"/>
      <c r="ADP2" s="293"/>
      <c r="ADQ2" s="293"/>
      <c r="ADR2" s="293"/>
      <c r="ADS2" s="293"/>
      <c r="ADT2" s="293"/>
      <c r="ADU2" s="293"/>
      <c r="ADV2" s="293"/>
      <c r="ADW2" s="293"/>
      <c r="ADX2" s="293"/>
      <c r="ADY2" s="293"/>
      <c r="ADZ2" s="293"/>
      <c r="AEA2" s="293"/>
      <c r="AEB2" s="293"/>
      <c r="AEC2" s="293"/>
      <c r="AED2" s="293"/>
      <c r="AEE2" s="293"/>
      <c r="AEF2" s="293"/>
      <c r="AEG2" s="293"/>
      <c r="AEH2" s="293"/>
      <c r="AEI2" s="293"/>
      <c r="AEJ2" s="293"/>
      <c r="AEK2" s="293"/>
      <c r="AEL2" s="293"/>
      <c r="AEM2" s="293"/>
      <c r="AEN2" s="293"/>
      <c r="AEO2" s="293"/>
      <c r="AEP2" s="293"/>
      <c r="AEQ2" s="293"/>
      <c r="AER2" s="293"/>
      <c r="AES2" s="293"/>
      <c r="AET2" s="293"/>
      <c r="AEU2" s="293"/>
      <c r="AEV2" s="293"/>
      <c r="AEW2" s="293"/>
      <c r="AEX2" s="293"/>
      <c r="AEY2" s="293"/>
      <c r="AEZ2" s="293"/>
      <c r="AFA2" s="293"/>
      <c r="AFB2" s="293"/>
      <c r="AFC2" s="293"/>
      <c r="AFD2" s="293"/>
      <c r="AFE2" s="293"/>
      <c r="AFF2" s="293"/>
      <c r="AFG2" s="293"/>
      <c r="AFH2" s="293"/>
      <c r="AFI2" s="293"/>
      <c r="AFJ2" s="293"/>
      <c r="AFK2" s="293"/>
      <c r="AFL2" s="293"/>
      <c r="AFM2" s="293"/>
      <c r="AFN2" s="293"/>
      <c r="AFO2" s="293"/>
      <c r="AFP2" s="293"/>
      <c r="AFQ2" s="293"/>
      <c r="AFR2" s="293"/>
      <c r="AFS2" s="293"/>
      <c r="AFT2" s="293"/>
      <c r="AFU2" s="293"/>
      <c r="AFV2" s="293"/>
      <c r="AFW2" s="293"/>
      <c r="AFX2" s="293"/>
      <c r="AFY2" s="293"/>
      <c r="AFZ2" s="293"/>
      <c r="AGA2" s="293"/>
      <c r="AGB2" s="293"/>
      <c r="AGC2" s="293"/>
      <c r="AGD2" s="293"/>
      <c r="AGE2" s="293"/>
      <c r="AGF2" s="293"/>
      <c r="AGG2" s="293"/>
      <c r="AGH2" s="293"/>
      <c r="AGI2" s="293"/>
      <c r="AGJ2" s="293"/>
      <c r="AGK2" s="293"/>
      <c r="AGL2" s="293"/>
      <c r="AGM2" s="293"/>
      <c r="AGN2" s="293"/>
      <c r="AGO2" s="293"/>
      <c r="AGP2" s="293"/>
      <c r="AGQ2" s="293"/>
      <c r="AGR2" s="293"/>
      <c r="AGS2" s="293"/>
      <c r="AGT2" s="293"/>
      <c r="AGU2" s="293"/>
      <c r="AGV2" s="294"/>
    </row>
    <row r="3" spans="1:880" s="189" customFormat="1" ht="57.6" customHeight="1" x14ac:dyDescent="0.3">
      <c r="A3" s="183" t="s">
        <v>25</v>
      </c>
      <c r="B3" s="183" t="s">
        <v>26</v>
      </c>
      <c r="C3" s="183" t="s">
        <v>159</v>
      </c>
      <c r="D3" s="184" t="s">
        <v>160</v>
      </c>
      <c r="E3" s="184" t="s">
        <v>161</v>
      </c>
      <c r="F3" s="184" t="s">
        <v>162</v>
      </c>
      <c r="G3" s="184" t="s">
        <v>31</v>
      </c>
      <c r="H3" s="185" t="s">
        <v>34</v>
      </c>
      <c r="I3" s="185" t="s">
        <v>163</v>
      </c>
      <c r="J3" s="226" t="s">
        <v>164</v>
      </c>
      <c r="K3" s="259" t="s">
        <v>165</v>
      </c>
      <c r="L3" s="264" t="s">
        <v>52</v>
      </c>
      <c r="M3" s="187" t="s">
        <v>166</v>
      </c>
      <c r="N3" s="273"/>
      <c r="O3" s="273"/>
      <c r="P3" s="273"/>
      <c r="Q3" s="273"/>
      <c r="R3" s="273"/>
      <c r="S3" s="273"/>
      <c r="T3" s="273"/>
      <c r="U3" s="273"/>
      <c r="V3" s="273"/>
      <c r="W3" s="273"/>
      <c r="X3" s="273"/>
      <c r="Y3" s="273"/>
      <c r="Z3" s="273"/>
      <c r="AA3" s="273"/>
      <c r="AB3" s="273"/>
      <c r="AC3" s="273"/>
      <c r="AD3" s="273"/>
      <c r="AE3" s="273"/>
      <c r="AF3" s="273"/>
      <c r="AG3" s="273"/>
      <c r="AH3" s="273"/>
      <c r="AI3" s="273"/>
      <c r="AJ3" s="273"/>
      <c r="AK3" s="273"/>
      <c r="AL3" s="273"/>
      <c r="AM3" s="273"/>
      <c r="AN3" s="273"/>
      <c r="AO3" s="273"/>
      <c r="AP3" s="273"/>
      <c r="AQ3" s="273"/>
      <c r="AR3" s="273"/>
      <c r="AS3" s="273"/>
      <c r="AT3" s="273"/>
      <c r="AU3" s="273"/>
      <c r="AV3" s="273"/>
      <c r="AW3" s="273"/>
      <c r="AX3" s="273"/>
      <c r="AY3" s="273"/>
      <c r="AZ3" s="273"/>
      <c r="BA3" s="273"/>
      <c r="BB3" s="273"/>
      <c r="BC3" s="273"/>
      <c r="BD3" s="273"/>
      <c r="BE3" s="273"/>
      <c r="BF3" s="273"/>
      <c r="BG3" s="273"/>
      <c r="BH3" s="273"/>
      <c r="BI3" s="273"/>
      <c r="BJ3" s="273"/>
      <c r="BK3" s="273"/>
      <c r="BL3" s="273"/>
      <c r="BM3" s="273"/>
      <c r="BN3" s="273"/>
      <c r="BO3" s="273"/>
      <c r="BP3" s="273"/>
      <c r="BQ3" s="273"/>
      <c r="BR3" s="273"/>
      <c r="BS3" s="273"/>
      <c r="BT3" s="273"/>
      <c r="BU3" s="273"/>
      <c r="BV3" s="273"/>
      <c r="BW3" s="273"/>
      <c r="BX3" s="273"/>
      <c r="BY3" s="273"/>
      <c r="BZ3" s="273"/>
      <c r="CA3" s="273"/>
      <c r="CB3" s="273"/>
      <c r="CC3" s="273"/>
      <c r="CD3" s="273"/>
      <c r="CE3" s="273"/>
      <c r="CF3" s="273"/>
      <c r="CG3" s="273"/>
      <c r="CH3" s="273"/>
      <c r="CI3" s="273"/>
      <c r="CJ3" s="273"/>
      <c r="CK3" s="273"/>
      <c r="CL3" s="273"/>
      <c r="CM3" s="273"/>
      <c r="CN3" s="273"/>
      <c r="CO3" s="273"/>
      <c r="CP3" s="273"/>
      <c r="CQ3" s="273"/>
      <c r="CR3" s="273"/>
      <c r="CS3" s="273"/>
      <c r="CT3" s="273"/>
      <c r="CU3" s="273"/>
      <c r="CV3" s="273"/>
      <c r="CW3" s="273"/>
      <c r="CX3" s="273"/>
      <c r="CY3" s="273"/>
      <c r="CZ3" s="273"/>
      <c r="DA3" s="273"/>
      <c r="DB3" s="273"/>
      <c r="DC3" s="273"/>
      <c r="DD3" s="273"/>
      <c r="DE3" s="273"/>
      <c r="DF3" s="273"/>
      <c r="DG3" s="273"/>
      <c r="DH3" s="273"/>
      <c r="DI3" s="273"/>
      <c r="DJ3" s="273"/>
      <c r="DK3" s="273"/>
      <c r="DL3" s="273"/>
      <c r="DM3" s="273"/>
      <c r="DN3" s="273"/>
      <c r="DO3" s="273"/>
      <c r="DP3" s="273"/>
      <c r="DQ3" s="273"/>
      <c r="DR3" s="273"/>
      <c r="DS3" s="273"/>
      <c r="DT3" s="273"/>
      <c r="DU3" s="273"/>
      <c r="DV3" s="273"/>
      <c r="DW3" s="273"/>
      <c r="DX3" s="273"/>
      <c r="DY3" s="273"/>
      <c r="DZ3" s="273"/>
      <c r="EA3" s="273"/>
      <c r="EB3" s="273"/>
      <c r="EC3" s="273"/>
      <c r="ED3" s="273"/>
      <c r="EE3" s="273"/>
      <c r="EF3" s="273"/>
      <c r="EG3" s="273"/>
      <c r="EH3" s="273"/>
      <c r="EI3" s="273"/>
      <c r="EJ3" s="273"/>
      <c r="EK3" s="273"/>
      <c r="EL3" s="273"/>
      <c r="EM3" s="273"/>
      <c r="EN3" s="273"/>
      <c r="EO3" s="273"/>
      <c r="EP3" s="273"/>
      <c r="EQ3" s="273"/>
      <c r="ER3" s="273"/>
      <c r="ES3" s="273"/>
      <c r="ET3" s="273"/>
      <c r="EU3" s="273"/>
      <c r="EV3" s="273"/>
      <c r="EW3" s="273"/>
      <c r="EX3" s="273"/>
      <c r="EY3" s="273"/>
      <c r="EZ3" s="273"/>
      <c r="FA3" s="273"/>
      <c r="FB3" s="273"/>
      <c r="FC3" s="273"/>
      <c r="FD3" s="273"/>
      <c r="FE3" s="273"/>
      <c r="FF3" s="273"/>
      <c r="FG3" s="273"/>
      <c r="FH3" s="273"/>
      <c r="FI3" s="273"/>
      <c r="FJ3" s="273"/>
      <c r="FK3" s="273"/>
      <c r="FL3" s="273"/>
      <c r="FM3" s="273"/>
      <c r="FN3" s="273"/>
      <c r="FO3" s="273"/>
      <c r="FP3" s="273"/>
      <c r="FQ3" s="273"/>
      <c r="FR3" s="273"/>
      <c r="FS3" s="273"/>
      <c r="FT3" s="273"/>
      <c r="FU3" s="273"/>
      <c r="FV3" s="273"/>
      <c r="FW3" s="273"/>
      <c r="FX3" s="273"/>
      <c r="FY3" s="273"/>
      <c r="FZ3" s="273"/>
      <c r="GA3" s="273"/>
      <c r="GB3" s="273"/>
      <c r="GC3" s="273"/>
      <c r="GD3" s="273"/>
      <c r="GE3" s="273"/>
      <c r="GF3" s="273"/>
      <c r="GG3" s="273"/>
      <c r="GH3" s="273"/>
      <c r="GI3" s="273"/>
      <c r="GJ3" s="273"/>
      <c r="GK3" s="273"/>
      <c r="GL3" s="273"/>
      <c r="GM3" s="273"/>
      <c r="GN3" s="273"/>
      <c r="GO3" s="273"/>
      <c r="GP3" s="273"/>
      <c r="GQ3" s="273"/>
      <c r="GR3" s="273"/>
      <c r="GS3" s="273"/>
      <c r="GT3" s="273"/>
      <c r="GU3" s="273"/>
      <c r="GV3" s="273"/>
      <c r="GW3" s="273"/>
      <c r="GX3" s="273"/>
      <c r="GY3" s="273"/>
      <c r="GZ3" s="273"/>
      <c r="HA3" s="273"/>
      <c r="HB3" s="273"/>
      <c r="HC3" s="273"/>
      <c r="HD3" s="273"/>
      <c r="HE3" s="273"/>
      <c r="HF3" s="273"/>
      <c r="HG3" s="273"/>
      <c r="HH3" s="273"/>
      <c r="HI3" s="273"/>
      <c r="HJ3" s="273"/>
      <c r="HK3" s="273"/>
      <c r="HL3" s="273"/>
      <c r="HM3" s="273"/>
      <c r="HN3" s="273"/>
      <c r="HO3" s="273"/>
      <c r="HP3" s="273"/>
      <c r="HQ3" s="273"/>
      <c r="HR3" s="273"/>
      <c r="HS3" s="273"/>
      <c r="HT3" s="273"/>
      <c r="HU3" s="273"/>
      <c r="HV3" s="273"/>
      <c r="HW3" s="273"/>
      <c r="HX3" s="273"/>
      <c r="HY3" s="273"/>
      <c r="HZ3" s="273"/>
      <c r="IA3" s="273"/>
      <c r="IB3" s="273"/>
      <c r="IC3" s="273"/>
      <c r="ID3" s="273"/>
      <c r="IE3" s="273"/>
      <c r="IF3" s="273"/>
      <c r="IG3" s="273"/>
      <c r="IH3" s="273"/>
      <c r="II3" s="273"/>
      <c r="IJ3" s="273"/>
      <c r="IK3" s="273"/>
      <c r="IL3" s="273"/>
      <c r="IM3" s="273"/>
      <c r="IN3" s="273"/>
      <c r="IO3" s="273"/>
      <c r="IP3" s="273"/>
      <c r="IQ3" s="273"/>
      <c r="IR3" s="273"/>
      <c r="IS3" s="273"/>
      <c r="IT3" s="273"/>
      <c r="IU3" s="273"/>
      <c r="IV3" s="273"/>
      <c r="IW3" s="273"/>
      <c r="IX3" s="273"/>
      <c r="IY3" s="273"/>
      <c r="IZ3" s="273"/>
      <c r="JA3" s="273"/>
      <c r="JB3" s="273"/>
      <c r="JC3" s="273"/>
      <c r="JD3" s="273"/>
      <c r="JE3" s="273"/>
      <c r="JF3" s="273"/>
      <c r="JG3" s="273"/>
      <c r="JH3" s="273"/>
      <c r="JI3" s="273"/>
      <c r="JJ3" s="273"/>
      <c r="JK3" s="273"/>
      <c r="JL3" s="273"/>
      <c r="JM3" s="273"/>
      <c r="JN3" s="273"/>
      <c r="JO3" s="273"/>
      <c r="JP3" s="273"/>
      <c r="JQ3" s="273"/>
      <c r="JR3" s="273"/>
      <c r="JS3" s="273"/>
      <c r="JT3" s="273"/>
      <c r="JU3" s="273"/>
      <c r="JV3" s="273"/>
      <c r="JW3" s="273"/>
      <c r="JX3" s="273"/>
      <c r="JY3" s="273"/>
      <c r="JZ3" s="273"/>
      <c r="KA3" s="273"/>
      <c r="KB3" s="273"/>
      <c r="KC3" s="273"/>
      <c r="KD3" s="273"/>
      <c r="KE3" s="273"/>
      <c r="KF3" s="273"/>
      <c r="KG3" s="273"/>
      <c r="KH3" s="273"/>
      <c r="KI3" s="273"/>
      <c r="KJ3" s="273"/>
      <c r="KK3" s="273"/>
      <c r="KL3" s="273"/>
      <c r="KM3" s="273"/>
      <c r="KN3" s="273"/>
      <c r="KO3" s="273"/>
      <c r="KP3" s="273"/>
      <c r="KQ3" s="273"/>
      <c r="KR3" s="273"/>
      <c r="KS3" s="273"/>
      <c r="KT3" s="273"/>
      <c r="KU3" s="273"/>
      <c r="KV3" s="273"/>
      <c r="KW3" s="273"/>
      <c r="KX3" s="273"/>
      <c r="KY3" s="273"/>
      <c r="KZ3" s="273"/>
      <c r="LA3" s="273"/>
      <c r="LB3" s="273"/>
      <c r="LC3" s="273"/>
      <c r="LD3" s="273"/>
      <c r="LE3" s="273"/>
      <c r="LF3" s="273"/>
      <c r="LG3" s="273"/>
      <c r="LH3" s="273"/>
      <c r="LI3" s="273"/>
      <c r="LJ3" s="273"/>
      <c r="LK3" s="273"/>
      <c r="LL3" s="273"/>
      <c r="LM3" s="273"/>
      <c r="LN3" s="273"/>
      <c r="LO3" s="273"/>
      <c r="LP3" s="273"/>
      <c r="LQ3" s="273"/>
      <c r="LR3" s="273"/>
      <c r="LS3" s="273"/>
      <c r="LT3" s="273"/>
      <c r="LU3" s="273"/>
      <c r="LV3" s="273"/>
      <c r="LW3" s="273"/>
      <c r="LX3" s="273"/>
      <c r="LY3" s="273"/>
      <c r="LZ3" s="273"/>
      <c r="MA3" s="273"/>
      <c r="MB3" s="273"/>
      <c r="MC3" s="273"/>
      <c r="MD3" s="273"/>
      <c r="ME3" s="273"/>
      <c r="MF3" s="273"/>
      <c r="MG3" s="273"/>
      <c r="MH3" s="273"/>
      <c r="MI3" s="273"/>
      <c r="MJ3" s="273"/>
      <c r="MK3" s="273"/>
      <c r="ML3" s="273"/>
      <c r="MM3" s="273"/>
      <c r="MN3" s="273"/>
      <c r="MO3" s="273"/>
      <c r="MP3" s="273"/>
      <c r="MQ3" s="273"/>
      <c r="MR3" s="273"/>
      <c r="MS3" s="273"/>
      <c r="MT3" s="273"/>
      <c r="MU3" s="273"/>
      <c r="MV3" s="273"/>
      <c r="MW3" s="273"/>
      <c r="MX3" s="273"/>
      <c r="MY3" s="273"/>
      <c r="MZ3" s="273"/>
      <c r="NA3" s="273"/>
      <c r="NB3" s="273"/>
      <c r="NC3" s="273"/>
      <c r="ND3" s="273"/>
      <c r="NE3" s="273"/>
      <c r="NF3" s="273"/>
      <c r="NG3" s="273"/>
      <c r="NH3" s="273"/>
      <c r="NI3" s="273"/>
      <c r="NJ3" s="273"/>
      <c r="NK3" s="273"/>
      <c r="NL3" s="273"/>
      <c r="NM3" s="273"/>
      <c r="NN3" s="273"/>
      <c r="NO3" s="273"/>
      <c r="NP3" s="273"/>
      <c r="NQ3" s="273"/>
      <c r="NR3" s="273"/>
      <c r="NS3" s="273"/>
      <c r="NT3" s="273"/>
      <c r="NU3" s="273"/>
      <c r="NV3" s="273"/>
      <c r="NW3" s="273"/>
      <c r="NX3" s="273"/>
      <c r="NY3" s="273"/>
      <c r="NZ3" s="273"/>
      <c r="OA3" s="273"/>
      <c r="OB3" s="273"/>
      <c r="OC3" s="273"/>
      <c r="OD3" s="273"/>
      <c r="OE3" s="273"/>
      <c r="OF3" s="273"/>
      <c r="OG3" s="273"/>
      <c r="OH3" s="273"/>
      <c r="OI3" s="273"/>
      <c r="OJ3" s="273"/>
      <c r="OK3" s="273"/>
      <c r="OL3" s="273"/>
      <c r="OM3" s="273"/>
      <c r="ON3" s="273"/>
      <c r="OO3" s="273"/>
      <c r="OP3" s="273"/>
      <c r="OQ3" s="273"/>
      <c r="OR3" s="273"/>
      <c r="OS3" s="273"/>
      <c r="OT3" s="273"/>
      <c r="OU3" s="273"/>
      <c r="OV3" s="273"/>
      <c r="OW3" s="273"/>
      <c r="OX3" s="273"/>
      <c r="OY3" s="273"/>
      <c r="OZ3" s="273"/>
      <c r="PA3" s="273"/>
      <c r="PB3" s="273"/>
      <c r="PC3" s="273"/>
      <c r="PD3" s="273"/>
      <c r="PE3" s="273"/>
      <c r="PF3" s="273"/>
      <c r="PG3" s="273"/>
      <c r="PH3" s="273"/>
      <c r="PI3" s="273"/>
      <c r="PJ3" s="273"/>
      <c r="PK3" s="273"/>
      <c r="PL3" s="273"/>
      <c r="PM3" s="273"/>
      <c r="PN3" s="273"/>
      <c r="PO3" s="273"/>
      <c r="PP3" s="273"/>
      <c r="PQ3" s="273"/>
      <c r="PR3" s="273"/>
      <c r="PS3" s="273"/>
      <c r="PT3" s="273"/>
      <c r="PU3" s="273"/>
      <c r="PV3" s="273"/>
      <c r="PW3" s="273"/>
      <c r="PX3" s="273"/>
      <c r="PY3" s="273"/>
      <c r="PZ3" s="273"/>
      <c r="QA3" s="273"/>
      <c r="QB3" s="273"/>
      <c r="QC3" s="273"/>
      <c r="QD3" s="273"/>
      <c r="QE3" s="273"/>
      <c r="QF3" s="273"/>
      <c r="QG3" s="273"/>
      <c r="QH3" s="273"/>
      <c r="QI3" s="273"/>
      <c r="QJ3" s="273"/>
      <c r="QK3" s="273"/>
      <c r="QL3" s="273"/>
      <c r="QM3" s="273"/>
      <c r="QN3" s="273"/>
      <c r="QO3" s="273"/>
      <c r="QP3" s="273"/>
      <c r="QQ3" s="273"/>
      <c r="QR3" s="273"/>
      <c r="QS3" s="273"/>
      <c r="QT3" s="273"/>
      <c r="QU3" s="273"/>
      <c r="QV3" s="273"/>
      <c r="QW3" s="273"/>
      <c r="QX3" s="273"/>
      <c r="QY3" s="273"/>
      <c r="QZ3" s="273"/>
      <c r="RA3" s="273"/>
      <c r="RB3" s="273"/>
      <c r="RC3" s="273"/>
      <c r="RD3" s="273"/>
      <c r="RE3" s="273"/>
      <c r="RF3" s="273"/>
      <c r="RG3" s="273"/>
      <c r="RH3" s="273"/>
      <c r="RI3" s="273"/>
      <c r="RJ3" s="273"/>
      <c r="RK3" s="273"/>
      <c r="RL3" s="273"/>
      <c r="RM3" s="273"/>
      <c r="RN3" s="273"/>
      <c r="RO3" s="273"/>
      <c r="RP3" s="273"/>
      <c r="RQ3" s="273"/>
      <c r="RR3" s="273"/>
      <c r="RS3" s="273"/>
      <c r="RT3" s="273"/>
      <c r="RU3" s="273"/>
      <c r="RV3" s="273"/>
      <c r="RW3" s="273"/>
      <c r="RX3" s="273"/>
      <c r="RY3" s="273"/>
      <c r="RZ3" s="273"/>
      <c r="SA3" s="273"/>
      <c r="SB3" s="273"/>
      <c r="SC3" s="273"/>
      <c r="SD3" s="273"/>
      <c r="SE3" s="273"/>
      <c r="SF3" s="273"/>
      <c r="SG3" s="273"/>
      <c r="SH3" s="273"/>
      <c r="SI3" s="273"/>
      <c r="SJ3" s="273"/>
      <c r="SK3" s="273"/>
      <c r="SL3" s="273"/>
      <c r="SM3" s="273"/>
      <c r="SN3" s="273"/>
      <c r="SO3" s="273"/>
      <c r="SP3" s="273"/>
      <c r="SQ3" s="273"/>
      <c r="SR3" s="273"/>
      <c r="SS3" s="273"/>
      <c r="ST3" s="273"/>
      <c r="SU3" s="273"/>
      <c r="SV3" s="273"/>
      <c r="SW3" s="273"/>
      <c r="SX3" s="273"/>
      <c r="SY3" s="273"/>
      <c r="SZ3" s="273"/>
      <c r="TA3" s="273"/>
      <c r="TB3" s="273"/>
      <c r="TC3" s="273"/>
      <c r="TD3" s="273"/>
      <c r="TE3" s="273"/>
      <c r="TF3" s="273"/>
      <c r="TG3" s="273"/>
      <c r="TH3" s="273"/>
      <c r="TI3" s="273"/>
      <c r="TJ3" s="273"/>
      <c r="TK3" s="273"/>
      <c r="TL3" s="273"/>
      <c r="TM3" s="273"/>
      <c r="TN3" s="273"/>
      <c r="TO3" s="273"/>
      <c r="TP3" s="273"/>
      <c r="TQ3" s="273"/>
      <c r="TR3" s="273"/>
      <c r="TS3" s="273"/>
      <c r="TT3" s="273"/>
      <c r="TU3" s="273"/>
      <c r="TV3" s="273"/>
      <c r="TW3" s="273"/>
      <c r="TX3" s="273"/>
      <c r="TY3" s="273"/>
      <c r="TZ3" s="273"/>
      <c r="UA3" s="273"/>
      <c r="UB3" s="273"/>
      <c r="UC3" s="273"/>
      <c r="UD3" s="273"/>
      <c r="UE3" s="273"/>
      <c r="UF3" s="273"/>
      <c r="UG3" s="273"/>
      <c r="UH3" s="273"/>
      <c r="UI3" s="273"/>
      <c r="UJ3" s="273"/>
      <c r="UK3" s="273"/>
      <c r="UL3" s="273"/>
      <c r="UM3" s="273"/>
      <c r="UN3" s="273"/>
      <c r="UO3" s="273"/>
      <c r="UP3" s="273"/>
      <c r="UQ3" s="273"/>
      <c r="UR3" s="273"/>
      <c r="US3" s="273"/>
      <c r="UT3" s="273"/>
      <c r="UU3" s="273"/>
      <c r="UV3" s="273"/>
      <c r="UW3" s="273"/>
      <c r="UX3" s="273"/>
      <c r="UY3" s="273"/>
      <c r="UZ3" s="273"/>
      <c r="VA3" s="273"/>
      <c r="VB3" s="273"/>
      <c r="VC3" s="273"/>
      <c r="VD3" s="273"/>
      <c r="VE3" s="273"/>
      <c r="VF3" s="273"/>
      <c r="VG3" s="273"/>
      <c r="VH3" s="273"/>
      <c r="VI3" s="273"/>
      <c r="VJ3" s="273"/>
      <c r="VK3" s="273"/>
      <c r="VL3" s="273"/>
      <c r="VM3" s="273"/>
      <c r="VN3" s="273"/>
      <c r="VO3" s="273"/>
      <c r="VP3" s="273"/>
      <c r="VQ3" s="273"/>
      <c r="VR3" s="273"/>
      <c r="VS3" s="273"/>
      <c r="VT3" s="273"/>
      <c r="VU3" s="273"/>
      <c r="VV3" s="273"/>
      <c r="VW3" s="273"/>
      <c r="VX3" s="273"/>
      <c r="VY3" s="273"/>
      <c r="VZ3" s="273"/>
      <c r="WA3" s="273"/>
      <c r="WB3" s="273"/>
      <c r="WC3" s="273"/>
      <c r="WD3" s="273"/>
      <c r="WE3" s="273"/>
      <c r="WF3" s="273"/>
      <c r="WG3" s="273"/>
      <c r="WH3" s="273"/>
      <c r="WI3" s="273"/>
      <c r="WJ3" s="273"/>
      <c r="WK3" s="273"/>
      <c r="WL3" s="273"/>
      <c r="WM3" s="273"/>
      <c r="WN3" s="273"/>
      <c r="WO3" s="273"/>
      <c r="WP3" s="273"/>
      <c r="WQ3" s="273"/>
      <c r="WR3" s="273"/>
      <c r="WS3" s="273"/>
      <c r="WT3" s="273"/>
      <c r="WU3" s="273"/>
      <c r="WV3" s="273"/>
      <c r="WW3" s="273"/>
      <c r="WX3" s="273"/>
      <c r="WY3" s="273"/>
      <c r="WZ3" s="273"/>
      <c r="XA3" s="273"/>
      <c r="XB3" s="273"/>
      <c r="XC3" s="273"/>
      <c r="XD3" s="273"/>
      <c r="XE3" s="273"/>
      <c r="XF3" s="273"/>
      <c r="XG3" s="273"/>
      <c r="XH3" s="273"/>
      <c r="XI3" s="273"/>
      <c r="XJ3" s="273"/>
      <c r="XK3" s="273"/>
      <c r="XL3" s="273"/>
      <c r="XM3" s="273"/>
      <c r="XN3" s="273"/>
      <c r="XO3" s="273"/>
      <c r="XP3" s="273"/>
      <c r="XQ3" s="273"/>
      <c r="XR3" s="273"/>
      <c r="XS3" s="273"/>
      <c r="XT3" s="273"/>
      <c r="XU3" s="273"/>
      <c r="XV3" s="273"/>
      <c r="XW3" s="273"/>
      <c r="XX3" s="273"/>
      <c r="XY3" s="273"/>
      <c r="XZ3" s="273"/>
      <c r="YA3" s="273"/>
      <c r="YB3" s="273"/>
      <c r="YC3" s="273"/>
      <c r="YD3" s="273"/>
      <c r="YE3" s="273"/>
      <c r="YF3" s="273"/>
      <c r="YG3" s="273"/>
      <c r="YH3" s="273"/>
      <c r="YI3" s="273"/>
      <c r="YJ3" s="273"/>
      <c r="YK3" s="273"/>
      <c r="YL3" s="273"/>
      <c r="YM3" s="273"/>
      <c r="YN3" s="273"/>
      <c r="YO3" s="273"/>
      <c r="YP3" s="273"/>
      <c r="YQ3" s="273"/>
      <c r="YR3" s="273"/>
      <c r="YS3" s="273"/>
      <c r="YT3" s="273"/>
      <c r="YU3" s="273"/>
      <c r="YV3" s="273"/>
      <c r="YW3" s="273"/>
      <c r="YX3" s="273"/>
      <c r="YY3" s="273"/>
      <c r="YZ3" s="273"/>
      <c r="ZA3" s="273"/>
      <c r="ZB3" s="273"/>
      <c r="ZC3" s="273"/>
      <c r="ZD3" s="273"/>
      <c r="ZE3" s="273"/>
      <c r="ZF3" s="273"/>
      <c r="ZG3" s="273"/>
      <c r="ZH3" s="273"/>
      <c r="ZI3" s="273"/>
      <c r="ZJ3" s="273"/>
      <c r="ZK3" s="273"/>
      <c r="ZL3" s="273"/>
      <c r="ZM3" s="273"/>
      <c r="ZN3" s="273"/>
      <c r="ZO3" s="273"/>
      <c r="ZP3" s="273"/>
      <c r="ZQ3" s="273"/>
      <c r="ZR3" s="273"/>
      <c r="ZS3" s="273"/>
      <c r="ZT3" s="273"/>
      <c r="ZU3" s="273"/>
      <c r="ZV3" s="273"/>
      <c r="ZW3" s="273"/>
      <c r="ZX3" s="273"/>
      <c r="ZY3" s="273"/>
      <c r="ZZ3" s="273"/>
      <c r="AAA3" s="273"/>
      <c r="AAB3" s="273"/>
      <c r="AAC3" s="273"/>
      <c r="AAD3" s="273"/>
      <c r="AAE3" s="273"/>
      <c r="AAF3" s="273"/>
      <c r="AAG3" s="273"/>
      <c r="AAH3" s="273"/>
      <c r="AAI3" s="273"/>
      <c r="AAJ3" s="273"/>
      <c r="AAK3" s="273"/>
      <c r="AAL3" s="273"/>
      <c r="AAM3" s="273"/>
      <c r="AAN3" s="273"/>
      <c r="AAO3" s="273"/>
      <c r="AAP3" s="273"/>
      <c r="AAQ3" s="273"/>
      <c r="AAR3" s="273"/>
      <c r="AAS3" s="273"/>
      <c r="AAT3" s="273"/>
      <c r="AAU3" s="273"/>
      <c r="AAV3" s="273"/>
      <c r="AAW3" s="273"/>
      <c r="AAX3" s="273"/>
      <c r="AAY3" s="273"/>
      <c r="AAZ3" s="273"/>
      <c r="ABA3" s="273"/>
      <c r="ABB3" s="273"/>
      <c r="ABC3" s="273"/>
      <c r="ABD3" s="273"/>
      <c r="ABE3" s="273"/>
      <c r="ABF3" s="273"/>
      <c r="ABG3" s="273"/>
      <c r="ABH3" s="273"/>
      <c r="ABI3" s="273"/>
      <c r="ABJ3" s="273"/>
      <c r="ABK3" s="273"/>
      <c r="ABL3" s="273"/>
      <c r="ABM3" s="273"/>
      <c r="ABN3" s="273"/>
      <c r="ABO3" s="273"/>
      <c r="ABP3" s="273"/>
      <c r="ABQ3" s="273"/>
      <c r="ABR3" s="273"/>
      <c r="ABS3" s="273"/>
      <c r="ABT3" s="273"/>
      <c r="ABU3" s="273"/>
      <c r="ABV3" s="273"/>
      <c r="ABW3" s="273"/>
      <c r="ABX3" s="273"/>
      <c r="ABY3" s="273"/>
      <c r="ABZ3" s="273"/>
      <c r="ACA3" s="273"/>
      <c r="ACB3" s="273"/>
      <c r="ACC3" s="273"/>
      <c r="ACD3" s="273"/>
      <c r="ACE3" s="273"/>
      <c r="ACF3" s="273"/>
      <c r="ACG3" s="273"/>
      <c r="ACH3" s="273"/>
      <c r="ACI3" s="273"/>
      <c r="ACJ3" s="273"/>
      <c r="ACK3" s="273"/>
      <c r="ACL3" s="273"/>
      <c r="ACM3" s="273"/>
      <c r="ACN3" s="273"/>
      <c r="ACO3" s="273"/>
      <c r="ACP3" s="273"/>
      <c r="ACQ3" s="273"/>
      <c r="ACR3" s="273"/>
      <c r="ACS3" s="273"/>
      <c r="ACT3" s="273"/>
      <c r="ACU3" s="273"/>
      <c r="ACV3" s="273"/>
      <c r="ACW3" s="273"/>
      <c r="ACX3" s="273"/>
      <c r="ACY3" s="273"/>
      <c r="ACZ3" s="273"/>
      <c r="ADA3" s="273"/>
      <c r="ADB3" s="273"/>
      <c r="ADC3" s="273"/>
      <c r="ADD3" s="273"/>
      <c r="ADE3" s="273"/>
      <c r="ADF3" s="273"/>
      <c r="ADG3" s="273"/>
      <c r="ADH3" s="273"/>
      <c r="ADI3" s="273"/>
      <c r="ADJ3" s="273"/>
      <c r="ADK3" s="273"/>
      <c r="ADL3" s="273"/>
      <c r="ADM3" s="273"/>
      <c r="ADN3" s="273"/>
      <c r="ADO3" s="273"/>
      <c r="ADP3" s="273"/>
      <c r="ADQ3" s="273"/>
      <c r="ADR3" s="273"/>
      <c r="ADS3" s="273"/>
      <c r="ADT3" s="273"/>
      <c r="ADU3" s="273"/>
      <c r="ADV3" s="273"/>
      <c r="ADW3" s="273"/>
      <c r="ADX3" s="273"/>
      <c r="ADY3" s="273"/>
      <c r="ADZ3" s="273"/>
      <c r="AEA3" s="273"/>
      <c r="AEB3" s="273"/>
      <c r="AEC3" s="273"/>
      <c r="AED3" s="273"/>
      <c r="AEE3" s="273"/>
      <c r="AEF3" s="273"/>
      <c r="AEG3" s="273"/>
      <c r="AEH3" s="273"/>
      <c r="AEI3" s="273"/>
      <c r="AEJ3" s="273"/>
      <c r="AEK3" s="273"/>
      <c r="AEL3" s="273"/>
      <c r="AEM3" s="273"/>
      <c r="AEN3" s="273"/>
      <c r="AEO3" s="273"/>
      <c r="AEP3" s="273"/>
      <c r="AEQ3" s="273"/>
      <c r="AER3" s="273"/>
      <c r="AES3" s="273"/>
      <c r="AET3" s="273"/>
      <c r="AEU3" s="273"/>
      <c r="AEV3" s="273"/>
      <c r="AEW3" s="273"/>
      <c r="AEX3" s="273"/>
      <c r="AEY3" s="273"/>
      <c r="AEZ3" s="273"/>
      <c r="AFA3" s="273"/>
      <c r="AFB3" s="273"/>
      <c r="AFC3" s="273"/>
      <c r="AFD3" s="273"/>
      <c r="AFE3" s="273"/>
      <c r="AFF3" s="273"/>
      <c r="AFG3" s="273"/>
      <c r="AFH3" s="273"/>
      <c r="AFI3" s="273"/>
      <c r="AFJ3" s="273"/>
      <c r="AFK3" s="273"/>
      <c r="AFL3" s="273"/>
      <c r="AFM3" s="273"/>
      <c r="AFN3" s="273"/>
      <c r="AFO3" s="273"/>
      <c r="AFP3" s="273"/>
      <c r="AFQ3" s="273"/>
      <c r="AFR3" s="273"/>
      <c r="AFS3" s="273"/>
      <c r="AFT3" s="273"/>
      <c r="AFU3" s="273"/>
      <c r="AFV3" s="273"/>
      <c r="AFW3" s="273"/>
      <c r="AFX3" s="273"/>
      <c r="AFY3" s="273"/>
      <c r="AFZ3" s="273"/>
      <c r="AGA3" s="273"/>
      <c r="AGB3" s="273"/>
      <c r="AGC3" s="273"/>
      <c r="AGD3" s="273"/>
      <c r="AGE3" s="273"/>
      <c r="AGF3" s="273"/>
      <c r="AGG3" s="273"/>
      <c r="AGH3" s="273"/>
      <c r="AGI3" s="273"/>
      <c r="AGJ3" s="273"/>
      <c r="AGK3" s="273"/>
      <c r="AGL3" s="273"/>
      <c r="AGM3" s="273"/>
      <c r="AGN3" s="273"/>
      <c r="AGO3" s="273"/>
      <c r="AGP3" s="273"/>
      <c r="AGQ3" s="273"/>
      <c r="AGR3" s="273"/>
      <c r="AGS3" s="273"/>
      <c r="AGT3" s="273"/>
      <c r="AGU3" s="273"/>
      <c r="AGV3" s="271"/>
    </row>
    <row r="4" spans="1:880" ht="15.6" x14ac:dyDescent="0.3">
      <c r="A4" s="84" t="s">
        <v>111</v>
      </c>
      <c r="B4" s="90" t="s">
        <v>167</v>
      </c>
      <c r="C4" s="165">
        <v>1090424</v>
      </c>
      <c r="D4" s="231"/>
      <c r="E4" s="116"/>
      <c r="F4" s="60">
        <f>D4-E4</f>
        <v>0</v>
      </c>
      <c r="G4" s="61"/>
      <c r="H4" s="257"/>
      <c r="I4" s="66" t="s">
        <v>168</v>
      </c>
      <c r="J4" s="66"/>
      <c r="K4" s="261"/>
      <c r="L4" s="265"/>
      <c r="M4" s="167"/>
    </row>
    <row r="5" spans="1:880" ht="15.6" x14ac:dyDescent="0.3">
      <c r="A5" s="84" t="s">
        <v>66</v>
      </c>
      <c r="B5" s="90" t="s">
        <v>169</v>
      </c>
      <c r="C5" s="165">
        <v>928805</v>
      </c>
      <c r="D5" s="144">
        <v>27993</v>
      </c>
      <c r="E5" s="155">
        <v>17586</v>
      </c>
      <c r="F5" s="60">
        <f>D5-E5</f>
        <v>10407</v>
      </c>
      <c r="G5" s="61">
        <f>F5/D5</f>
        <v>0.37177151430714822</v>
      </c>
      <c r="H5" s="257">
        <v>44926</v>
      </c>
      <c r="I5" s="78" t="s">
        <v>170</v>
      </c>
      <c r="J5" s="66" t="s">
        <v>171</v>
      </c>
      <c r="K5" s="261">
        <v>2022</v>
      </c>
      <c r="L5" s="266"/>
      <c r="M5" s="167"/>
    </row>
    <row r="6" spans="1:880" ht="15.6" x14ac:dyDescent="0.3">
      <c r="A6" s="84" t="s">
        <v>66</v>
      </c>
      <c r="B6" s="90" t="s">
        <v>172</v>
      </c>
      <c r="C6" s="160">
        <v>963383</v>
      </c>
      <c r="D6" s="140"/>
      <c r="E6" s="140"/>
      <c r="F6" s="60"/>
      <c r="G6" s="232"/>
      <c r="H6" s="257"/>
      <c r="I6" s="78" t="s">
        <v>170</v>
      </c>
      <c r="J6" s="66" t="s">
        <v>171</v>
      </c>
      <c r="K6" s="261"/>
      <c r="L6" s="266"/>
      <c r="M6" s="167"/>
    </row>
    <row r="7" spans="1:880" s="13" customFormat="1" ht="15.6" x14ac:dyDescent="0.3">
      <c r="A7" s="84" t="s">
        <v>111</v>
      </c>
      <c r="B7" s="90" t="s">
        <v>173</v>
      </c>
      <c r="C7" s="160"/>
      <c r="D7" s="116"/>
      <c r="E7" s="116"/>
      <c r="F7" s="60">
        <f t="shared" ref="F7:F14" si="0">D7-E7</f>
        <v>0</v>
      </c>
      <c r="G7" s="61" t="e">
        <f>F7/D7</f>
        <v>#DIV/0!</v>
      </c>
      <c r="H7" s="257"/>
      <c r="I7" s="66" t="s">
        <v>168</v>
      </c>
      <c r="J7" s="66" t="s">
        <v>171</v>
      </c>
      <c r="K7" s="261">
        <v>2021</v>
      </c>
      <c r="L7" s="265"/>
      <c r="M7" s="16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</row>
    <row r="8" spans="1:880" ht="15.6" x14ac:dyDescent="0.3">
      <c r="A8" s="84" t="s">
        <v>72</v>
      </c>
      <c r="B8" s="256" t="s">
        <v>174</v>
      </c>
      <c r="C8" s="160"/>
      <c r="D8" s="144"/>
      <c r="E8" s="170"/>
      <c r="F8" s="60">
        <f t="shared" si="0"/>
        <v>0</v>
      </c>
      <c r="G8" s="61" t="e">
        <f>F8/D8</f>
        <v>#DIV/0!</v>
      </c>
      <c r="H8" s="257">
        <v>44926</v>
      </c>
      <c r="I8" s="78" t="s">
        <v>175</v>
      </c>
      <c r="J8" s="79" t="s">
        <v>176</v>
      </c>
      <c r="K8" s="263">
        <v>2022</v>
      </c>
      <c r="L8" s="266" t="s">
        <v>177</v>
      </c>
      <c r="M8" s="167"/>
    </row>
    <row r="9" spans="1:880" s="13" customFormat="1" ht="15.6" x14ac:dyDescent="0.3">
      <c r="A9" s="84" t="s">
        <v>72</v>
      </c>
      <c r="B9" s="90" t="s">
        <v>178</v>
      </c>
      <c r="C9" s="160"/>
      <c r="D9" s="143"/>
      <c r="E9" s="116"/>
      <c r="F9" s="60">
        <f t="shared" si="0"/>
        <v>0</v>
      </c>
      <c r="G9" s="61"/>
      <c r="H9" s="257"/>
      <c r="I9" s="66"/>
      <c r="J9" s="66"/>
      <c r="K9" s="261"/>
      <c r="L9" s="267"/>
      <c r="M9" s="167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</row>
    <row r="10" spans="1:880" s="13" customFormat="1" ht="15.6" x14ac:dyDescent="0.3">
      <c r="A10" s="84" t="s">
        <v>111</v>
      </c>
      <c r="B10" s="90" t="s">
        <v>179</v>
      </c>
      <c r="C10" s="160"/>
      <c r="D10" s="116"/>
      <c r="E10" s="116"/>
      <c r="F10" s="60">
        <f t="shared" si="0"/>
        <v>0</v>
      </c>
      <c r="G10" s="61"/>
      <c r="H10" s="257"/>
      <c r="I10" s="66"/>
      <c r="J10" s="66"/>
      <c r="K10" s="261">
        <v>2020</v>
      </c>
      <c r="L10" s="265"/>
      <c r="M10" s="167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</row>
    <row r="11" spans="1:880" s="13" customFormat="1" ht="15.6" x14ac:dyDescent="0.3">
      <c r="A11" s="84" t="s">
        <v>72</v>
      </c>
      <c r="B11" s="90" t="s">
        <v>180</v>
      </c>
      <c r="C11" s="165"/>
      <c r="D11" s="116"/>
      <c r="E11" s="116"/>
      <c r="F11" s="60">
        <f t="shared" si="0"/>
        <v>0</v>
      </c>
      <c r="G11" s="61"/>
      <c r="H11" s="257"/>
      <c r="I11" s="78"/>
      <c r="J11" s="66"/>
      <c r="K11" s="261"/>
      <c r="L11" s="268"/>
      <c r="M11" s="167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</row>
    <row r="12" spans="1:880" s="13" customFormat="1" ht="15.6" x14ac:dyDescent="0.3">
      <c r="A12" s="84" t="s">
        <v>72</v>
      </c>
      <c r="B12" s="90" t="s">
        <v>180</v>
      </c>
      <c r="C12" s="165"/>
      <c r="D12" s="116"/>
      <c r="E12" s="116"/>
      <c r="F12" s="60">
        <f t="shared" si="0"/>
        <v>0</v>
      </c>
      <c r="G12" s="61"/>
      <c r="H12" s="257"/>
      <c r="I12" s="78"/>
      <c r="J12" s="66"/>
      <c r="K12" s="261"/>
      <c r="L12" s="268"/>
      <c r="M12" s="16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</row>
    <row r="13" spans="1:880" ht="15.6" x14ac:dyDescent="0.3">
      <c r="A13" s="84" t="s">
        <v>72</v>
      </c>
      <c r="B13" s="90" t="s">
        <v>181</v>
      </c>
      <c r="C13" s="160"/>
      <c r="D13" s="176"/>
      <c r="E13" s="170"/>
      <c r="F13" s="60">
        <f t="shared" si="0"/>
        <v>0</v>
      </c>
      <c r="G13" s="61" t="e">
        <f>F13/D13</f>
        <v>#DIV/0!</v>
      </c>
      <c r="H13" s="257">
        <v>45291</v>
      </c>
      <c r="I13" s="121"/>
      <c r="J13" s="121"/>
      <c r="K13" s="261"/>
      <c r="L13" s="267"/>
      <c r="M13" s="167"/>
    </row>
    <row r="14" spans="1:880" ht="15.6" x14ac:dyDescent="0.3">
      <c r="A14" s="270"/>
      <c r="B14" s="90" t="s">
        <v>182</v>
      </c>
      <c r="C14" s="160"/>
      <c r="D14" s="116"/>
      <c r="E14" s="116"/>
      <c r="F14" s="60">
        <f t="shared" si="0"/>
        <v>0</v>
      </c>
      <c r="G14" s="61"/>
      <c r="H14" s="257"/>
      <c r="I14" s="78"/>
      <c r="J14" s="193" t="s">
        <v>183</v>
      </c>
      <c r="K14" s="262"/>
      <c r="L14" s="265"/>
      <c r="M14" s="167"/>
    </row>
    <row r="15" spans="1:880" ht="15.6" x14ac:dyDescent="0.3">
      <c r="A15" s="84" t="s">
        <v>72</v>
      </c>
      <c r="B15" s="90" t="s">
        <v>184</v>
      </c>
      <c r="C15" s="165">
        <v>1823380</v>
      </c>
      <c r="D15" s="116"/>
      <c r="E15" s="116"/>
      <c r="F15" s="60"/>
      <c r="G15" s="61"/>
      <c r="H15" s="257"/>
      <c r="I15" s="66" t="s">
        <v>168</v>
      </c>
      <c r="J15" s="66" t="s">
        <v>176</v>
      </c>
      <c r="K15" s="261"/>
      <c r="L15" s="266"/>
      <c r="M15" s="167"/>
    </row>
    <row r="16" spans="1:880" ht="15.6" x14ac:dyDescent="0.3">
      <c r="A16" s="84" t="s">
        <v>72</v>
      </c>
      <c r="B16" s="90" t="s">
        <v>185</v>
      </c>
      <c r="C16" s="160"/>
      <c r="D16" s="143"/>
      <c r="E16" s="274"/>
      <c r="F16" s="60">
        <f t="shared" ref="F16:F24" si="1">D16-E16</f>
        <v>0</v>
      </c>
      <c r="G16" s="61" t="e">
        <f>F16/D16</f>
        <v>#DIV/0!</v>
      </c>
      <c r="H16" s="257"/>
      <c r="I16" s="66"/>
      <c r="J16" s="66"/>
      <c r="K16" s="261"/>
      <c r="L16" s="266"/>
      <c r="M16" s="167"/>
    </row>
    <row r="17" spans="1:13" ht="15.6" x14ac:dyDescent="0.3">
      <c r="A17" s="84" t="s">
        <v>66</v>
      </c>
      <c r="B17" s="90" t="s">
        <v>186</v>
      </c>
      <c r="C17" s="160">
        <v>1122295</v>
      </c>
      <c r="D17" s="116"/>
      <c r="E17" s="116"/>
      <c r="F17" s="60">
        <f t="shared" si="1"/>
        <v>0</v>
      </c>
      <c r="G17" s="61" t="e">
        <f>F17/D17</f>
        <v>#DIV/0!</v>
      </c>
      <c r="H17" s="257">
        <v>44926</v>
      </c>
      <c r="I17" s="66" t="s">
        <v>168</v>
      </c>
      <c r="J17" s="121" t="s">
        <v>176</v>
      </c>
      <c r="K17" s="261"/>
      <c r="L17" s="269"/>
      <c r="M17" s="167"/>
    </row>
    <row r="18" spans="1:13" ht="15.6" x14ac:dyDescent="0.3">
      <c r="A18" s="84" t="s">
        <v>66</v>
      </c>
      <c r="B18" s="90" t="s">
        <v>187</v>
      </c>
      <c r="C18" s="160"/>
      <c r="D18" s="116"/>
      <c r="E18" s="116"/>
      <c r="F18" s="60">
        <f t="shared" si="1"/>
        <v>0</v>
      </c>
      <c r="G18" s="61"/>
      <c r="H18" s="257"/>
      <c r="I18" s="66"/>
      <c r="J18" s="66"/>
      <c r="K18" s="261"/>
      <c r="L18" s="265" t="s">
        <v>188</v>
      </c>
      <c r="M18" s="167"/>
    </row>
    <row r="19" spans="1:13" ht="15.6" x14ac:dyDescent="0.3">
      <c r="A19" s="84" t="s">
        <v>72</v>
      </c>
      <c r="B19" s="90" t="s">
        <v>189</v>
      </c>
      <c r="C19" s="160">
        <v>974230</v>
      </c>
      <c r="D19" s="116"/>
      <c r="E19" s="116"/>
      <c r="F19" s="60">
        <f t="shared" si="1"/>
        <v>0</v>
      </c>
      <c r="G19" s="61" t="e">
        <f>F19/D19</f>
        <v>#DIV/0!</v>
      </c>
      <c r="H19" s="257"/>
      <c r="I19" s="66" t="s">
        <v>168</v>
      </c>
      <c r="J19" s="121" t="s">
        <v>190</v>
      </c>
      <c r="K19" s="261"/>
      <c r="L19" s="266"/>
      <c r="M19" s="167"/>
    </row>
    <row r="20" spans="1:13" ht="15.6" x14ac:dyDescent="0.3">
      <c r="A20" s="84" t="s">
        <v>66</v>
      </c>
      <c r="B20" s="90" t="s">
        <v>191</v>
      </c>
      <c r="C20" s="160"/>
      <c r="D20" s="116"/>
      <c r="E20" s="116"/>
      <c r="F20" s="60">
        <f t="shared" si="1"/>
        <v>0</v>
      </c>
      <c r="G20" s="61"/>
      <c r="H20" s="257"/>
      <c r="I20" s="66"/>
      <c r="J20" s="121"/>
      <c r="K20" s="261">
        <v>2020</v>
      </c>
      <c r="L20" s="269" t="s">
        <v>192</v>
      </c>
      <c r="M20" s="167"/>
    </row>
    <row r="21" spans="1:13" ht="15.6" x14ac:dyDescent="0.3">
      <c r="A21" s="84" t="s">
        <v>111</v>
      </c>
      <c r="B21" s="90" t="s">
        <v>193</v>
      </c>
      <c r="C21" s="160"/>
      <c r="D21" s="116"/>
      <c r="E21" s="116"/>
      <c r="F21" s="60">
        <f t="shared" si="1"/>
        <v>0</v>
      </c>
      <c r="G21" s="61"/>
      <c r="H21" s="257"/>
      <c r="I21" s="66"/>
      <c r="J21" s="66"/>
      <c r="K21" s="261">
        <v>2020</v>
      </c>
      <c r="L21" s="265"/>
      <c r="M21" s="167"/>
    </row>
    <row r="22" spans="1:13" ht="15.6" x14ac:dyDescent="0.3">
      <c r="A22" s="270" t="s">
        <v>66</v>
      </c>
      <c r="B22" s="90" t="s">
        <v>194</v>
      </c>
      <c r="C22" s="160"/>
      <c r="D22" s="116"/>
      <c r="E22" s="116"/>
      <c r="F22" s="60">
        <f t="shared" si="1"/>
        <v>0</v>
      </c>
      <c r="G22" s="61"/>
      <c r="H22" s="257"/>
      <c r="I22" s="66" t="s">
        <v>168</v>
      </c>
      <c r="J22" s="66" t="s">
        <v>195</v>
      </c>
      <c r="K22" s="261"/>
      <c r="L22" s="265"/>
      <c r="M22" s="167"/>
    </row>
    <row r="23" spans="1:13" ht="15.6" x14ac:dyDescent="0.3">
      <c r="A23" s="270" t="s">
        <v>72</v>
      </c>
      <c r="B23" s="90" t="s">
        <v>196</v>
      </c>
      <c r="C23" s="160"/>
      <c r="D23" s="116"/>
      <c r="E23" s="116"/>
      <c r="F23" s="60">
        <f t="shared" si="1"/>
        <v>0</v>
      </c>
      <c r="G23" s="61"/>
      <c r="H23" s="257"/>
      <c r="I23" s="66"/>
      <c r="J23" s="66"/>
      <c r="K23" s="261"/>
      <c r="L23" s="266"/>
      <c r="M23" s="167"/>
    </row>
    <row r="24" spans="1:13" ht="15.6" x14ac:dyDescent="0.3">
      <c r="A24" s="84" t="s">
        <v>72</v>
      </c>
      <c r="B24" s="90" t="s">
        <v>196</v>
      </c>
      <c r="C24" s="160"/>
      <c r="D24" s="116"/>
      <c r="E24" s="116"/>
      <c r="F24" s="60">
        <f t="shared" si="1"/>
        <v>0</v>
      </c>
      <c r="G24" s="61"/>
      <c r="H24" s="257"/>
      <c r="I24" s="78"/>
      <c r="J24" s="154">
        <v>360</v>
      </c>
      <c r="K24" s="263"/>
      <c r="L24" s="266"/>
      <c r="M24" s="167"/>
    </row>
    <row r="25" spans="1:13" ht="15.6" x14ac:dyDescent="0.3">
      <c r="A25" s="270" t="s">
        <v>72</v>
      </c>
      <c r="B25" s="90" t="s">
        <v>197</v>
      </c>
      <c r="C25" s="160"/>
      <c r="D25" s="145"/>
      <c r="E25" s="145"/>
      <c r="F25" s="146"/>
      <c r="G25" s="147"/>
      <c r="H25" s="257"/>
      <c r="I25" s="66"/>
      <c r="J25" s="66"/>
      <c r="K25" s="261">
        <v>2021</v>
      </c>
      <c r="L25" s="265" t="s">
        <v>198</v>
      </c>
      <c r="M25" s="167"/>
    </row>
    <row r="26" spans="1:13" ht="15.6" x14ac:dyDescent="0.3">
      <c r="A26" s="84" t="s">
        <v>66</v>
      </c>
      <c r="B26" s="90" t="s">
        <v>199</v>
      </c>
      <c r="C26" s="165">
        <v>935521</v>
      </c>
      <c r="D26" s="116"/>
      <c r="E26" s="116"/>
      <c r="F26" s="60"/>
      <c r="G26" s="61"/>
      <c r="H26" s="257"/>
      <c r="I26" s="66"/>
      <c r="J26" s="66" t="s">
        <v>200</v>
      </c>
      <c r="K26" s="261"/>
      <c r="L26" s="265"/>
      <c r="M26" s="167"/>
    </row>
    <row r="27" spans="1:13" ht="15.6" x14ac:dyDescent="0.3">
      <c r="A27" s="84" t="s">
        <v>111</v>
      </c>
      <c r="B27" s="90" t="s">
        <v>201</v>
      </c>
      <c r="C27" s="165">
        <v>457302</v>
      </c>
      <c r="D27" s="116"/>
      <c r="E27" s="116"/>
      <c r="F27" s="60"/>
      <c r="G27" s="61"/>
      <c r="H27" s="257">
        <v>44926</v>
      </c>
      <c r="I27" s="66" t="s">
        <v>168</v>
      </c>
      <c r="J27" s="66" t="s">
        <v>176</v>
      </c>
      <c r="K27" s="261">
        <v>2021</v>
      </c>
      <c r="L27" s="265"/>
      <c r="M27" s="167"/>
    </row>
    <row r="28" spans="1:13" ht="15.6" x14ac:dyDescent="0.3">
      <c r="A28" s="84" t="s">
        <v>72</v>
      </c>
      <c r="B28" s="90" t="s">
        <v>202</v>
      </c>
      <c r="C28" s="160"/>
      <c r="D28" s="116"/>
      <c r="E28" s="116"/>
      <c r="F28" s="60"/>
      <c r="G28" s="61"/>
      <c r="H28" s="257">
        <v>44926</v>
      </c>
      <c r="I28" s="66"/>
      <c r="J28" s="66"/>
      <c r="K28" s="261">
        <v>2020</v>
      </c>
      <c r="L28" s="266"/>
      <c r="M28" s="167"/>
    </row>
    <row r="29" spans="1:13" ht="15.6" x14ac:dyDescent="0.3">
      <c r="A29" s="84" t="s">
        <v>66</v>
      </c>
      <c r="B29" s="90" t="s">
        <v>203</v>
      </c>
      <c r="C29" s="160"/>
      <c r="D29" s="116"/>
      <c r="E29" s="116"/>
      <c r="F29" s="60">
        <f>D29-E29</f>
        <v>0</v>
      </c>
      <c r="G29" s="61" t="e">
        <f>F29/D29</f>
        <v>#DIV/0!</v>
      </c>
      <c r="H29" s="257"/>
      <c r="I29" s="66"/>
      <c r="J29" s="138" t="s">
        <v>183</v>
      </c>
      <c r="K29" s="262"/>
      <c r="L29" s="269"/>
      <c r="M29" s="167"/>
    </row>
    <row r="30" spans="1:13" ht="15.6" x14ac:dyDescent="0.3">
      <c r="A30" s="84" t="s">
        <v>72</v>
      </c>
      <c r="B30" s="90" t="s">
        <v>204</v>
      </c>
      <c r="C30" s="165">
        <v>991111</v>
      </c>
      <c r="D30" s="144"/>
      <c r="E30" s="144"/>
      <c r="F30" s="60"/>
      <c r="G30" s="61"/>
      <c r="H30" s="257"/>
      <c r="I30" s="78" t="s">
        <v>170</v>
      </c>
      <c r="J30" s="79" t="s">
        <v>171</v>
      </c>
      <c r="K30" s="263">
        <v>2021</v>
      </c>
      <c r="L30" s="266"/>
      <c r="M30" s="167"/>
    </row>
    <row r="31" spans="1:13" ht="15.6" x14ac:dyDescent="0.3">
      <c r="A31" s="84" t="s">
        <v>111</v>
      </c>
      <c r="B31" s="90" t="s">
        <v>205</v>
      </c>
      <c r="C31" s="160"/>
      <c r="D31" s="116"/>
      <c r="E31" s="116"/>
      <c r="F31" s="60"/>
      <c r="G31" s="61"/>
      <c r="H31" s="257"/>
      <c r="I31" s="66"/>
      <c r="J31" s="66"/>
      <c r="K31" s="261">
        <v>2020</v>
      </c>
      <c r="L31" s="265"/>
      <c r="M31" s="167"/>
    </row>
    <row r="32" spans="1:13" ht="15.6" x14ac:dyDescent="0.3">
      <c r="A32" s="270" t="s">
        <v>66</v>
      </c>
      <c r="B32" s="90" t="s">
        <v>206</v>
      </c>
      <c r="C32" s="160"/>
      <c r="D32" s="116"/>
      <c r="E32" s="116"/>
      <c r="F32" s="60"/>
      <c r="G32" s="61"/>
      <c r="H32" s="257"/>
      <c r="I32" s="66"/>
      <c r="J32" s="66"/>
      <c r="K32" s="261">
        <v>2021</v>
      </c>
      <c r="L32" s="265"/>
      <c r="M32" s="167"/>
    </row>
    <row r="33" spans="1:880" ht="15.6" x14ac:dyDescent="0.3">
      <c r="A33" s="270" t="s">
        <v>66</v>
      </c>
      <c r="B33" s="90" t="s">
        <v>207</v>
      </c>
      <c r="C33" s="160"/>
      <c r="D33" s="116"/>
      <c r="E33" s="116"/>
      <c r="F33" s="60">
        <f>D33-E33</f>
        <v>0</v>
      </c>
      <c r="G33" s="61"/>
      <c r="H33" s="257"/>
      <c r="I33" s="66"/>
      <c r="J33" s="66"/>
      <c r="K33" s="261">
        <v>2020</v>
      </c>
      <c r="L33" s="265"/>
      <c r="M33" s="167"/>
    </row>
    <row r="34" spans="1:880" ht="15.6" x14ac:dyDescent="0.3">
      <c r="A34" s="84" t="s">
        <v>66</v>
      </c>
      <c r="B34" s="90" t="s">
        <v>208</v>
      </c>
      <c r="C34" s="160">
        <v>1620105</v>
      </c>
      <c r="D34" s="116"/>
      <c r="E34" s="116"/>
      <c r="F34" s="60"/>
      <c r="G34" s="61"/>
      <c r="H34" s="257"/>
      <c r="I34" s="66" t="s">
        <v>168</v>
      </c>
      <c r="J34" s="66" t="s">
        <v>209</v>
      </c>
      <c r="K34" s="261"/>
      <c r="L34" s="265"/>
      <c r="M34" s="167"/>
    </row>
    <row r="35" spans="1:880" ht="15.6" x14ac:dyDescent="0.3">
      <c r="A35" s="84" t="s">
        <v>72</v>
      </c>
      <c r="B35" s="90" t="s">
        <v>210</v>
      </c>
      <c r="C35" s="160">
        <v>769200</v>
      </c>
      <c r="D35" s="116"/>
      <c r="E35" s="116"/>
      <c r="F35" s="60">
        <f>D35-E35</f>
        <v>0</v>
      </c>
      <c r="G35" s="61" t="e">
        <f>F35/D35</f>
        <v>#DIV/0!</v>
      </c>
      <c r="H35" s="257">
        <v>44649</v>
      </c>
      <c r="I35" s="66" t="s">
        <v>168</v>
      </c>
      <c r="J35" s="66" t="s">
        <v>209</v>
      </c>
      <c r="K35" s="261"/>
      <c r="L35" s="266"/>
      <c r="M35" s="167"/>
    </row>
    <row r="36" spans="1:880" ht="15.6" x14ac:dyDescent="0.3">
      <c r="A36" s="84" t="s">
        <v>72</v>
      </c>
      <c r="B36" s="90" t="s">
        <v>211</v>
      </c>
      <c r="C36" s="160">
        <v>948776</v>
      </c>
      <c r="D36" s="143"/>
      <c r="E36" s="116"/>
      <c r="F36" s="60">
        <f>D36-E36</f>
        <v>0</v>
      </c>
      <c r="G36" s="61" t="e">
        <f>F36/D36</f>
        <v>#DIV/0!</v>
      </c>
      <c r="H36" s="257">
        <v>44813</v>
      </c>
      <c r="I36" s="66" t="s">
        <v>168</v>
      </c>
      <c r="J36" s="66" t="s">
        <v>171</v>
      </c>
      <c r="K36" s="261"/>
      <c r="L36" s="266"/>
      <c r="M36" s="167"/>
    </row>
    <row r="37" spans="1:880" ht="15.6" x14ac:dyDescent="0.3">
      <c r="A37" s="84" t="s">
        <v>72</v>
      </c>
      <c r="B37" s="90" t="s">
        <v>212</v>
      </c>
      <c r="C37" s="160"/>
      <c r="D37" s="143"/>
      <c r="E37" s="116"/>
      <c r="F37" s="60"/>
      <c r="G37" s="61"/>
      <c r="H37" s="257"/>
      <c r="I37" s="78"/>
      <c r="J37" s="79" t="s">
        <v>213</v>
      </c>
      <c r="K37" s="263"/>
      <c r="L37" s="266"/>
      <c r="M37" s="167"/>
    </row>
    <row r="38" spans="1:880" ht="15.6" x14ac:dyDescent="0.3">
      <c r="A38" s="84" t="s">
        <v>72</v>
      </c>
      <c r="B38" s="90" t="s">
        <v>214</v>
      </c>
      <c r="C38" s="160">
        <v>1173190</v>
      </c>
      <c r="D38" s="116"/>
      <c r="E38" s="116"/>
      <c r="F38" s="60">
        <f>D38-E38</f>
        <v>0</v>
      </c>
      <c r="G38" s="61" t="e">
        <f>F38/D38</f>
        <v>#DIV/0!</v>
      </c>
      <c r="H38" s="257"/>
      <c r="I38" s="78" t="s">
        <v>170</v>
      </c>
      <c r="J38" s="79" t="s">
        <v>176</v>
      </c>
      <c r="K38" s="263"/>
      <c r="L38" s="266"/>
      <c r="M38" s="167"/>
    </row>
    <row r="39" spans="1:880" ht="17.100000000000001" customHeight="1" x14ac:dyDescent="0.3">
      <c r="A39" s="84" t="s">
        <v>72</v>
      </c>
      <c r="B39" s="90" t="s">
        <v>215</v>
      </c>
      <c r="C39" s="160"/>
      <c r="D39" s="140"/>
      <c r="E39" s="140"/>
      <c r="F39" s="60"/>
      <c r="G39" s="61"/>
      <c r="H39" s="257"/>
      <c r="I39" s="78" t="s">
        <v>170</v>
      </c>
      <c r="J39" s="79" t="s">
        <v>171</v>
      </c>
      <c r="K39" s="263">
        <v>2021</v>
      </c>
      <c r="L39" s="266"/>
      <c r="M39" s="167"/>
    </row>
    <row r="40" spans="1:880" ht="15.6" x14ac:dyDescent="0.3">
      <c r="A40" s="84" t="s">
        <v>72</v>
      </c>
      <c r="B40" s="90" t="s">
        <v>216</v>
      </c>
      <c r="C40" s="160"/>
      <c r="D40" s="116"/>
      <c r="E40" s="116"/>
      <c r="F40" s="60">
        <f>D40-E40</f>
        <v>0</v>
      </c>
      <c r="G40" s="61"/>
      <c r="H40" s="257"/>
      <c r="I40" s="66"/>
      <c r="J40" s="121"/>
      <c r="K40" s="261"/>
      <c r="L40" s="268"/>
      <c r="M40" s="167"/>
    </row>
    <row r="41" spans="1:880" s="73" customFormat="1" ht="15.6" x14ac:dyDescent="0.3">
      <c r="A41" s="84" t="s">
        <v>66</v>
      </c>
      <c r="B41" s="90" t="s">
        <v>217</v>
      </c>
      <c r="C41" s="160"/>
      <c r="D41" s="116"/>
      <c r="E41" s="116"/>
      <c r="F41" s="60">
        <f>D41-E41</f>
        <v>0</v>
      </c>
      <c r="G41" s="61"/>
      <c r="H41" s="257"/>
      <c r="I41" s="66"/>
      <c r="J41" s="121"/>
      <c r="K41" s="261">
        <v>2021</v>
      </c>
      <c r="L41" s="267" t="s">
        <v>188</v>
      </c>
      <c r="M41" s="167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 s="272"/>
    </row>
    <row r="42" spans="1:880" s="73" customFormat="1" ht="15.6" x14ac:dyDescent="0.3">
      <c r="A42" s="73" t="s">
        <v>111</v>
      </c>
      <c r="B42" s="88" t="s">
        <v>218</v>
      </c>
      <c r="C42" s="156">
        <v>947045</v>
      </c>
      <c r="D42" s="144">
        <f>1.0212*3395</f>
        <v>3466.9740000000002</v>
      </c>
      <c r="E42" s="155">
        <v>2401.98</v>
      </c>
      <c r="F42" s="60">
        <f>D42-E42</f>
        <v>1064.9940000000001</v>
      </c>
      <c r="G42" s="61">
        <f>F42/D42</f>
        <v>0.30718257477558242</v>
      </c>
      <c r="H42" s="62"/>
      <c r="I42" s="62"/>
      <c r="J42" s="118">
        <v>44926</v>
      </c>
      <c r="K42" s="64" t="str">
        <f>TEXT(30*MONTH(J42)+30,"mmmm")</f>
        <v>janvier</v>
      </c>
      <c r="L42" s="66" t="s">
        <v>168</v>
      </c>
      <c r="M42" s="227" t="s">
        <v>219</v>
      </c>
      <c r="N42" s="122"/>
      <c r="O42" s="121"/>
      <c r="P42" s="121"/>
      <c r="Q42" s="167" t="s">
        <v>220</v>
      </c>
      <c r="R42" s="126" t="s">
        <v>221</v>
      </c>
      <c r="S42" s="126"/>
      <c r="T42" s="126" t="s">
        <v>221</v>
      </c>
      <c r="U42" s="287"/>
      <c r="V42" s="287"/>
      <c r="W42" s="130"/>
      <c r="X42" s="130"/>
      <c r="Y42" s="65"/>
      <c r="Z42" s="129"/>
      <c r="AA42" s="71"/>
      <c r="AB42" s="27">
        <f>IF($K42="janvier",$D42,0)</f>
        <v>3466.9740000000002</v>
      </c>
      <c r="AC42" s="27">
        <f>IF($K42="février",$D42,0)</f>
        <v>0</v>
      </c>
      <c r="AD42" s="27">
        <f>IF($K42="mars",$D42,0)</f>
        <v>0</v>
      </c>
      <c r="AE42" s="27">
        <f>IF($K42="avril",$D42,0)</f>
        <v>0</v>
      </c>
      <c r="AF42" s="27">
        <f>IF($K42="mai",$D42,0)</f>
        <v>0</v>
      </c>
      <c r="AG42" s="27">
        <f>IF($K42="juin",$D42,0)</f>
        <v>0</v>
      </c>
      <c r="AH42" s="27">
        <f>IF($K42="juillet",$D42,0)</f>
        <v>0</v>
      </c>
      <c r="AI42" s="27">
        <f>IF($K42="août",$D42,0)</f>
        <v>0</v>
      </c>
      <c r="AJ42" s="27">
        <f>IF($K42="septembre",$D42,0)</f>
        <v>0</v>
      </c>
      <c r="AK42" s="27">
        <f>IF($K42="octobre",$D42,0)</f>
        <v>0</v>
      </c>
      <c r="AL42" s="27">
        <f>IF($K42="novembre",$D42,0)</f>
        <v>0</v>
      </c>
      <c r="AM42" s="27">
        <f>IF($K42="décembre",$D42,0)</f>
        <v>0</v>
      </c>
      <c r="AN42" s="37">
        <f>IF($K42="janvier",$E42,0)</f>
        <v>2401.98</v>
      </c>
      <c r="AO42" s="37">
        <f>IF($K42="février",$E42,0)</f>
        <v>0</v>
      </c>
      <c r="AP42" s="37">
        <f>IF($K42="mars",$E42,0)</f>
        <v>0</v>
      </c>
      <c r="AQ42" s="37">
        <f>IF($K42="avril",$E42,0)</f>
        <v>0</v>
      </c>
      <c r="AR42" s="37">
        <f>IF($K42="mai",$E42,0)</f>
        <v>0</v>
      </c>
      <c r="AS42" s="37">
        <f>IF($K42="juin",$E42,0)</f>
        <v>0</v>
      </c>
      <c r="AT42" s="37">
        <f>IF($K42="juillet",$E42,0)</f>
        <v>0</v>
      </c>
      <c r="AU42" s="37">
        <f>IF($K42="août",$CH42,0)</f>
        <v>0</v>
      </c>
      <c r="AV42" s="37">
        <f>IF($K42="septembre",$E42,0)</f>
        <v>0</v>
      </c>
      <c r="AW42" s="37">
        <f>IF($K42="octobre",$E42,0)</f>
        <v>0</v>
      </c>
      <c r="AX42" s="37">
        <f>IF($K42="novembre",$E42,0)</f>
        <v>0</v>
      </c>
      <c r="AY42" s="37">
        <f>IF($K42="décembre",$E42,0)</f>
        <v>0</v>
      </c>
    </row>
    <row r="43" spans="1:880" s="73" customFormat="1" ht="15.6" x14ac:dyDescent="0.3">
      <c r="A43" s="73" t="s">
        <v>72</v>
      </c>
      <c r="B43" s="88" t="s">
        <v>222</v>
      </c>
      <c r="C43" s="156">
        <v>946940</v>
      </c>
      <c r="D43" s="144">
        <f>1.0212*3520</f>
        <v>3594.6240000000003</v>
      </c>
      <c r="E43" s="170">
        <v>2772</v>
      </c>
      <c r="F43" s="60">
        <f>D43-E43</f>
        <v>822.62400000000025</v>
      </c>
      <c r="G43" s="61">
        <f>F43/D43</f>
        <v>0.22884841363102237</v>
      </c>
      <c r="H43" s="62"/>
      <c r="I43" s="62"/>
      <c r="J43" s="118">
        <v>45291</v>
      </c>
      <c r="K43" s="64" t="str">
        <f>TEXT(30*MONTH(J43)+30,"mmmm")</f>
        <v>janvier</v>
      </c>
      <c r="L43" s="66" t="s">
        <v>168</v>
      </c>
      <c r="M43" s="121" t="s">
        <v>176</v>
      </c>
      <c r="N43" s="85"/>
      <c r="O43" s="84"/>
      <c r="P43" s="77"/>
      <c r="Q43" s="167" t="s">
        <v>223</v>
      </c>
      <c r="R43" s="83"/>
      <c r="S43" s="83"/>
      <c r="T43" s="126" t="s">
        <v>221</v>
      </c>
      <c r="U43" s="286"/>
      <c r="V43" s="286"/>
      <c r="W43" s="83"/>
      <c r="X43" s="83"/>
      <c r="Y43" s="83"/>
      <c r="Z43" s="83"/>
      <c r="AA43" s="80"/>
      <c r="AB43" s="27">
        <f>IF($K43="janvier",$D43,0)</f>
        <v>3594.6240000000003</v>
      </c>
      <c r="AC43" s="27">
        <f>IF($K43="février",$D43,0)</f>
        <v>0</v>
      </c>
      <c r="AD43" s="27">
        <f>IF($K43="mars",$D43,0)</f>
        <v>0</v>
      </c>
      <c r="AE43" s="27">
        <f>IF($K43="avril",$D43,0)</f>
        <v>0</v>
      </c>
      <c r="AF43" s="27">
        <f>IF($K43="mai",$D43,0)</f>
        <v>0</v>
      </c>
      <c r="AG43" s="27">
        <f>IF($K43="juin",$D43,0)</f>
        <v>0</v>
      </c>
      <c r="AH43" s="27">
        <f>IF($K43="juillet",$D43,0)</f>
        <v>0</v>
      </c>
      <c r="AI43" s="27">
        <f>IF($K43="août",$D43,0)</f>
        <v>0</v>
      </c>
      <c r="AJ43" s="27">
        <f>IF($K43="septembre",$D43,0)</f>
        <v>0</v>
      </c>
      <c r="AK43" s="27">
        <f>IF($K43="octobre",$D43,0)</f>
        <v>0</v>
      </c>
      <c r="AL43" s="27">
        <f>IF($K43="novembre",$D43,0)</f>
        <v>0</v>
      </c>
      <c r="AM43" s="27">
        <f>IF($K43="décembre",$D43,0)</f>
        <v>0</v>
      </c>
      <c r="AN43" s="37">
        <f>IF($K43="janvier",$E43,0)</f>
        <v>2772</v>
      </c>
      <c r="AO43" s="37">
        <f>IF($K43="février",$E43,0)</f>
        <v>0</v>
      </c>
      <c r="AP43" s="37">
        <f>IF($K43="mars",$E43,0)</f>
        <v>0</v>
      </c>
      <c r="AQ43" s="37">
        <f>IF($K43="avril",$E43,0)</f>
        <v>0</v>
      </c>
      <c r="AR43" s="37">
        <f>IF($K43="mai",$E43,0)</f>
        <v>0</v>
      </c>
      <c r="AS43" s="37">
        <f>IF($K43="juin",$E43,0)</f>
        <v>0</v>
      </c>
      <c r="AT43" s="37">
        <f>IF($K43="juillet",$E43,0)</f>
        <v>0</v>
      </c>
      <c r="AU43" s="37">
        <f>IF($K43="août",$CH43,0)</f>
        <v>0</v>
      </c>
      <c r="AV43" s="37">
        <f>IF($K43="septembre",$E43,0)</f>
        <v>0</v>
      </c>
      <c r="AW43" s="37">
        <f>IF($K43="octobre",$E43,0)</f>
        <v>0</v>
      </c>
      <c r="AX43" s="37">
        <f>IF($K43="novembre",$E43,0)</f>
        <v>0</v>
      </c>
      <c r="AY43" s="37">
        <f>IF($K43="décembre",$E43,0)</f>
        <v>0</v>
      </c>
    </row>
    <row r="44" spans="1:880" s="89" customFormat="1" ht="15.6" x14ac:dyDescent="0.3">
      <c r="A44" s="84" t="s">
        <v>72</v>
      </c>
      <c r="B44" s="88" t="s">
        <v>224</v>
      </c>
      <c r="C44" s="175"/>
      <c r="D44" s="180">
        <f>1.0212*1958</f>
        <v>1999.5096000000003</v>
      </c>
      <c r="E44" s="180">
        <v>1076.9000000000001</v>
      </c>
      <c r="F44" s="233">
        <f>D44-E44</f>
        <v>922.60960000000023</v>
      </c>
      <c r="G44" s="234">
        <f>F44/D44</f>
        <v>0.46141793967880929</v>
      </c>
      <c r="H44" s="180"/>
      <c r="I44" s="180"/>
      <c r="J44" s="119">
        <v>45291</v>
      </c>
      <c r="K44" s="87" t="s">
        <v>68</v>
      </c>
      <c r="L44" s="175" t="s">
        <v>168</v>
      </c>
      <c r="M44" s="175" t="s">
        <v>176</v>
      </c>
      <c r="P44" s="87"/>
      <c r="Q44" s="167" t="s">
        <v>223</v>
      </c>
      <c r="R44" s="235"/>
      <c r="S44" s="235"/>
      <c r="T44" s="235"/>
      <c r="U44" s="292"/>
      <c r="V44" s="292"/>
      <c r="W44" s="235"/>
      <c r="X44" s="235"/>
      <c r="Y44" s="235"/>
      <c r="Z44" s="235"/>
      <c r="AA44" s="236"/>
      <c r="AB44" s="237">
        <f>IF($K44="janvier",$D44,0)</f>
        <v>0</v>
      </c>
      <c r="AC44" s="237">
        <f>IF($K44="février",$D44,0)</f>
        <v>0</v>
      </c>
      <c r="AD44" s="237">
        <f>IF($K44="mars",$D44,0)</f>
        <v>0</v>
      </c>
      <c r="AE44" s="237">
        <f>IF($K44="avril",$D44,0)</f>
        <v>0</v>
      </c>
      <c r="AF44" s="237">
        <f>IF($K44="mai",$D44,0)</f>
        <v>0</v>
      </c>
      <c r="AG44" s="237">
        <f>IF($K44="juin",$D44,0)</f>
        <v>1999.5096000000003</v>
      </c>
      <c r="AH44" s="237">
        <f>IF($K44="juillet",$D44,0)</f>
        <v>0</v>
      </c>
      <c r="AI44" s="237">
        <f>IF($K44="août",$D44,0)</f>
        <v>0</v>
      </c>
      <c r="AJ44" s="237">
        <f>IF($K44="septembre",$D44,0)</f>
        <v>0</v>
      </c>
      <c r="AK44" s="237">
        <f>IF($K44="octobre",$D44,0)</f>
        <v>0</v>
      </c>
      <c r="AL44" s="237">
        <f>IF($K44="novembre",$D44,0)</f>
        <v>0</v>
      </c>
      <c r="AM44" s="237">
        <f>IF($K44="décembre",$D44,0)</f>
        <v>0</v>
      </c>
      <c r="AN44" s="93">
        <f>IF($K44="janvier",$E44,0)</f>
        <v>0</v>
      </c>
      <c r="AO44" s="93">
        <f>IF($K44="février",$E44,0)</f>
        <v>0</v>
      </c>
      <c r="AP44" s="93">
        <f>IF($K44="mars",$E44,0)</f>
        <v>0</v>
      </c>
      <c r="AQ44" s="93">
        <f>IF($K44="avril",$E44,0)</f>
        <v>0</v>
      </c>
      <c r="AR44" s="93">
        <f>IF($K44="mai",$E44,0)</f>
        <v>0</v>
      </c>
      <c r="AS44" s="93">
        <f>IF($K44="juin",$E44,0)</f>
        <v>1076.9000000000001</v>
      </c>
      <c r="AT44" s="93">
        <f>IF($K44="juillet",$E44,0)</f>
        <v>0</v>
      </c>
      <c r="AU44" s="93">
        <f>IF($K44="août",$CH44,0)</f>
        <v>0</v>
      </c>
      <c r="AV44" s="93">
        <f>IF($K44="septembre",$E44,0)</f>
        <v>0</v>
      </c>
      <c r="AW44" s="93">
        <f>IF($K44="octobre",$E44,0)</f>
        <v>0</v>
      </c>
      <c r="AX44" s="93">
        <f>IF($K44="novembre",$E44,0)</f>
        <v>0</v>
      </c>
      <c r="AY44" s="93">
        <f>IF($K44="décembre",$E44,0)</f>
        <v>0</v>
      </c>
    </row>
  </sheetData>
  <autoFilter ref="A3:M3" xr:uid="{E9328378-BB77-4B15-A360-69E71612C267}">
    <sortState xmlns:xlrd2="http://schemas.microsoft.com/office/spreadsheetml/2017/richdata2" ref="A4:M41">
      <sortCondition ref="B3"/>
    </sortState>
  </autoFilter>
  <sortState xmlns:xlrd2="http://schemas.microsoft.com/office/spreadsheetml/2017/richdata2" ref="A4:M41">
    <sortCondition descending="1" ref="K4:K41"/>
    <sortCondition ref="B4:B41"/>
  </sortState>
  <mergeCells count="5">
    <mergeCell ref="B1:C1"/>
    <mergeCell ref="D1:J1"/>
    <mergeCell ref="A2:C2"/>
    <mergeCell ref="D2:G2"/>
    <mergeCell ref="H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AY351"/>
  <sheetViews>
    <sheetView tabSelected="1" zoomScale="90" zoomScaleNormal="90" zoomScaleSheetLayoutView="80" workbookViewId="0">
      <pane xSplit="3" ySplit="1" topLeftCell="AD2" activePane="bottomRight" state="frozen"/>
      <selection pane="topRight" activeCell="D1" sqref="D1"/>
      <selection pane="bottomLeft" activeCell="A5" sqref="A5"/>
      <selection pane="bottomRight" activeCell="AL6" sqref="AL6"/>
    </sheetView>
  </sheetViews>
  <sheetFormatPr baseColWidth="10" defaultColWidth="10.44140625" defaultRowHeight="14.4" x14ac:dyDescent="0.3"/>
  <cols>
    <col min="1" max="1" width="14.44140625" style="2" customWidth="1"/>
    <col min="2" max="2" width="42.44140625" style="10" customWidth="1"/>
    <col min="3" max="3" width="13.44140625" style="157" customWidth="1"/>
    <col min="4" max="6" width="14.44140625" style="2" customWidth="1"/>
    <col min="7" max="9" width="13.44140625" style="2" customWidth="1"/>
    <col min="10" max="12" width="12.44140625" style="2" customWidth="1"/>
    <col min="13" max="13" width="18.44140625" style="229" customWidth="1"/>
    <col min="14" max="14" width="24.44140625" style="12" customWidth="1"/>
    <col min="15" max="15" width="12.44140625" style="12" customWidth="1"/>
    <col min="16" max="16" width="10.44140625" style="12" customWidth="1"/>
    <col min="17" max="17" width="11.44140625" style="2" customWidth="1"/>
    <col min="18" max="18" width="14.44140625" style="2" customWidth="1"/>
    <col min="19" max="19" width="13" style="2" customWidth="1"/>
    <col min="20" max="20" width="13.44140625" style="3" customWidth="1"/>
    <col min="21" max="21" width="14.44140625" style="2" customWidth="1"/>
    <col min="22" max="22" width="17.44140625" style="2" customWidth="1"/>
    <col min="23" max="23" width="17.109375" style="7" customWidth="1"/>
    <col min="24" max="24" width="12.44140625" style="18" customWidth="1"/>
    <col min="25" max="25" width="13" style="2" customWidth="1"/>
    <col min="26" max="26" width="13" style="3" customWidth="1"/>
    <col min="27" max="27" width="47.44140625" style="2" customWidth="1"/>
    <col min="28" max="28" width="11.6640625" style="4" customWidth="1"/>
    <col min="29" max="29" width="15.44140625" style="4" customWidth="1"/>
    <col min="30" max="30" width="13.21875" style="2" customWidth="1"/>
    <col min="31" max="31" width="11.33203125" style="2" customWidth="1"/>
    <col min="32" max="32" width="10.44140625" style="2"/>
    <col min="33" max="33" width="18.109375" style="2" customWidth="1"/>
    <col min="34" max="34" width="12.5546875" style="2" customWidth="1"/>
    <col min="35" max="35" width="18.5546875" style="2" customWidth="1"/>
    <col min="36" max="36" width="19.5546875" style="2" customWidth="1"/>
    <col min="37" max="37" width="9.21875" style="2" customWidth="1"/>
    <col min="38" max="38" width="18" style="2" customWidth="1"/>
    <col min="39" max="39" width="10.44140625" style="2"/>
    <col min="40" max="41" width="11.44140625" style="2" bestFit="1" customWidth="1"/>
    <col min="42" max="16384" width="10.44140625" style="2"/>
  </cols>
  <sheetData>
    <row r="1" spans="1:51" s="189" customFormat="1" ht="57.6" customHeight="1" x14ac:dyDescent="0.3">
      <c r="A1" s="183" t="s">
        <v>25</v>
      </c>
      <c r="B1" s="183" t="s">
        <v>26</v>
      </c>
      <c r="C1" s="183" t="s">
        <v>577</v>
      </c>
      <c r="D1" s="184" t="s">
        <v>160</v>
      </c>
      <c r="E1" s="184" t="s">
        <v>161</v>
      </c>
      <c r="F1" s="184" t="s">
        <v>162</v>
      </c>
      <c r="G1" s="184" t="s">
        <v>31</v>
      </c>
      <c r="H1" s="184" t="s">
        <v>225</v>
      </c>
      <c r="I1" s="184" t="s">
        <v>226</v>
      </c>
      <c r="J1" s="185" t="s">
        <v>34</v>
      </c>
      <c r="K1" s="185" t="s">
        <v>35</v>
      </c>
      <c r="L1" s="185" t="s">
        <v>163</v>
      </c>
      <c r="M1" s="226" t="s">
        <v>164</v>
      </c>
      <c r="N1" s="185" t="s">
        <v>227</v>
      </c>
      <c r="O1" s="186" t="s">
        <v>38</v>
      </c>
      <c r="P1" s="186" t="s">
        <v>39</v>
      </c>
      <c r="Q1" s="187" t="s">
        <v>166</v>
      </c>
      <c r="R1" s="188" t="s">
        <v>43</v>
      </c>
      <c r="S1" s="188" t="s">
        <v>228</v>
      </c>
      <c r="T1" s="188" t="s">
        <v>45</v>
      </c>
      <c r="U1" s="188" t="s">
        <v>46</v>
      </c>
      <c r="V1" s="188" t="s">
        <v>47</v>
      </c>
      <c r="W1" s="188" t="s">
        <v>48</v>
      </c>
      <c r="X1" s="188" t="s">
        <v>49</v>
      </c>
      <c r="Y1" s="188" t="s">
        <v>50</v>
      </c>
      <c r="Z1" s="188" t="s">
        <v>51</v>
      </c>
      <c r="AA1" s="171" t="s">
        <v>52</v>
      </c>
      <c r="AB1" s="172" t="s">
        <v>578</v>
      </c>
      <c r="AC1" s="172" t="s">
        <v>579</v>
      </c>
      <c r="AD1" s="172" t="s">
        <v>580</v>
      </c>
      <c r="AE1" s="172" t="s">
        <v>581</v>
      </c>
      <c r="AF1" s="172" t="s">
        <v>582</v>
      </c>
      <c r="AG1" s="172" t="s">
        <v>583</v>
      </c>
      <c r="AH1" s="172" t="s">
        <v>584</v>
      </c>
      <c r="AI1" s="172" t="s">
        <v>585</v>
      </c>
      <c r="AJ1" s="172" t="s">
        <v>586</v>
      </c>
      <c r="AK1" s="172" t="s">
        <v>587</v>
      </c>
      <c r="AL1" s="172" t="s">
        <v>588</v>
      </c>
      <c r="AM1" s="172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</row>
    <row r="2" spans="1:51" s="211" customFormat="1" ht="16.350000000000001" customHeight="1" x14ac:dyDescent="0.3">
      <c r="A2" s="73" t="s">
        <v>72</v>
      </c>
      <c r="B2" s="117" t="s">
        <v>229</v>
      </c>
      <c r="C2" s="156">
        <v>944708</v>
      </c>
      <c r="D2" s="301">
        <f>1405*1.0212</f>
        <v>1434.7860000000001</v>
      </c>
      <c r="E2" s="376">
        <v>1117.08</v>
      </c>
      <c r="F2" s="60">
        <f t="shared" ref="F2:F22" si="0">D2-E2</f>
        <v>317.70600000000013</v>
      </c>
      <c r="G2" s="61">
        <f t="shared" ref="G2:G22" si="1">F2/D2</f>
        <v>0.22143093116325369</v>
      </c>
      <c r="H2" s="62" t="s">
        <v>570</v>
      </c>
      <c r="I2" s="62" t="s">
        <v>571</v>
      </c>
      <c r="J2" s="63">
        <v>45291</v>
      </c>
      <c r="K2" s="141" t="str">
        <f t="shared" ref="K2:K12" si="2">TEXT(30*MONTH(J2)+30,"mmmm")</f>
        <v>janvier</v>
      </c>
      <c r="L2" s="66" t="s">
        <v>168</v>
      </c>
      <c r="M2" s="227" t="s">
        <v>219</v>
      </c>
      <c r="N2" s="123" t="s">
        <v>572</v>
      </c>
      <c r="O2" s="66">
        <v>1</v>
      </c>
      <c r="P2" s="66">
        <v>1</v>
      </c>
      <c r="Q2" s="167" t="s">
        <v>223</v>
      </c>
      <c r="R2" s="126" t="s">
        <v>221</v>
      </c>
      <c r="S2" s="544">
        <v>44197</v>
      </c>
      <c r="T2" s="126" t="s">
        <v>221</v>
      </c>
      <c r="U2" s="284">
        <v>44900</v>
      </c>
      <c r="V2" s="284">
        <v>44565</v>
      </c>
      <c r="W2" s="70" t="s">
        <v>576</v>
      </c>
      <c r="X2" s="545">
        <v>44197</v>
      </c>
      <c r="Y2" s="126" t="s">
        <v>573</v>
      </c>
      <c r="Z2" s="126" t="s">
        <v>574</v>
      </c>
      <c r="AA2" s="71" t="s">
        <v>575</v>
      </c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</row>
    <row r="3" spans="1:51" s="73" customFormat="1" ht="15.6" x14ac:dyDescent="0.3">
      <c r="A3" s="73" t="s">
        <v>66</v>
      </c>
      <c r="B3" s="5" t="s">
        <v>230</v>
      </c>
      <c r="C3" s="156">
        <v>940167</v>
      </c>
      <c r="D3" s="301">
        <f>1.0212*836</f>
        <v>853.72320000000013</v>
      </c>
      <c r="E3" s="376">
        <v>339.8</v>
      </c>
      <c r="F3" s="60">
        <f t="shared" si="0"/>
        <v>513.92320000000018</v>
      </c>
      <c r="G3" s="61">
        <f t="shared" si="1"/>
        <v>0.60197872097185612</v>
      </c>
      <c r="H3" s="62"/>
      <c r="I3" s="62"/>
      <c r="J3" s="63">
        <v>45291</v>
      </c>
      <c r="K3" s="141" t="str">
        <f t="shared" si="2"/>
        <v>janvier</v>
      </c>
      <c r="L3" s="66" t="s">
        <v>168</v>
      </c>
      <c r="M3" s="66" t="s">
        <v>176</v>
      </c>
      <c r="N3" s="123"/>
      <c r="O3" s="66"/>
      <c r="P3" s="66"/>
      <c r="Q3" s="167" t="s">
        <v>223</v>
      </c>
      <c r="R3" s="70"/>
      <c r="S3" s="70"/>
      <c r="T3" s="126" t="s">
        <v>221</v>
      </c>
      <c r="U3" s="285">
        <v>44902</v>
      </c>
      <c r="V3" s="285">
        <v>44902</v>
      </c>
      <c r="W3" s="70"/>
      <c r="X3" s="70"/>
      <c r="Y3" s="70"/>
      <c r="Z3" s="70"/>
      <c r="AA3" s="71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</row>
    <row r="4" spans="1:51" s="191" customFormat="1" ht="15.6" x14ac:dyDescent="0.3">
      <c r="A4" s="73" t="s">
        <v>72</v>
      </c>
      <c r="B4" s="117" t="s">
        <v>231</v>
      </c>
      <c r="C4" s="156">
        <v>1670070</v>
      </c>
      <c r="D4" s="301">
        <f>1.0212*16940</f>
        <v>17299.128000000001</v>
      </c>
      <c r="E4" s="376">
        <v>15187.47</v>
      </c>
      <c r="F4" s="60">
        <f t="shared" si="0"/>
        <v>2111.6580000000013</v>
      </c>
      <c r="G4" s="61">
        <f t="shared" si="1"/>
        <v>0.12206730882620218</v>
      </c>
      <c r="H4" s="62"/>
      <c r="I4" s="62"/>
      <c r="J4" s="63">
        <v>45291</v>
      </c>
      <c r="K4" s="64" t="str">
        <f t="shared" si="2"/>
        <v>janvier</v>
      </c>
      <c r="L4" s="66" t="s">
        <v>168</v>
      </c>
      <c r="M4" s="66" t="s">
        <v>176</v>
      </c>
      <c r="N4" s="80"/>
      <c r="O4" s="73"/>
      <c r="P4" s="81"/>
      <c r="Q4" s="167" t="s">
        <v>223</v>
      </c>
      <c r="R4" s="83"/>
      <c r="S4" s="83"/>
      <c r="T4" s="126" t="s">
        <v>221</v>
      </c>
      <c r="U4" s="284">
        <v>44900</v>
      </c>
      <c r="V4" s="284">
        <v>44900</v>
      </c>
      <c r="W4" s="83"/>
      <c r="X4" s="83"/>
      <c r="Y4" s="83"/>
      <c r="Z4" s="83"/>
      <c r="AA4" s="80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</row>
    <row r="5" spans="1:51" s="73" customFormat="1" ht="15.6" x14ac:dyDescent="0.3">
      <c r="A5" s="73" t="s">
        <v>111</v>
      </c>
      <c r="B5" s="117" t="s">
        <v>232</v>
      </c>
      <c r="C5" s="156">
        <v>1252853</v>
      </c>
      <c r="D5" s="301">
        <f>1.0212*4570</f>
        <v>4666.8840000000009</v>
      </c>
      <c r="E5" s="376">
        <v>2401.89</v>
      </c>
      <c r="F5" s="60">
        <f t="shared" si="0"/>
        <v>2264.9940000000011</v>
      </c>
      <c r="G5" s="61">
        <f t="shared" si="1"/>
        <v>0.48533325447986292</v>
      </c>
      <c r="H5" s="62"/>
      <c r="I5" s="62"/>
      <c r="J5" s="63">
        <v>45291</v>
      </c>
      <c r="K5" s="141" t="str">
        <f t="shared" si="2"/>
        <v>janvier</v>
      </c>
      <c r="L5" s="66" t="s">
        <v>168</v>
      </c>
      <c r="M5" s="227" t="s">
        <v>219</v>
      </c>
      <c r="N5" s="123"/>
      <c r="O5" s="66"/>
      <c r="P5" s="66"/>
      <c r="Q5" s="167" t="s">
        <v>220</v>
      </c>
      <c r="R5" s="126" t="s">
        <v>221</v>
      </c>
      <c r="S5" s="126"/>
      <c r="T5" s="126" t="s">
        <v>221</v>
      </c>
      <c r="U5" s="287">
        <v>44895</v>
      </c>
      <c r="V5" s="287">
        <v>44915</v>
      </c>
      <c r="W5" s="128"/>
      <c r="X5" s="128"/>
      <c r="Y5" s="65"/>
      <c r="Z5" s="129"/>
      <c r="AA5" s="71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</row>
    <row r="6" spans="1:51" s="191" customFormat="1" ht="15.6" x14ac:dyDescent="0.3">
      <c r="A6" s="73" t="s">
        <v>72</v>
      </c>
      <c r="B6" s="5" t="s">
        <v>233</v>
      </c>
      <c r="C6" s="156">
        <v>977755</v>
      </c>
      <c r="D6" s="316">
        <f>1.0212*24062.78</f>
        <v>24572.910936</v>
      </c>
      <c r="E6" s="376">
        <v>20365.14</v>
      </c>
      <c r="F6" s="60">
        <f t="shared" si="0"/>
        <v>4207.7709360000008</v>
      </c>
      <c r="G6" s="61">
        <f t="shared" si="1"/>
        <v>0.17123616111087184</v>
      </c>
      <c r="H6" s="62"/>
      <c r="I6" s="62"/>
      <c r="J6" s="63">
        <v>45291</v>
      </c>
      <c r="K6" s="64" t="str">
        <f t="shared" si="2"/>
        <v>janvier</v>
      </c>
      <c r="L6" s="66" t="s">
        <v>168</v>
      </c>
      <c r="M6" s="227" t="s">
        <v>219</v>
      </c>
      <c r="N6" s="85"/>
      <c r="O6" s="73"/>
      <c r="P6" s="77"/>
      <c r="Q6" s="167" t="s">
        <v>223</v>
      </c>
      <c r="R6" s="126" t="s">
        <v>221</v>
      </c>
      <c r="S6" s="83"/>
      <c r="T6" s="126" t="s">
        <v>221</v>
      </c>
      <c r="U6" s="284">
        <v>44900</v>
      </c>
      <c r="V6" s="286"/>
      <c r="W6" s="83"/>
      <c r="X6" s="83"/>
      <c r="Y6" s="83"/>
      <c r="Z6" s="83"/>
      <c r="AA6" s="80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</row>
    <row r="7" spans="1:51" s="73" customFormat="1" ht="15.6" x14ac:dyDescent="0.3">
      <c r="A7" s="73" t="s">
        <v>72</v>
      </c>
      <c r="B7" s="117" t="s">
        <v>234</v>
      </c>
      <c r="C7" s="156">
        <v>853442</v>
      </c>
      <c r="D7" s="316">
        <f>1.0212*(37543)-1477.01</f>
        <v>36861.901600000005</v>
      </c>
      <c r="E7" s="376">
        <v>26185.78</v>
      </c>
      <c r="F7" s="60">
        <f t="shared" si="0"/>
        <v>10676.121600000006</v>
      </c>
      <c r="G7" s="61">
        <f t="shared" si="1"/>
        <v>0.28962481957252051</v>
      </c>
      <c r="H7" s="62"/>
      <c r="I7" s="62"/>
      <c r="J7" s="63">
        <v>45291</v>
      </c>
      <c r="K7" s="64" t="str">
        <f t="shared" si="2"/>
        <v>janvier</v>
      </c>
      <c r="L7" s="66" t="s">
        <v>168</v>
      </c>
      <c r="M7" s="227" t="s">
        <v>219</v>
      </c>
      <c r="N7" s="80"/>
      <c r="P7" s="81"/>
      <c r="Q7" s="167" t="s">
        <v>223</v>
      </c>
      <c r="R7" s="126" t="s">
        <v>221</v>
      </c>
      <c r="S7" s="83"/>
      <c r="T7" s="126" t="s">
        <v>221</v>
      </c>
      <c r="U7" s="284">
        <v>44900</v>
      </c>
      <c r="V7" s="286">
        <v>44902</v>
      </c>
      <c r="W7" s="83"/>
      <c r="X7" s="83"/>
      <c r="Y7" s="83"/>
      <c r="Z7" s="83"/>
      <c r="AA7" s="80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</row>
    <row r="8" spans="1:51" s="192" customFormat="1" ht="17.100000000000001" customHeight="1" x14ac:dyDescent="0.3">
      <c r="A8" s="73" t="s">
        <v>72</v>
      </c>
      <c r="B8" s="117" t="s">
        <v>234</v>
      </c>
      <c r="C8" s="540">
        <f>-D66</f>
        <v>-4906</v>
      </c>
      <c r="D8" s="370">
        <v>1477.1</v>
      </c>
      <c r="E8" s="376">
        <v>1039.53</v>
      </c>
      <c r="F8" s="60">
        <f t="shared" si="0"/>
        <v>437.56999999999994</v>
      </c>
      <c r="G8" s="61">
        <f t="shared" si="1"/>
        <v>0.29623586757836301</v>
      </c>
      <c r="H8" s="76"/>
      <c r="I8" s="76"/>
      <c r="J8" s="63">
        <v>45291</v>
      </c>
      <c r="K8" s="64" t="str">
        <f t="shared" si="2"/>
        <v>janvier</v>
      </c>
      <c r="L8" s="66" t="s">
        <v>235</v>
      </c>
      <c r="M8" s="121">
        <v>360</v>
      </c>
      <c r="N8" s="80" t="s">
        <v>236</v>
      </c>
      <c r="O8" s="73"/>
      <c r="P8" s="81"/>
      <c r="Q8" s="167" t="s">
        <v>223</v>
      </c>
      <c r="R8" s="83"/>
      <c r="S8" s="83"/>
      <c r="T8" s="126" t="s">
        <v>221</v>
      </c>
      <c r="U8" s="286">
        <v>44900</v>
      </c>
      <c r="V8" s="286">
        <v>44902</v>
      </c>
      <c r="W8" s="83"/>
      <c r="X8" s="83"/>
      <c r="Y8" s="83"/>
      <c r="Z8" s="83"/>
      <c r="AA8" s="80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</row>
    <row r="9" spans="1:51" s="192" customFormat="1" ht="17.100000000000001" customHeight="1" x14ac:dyDescent="0.3">
      <c r="A9" s="73" t="s">
        <v>72</v>
      </c>
      <c r="B9" s="117" t="s">
        <v>237</v>
      </c>
      <c r="C9" s="156">
        <v>1010883</v>
      </c>
      <c r="D9" s="316">
        <f>1.0212*2984.52</f>
        <v>3047.7918240000004</v>
      </c>
      <c r="E9" s="403">
        <v>2165.06</v>
      </c>
      <c r="F9" s="60">
        <f t="shared" si="0"/>
        <v>882.73182400000042</v>
      </c>
      <c r="G9" s="61">
        <f t="shared" si="1"/>
        <v>0.28962995997590169</v>
      </c>
      <c r="H9" s="62"/>
      <c r="I9" s="62"/>
      <c r="J9" s="63">
        <v>45291</v>
      </c>
      <c r="K9" s="64" t="str">
        <f t="shared" si="2"/>
        <v>janvier</v>
      </c>
      <c r="L9" s="66" t="s">
        <v>168</v>
      </c>
      <c r="M9" s="227" t="s">
        <v>219</v>
      </c>
      <c r="N9" s="67"/>
      <c r="O9" s="58"/>
      <c r="P9" s="63"/>
      <c r="Q9" s="167" t="s">
        <v>223</v>
      </c>
      <c r="R9" s="126" t="s">
        <v>221</v>
      </c>
      <c r="S9" s="70"/>
      <c r="T9" s="126" t="s">
        <v>221</v>
      </c>
      <c r="U9" s="284">
        <v>44900</v>
      </c>
      <c r="V9" s="285">
        <v>44956</v>
      </c>
      <c r="W9" s="70"/>
      <c r="X9" s="70"/>
      <c r="Y9" s="70"/>
      <c r="Z9" s="70"/>
      <c r="AA9" s="71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</row>
    <row r="10" spans="1:51" s="191" customFormat="1" ht="17.850000000000001" customHeight="1" x14ac:dyDescent="0.3">
      <c r="A10" s="73" t="s">
        <v>72</v>
      </c>
      <c r="B10" s="5" t="s">
        <v>238</v>
      </c>
      <c r="C10" s="156">
        <v>932150</v>
      </c>
      <c r="D10" s="301">
        <f>1.0212*52343</f>
        <v>53452.671600000009</v>
      </c>
      <c r="E10" s="376">
        <v>42642.33</v>
      </c>
      <c r="F10" s="60">
        <f t="shared" si="0"/>
        <v>10810.341600000007</v>
      </c>
      <c r="G10" s="61">
        <f t="shared" si="1"/>
        <v>0.20224137122455832</v>
      </c>
      <c r="H10" s="62"/>
      <c r="I10" s="62"/>
      <c r="J10" s="63">
        <v>45291</v>
      </c>
      <c r="K10" s="64" t="str">
        <f t="shared" si="2"/>
        <v>janvier</v>
      </c>
      <c r="L10" s="66" t="s">
        <v>168</v>
      </c>
      <c r="M10" s="66" t="s">
        <v>176</v>
      </c>
      <c r="N10" s="71"/>
      <c r="O10" s="58"/>
      <c r="P10" s="63"/>
      <c r="Q10" s="167" t="s">
        <v>223</v>
      </c>
      <c r="R10" s="70"/>
      <c r="S10" s="70"/>
      <c r="T10" s="126" t="s">
        <v>221</v>
      </c>
      <c r="U10" s="285">
        <v>44907</v>
      </c>
      <c r="V10" s="285">
        <v>44910</v>
      </c>
      <c r="W10" s="70"/>
      <c r="X10" s="70"/>
      <c r="Y10" s="70"/>
      <c r="Z10" s="70"/>
      <c r="AA10" s="71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</row>
    <row r="11" spans="1:51" s="73" customFormat="1" ht="15.6" x14ac:dyDescent="0.3">
      <c r="A11" s="73" t="s">
        <v>72</v>
      </c>
      <c r="B11" s="5" t="s">
        <v>238</v>
      </c>
      <c r="C11" s="130" t="s">
        <v>235</v>
      </c>
      <c r="D11" s="301">
        <f>1.0459*4063</f>
        <v>4249.4917000000005</v>
      </c>
      <c r="E11" s="404">
        <v>3780.12</v>
      </c>
      <c r="F11" s="60">
        <f t="shared" si="0"/>
        <v>469.3717000000006</v>
      </c>
      <c r="G11" s="61">
        <f t="shared" si="1"/>
        <v>0.11045361025178624</v>
      </c>
      <c r="H11" s="62"/>
      <c r="I11" s="62"/>
      <c r="J11" s="63">
        <v>45291</v>
      </c>
      <c r="K11" s="64" t="str">
        <f t="shared" si="2"/>
        <v>janvier</v>
      </c>
      <c r="L11" s="66" t="s">
        <v>235</v>
      </c>
      <c r="M11" s="121">
        <v>360</v>
      </c>
      <c r="N11" s="71"/>
      <c r="O11" s="58"/>
      <c r="P11" s="63"/>
      <c r="Q11" s="167" t="s">
        <v>223</v>
      </c>
      <c r="R11" s="70"/>
      <c r="S11" s="70"/>
      <c r="T11" s="126" t="s">
        <v>221</v>
      </c>
      <c r="U11" s="285">
        <v>44907</v>
      </c>
      <c r="V11" s="285">
        <v>44910</v>
      </c>
      <c r="W11" s="70"/>
      <c r="X11" s="70"/>
      <c r="Y11" s="70"/>
      <c r="Z11" s="70"/>
      <c r="AA11" s="71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</row>
    <row r="12" spans="1:51" s="73" customFormat="1" ht="15.6" x14ac:dyDescent="0.3">
      <c r="A12" s="73" t="s">
        <v>66</v>
      </c>
      <c r="B12" s="5" t="s">
        <v>239</v>
      </c>
      <c r="C12" s="130">
        <v>1188021</v>
      </c>
      <c r="D12" s="301">
        <f>1.0212*10350</f>
        <v>10569.420000000002</v>
      </c>
      <c r="E12" s="376">
        <v>5312.23</v>
      </c>
      <c r="F12" s="60">
        <f t="shared" si="0"/>
        <v>5257.1900000000023</v>
      </c>
      <c r="G12" s="61">
        <f t="shared" si="1"/>
        <v>0.49739626204654575</v>
      </c>
      <c r="H12" s="62"/>
      <c r="I12" s="62"/>
      <c r="J12" s="63">
        <v>45291</v>
      </c>
      <c r="K12" s="141" t="str">
        <f t="shared" si="2"/>
        <v>janvier</v>
      </c>
      <c r="L12" s="78" t="s">
        <v>168</v>
      </c>
      <c r="M12" s="227" t="s">
        <v>219</v>
      </c>
      <c r="P12" s="81"/>
      <c r="Q12" s="167" t="s">
        <v>240</v>
      </c>
      <c r="R12" s="126" t="s">
        <v>221</v>
      </c>
      <c r="S12" s="83"/>
      <c r="T12" s="126" t="s">
        <v>221</v>
      </c>
      <c r="U12" s="286"/>
      <c r="V12" s="286">
        <v>44938</v>
      </c>
      <c r="W12" s="83"/>
      <c r="X12" s="83"/>
      <c r="Y12" s="83"/>
      <c r="Z12" s="83"/>
      <c r="AA12" s="80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</row>
    <row r="13" spans="1:51" s="191" customFormat="1" ht="15.6" x14ac:dyDescent="0.3">
      <c r="A13" s="58" t="s">
        <v>72</v>
      </c>
      <c r="B13" s="394" t="s">
        <v>241</v>
      </c>
      <c r="C13" s="130">
        <v>1151200</v>
      </c>
      <c r="D13" s="301">
        <f>1.0212*18560</f>
        <v>18953.472000000002</v>
      </c>
      <c r="E13" s="376">
        <f>6532.13+1427.39</f>
        <v>7959.52</v>
      </c>
      <c r="F13" s="60">
        <f t="shared" si="0"/>
        <v>10993.952000000001</v>
      </c>
      <c r="G13" s="61">
        <f t="shared" si="1"/>
        <v>0.58004950227588914</v>
      </c>
      <c r="H13" s="463"/>
      <c r="I13" s="62"/>
      <c r="J13" s="119">
        <v>44742</v>
      </c>
      <c r="K13" s="141" t="s">
        <v>57</v>
      </c>
      <c r="L13" s="78" t="s">
        <v>168</v>
      </c>
      <c r="M13" s="227" t="s">
        <v>219</v>
      </c>
      <c r="N13" s="73"/>
      <c r="O13" s="73"/>
      <c r="P13" s="81"/>
      <c r="Q13" s="167" t="s">
        <v>223</v>
      </c>
      <c r="R13" s="126" t="s">
        <v>221</v>
      </c>
      <c r="S13" s="83"/>
      <c r="T13" s="126" t="s">
        <v>221</v>
      </c>
      <c r="U13" s="286"/>
      <c r="V13" s="286"/>
      <c r="W13" s="83"/>
      <c r="X13" s="83"/>
      <c r="Y13" s="83"/>
      <c r="Z13" s="83"/>
      <c r="AA13" s="80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</row>
    <row r="14" spans="1:51" s="73" customFormat="1" ht="15.6" x14ac:dyDescent="0.3">
      <c r="A14" s="58" t="s">
        <v>72</v>
      </c>
      <c r="B14" s="5" t="s">
        <v>242</v>
      </c>
      <c r="C14" s="464">
        <v>1209114</v>
      </c>
      <c r="D14" s="301">
        <f>1.0212*1480</f>
        <v>1511.3760000000002</v>
      </c>
      <c r="E14" s="465">
        <v>494</v>
      </c>
      <c r="F14" s="60">
        <f t="shared" si="0"/>
        <v>1017.3760000000002</v>
      </c>
      <c r="G14" s="61">
        <f t="shared" si="1"/>
        <v>0.67314553095986707</v>
      </c>
      <c r="H14" s="62"/>
      <c r="I14" s="62"/>
      <c r="J14" s="119">
        <v>44650</v>
      </c>
      <c r="K14" s="141" t="s">
        <v>55</v>
      </c>
      <c r="L14" s="78" t="s">
        <v>168</v>
      </c>
      <c r="M14" s="227" t="s">
        <v>219</v>
      </c>
      <c r="P14" s="81"/>
      <c r="Q14" s="167" t="s">
        <v>223</v>
      </c>
      <c r="R14" s="126" t="s">
        <v>221</v>
      </c>
      <c r="S14" s="83"/>
      <c r="T14" s="126" t="s">
        <v>221</v>
      </c>
      <c r="U14" s="286"/>
      <c r="V14" s="286"/>
      <c r="W14" s="83"/>
      <c r="X14" s="83"/>
      <c r="Y14" s="83"/>
      <c r="Z14" s="83"/>
      <c r="AA14" s="80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</row>
    <row r="15" spans="1:51" s="191" customFormat="1" ht="15.6" x14ac:dyDescent="0.3">
      <c r="A15" s="73" t="s">
        <v>111</v>
      </c>
      <c r="B15" s="117" t="s">
        <v>243</v>
      </c>
      <c r="C15" s="156">
        <v>1683785</v>
      </c>
      <c r="D15" s="301">
        <f>1.0212*11220</f>
        <v>11457.864000000001</v>
      </c>
      <c r="E15" s="376">
        <v>7157.05</v>
      </c>
      <c r="F15" s="60">
        <f t="shared" si="0"/>
        <v>4300.8140000000012</v>
      </c>
      <c r="G15" s="61">
        <f t="shared" si="1"/>
        <v>0.37535914198318299</v>
      </c>
      <c r="H15" s="62"/>
      <c r="I15" s="62"/>
      <c r="J15" s="63">
        <v>45291</v>
      </c>
      <c r="K15" s="141" t="str">
        <f>TEXT(30*MONTH(J15)+30,"mmmm")</f>
        <v>janvier</v>
      </c>
      <c r="L15" s="78" t="s">
        <v>168</v>
      </c>
      <c r="M15" s="121" t="s">
        <v>176</v>
      </c>
      <c r="N15" s="123"/>
      <c r="O15" s="66"/>
      <c r="P15" s="66"/>
      <c r="Q15" s="167" t="s">
        <v>220</v>
      </c>
      <c r="R15" s="126"/>
      <c r="S15" s="65" t="s">
        <v>244</v>
      </c>
      <c r="T15" s="126" t="s">
        <v>221</v>
      </c>
      <c r="U15" s="287">
        <v>44895</v>
      </c>
      <c r="V15" s="287"/>
      <c r="W15" s="128"/>
      <c r="X15" s="133"/>
      <c r="Y15" s="58"/>
      <c r="Z15" s="129"/>
      <c r="AA15" s="71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</row>
    <row r="16" spans="1:51" s="191" customFormat="1" ht="15.6" x14ac:dyDescent="0.3">
      <c r="A16" s="73" t="s">
        <v>66</v>
      </c>
      <c r="B16" s="5" t="s">
        <v>245</v>
      </c>
      <c r="C16" s="156">
        <v>943948</v>
      </c>
      <c r="D16" s="301">
        <f>1.0212*11594</f>
        <v>11839.792800000001</v>
      </c>
      <c r="E16" s="376">
        <v>8417.33</v>
      </c>
      <c r="F16" s="60">
        <f t="shared" si="0"/>
        <v>3422.4628000000012</v>
      </c>
      <c r="G16" s="61">
        <f t="shared" si="1"/>
        <v>0.28906441673540106</v>
      </c>
      <c r="H16" s="62"/>
      <c r="I16" s="62"/>
      <c r="J16" s="63">
        <v>45291</v>
      </c>
      <c r="K16" s="141" t="str">
        <f>TEXT(30*MONTH(J16)+30,"mmmm")</f>
        <v>janvier</v>
      </c>
      <c r="L16" s="66" t="s">
        <v>168</v>
      </c>
      <c r="M16" s="227" t="s">
        <v>219</v>
      </c>
      <c r="N16" s="123"/>
      <c r="O16" s="66"/>
      <c r="P16" s="66"/>
      <c r="Q16" s="167" t="s">
        <v>246</v>
      </c>
      <c r="R16" s="126" t="s">
        <v>221</v>
      </c>
      <c r="S16" s="126"/>
      <c r="T16" s="126" t="s">
        <v>221</v>
      </c>
      <c r="U16" s="286">
        <v>44910</v>
      </c>
      <c r="V16" s="284">
        <v>44932</v>
      </c>
      <c r="W16" s="70" t="s">
        <v>247</v>
      </c>
      <c r="X16" s="70"/>
      <c r="Y16" s="70"/>
      <c r="Z16" s="70"/>
      <c r="AA16" s="71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</row>
    <row r="17" spans="1:51" s="84" customFormat="1" ht="28.8" x14ac:dyDescent="0.3">
      <c r="A17" s="84" t="s">
        <v>66</v>
      </c>
      <c r="B17" s="5" t="s">
        <v>248</v>
      </c>
      <c r="C17" s="165">
        <v>943948</v>
      </c>
      <c r="D17" s="301">
        <f>1584*1.0212</f>
        <v>1617.5808000000002</v>
      </c>
      <c r="E17" s="376">
        <f>1210</f>
        <v>1210</v>
      </c>
      <c r="F17" s="278">
        <f t="shared" si="0"/>
        <v>407.58080000000018</v>
      </c>
      <c r="G17" s="279">
        <f t="shared" si="1"/>
        <v>0.25196936066501291</v>
      </c>
      <c r="H17" s="155">
        <f>7200*0.22</f>
        <v>1584</v>
      </c>
      <c r="I17" s="155">
        <v>1210</v>
      </c>
      <c r="J17" s="68">
        <v>45291</v>
      </c>
      <c r="K17" s="77" t="s">
        <v>53</v>
      </c>
      <c r="L17" s="160" t="s">
        <v>168</v>
      </c>
      <c r="M17" s="432"/>
      <c r="P17" s="77"/>
      <c r="Q17" s="433" t="s">
        <v>246</v>
      </c>
      <c r="R17" s="83"/>
      <c r="S17" s="83"/>
      <c r="T17" s="83" t="s">
        <v>221</v>
      </c>
      <c r="U17" s="286">
        <v>44910</v>
      </c>
      <c r="V17" s="285">
        <v>44932</v>
      </c>
      <c r="W17" s="83" t="s">
        <v>247</v>
      </c>
      <c r="X17" s="83"/>
      <c r="Y17" s="83"/>
      <c r="Z17" s="83"/>
      <c r="AA17" s="85" t="s">
        <v>249</v>
      </c>
      <c r="AB17" s="434"/>
      <c r="AC17" s="434"/>
      <c r="AD17" s="434"/>
      <c r="AE17" s="434"/>
      <c r="AF17" s="434"/>
      <c r="AG17" s="434"/>
      <c r="AH17" s="434"/>
      <c r="AI17" s="434"/>
      <c r="AJ17" s="434"/>
      <c r="AK17" s="434"/>
      <c r="AL17" s="434"/>
      <c r="AM17" s="434"/>
      <c r="AN17" s="435"/>
      <c r="AO17" s="435"/>
      <c r="AP17" s="435"/>
      <c r="AQ17" s="435"/>
      <c r="AR17" s="435"/>
      <c r="AS17" s="435"/>
      <c r="AT17" s="435"/>
      <c r="AU17" s="435"/>
      <c r="AV17" s="435"/>
      <c r="AW17" s="435"/>
      <c r="AX17" s="435"/>
      <c r="AY17" s="435"/>
    </row>
    <row r="18" spans="1:51" s="73" customFormat="1" ht="15.6" x14ac:dyDescent="0.3">
      <c r="A18" s="73" t="s">
        <v>66</v>
      </c>
      <c r="B18" s="5" t="s">
        <v>250</v>
      </c>
      <c r="C18" s="156">
        <v>943948</v>
      </c>
      <c r="D18" s="301">
        <f>1.0212*950</f>
        <v>970.1400000000001</v>
      </c>
      <c r="E18" s="376">
        <v>605</v>
      </c>
      <c r="F18" s="74">
        <f t="shared" si="0"/>
        <v>365.1400000000001</v>
      </c>
      <c r="G18" s="75">
        <f t="shared" si="1"/>
        <v>0.37637866699651601</v>
      </c>
      <c r="H18" s="113"/>
      <c r="I18" s="113"/>
      <c r="J18" s="81">
        <v>44561</v>
      </c>
      <c r="K18" s="86" t="s">
        <v>53</v>
      </c>
      <c r="L18" s="121" t="s">
        <v>168</v>
      </c>
      <c r="M18" s="121" t="s">
        <v>176</v>
      </c>
      <c r="N18" s="123"/>
      <c r="O18" s="66"/>
      <c r="P18" s="66"/>
      <c r="Q18" s="167" t="s">
        <v>246</v>
      </c>
      <c r="R18" s="126"/>
      <c r="S18" s="126"/>
      <c r="T18" s="126" t="s">
        <v>221</v>
      </c>
      <c r="U18" s="286">
        <v>44910</v>
      </c>
      <c r="V18" s="284">
        <v>44929</v>
      </c>
      <c r="W18" s="70" t="s">
        <v>251</v>
      </c>
      <c r="X18" s="70"/>
      <c r="Y18" s="70"/>
      <c r="Z18" s="70"/>
      <c r="AA18" s="71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</row>
    <row r="19" spans="1:51" s="73" customFormat="1" ht="15.6" x14ac:dyDescent="0.3">
      <c r="A19" s="201" t="s">
        <v>111</v>
      </c>
      <c r="B19" s="453" t="s">
        <v>252</v>
      </c>
      <c r="C19" s="203">
        <v>1090424</v>
      </c>
      <c r="D19" s="454">
        <f>1.0212*6600</f>
        <v>6739.920000000001</v>
      </c>
      <c r="E19" s="376">
        <v>4787.83</v>
      </c>
      <c r="F19" s="206">
        <f t="shared" si="0"/>
        <v>1952.0900000000011</v>
      </c>
      <c r="G19" s="190">
        <f t="shared" si="1"/>
        <v>0.28963103419625169</v>
      </c>
      <c r="H19" s="207"/>
      <c r="I19" s="207"/>
      <c r="J19" s="119">
        <v>44652</v>
      </c>
      <c r="K19" s="141" t="s">
        <v>55</v>
      </c>
      <c r="L19" s="66" t="s">
        <v>168</v>
      </c>
      <c r="M19" s="227" t="s">
        <v>219</v>
      </c>
      <c r="N19" s="123"/>
      <c r="O19" s="66"/>
      <c r="P19" s="66"/>
      <c r="Q19" s="167" t="s">
        <v>220</v>
      </c>
      <c r="R19" s="126" t="s">
        <v>221</v>
      </c>
      <c r="S19" s="126"/>
      <c r="T19" s="126" t="s">
        <v>221</v>
      </c>
      <c r="U19" s="287">
        <v>45013</v>
      </c>
      <c r="V19" s="287">
        <v>45015</v>
      </c>
      <c r="W19" s="128"/>
      <c r="X19" s="132"/>
      <c r="Y19" s="63"/>
      <c r="Z19" s="129"/>
      <c r="AA19" s="71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</row>
    <row r="20" spans="1:51" s="191" customFormat="1" ht="15.6" x14ac:dyDescent="0.3">
      <c r="A20" s="73" t="s">
        <v>66</v>
      </c>
      <c r="B20" s="5" t="s">
        <v>253</v>
      </c>
      <c r="C20" s="160">
        <v>951838</v>
      </c>
      <c r="D20" s="318">
        <v>31990</v>
      </c>
      <c r="E20" s="376">
        <v>26770.34</v>
      </c>
      <c r="F20" s="278">
        <f t="shared" si="0"/>
        <v>5219.66</v>
      </c>
      <c r="G20" s="279">
        <f t="shared" si="1"/>
        <v>0.16316536417630509</v>
      </c>
      <c r="H20" s="275"/>
      <c r="I20" s="170"/>
      <c r="J20" s="63">
        <v>45291</v>
      </c>
      <c r="K20" s="86" t="s">
        <v>254</v>
      </c>
      <c r="L20" s="160" t="s">
        <v>168</v>
      </c>
      <c r="M20" s="79" t="s">
        <v>176</v>
      </c>
      <c r="N20" s="73" t="s">
        <v>255</v>
      </c>
      <c r="O20" s="73"/>
      <c r="P20" s="81"/>
      <c r="Q20" s="167" t="s">
        <v>240</v>
      </c>
      <c r="R20" s="83"/>
      <c r="S20" s="83"/>
      <c r="T20" s="83" t="s">
        <v>221</v>
      </c>
      <c r="U20" s="286">
        <v>44862</v>
      </c>
      <c r="V20" s="286">
        <v>44862</v>
      </c>
      <c r="W20" s="83" t="s">
        <v>256</v>
      </c>
      <c r="X20" s="83"/>
      <c r="Y20" s="83"/>
      <c r="Z20" s="83"/>
      <c r="AA20" s="80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</row>
    <row r="21" spans="1:51" s="73" customFormat="1" ht="15.6" x14ac:dyDescent="0.3">
      <c r="A21" s="73" t="s">
        <v>72</v>
      </c>
      <c r="B21" s="117" t="s">
        <v>257</v>
      </c>
      <c r="C21" s="156">
        <v>928805</v>
      </c>
      <c r="D21" s="301">
        <f>1.0212*11506</f>
        <v>11749.927200000002</v>
      </c>
      <c r="E21" s="376">
        <v>8313.64</v>
      </c>
      <c r="F21" s="60">
        <f t="shared" si="0"/>
        <v>3436.2872000000025</v>
      </c>
      <c r="G21" s="61">
        <f t="shared" si="1"/>
        <v>0.29245178642468539</v>
      </c>
      <c r="H21" s="62"/>
      <c r="I21" s="62"/>
      <c r="J21" s="63">
        <v>45291</v>
      </c>
      <c r="K21" s="64" t="str">
        <f>TEXT(30*MONTH(J21)+30,"mmmm")</f>
        <v>janvier</v>
      </c>
      <c r="L21" s="78" t="s">
        <v>168</v>
      </c>
      <c r="M21" s="121" t="s">
        <v>176</v>
      </c>
      <c r="N21" s="80"/>
      <c r="P21" s="81"/>
      <c r="Q21" s="167" t="s">
        <v>223</v>
      </c>
      <c r="R21" s="83"/>
      <c r="S21" s="83"/>
      <c r="T21" s="126" t="s">
        <v>221</v>
      </c>
      <c r="U21" s="285">
        <v>44907</v>
      </c>
      <c r="V21" s="286">
        <v>44914</v>
      </c>
      <c r="W21" s="83"/>
      <c r="X21" s="83"/>
      <c r="Y21" s="83"/>
      <c r="Z21" s="83"/>
      <c r="AA21" s="71" t="s">
        <v>258</v>
      </c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</row>
    <row r="22" spans="1:51" s="191" customFormat="1" ht="15.6" x14ac:dyDescent="0.3">
      <c r="A22" s="73" t="s">
        <v>72</v>
      </c>
      <c r="B22" s="117" t="s">
        <v>257</v>
      </c>
      <c r="C22" s="156">
        <v>928805</v>
      </c>
      <c r="D22" s="301">
        <f>1.0459*(12623-11506)</f>
        <v>1168.2703000000001</v>
      </c>
      <c r="E22" s="376">
        <v>1039.69</v>
      </c>
      <c r="F22" s="60">
        <f t="shared" si="0"/>
        <v>128.58030000000008</v>
      </c>
      <c r="G22" s="61">
        <f t="shared" si="1"/>
        <v>0.11006040297352425</v>
      </c>
      <c r="H22" s="62"/>
      <c r="I22" s="62"/>
      <c r="J22" s="63">
        <v>45291</v>
      </c>
      <c r="K22" s="64" t="str">
        <f>TEXT(30*MONTH(J22)+30,"mmmm")</f>
        <v>janvier</v>
      </c>
      <c r="L22" s="78" t="s">
        <v>235</v>
      </c>
      <c r="M22" s="121">
        <v>360</v>
      </c>
      <c r="N22" s="80"/>
      <c r="O22" s="73"/>
      <c r="P22" s="81"/>
      <c r="Q22" s="167" t="s">
        <v>223</v>
      </c>
      <c r="R22" s="83"/>
      <c r="S22" s="83"/>
      <c r="T22" s="126" t="s">
        <v>221</v>
      </c>
      <c r="U22" s="285">
        <v>44907</v>
      </c>
      <c r="V22" s="286">
        <v>44914</v>
      </c>
      <c r="W22" s="83"/>
      <c r="X22" s="83"/>
      <c r="Y22" s="83"/>
      <c r="Z22" s="83"/>
      <c r="AA22" s="71" t="s">
        <v>258</v>
      </c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</row>
    <row r="23" spans="1:51" s="191" customFormat="1" ht="15.6" x14ac:dyDescent="0.3">
      <c r="A23" s="73" t="s">
        <v>66</v>
      </c>
      <c r="B23" s="88" t="s">
        <v>259</v>
      </c>
      <c r="C23" s="156">
        <v>1772717</v>
      </c>
      <c r="D23" s="178"/>
      <c r="E23" s="180"/>
      <c r="F23" s="60"/>
      <c r="G23" s="61"/>
      <c r="H23" s="140"/>
      <c r="I23" s="140"/>
      <c r="J23" s="63">
        <v>45291</v>
      </c>
      <c r="K23" s="64" t="str">
        <f>TEXT(30*MONTH(J23)+30,"mmmm")</f>
        <v>janvier</v>
      </c>
      <c r="L23" s="78" t="s">
        <v>168</v>
      </c>
      <c r="M23" s="121" t="s">
        <v>176</v>
      </c>
      <c r="N23" s="73"/>
      <c r="O23" s="73"/>
      <c r="P23" s="81"/>
      <c r="Q23" s="167" t="s">
        <v>240</v>
      </c>
      <c r="R23" s="83"/>
      <c r="S23" s="83"/>
      <c r="T23" s="126" t="s">
        <v>221</v>
      </c>
      <c r="U23" s="286"/>
      <c r="V23" s="286"/>
      <c r="W23" s="83"/>
      <c r="X23" s="83"/>
      <c r="Y23" s="83"/>
      <c r="Z23" s="83"/>
      <c r="AA23" s="80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</row>
    <row r="24" spans="1:51" s="191" customFormat="1" ht="15.6" x14ac:dyDescent="0.3">
      <c r="A24" s="323" t="s">
        <v>66</v>
      </c>
      <c r="B24" s="369" t="s">
        <v>260</v>
      </c>
      <c r="C24" s="160">
        <v>982875</v>
      </c>
      <c r="D24" s="170"/>
      <c r="E24" s="170"/>
      <c r="F24" s="74"/>
      <c r="G24" s="75"/>
      <c r="H24" s="113"/>
      <c r="I24" s="113"/>
      <c r="J24" s="63"/>
      <c r="K24" s="86" t="s">
        <v>53</v>
      </c>
      <c r="L24" s="174" t="s">
        <v>168</v>
      </c>
      <c r="M24" s="227" t="s">
        <v>219</v>
      </c>
      <c r="N24" s="73" t="s">
        <v>261</v>
      </c>
      <c r="O24" s="73"/>
      <c r="P24" s="81"/>
      <c r="Q24" s="167" t="s">
        <v>240</v>
      </c>
      <c r="R24" s="83"/>
      <c r="S24" s="83"/>
      <c r="T24" s="83"/>
      <c r="U24" s="286"/>
      <c r="V24" s="286"/>
      <c r="W24" s="83"/>
      <c r="X24" s="83"/>
      <c r="Y24" s="83"/>
      <c r="Z24" s="83"/>
      <c r="AA24" s="80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</row>
    <row r="25" spans="1:51" s="73" customFormat="1" ht="16.350000000000001" customHeight="1" x14ac:dyDescent="0.3">
      <c r="A25" s="323" t="s">
        <v>66</v>
      </c>
      <c r="B25" s="372" t="s">
        <v>260</v>
      </c>
      <c r="C25" s="160">
        <v>1690862</v>
      </c>
      <c r="D25" s="318">
        <v>11000</v>
      </c>
      <c r="E25" s="376">
        <f>544.5+7012.56+1762.23</f>
        <v>9319.2900000000009</v>
      </c>
      <c r="F25" s="74">
        <f t="shared" ref="F25:F48" si="3">D25-E25</f>
        <v>1680.7099999999991</v>
      </c>
      <c r="G25" s="75">
        <f t="shared" ref="G25:G48" si="4">F25/D25</f>
        <v>0.15279181818181811</v>
      </c>
      <c r="H25" s="114">
        <v>11000</v>
      </c>
      <c r="I25" s="114">
        <f>544.5+7012.56+1762.23</f>
        <v>9319.2900000000009</v>
      </c>
      <c r="J25" s="63">
        <v>45291</v>
      </c>
      <c r="K25" s="86" t="s">
        <v>254</v>
      </c>
      <c r="L25" s="174" t="s">
        <v>168</v>
      </c>
      <c r="M25" s="154" t="s">
        <v>176</v>
      </c>
      <c r="N25" s="73" t="s">
        <v>262</v>
      </c>
      <c r="P25" s="81"/>
      <c r="Q25" s="167" t="s">
        <v>240</v>
      </c>
      <c r="R25" s="83"/>
      <c r="S25" s="83"/>
      <c r="T25" s="83"/>
      <c r="U25" s="286"/>
      <c r="V25" s="286"/>
      <c r="W25" s="83"/>
      <c r="X25" s="83"/>
      <c r="Y25" s="83"/>
      <c r="Z25" s="83"/>
      <c r="AA25" s="80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</row>
    <row r="26" spans="1:51" s="191" customFormat="1" ht="15.6" x14ac:dyDescent="0.3">
      <c r="A26" s="73" t="s">
        <v>72</v>
      </c>
      <c r="B26" s="5" t="s">
        <v>263</v>
      </c>
      <c r="C26" s="156">
        <v>1234898</v>
      </c>
      <c r="D26" s="316">
        <f>1.0212*9796</f>
        <v>10003.675200000001</v>
      </c>
      <c r="E26" s="376">
        <v>6237.68</v>
      </c>
      <c r="F26" s="60">
        <f t="shared" si="3"/>
        <v>3765.9952000000012</v>
      </c>
      <c r="G26" s="61">
        <f t="shared" si="4"/>
        <v>0.37646116299337673</v>
      </c>
      <c r="H26" s="62"/>
      <c r="I26" s="62"/>
      <c r="J26" s="63">
        <v>45291</v>
      </c>
      <c r="K26" s="64" t="str">
        <f>TEXT(30*MONTH(J26)+30,"mmmm")</f>
        <v>janvier</v>
      </c>
      <c r="L26" s="78" t="s">
        <v>168</v>
      </c>
      <c r="M26" s="121" t="s">
        <v>176</v>
      </c>
      <c r="N26" s="71"/>
      <c r="O26" s="58"/>
      <c r="P26" s="63"/>
      <c r="Q26" s="167" t="s">
        <v>223</v>
      </c>
      <c r="R26" s="70"/>
      <c r="S26" s="70"/>
      <c r="T26" s="126" t="s">
        <v>221</v>
      </c>
      <c r="U26" s="284">
        <v>44901</v>
      </c>
      <c r="V26" s="285"/>
      <c r="W26" s="70"/>
      <c r="X26" s="70"/>
      <c r="Y26" s="70"/>
      <c r="Z26" s="70"/>
      <c r="AA26" s="71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</row>
    <row r="27" spans="1:51" s="73" customFormat="1" ht="15.6" x14ac:dyDescent="0.3">
      <c r="A27" s="73" t="s">
        <v>72</v>
      </c>
      <c r="B27" s="394" t="s">
        <v>264</v>
      </c>
      <c r="C27" s="156">
        <v>925150</v>
      </c>
      <c r="D27" s="301">
        <f>1.0212*9565</f>
        <v>9767.7780000000002</v>
      </c>
      <c r="E27" s="376">
        <v>8432.58</v>
      </c>
      <c r="F27" s="60">
        <f t="shared" si="3"/>
        <v>1335.1980000000003</v>
      </c>
      <c r="G27" s="61">
        <f t="shared" si="4"/>
        <v>0.13669413862600074</v>
      </c>
      <c r="H27" s="62"/>
      <c r="I27" s="62"/>
      <c r="J27" s="63">
        <v>45291</v>
      </c>
      <c r="K27" s="64" t="str">
        <f>TEXT(30*MONTH(J27)+30,"mmmm")</f>
        <v>janvier</v>
      </c>
      <c r="L27" s="78" t="s">
        <v>168</v>
      </c>
      <c r="M27" s="227" t="s">
        <v>219</v>
      </c>
      <c r="N27" s="80"/>
      <c r="P27" s="81"/>
      <c r="Q27" s="167" t="s">
        <v>223</v>
      </c>
      <c r="R27" s="126" t="s">
        <v>221</v>
      </c>
      <c r="S27" s="83"/>
      <c r="T27" s="126" t="s">
        <v>221</v>
      </c>
      <c r="U27" s="284">
        <v>44901</v>
      </c>
      <c r="V27" s="286">
        <v>44564</v>
      </c>
      <c r="W27" s="83"/>
      <c r="X27" s="83"/>
      <c r="Y27" s="83"/>
      <c r="Z27" s="83"/>
      <c r="AA27" s="80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</row>
    <row r="28" spans="1:51" s="191" customFormat="1" ht="15.6" x14ac:dyDescent="0.3">
      <c r="A28" s="73" t="s">
        <v>111</v>
      </c>
      <c r="B28" s="5" t="s">
        <v>265</v>
      </c>
      <c r="C28" s="156">
        <v>1226651</v>
      </c>
      <c r="D28" s="302">
        <f>1.0212*(3388+10156)</f>
        <v>13831.132800000001</v>
      </c>
      <c r="E28" s="378">
        <f>2457.75+ 9216.57</f>
        <v>11674.32</v>
      </c>
      <c r="F28" s="60">
        <f t="shared" si="3"/>
        <v>2156.8128000000015</v>
      </c>
      <c r="G28" s="61">
        <f t="shared" si="4"/>
        <v>0.15593898426020472</v>
      </c>
      <c r="H28" s="62"/>
      <c r="I28" s="62"/>
      <c r="J28" s="63">
        <v>45291</v>
      </c>
      <c r="K28" s="141" t="str">
        <f>TEXT(30*MONTH(J28)+30,"mmmm")</f>
        <v>janvier</v>
      </c>
      <c r="L28" s="66" t="s">
        <v>168</v>
      </c>
      <c r="M28" s="227" t="s">
        <v>219</v>
      </c>
      <c r="N28" s="123"/>
      <c r="O28" s="66"/>
      <c r="P28" s="66"/>
      <c r="Q28" s="167" t="s">
        <v>220</v>
      </c>
      <c r="R28" s="126" t="s">
        <v>221</v>
      </c>
      <c r="S28" s="126"/>
      <c r="T28" s="126" t="s">
        <v>221</v>
      </c>
      <c r="U28" s="287">
        <v>44895</v>
      </c>
      <c r="V28" s="287">
        <v>44902</v>
      </c>
      <c r="W28" s="128"/>
      <c r="X28" s="128"/>
      <c r="Y28" s="65"/>
      <c r="Z28" s="129"/>
      <c r="AA28" s="71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</row>
    <row r="29" spans="1:51" s="191" customFormat="1" ht="15.6" x14ac:dyDescent="0.3">
      <c r="A29" s="73" t="s">
        <v>111</v>
      </c>
      <c r="B29" s="5" t="s">
        <v>266</v>
      </c>
      <c r="C29" s="156">
        <v>1226651</v>
      </c>
      <c r="D29" s="301">
        <f>1.0212*11170</f>
        <v>11406.804000000002</v>
      </c>
      <c r="E29" s="377">
        <f>9667.29*1.0156</f>
        <v>9818.0997240000015</v>
      </c>
      <c r="F29" s="60">
        <f t="shared" si="3"/>
        <v>1588.7042760000004</v>
      </c>
      <c r="G29" s="61">
        <f t="shared" si="4"/>
        <v>0.139276897893573</v>
      </c>
      <c r="H29" s="62"/>
      <c r="I29" s="62"/>
      <c r="J29" s="63">
        <v>45291</v>
      </c>
      <c r="K29" s="141" t="str">
        <f>TEXT(30*MONTH(J29)+30,"mmmm")</f>
        <v>janvier</v>
      </c>
      <c r="L29" s="66" t="s">
        <v>168</v>
      </c>
      <c r="M29" s="227" t="s">
        <v>219</v>
      </c>
      <c r="N29" s="123"/>
      <c r="O29" s="66"/>
      <c r="P29" s="66"/>
      <c r="Q29" s="167" t="s">
        <v>220</v>
      </c>
      <c r="R29" s="126" t="s">
        <v>221</v>
      </c>
      <c r="S29" s="126"/>
      <c r="T29" s="126" t="s">
        <v>221</v>
      </c>
      <c r="U29" s="287">
        <v>44895</v>
      </c>
      <c r="V29" s="287">
        <v>44902</v>
      </c>
      <c r="W29" s="128"/>
      <c r="X29" s="128"/>
      <c r="Y29" s="58"/>
      <c r="Z29" s="129"/>
      <c r="AA29" s="71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</row>
    <row r="30" spans="1:51" s="73" customFormat="1" ht="15.6" x14ac:dyDescent="0.3">
      <c r="A30" s="73" t="s">
        <v>111</v>
      </c>
      <c r="B30" s="5" t="s">
        <v>267</v>
      </c>
      <c r="C30" s="156">
        <v>1226651</v>
      </c>
      <c r="D30" s="301">
        <f>1.0212*150000</f>
        <v>153180.00000000003</v>
      </c>
      <c r="E30" s="376">
        <v>141936.74</v>
      </c>
      <c r="F30" s="60">
        <f t="shared" si="3"/>
        <v>11243.260000000038</v>
      </c>
      <c r="G30" s="61">
        <f t="shared" si="4"/>
        <v>7.3399007703355765E-2</v>
      </c>
      <c r="H30" s="62"/>
      <c r="I30" s="62"/>
      <c r="J30" s="63">
        <v>45291</v>
      </c>
      <c r="K30" s="141" t="str">
        <f>TEXT(30*MONTH(J30)+30,"mmmm")</f>
        <v>janvier</v>
      </c>
      <c r="L30" s="66" t="s">
        <v>168</v>
      </c>
      <c r="M30" s="66" t="s">
        <v>176</v>
      </c>
      <c r="N30" s="123"/>
      <c r="O30" s="66"/>
      <c r="P30" s="66"/>
      <c r="Q30" s="167" t="s">
        <v>220</v>
      </c>
      <c r="R30" s="126"/>
      <c r="S30" s="126"/>
      <c r="T30" s="126" t="s">
        <v>221</v>
      </c>
      <c r="U30" s="287">
        <v>44895</v>
      </c>
      <c r="V30" s="287">
        <v>44902</v>
      </c>
      <c r="W30" s="128"/>
      <c r="X30" s="128"/>
      <c r="Y30" s="58"/>
      <c r="Z30" s="129"/>
      <c r="AA30" s="71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</row>
    <row r="31" spans="1:51" s="191" customFormat="1" ht="15.6" x14ac:dyDescent="0.3">
      <c r="A31" s="58" t="s">
        <v>66</v>
      </c>
      <c r="B31" s="117" t="s">
        <v>268</v>
      </c>
      <c r="C31" s="464">
        <v>1159865</v>
      </c>
      <c r="D31" s="301">
        <f>1.0212*15120.47</f>
        <v>15441.023964000002</v>
      </c>
      <c r="E31" s="465">
        <f>9472.89+401.43</f>
        <v>9874.32</v>
      </c>
      <c r="F31" s="60">
        <f t="shared" si="3"/>
        <v>5566.7039640000021</v>
      </c>
      <c r="G31" s="61">
        <f t="shared" si="4"/>
        <v>0.36051391261217536</v>
      </c>
      <c r="H31" s="62"/>
      <c r="I31" s="62"/>
      <c r="J31" s="119">
        <v>44651</v>
      </c>
      <c r="K31" s="141" t="s">
        <v>55</v>
      </c>
      <c r="L31" s="66" t="s">
        <v>175</v>
      </c>
      <c r="M31" s="227" t="s">
        <v>219</v>
      </c>
      <c r="N31" s="123"/>
      <c r="O31" s="66"/>
      <c r="P31" s="66"/>
      <c r="Q31" s="167" t="s">
        <v>240</v>
      </c>
      <c r="R31" s="126" t="s">
        <v>221</v>
      </c>
      <c r="S31" s="126"/>
      <c r="T31" s="126" t="s">
        <v>221</v>
      </c>
      <c r="U31" s="284"/>
      <c r="V31" s="284"/>
      <c r="W31" s="128"/>
      <c r="X31" s="130"/>
      <c r="Y31" s="58"/>
      <c r="Z31" s="129"/>
      <c r="AA31" s="71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</row>
    <row r="32" spans="1:51" s="191" customFormat="1" ht="15.6" x14ac:dyDescent="0.3">
      <c r="A32" s="58" t="s">
        <v>66</v>
      </c>
      <c r="B32" s="117" t="s">
        <v>269</v>
      </c>
      <c r="C32" s="464">
        <v>1159865</v>
      </c>
      <c r="D32" s="301">
        <f>(1.0257*1000)*2</f>
        <v>2051.4</v>
      </c>
      <c r="E32" s="475">
        <v>1895.76</v>
      </c>
      <c r="F32" s="60">
        <f t="shared" si="3"/>
        <v>155.6400000000001</v>
      </c>
      <c r="G32" s="61">
        <f t="shared" si="4"/>
        <v>7.5870137467095686E-2</v>
      </c>
      <c r="H32" s="62"/>
      <c r="I32" s="62"/>
      <c r="J32" s="119">
        <v>44742</v>
      </c>
      <c r="K32" s="141" t="s">
        <v>57</v>
      </c>
      <c r="L32" s="78" t="s">
        <v>235</v>
      </c>
      <c r="M32" s="193" t="s">
        <v>183</v>
      </c>
      <c r="N32" s="123"/>
      <c r="O32" s="66"/>
      <c r="P32" s="66"/>
      <c r="Q32" s="167" t="s">
        <v>240</v>
      </c>
      <c r="R32" s="126"/>
      <c r="S32" s="126"/>
      <c r="T32" s="126" t="s">
        <v>221</v>
      </c>
      <c r="U32" s="284"/>
      <c r="V32" s="284"/>
      <c r="W32" s="128"/>
      <c r="X32" s="130"/>
      <c r="Y32" s="58"/>
      <c r="Z32" s="129"/>
      <c r="AA32" s="71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</row>
    <row r="33" spans="1:51" s="191" customFormat="1" ht="15.6" x14ac:dyDescent="0.3">
      <c r="A33" s="73" t="s">
        <v>66</v>
      </c>
      <c r="B33" s="117" t="s">
        <v>270</v>
      </c>
      <c r="C33" s="156">
        <v>758221</v>
      </c>
      <c r="D33" s="301">
        <v>30000</v>
      </c>
      <c r="E33" s="376">
        <f>24522.45-24522.45/12*2</f>
        <v>20435.375</v>
      </c>
      <c r="F33" s="60">
        <f t="shared" si="3"/>
        <v>9564.625</v>
      </c>
      <c r="G33" s="61">
        <f t="shared" si="4"/>
        <v>0.31882083333333333</v>
      </c>
      <c r="H33" s="144">
        <f>31557.12-5259.52</f>
        <v>26297.599999999999</v>
      </c>
      <c r="I33" s="62">
        <v>24522.45</v>
      </c>
      <c r="J33" s="63">
        <v>45291</v>
      </c>
      <c r="K33" s="141" t="s">
        <v>53</v>
      </c>
      <c r="L33" s="66" t="s">
        <v>168</v>
      </c>
      <c r="M33" s="66" t="s">
        <v>176</v>
      </c>
      <c r="N33" s="123"/>
      <c r="O33" s="66"/>
      <c r="P33" s="66"/>
      <c r="Q33" s="167" t="s">
        <v>240</v>
      </c>
      <c r="R33" s="126"/>
      <c r="S33" s="126"/>
      <c r="T33" s="126" t="s">
        <v>221</v>
      </c>
      <c r="U33" s="284"/>
      <c r="V33" s="284"/>
      <c r="W33" s="128"/>
      <c r="X33" s="128"/>
      <c r="Y33" s="58"/>
      <c r="Z33" s="129"/>
      <c r="AA33" s="71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</row>
    <row r="34" spans="1:51" s="73" customFormat="1" ht="15.6" x14ac:dyDescent="0.3">
      <c r="A34" s="73" t="s">
        <v>66</v>
      </c>
      <c r="B34" s="117" t="s">
        <v>270</v>
      </c>
      <c r="C34" s="156">
        <v>758221</v>
      </c>
      <c r="D34" s="177"/>
      <c r="E34" s="379"/>
      <c r="F34" s="60">
        <f t="shared" si="3"/>
        <v>0</v>
      </c>
      <c r="G34" s="61" t="e">
        <f t="shared" si="4"/>
        <v>#DIV/0!</v>
      </c>
      <c r="H34" s="177">
        <f>1.0212*6336</f>
        <v>6470.3232000000007</v>
      </c>
      <c r="I34" s="62"/>
      <c r="J34" s="63">
        <v>45291</v>
      </c>
      <c r="K34" s="141" t="s">
        <v>53</v>
      </c>
      <c r="L34" s="66" t="s">
        <v>168</v>
      </c>
      <c r="M34" s="66" t="s">
        <v>176</v>
      </c>
      <c r="N34" s="123"/>
      <c r="O34" s="66"/>
      <c r="P34" s="66"/>
      <c r="Q34" s="167" t="s">
        <v>240</v>
      </c>
      <c r="R34" s="126"/>
      <c r="S34" s="126"/>
      <c r="T34" s="126" t="s">
        <v>221</v>
      </c>
      <c r="U34" s="284"/>
      <c r="V34" s="284"/>
      <c r="W34" s="128"/>
      <c r="X34" s="128"/>
      <c r="Y34" s="58"/>
      <c r="Z34" s="129"/>
      <c r="AA34" s="71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</row>
    <row r="35" spans="1:51" s="191" customFormat="1" ht="28.8" x14ac:dyDescent="0.3">
      <c r="A35" s="73" t="s">
        <v>126</v>
      </c>
      <c r="B35" s="117" t="s">
        <v>271</v>
      </c>
      <c r="C35" s="129">
        <v>1639614</v>
      </c>
      <c r="D35" s="301">
        <v>3000</v>
      </c>
      <c r="E35" s="180">
        <v>2645.5</v>
      </c>
      <c r="F35" s="60">
        <f t="shared" si="3"/>
        <v>354.5</v>
      </c>
      <c r="G35" s="61">
        <f t="shared" si="4"/>
        <v>0.11816666666666667</v>
      </c>
      <c r="H35" s="62"/>
      <c r="I35" s="62"/>
      <c r="J35" s="63">
        <v>45291</v>
      </c>
      <c r="K35" s="141" t="str">
        <f>TEXT(30*MONTH(J35)+30,"mmmm")</f>
        <v>janvier</v>
      </c>
      <c r="L35" s="66" t="s">
        <v>168</v>
      </c>
      <c r="M35" s="66" t="s">
        <v>176</v>
      </c>
      <c r="N35" s="123"/>
      <c r="O35" s="66"/>
      <c r="P35" s="66"/>
      <c r="Q35" s="167" t="s">
        <v>272</v>
      </c>
      <c r="R35" s="126"/>
      <c r="S35" s="126"/>
      <c r="T35" s="126" t="s">
        <v>221</v>
      </c>
      <c r="U35" s="297">
        <v>44893</v>
      </c>
      <c r="V35" s="284" t="s">
        <v>273</v>
      </c>
      <c r="W35" s="128"/>
      <c r="X35" s="128"/>
      <c r="Y35" s="58"/>
      <c r="Z35" s="129"/>
      <c r="AA35" s="194" t="s">
        <v>274</v>
      </c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</row>
    <row r="36" spans="1:51" s="191" customFormat="1" ht="15.6" x14ac:dyDescent="0.3">
      <c r="A36" s="73" t="s">
        <v>72</v>
      </c>
      <c r="B36" s="117" t="s">
        <v>275</v>
      </c>
      <c r="C36" s="156">
        <v>1121812</v>
      </c>
      <c r="D36" s="301">
        <f>1.0212*13438</f>
        <v>13722.885600000001</v>
      </c>
      <c r="E36" s="376">
        <v>11127.41</v>
      </c>
      <c r="F36" s="60">
        <f t="shared" si="3"/>
        <v>2595.4756000000016</v>
      </c>
      <c r="G36" s="61">
        <f t="shared" si="4"/>
        <v>0.18913482744474686</v>
      </c>
      <c r="H36" s="62"/>
      <c r="I36" s="62"/>
      <c r="J36" s="63">
        <v>45291</v>
      </c>
      <c r="K36" s="64" t="str">
        <f>TEXT(30*MONTH(J36)+30,"mmmm")</f>
        <v>janvier</v>
      </c>
      <c r="L36" s="66" t="s">
        <v>168</v>
      </c>
      <c r="M36" s="66" t="s">
        <v>176</v>
      </c>
      <c r="N36" s="71"/>
      <c r="O36" s="58"/>
      <c r="P36" s="63"/>
      <c r="Q36" s="167" t="s">
        <v>223</v>
      </c>
      <c r="R36" s="70"/>
      <c r="S36" s="70"/>
      <c r="T36" s="126" t="s">
        <v>221</v>
      </c>
      <c r="U36" s="285">
        <v>44903</v>
      </c>
      <c r="V36" s="285">
        <v>44958</v>
      </c>
      <c r="W36" s="70"/>
      <c r="X36" s="70"/>
      <c r="Y36" s="70"/>
      <c r="Z36" s="70"/>
      <c r="AA36" s="71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</row>
    <row r="37" spans="1:51" s="73" customFormat="1" ht="15.6" x14ac:dyDescent="0.3">
      <c r="A37" s="58" t="s">
        <v>72</v>
      </c>
      <c r="B37" s="466" t="s">
        <v>275</v>
      </c>
      <c r="C37" s="464">
        <v>1121812</v>
      </c>
      <c r="D37" s="503">
        <f>1.0212*1100</f>
        <v>1123.3200000000002</v>
      </c>
      <c r="E37" s="468">
        <v>880</v>
      </c>
      <c r="F37" s="60">
        <f t="shared" si="3"/>
        <v>243.32000000000016</v>
      </c>
      <c r="G37" s="61">
        <f t="shared" si="4"/>
        <v>0.2166079122600863</v>
      </c>
      <c r="H37" s="62"/>
      <c r="I37" s="62"/>
      <c r="J37" s="119">
        <v>44773</v>
      </c>
      <c r="K37" s="64" t="s">
        <v>59</v>
      </c>
      <c r="L37" s="66" t="s">
        <v>168</v>
      </c>
      <c r="M37" s="66" t="s">
        <v>176</v>
      </c>
      <c r="N37" s="84"/>
      <c r="O37" s="84"/>
      <c r="P37" s="77"/>
      <c r="Q37" s="167" t="s">
        <v>223</v>
      </c>
      <c r="R37" s="83"/>
      <c r="S37" s="83"/>
      <c r="T37" s="126" t="s">
        <v>221</v>
      </c>
      <c r="U37" s="286"/>
      <c r="V37" s="286"/>
      <c r="W37" s="83"/>
      <c r="X37" s="83"/>
      <c r="Y37" s="83"/>
      <c r="Z37" s="83"/>
      <c r="AA37" s="80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</row>
    <row r="38" spans="1:51" s="191" customFormat="1" ht="15.6" x14ac:dyDescent="0.3">
      <c r="A38" s="73" t="s">
        <v>72</v>
      </c>
      <c r="B38" s="5" t="s">
        <v>276</v>
      </c>
      <c r="C38" s="130">
        <v>1121387</v>
      </c>
      <c r="D38" s="301">
        <f>1.0212*3503.34</f>
        <v>3577.6108080000004</v>
      </c>
      <c r="E38" s="377">
        <v>3050.21</v>
      </c>
      <c r="F38" s="60">
        <f t="shared" si="3"/>
        <v>527.40080800000032</v>
      </c>
      <c r="G38" s="61">
        <f t="shared" si="4"/>
        <v>0.14741704346953111</v>
      </c>
      <c r="H38" s="62"/>
      <c r="I38" s="62"/>
      <c r="J38" s="63">
        <v>45291</v>
      </c>
      <c r="K38" s="141" t="str">
        <f>TEXT(30*MONTH(J38)+30,"mmmm")</f>
        <v>janvier</v>
      </c>
      <c r="L38" s="78" t="s">
        <v>168</v>
      </c>
      <c r="M38" s="227" t="s">
        <v>219</v>
      </c>
      <c r="N38" s="73"/>
      <c r="O38" s="73"/>
      <c r="P38" s="81"/>
      <c r="Q38" s="167" t="s">
        <v>223</v>
      </c>
      <c r="R38" s="126" t="s">
        <v>221</v>
      </c>
      <c r="S38" s="83"/>
      <c r="T38" s="126" t="s">
        <v>221</v>
      </c>
      <c r="U38" s="284">
        <v>44901</v>
      </c>
      <c r="V38" s="284">
        <v>44901</v>
      </c>
      <c r="W38" s="83"/>
      <c r="X38" s="83"/>
      <c r="Y38" s="83"/>
      <c r="Z38" s="83"/>
      <c r="AA38" s="80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</row>
    <row r="39" spans="1:51" s="191" customFormat="1" ht="15.6" x14ac:dyDescent="0.3">
      <c r="A39" s="73" t="s">
        <v>66</v>
      </c>
      <c r="B39" s="117" t="s">
        <v>277</v>
      </c>
      <c r="C39" s="129">
        <v>940363</v>
      </c>
      <c r="D39" s="301">
        <f>1.0212*39990</f>
        <v>40837.788000000008</v>
      </c>
      <c r="E39" s="377">
        <v>38213.620000000003</v>
      </c>
      <c r="F39" s="60">
        <f t="shared" si="3"/>
        <v>2624.1680000000051</v>
      </c>
      <c r="G39" s="61">
        <f t="shared" si="4"/>
        <v>6.4258328585280008E-2</v>
      </c>
      <c r="H39" s="62"/>
      <c r="I39" s="62"/>
      <c r="J39" s="63">
        <v>45291</v>
      </c>
      <c r="K39" s="141" t="str">
        <f>TEXT(30*MONTH(J39)+30,"mmmm")</f>
        <v>janvier</v>
      </c>
      <c r="L39" s="66" t="s">
        <v>168</v>
      </c>
      <c r="M39" s="66" t="s">
        <v>219</v>
      </c>
      <c r="N39" s="195"/>
      <c r="O39" s="66"/>
      <c r="P39" s="66"/>
      <c r="Q39" s="167" t="s">
        <v>246</v>
      </c>
      <c r="R39" s="126"/>
      <c r="S39" s="126"/>
      <c r="T39" s="126" t="s">
        <v>221</v>
      </c>
      <c r="U39" s="284">
        <v>44897</v>
      </c>
      <c r="V39" s="284"/>
      <c r="W39" s="128"/>
      <c r="X39" s="128"/>
      <c r="Y39" s="58"/>
      <c r="Z39" s="129"/>
      <c r="AA39" s="71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</row>
    <row r="40" spans="1:51" s="191" customFormat="1" ht="15.6" x14ac:dyDescent="0.3">
      <c r="A40" s="73" t="s">
        <v>66</v>
      </c>
      <c r="B40" s="117" t="s">
        <v>277</v>
      </c>
      <c r="C40" s="129" t="s">
        <v>235</v>
      </c>
      <c r="D40" s="301">
        <v>2758.28</v>
      </c>
      <c r="E40" s="376">
        <v>2506.75</v>
      </c>
      <c r="F40" s="60">
        <f t="shared" si="3"/>
        <v>251.5300000000002</v>
      </c>
      <c r="G40" s="61">
        <f t="shared" si="4"/>
        <v>9.1190887074553778E-2</v>
      </c>
      <c r="H40" s="62">
        <v>2785.28</v>
      </c>
      <c r="I40" s="62"/>
      <c r="J40" s="63">
        <v>45291</v>
      </c>
      <c r="K40" s="141" t="s">
        <v>53</v>
      </c>
      <c r="L40" s="78" t="s">
        <v>235</v>
      </c>
      <c r="M40" s="121">
        <v>360</v>
      </c>
      <c r="N40" s="195" t="s">
        <v>278</v>
      </c>
      <c r="O40" s="66"/>
      <c r="P40" s="66"/>
      <c r="Q40" s="167" t="s">
        <v>246</v>
      </c>
      <c r="R40" s="126"/>
      <c r="S40" s="126"/>
      <c r="T40" s="126" t="s">
        <v>221</v>
      </c>
      <c r="U40" s="284">
        <v>44897</v>
      </c>
      <c r="V40" s="284"/>
      <c r="W40" s="128"/>
      <c r="X40" s="128"/>
      <c r="Y40" s="58"/>
      <c r="Z40" s="129"/>
      <c r="AA40" s="71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</row>
    <row r="41" spans="1:51" s="191" customFormat="1" ht="15.6" x14ac:dyDescent="0.3">
      <c r="A41" s="73" t="s">
        <v>66</v>
      </c>
      <c r="B41" s="394" t="s">
        <v>279</v>
      </c>
      <c r="C41" s="156">
        <v>1332627</v>
      </c>
      <c r="D41" s="301">
        <f>1.0212*24762</f>
        <v>25286.954400000002</v>
      </c>
      <c r="E41" s="376">
        <v>16382.49</v>
      </c>
      <c r="F41" s="60">
        <f t="shared" si="3"/>
        <v>8904.4644000000026</v>
      </c>
      <c r="G41" s="61">
        <f t="shared" si="4"/>
        <v>0.35213668910637974</v>
      </c>
      <c r="H41" s="62"/>
      <c r="I41" s="62"/>
      <c r="J41" s="63">
        <v>45291</v>
      </c>
      <c r="K41" s="141" t="str">
        <f t="shared" ref="K41:K46" si="5">TEXT(30*MONTH(J41)+30,"mmmm")</f>
        <v>janvier</v>
      </c>
      <c r="L41" s="66" t="s">
        <v>168</v>
      </c>
      <c r="M41" s="66" t="s">
        <v>176</v>
      </c>
      <c r="N41" s="123"/>
      <c r="O41" s="66"/>
      <c r="P41" s="66"/>
      <c r="Q41" s="167" t="s">
        <v>240</v>
      </c>
      <c r="R41" s="126"/>
      <c r="S41" s="126"/>
      <c r="T41" s="126" t="s">
        <v>221</v>
      </c>
      <c r="U41" s="284"/>
      <c r="V41" s="284"/>
      <c r="W41" s="128"/>
      <c r="X41" s="128"/>
      <c r="Y41" s="58"/>
      <c r="Z41" s="129"/>
      <c r="AA41" s="71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</row>
    <row r="42" spans="1:51" s="191" customFormat="1" ht="15.6" x14ac:dyDescent="0.3">
      <c r="A42" s="73" t="s">
        <v>72</v>
      </c>
      <c r="B42" s="117" t="s">
        <v>280</v>
      </c>
      <c r="C42" s="156">
        <v>820266</v>
      </c>
      <c r="D42" s="316">
        <f>1.0212*66000</f>
        <v>67399.200000000012</v>
      </c>
      <c r="E42" s="376">
        <v>64802.26</v>
      </c>
      <c r="F42" s="60">
        <f t="shared" si="3"/>
        <v>2596.9400000000096</v>
      </c>
      <c r="G42" s="61">
        <f t="shared" si="4"/>
        <v>3.8530724400289755E-2</v>
      </c>
      <c r="H42" s="62"/>
      <c r="I42" s="62"/>
      <c r="J42" s="63">
        <v>45291</v>
      </c>
      <c r="K42" s="64" t="str">
        <f t="shared" si="5"/>
        <v>janvier</v>
      </c>
      <c r="L42" s="66" t="s">
        <v>168</v>
      </c>
      <c r="M42" s="227" t="s">
        <v>219</v>
      </c>
      <c r="N42" s="80"/>
      <c r="O42" s="73"/>
      <c r="P42" s="81"/>
      <c r="Q42" s="167" t="s">
        <v>223</v>
      </c>
      <c r="R42" s="126" t="s">
        <v>221</v>
      </c>
      <c r="S42" s="83"/>
      <c r="T42" s="126" t="s">
        <v>221</v>
      </c>
      <c r="U42" s="286">
        <v>44907</v>
      </c>
      <c r="V42" s="286">
        <v>44943</v>
      </c>
      <c r="W42" s="83"/>
      <c r="X42" s="83"/>
      <c r="Y42" s="83"/>
      <c r="Z42" s="83"/>
      <c r="AA42" s="71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</row>
    <row r="43" spans="1:51" s="191" customFormat="1" ht="15.6" x14ac:dyDescent="0.3">
      <c r="A43" s="73" t="s">
        <v>72</v>
      </c>
      <c r="B43" s="5" t="s">
        <v>281</v>
      </c>
      <c r="C43" s="130">
        <v>951854</v>
      </c>
      <c r="D43" s="301">
        <f>1.0212*5726</f>
        <v>5847.3912000000009</v>
      </c>
      <c r="E43" s="377">
        <v>3447.18</v>
      </c>
      <c r="F43" s="60">
        <f t="shared" si="3"/>
        <v>2400.2112000000011</v>
      </c>
      <c r="G43" s="61">
        <f t="shared" si="4"/>
        <v>0.41047556387197093</v>
      </c>
      <c r="H43" s="62"/>
      <c r="I43" s="62"/>
      <c r="J43" s="63">
        <v>45291</v>
      </c>
      <c r="K43" s="141" t="str">
        <f t="shared" si="5"/>
        <v>janvier</v>
      </c>
      <c r="L43" s="78" t="s">
        <v>168</v>
      </c>
      <c r="M43" s="227" t="s">
        <v>219</v>
      </c>
      <c r="N43" s="73"/>
      <c r="O43" s="73"/>
      <c r="P43" s="81"/>
      <c r="Q43" s="167" t="s">
        <v>223</v>
      </c>
      <c r="R43" s="126" t="s">
        <v>221</v>
      </c>
      <c r="S43" s="83"/>
      <c r="T43" s="126" t="s">
        <v>221</v>
      </c>
      <c r="U43" s="284">
        <v>44901</v>
      </c>
      <c r="V43" s="286">
        <v>44910</v>
      </c>
      <c r="W43" s="83"/>
      <c r="X43" s="83"/>
      <c r="Y43" s="83"/>
      <c r="Z43" s="83"/>
      <c r="AA43" s="80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</row>
    <row r="44" spans="1:51" s="73" customFormat="1" ht="15.6" x14ac:dyDescent="0.3">
      <c r="A44" s="73" t="s">
        <v>66</v>
      </c>
      <c r="B44" s="5" t="s">
        <v>282</v>
      </c>
      <c r="C44" s="156">
        <v>1670079</v>
      </c>
      <c r="D44" s="301">
        <f>1.0212*4829</f>
        <v>4931.3748000000005</v>
      </c>
      <c r="E44" s="376">
        <v>2465.64</v>
      </c>
      <c r="F44" s="60">
        <f t="shared" si="3"/>
        <v>2465.7348000000006</v>
      </c>
      <c r="G44" s="61">
        <f t="shared" si="4"/>
        <v>0.50000961192404203</v>
      </c>
      <c r="H44" s="62"/>
      <c r="I44" s="62"/>
      <c r="J44" s="63">
        <v>45291</v>
      </c>
      <c r="K44" s="141" t="str">
        <f t="shared" si="5"/>
        <v>janvier</v>
      </c>
      <c r="L44" s="66" t="s">
        <v>168</v>
      </c>
      <c r="M44" s="66" t="s">
        <v>176</v>
      </c>
      <c r="N44" s="123"/>
      <c r="O44" s="66"/>
      <c r="P44" s="66"/>
      <c r="Q44" s="167" t="s">
        <v>272</v>
      </c>
      <c r="R44" s="70"/>
      <c r="S44" s="70"/>
      <c r="T44" s="126" t="s">
        <v>221</v>
      </c>
      <c r="U44" s="297">
        <v>44894</v>
      </c>
      <c r="V44" s="285">
        <v>44911</v>
      </c>
      <c r="W44" s="70"/>
      <c r="X44" s="70"/>
      <c r="Y44" s="70"/>
      <c r="Z44" s="70"/>
      <c r="AA44" s="71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</row>
    <row r="45" spans="1:51" s="191" customFormat="1" ht="15.6" x14ac:dyDescent="0.3">
      <c r="A45" s="73" t="s">
        <v>72</v>
      </c>
      <c r="B45" s="5" t="s">
        <v>283</v>
      </c>
      <c r="C45" s="156">
        <v>2027479</v>
      </c>
      <c r="D45" s="301">
        <f>1.0212*15173</f>
        <v>15494.667600000002</v>
      </c>
      <c r="E45" s="376">
        <v>11274.8</v>
      </c>
      <c r="F45" s="60">
        <f t="shared" si="3"/>
        <v>4219.8676000000032</v>
      </c>
      <c r="G45" s="61">
        <f t="shared" si="4"/>
        <v>0.27234321567504954</v>
      </c>
      <c r="H45" s="62"/>
      <c r="I45" s="62"/>
      <c r="J45" s="63">
        <v>45291</v>
      </c>
      <c r="K45" s="64" t="str">
        <f t="shared" si="5"/>
        <v>janvier</v>
      </c>
      <c r="L45" s="66" t="s">
        <v>168</v>
      </c>
      <c r="M45" s="66" t="s">
        <v>176</v>
      </c>
      <c r="N45" s="80"/>
      <c r="O45" s="73"/>
      <c r="P45" s="81"/>
      <c r="Q45" s="167" t="s">
        <v>223</v>
      </c>
      <c r="R45" s="83"/>
      <c r="S45" s="83"/>
      <c r="T45" s="126" t="s">
        <v>221</v>
      </c>
      <c r="U45" s="284">
        <v>44901</v>
      </c>
      <c r="V45" s="286">
        <v>44910</v>
      </c>
      <c r="W45" s="83"/>
      <c r="X45" s="83"/>
      <c r="Y45" s="83"/>
      <c r="Z45" s="83"/>
      <c r="AA45" s="80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</row>
    <row r="46" spans="1:51" s="73" customFormat="1" ht="15.6" x14ac:dyDescent="0.3">
      <c r="A46" s="73" t="s">
        <v>111</v>
      </c>
      <c r="B46" s="117" t="s">
        <v>284</v>
      </c>
      <c r="C46" s="156">
        <v>926065</v>
      </c>
      <c r="D46" s="301">
        <f>1.0212*4495</f>
        <v>4590.2940000000008</v>
      </c>
      <c r="E46" s="377">
        <f>2369.97+370.38</f>
        <v>2740.35</v>
      </c>
      <c r="F46" s="60">
        <f t="shared" si="3"/>
        <v>1849.9440000000009</v>
      </c>
      <c r="G46" s="61">
        <f t="shared" si="4"/>
        <v>0.4030120946501467</v>
      </c>
      <c r="H46" s="62"/>
      <c r="I46" s="62"/>
      <c r="J46" s="63">
        <v>45291</v>
      </c>
      <c r="K46" s="141" t="str">
        <f t="shared" si="5"/>
        <v>janvier</v>
      </c>
      <c r="L46" s="66" t="s">
        <v>168</v>
      </c>
      <c r="M46" s="227" t="s">
        <v>219</v>
      </c>
      <c r="N46" s="123"/>
      <c r="O46" s="66"/>
      <c r="P46" s="66"/>
      <c r="Q46" s="167" t="s">
        <v>220</v>
      </c>
      <c r="R46" s="126" t="s">
        <v>221</v>
      </c>
      <c r="S46" s="126"/>
      <c r="T46" s="126" t="s">
        <v>221</v>
      </c>
      <c r="U46" s="288">
        <v>44895</v>
      </c>
      <c r="V46" s="287">
        <v>44896</v>
      </c>
      <c r="W46" s="128"/>
      <c r="X46" s="128"/>
      <c r="Y46" s="65"/>
      <c r="Z46" s="196"/>
      <c r="AA46" s="71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</row>
    <row r="47" spans="1:51" s="304" customFormat="1" ht="15.6" x14ac:dyDescent="0.3">
      <c r="A47" s="58" t="s">
        <v>72</v>
      </c>
      <c r="B47" s="453" t="s">
        <v>285</v>
      </c>
      <c r="C47" s="464">
        <v>960864</v>
      </c>
      <c r="D47" s="454">
        <v>1999.8</v>
      </c>
      <c r="E47" s="144">
        <v>1149.5</v>
      </c>
      <c r="F47" s="60">
        <f t="shared" si="3"/>
        <v>850.3</v>
      </c>
      <c r="G47" s="61">
        <f t="shared" si="4"/>
        <v>0.42519251925192519</v>
      </c>
      <c r="H47" s="62"/>
      <c r="I47" s="62"/>
      <c r="J47" s="305">
        <v>45230</v>
      </c>
      <c r="K47" s="306" t="s">
        <v>62</v>
      </c>
      <c r="L47" s="307" t="s">
        <v>168</v>
      </c>
      <c r="M47" s="308" t="s">
        <v>219</v>
      </c>
      <c r="P47" s="309"/>
      <c r="Q47" s="310" t="s">
        <v>223</v>
      </c>
      <c r="R47" s="311" t="s">
        <v>221</v>
      </c>
      <c r="S47" s="312"/>
      <c r="T47" s="311" t="s">
        <v>221</v>
      </c>
      <c r="U47" s="313">
        <v>44903</v>
      </c>
      <c r="V47" s="313"/>
      <c r="W47" s="312"/>
      <c r="X47" s="312"/>
      <c r="Y47" s="312"/>
      <c r="Z47" s="312"/>
      <c r="AA47" s="314"/>
      <c r="AB47" s="315"/>
      <c r="AC47" s="315"/>
      <c r="AD47" s="315"/>
      <c r="AE47" s="315"/>
      <c r="AF47" s="315"/>
      <c r="AG47" s="315"/>
      <c r="AH47" s="315"/>
      <c r="AI47" s="315"/>
      <c r="AJ47" s="315"/>
      <c r="AK47" s="315"/>
      <c r="AL47" s="315"/>
      <c r="AM47" s="315"/>
      <c r="AN47" s="315"/>
      <c r="AO47" s="315"/>
      <c r="AP47" s="315"/>
      <c r="AQ47" s="315"/>
      <c r="AR47" s="315"/>
      <c r="AS47" s="315"/>
      <c r="AT47" s="315"/>
      <c r="AU47" s="315"/>
      <c r="AV47" s="315"/>
      <c r="AW47" s="315"/>
      <c r="AX47" s="315"/>
      <c r="AY47" s="315"/>
    </row>
    <row r="48" spans="1:51" s="73" customFormat="1" ht="15.6" x14ac:dyDescent="0.3">
      <c r="A48" s="73" t="s">
        <v>72</v>
      </c>
      <c r="B48" s="5" t="s">
        <v>285</v>
      </c>
      <c r="C48" s="156">
        <v>960864</v>
      </c>
      <c r="D48" s="301">
        <f>1.0212*7352</f>
        <v>7507.8624000000009</v>
      </c>
      <c r="E48" s="377">
        <v>6039.98</v>
      </c>
      <c r="F48" s="74">
        <f t="shared" si="3"/>
        <v>1467.8824000000013</v>
      </c>
      <c r="G48" s="75">
        <f t="shared" si="4"/>
        <v>0.19551269346651867</v>
      </c>
      <c r="H48" s="76"/>
      <c r="I48" s="76"/>
      <c r="J48" s="81">
        <v>45291</v>
      </c>
      <c r="K48" s="161" t="str">
        <f>TEXT(30*MONTH(J48)+30,"mmmm")</f>
        <v>janvier</v>
      </c>
      <c r="L48" s="79" t="s">
        <v>168</v>
      </c>
      <c r="M48" s="228" t="s">
        <v>219</v>
      </c>
      <c r="N48" s="71"/>
      <c r="O48" s="58"/>
      <c r="P48" s="63"/>
      <c r="Q48" s="167" t="s">
        <v>223</v>
      </c>
      <c r="R48" s="126" t="s">
        <v>221</v>
      </c>
      <c r="S48" s="70"/>
      <c r="T48" s="126" t="s">
        <v>221</v>
      </c>
      <c r="U48" s="285">
        <v>44903</v>
      </c>
      <c r="V48" s="285">
        <v>44903</v>
      </c>
      <c r="W48" s="70"/>
      <c r="X48" s="70"/>
      <c r="Y48" s="70"/>
      <c r="Z48" s="70"/>
      <c r="AA48" s="71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</row>
    <row r="49" spans="1:51" s="73" customFormat="1" ht="15.6" x14ac:dyDescent="0.3">
      <c r="A49" s="73" t="s">
        <v>66</v>
      </c>
      <c r="B49" s="222" t="s">
        <v>286</v>
      </c>
      <c r="C49" s="156">
        <v>1326492</v>
      </c>
      <c r="D49" s="220"/>
      <c r="E49" s="220"/>
      <c r="F49" s="218"/>
      <c r="G49" s="219"/>
      <c r="H49" s="62"/>
      <c r="I49" s="62"/>
      <c r="J49" s="119"/>
      <c r="K49" s="141" t="s">
        <v>53</v>
      </c>
      <c r="L49" s="78"/>
      <c r="M49" s="227" t="s">
        <v>219</v>
      </c>
      <c r="P49" s="81"/>
      <c r="Q49" s="167" t="s">
        <v>287</v>
      </c>
      <c r="R49" s="126" t="s">
        <v>221</v>
      </c>
      <c r="S49" s="83"/>
      <c r="T49" s="126"/>
      <c r="U49" s="286"/>
      <c r="V49" s="286"/>
      <c r="W49" s="83"/>
      <c r="X49" s="83"/>
      <c r="Y49" s="83"/>
      <c r="Z49" s="83"/>
      <c r="AA49" s="80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</row>
    <row r="50" spans="1:51" s="73" customFormat="1" ht="15.6" x14ac:dyDescent="0.3">
      <c r="A50" s="73" t="s">
        <v>111</v>
      </c>
      <c r="B50" s="117" t="s">
        <v>288</v>
      </c>
      <c r="C50" s="156">
        <v>640809</v>
      </c>
      <c r="D50" s="301">
        <f>1.0212*3600</f>
        <v>3676.32</v>
      </c>
      <c r="E50" s="376">
        <v>3008.35</v>
      </c>
      <c r="F50" s="60">
        <f>D50-E50</f>
        <v>667.97000000000025</v>
      </c>
      <c r="G50" s="61">
        <f>F50/D50</f>
        <v>0.18169528223876055</v>
      </c>
      <c r="H50" s="62"/>
      <c r="I50" s="62"/>
      <c r="J50" s="63">
        <v>45291</v>
      </c>
      <c r="K50" s="141" t="str">
        <f>TEXT(30*MONTH(J50)+30,"mmmm")</f>
        <v>janvier</v>
      </c>
      <c r="L50" s="66" t="s">
        <v>168</v>
      </c>
      <c r="M50" s="227" t="s">
        <v>219</v>
      </c>
      <c r="N50" s="123"/>
      <c r="O50" s="66"/>
      <c r="P50" s="66"/>
      <c r="Q50" s="167" t="s">
        <v>220</v>
      </c>
      <c r="R50" s="126" t="s">
        <v>221</v>
      </c>
      <c r="S50" s="65" t="s">
        <v>244</v>
      </c>
      <c r="T50" s="126" t="s">
        <v>221</v>
      </c>
      <c r="U50" s="287">
        <v>44895</v>
      </c>
      <c r="V50" s="287"/>
      <c r="W50" s="128"/>
      <c r="X50" s="130"/>
      <c r="Y50" s="65"/>
      <c r="Z50" s="129"/>
      <c r="AA50" s="71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</row>
    <row r="51" spans="1:51" s="73" customFormat="1" ht="15.6" x14ac:dyDescent="0.3">
      <c r="A51" s="73" t="s">
        <v>72</v>
      </c>
      <c r="B51" s="88" t="s">
        <v>289</v>
      </c>
      <c r="C51" s="159">
        <v>931146</v>
      </c>
      <c r="D51" s="178"/>
      <c r="E51" s="180"/>
      <c r="F51" s="146"/>
      <c r="G51" s="147"/>
      <c r="H51" s="62"/>
      <c r="I51" s="62"/>
      <c r="J51" s="63">
        <v>45291</v>
      </c>
      <c r="K51" s="141" t="str">
        <f>TEXT(30*MONTH(J51)+30,"mmmm")</f>
        <v>janvier</v>
      </c>
      <c r="L51" s="78" t="s">
        <v>168</v>
      </c>
      <c r="M51" s="227" t="s">
        <v>219</v>
      </c>
      <c r="N51" s="73" t="s">
        <v>290</v>
      </c>
      <c r="P51" s="81"/>
      <c r="Q51" s="167" t="s">
        <v>223</v>
      </c>
      <c r="R51" s="126" t="s">
        <v>221</v>
      </c>
      <c r="S51" s="83"/>
      <c r="T51" s="126" t="s">
        <v>221</v>
      </c>
      <c r="U51" s="286"/>
      <c r="V51" s="286"/>
      <c r="W51" s="83"/>
      <c r="X51" s="83"/>
      <c r="Y51" s="83"/>
      <c r="Z51" s="83"/>
      <c r="AA51" s="80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</row>
    <row r="52" spans="1:51" s="73" customFormat="1" ht="15.6" x14ac:dyDescent="0.3">
      <c r="A52" s="58" t="s">
        <v>72</v>
      </c>
      <c r="B52" s="5" t="s">
        <v>291</v>
      </c>
      <c r="C52" s="130">
        <v>974509</v>
      </c>
      <c r="D52" s="301">
        <f>1.0212*8900</f>
        <v>9088.68</v>
      </c>
      <c r="E52" s="465">
        <v>6627.03</v>
      </c>
      <c r="F52" s="60">
        <f>D52-E52</f>
        <v>2461.6500000000005</v>
      </c>
      <c r="G52" s="61">
        <f>F52/D52</f>
        <v>0.27084791190799989</v>
      </c>
      <c r="H52" s="62"/>
      <c r="I52" s="62"/>
      <c r="J52" s="119">
        <v>44657</v>
      </c>
      <c r="K52" s="141" t="s">
        <v>55</v>
      </c>
      <c r="L52" s="78" t="s">
        <v>168</v>
      </c>
      <c r="M52" s="227" t="s">
        <v>219</v>
      </c>
      <c r="P52" s="81"/>
      <c r="Q52" s="167" t="s">
        <v>223</v>
      </c>
      <c r="R52" s="126" t="s">
        <v>221</v>
      </c>
      <c r="S52" s="83"/>
      <c r="T52" s="126" t="s">
        <v>221</v>
      </c>
      <c r="U52" s="286"/>
      <c r="V52" s="286"/>
      <c r="W52" s="83"/>
      <c r="X52" s="83"/>
      <c r="Y52" s="83"/>
      <c r="Z52" s="83"/>
      <c r="AA52" s="80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</row>
    <row r="53" spans="1:51" s="191" customFormat="1" ht="15.6" x14ac:dyDescent="0.3">
      <c r="A53" s="73" t="s">
        <v>111</v>
      </c>
      <c r="B53" s="117" t="s">
        <v>292</v>
      </c>
      <c r="C53" s="156">
        <v>1161778</v>
      </c>
      <c r="D53" s="301">
        <f>1.0212*4560</f>
        <v>4656.6720000000005</v>
      </c>
      <c r="E53" s="376">
        <v>1578.42</v>
      </c>
      <c r="F53" s="60">
        <f>D53-E53</f>
        <v>3078.2520000000004</v>
      </c>
      <c r="G53" s="61">
        <f>F53/D53</f>
        <v>0.66104118993135008</v>
      </c>
      <c r="H53" s="62"/>
      <c r="I53" s="62"/>
      <c r="J53" s="63">
        <v>45291</v>
      </c>
      <c r="K53" s="141" t="str">
        <f>TEXT(30*MONTH(J53)+30,"mmmm")</f>
        <v>janvier</v>
      </c>
      <c r="L53" s="66" t="s">
        <v>168</v>
      </c>
      <c r="M53" s="227" t="s">
        <v>219</v>
      </c>
      <c r="N53" s="123"/>
      <c r="O53" s="66"/>
      <c r="P53" s="66"/>
      <c r="Q53" s="167" t="s">
        <v>220</v>
      </c>
      <c r="R53" s="126" t="s">
        <v>221</v>
      </c>
      <c r="S53" s="65">
        <v>44918</v>
      </c>
      <c r="T53" s="126" t="s">
        <v>221</v>
      </c>
      <c r="U53" s="287">
        <v>44895</v>
      </c>
      <c r="V53" s="287">
        <v>44924</v>
      </c>
      <c r="W53" s="128"/>
      <c r="X53" s="128"/>
      <c r="Y53" s="65"/>
      <c r="Z53" s="129"/>
      <c r="AA53" s="71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</row>
    <row r="54" spans="1:51" s="73" customFormat="1" ht="15" customHeight="1" x14ac:dyDescent="0.3">
      <c r="A54" s="73" t="s">
        <v>72</v>
      </c>
      <c r="B54" s="5" t="s">
        <v>293</v>
      </c>
      <c r="C54" s="130">
        <v>843641</v>
      </c>
      <c r="D54" s="301">
        <f>1.0212*12642.5</f>
        <v>12910.521000000001</v>
      </c>
      <c r="E54" s="377">
        <v>9039.1200000000008</v>
      </c>
      <c r="F54" s="60">
        <f>D54-E54</f>
        <v>3871.4009999999998</v>
      </c>
      <c r="G54" s="61">
        <f>F54/D54</f>
        <v>0.29986404111809273</v>
      </c>
      <c r="H54" s="62"/>
      <c r="I54" s="62"/>
      <c r="J54" s="63">
        <v>45291</v>
      </c>
      <c r="K54" s="141" t="str">
        <f>TEXT(30*MONTH(J54)+30,"mmmm")</f>
        <v>janvier</v>
      </c>
      <c r="L54" s="78" t="s">
        <v>168</v>
      </c>
      <c r="M54" s="227" t="s">
        <v>219</v>
      </c>
      <c r="P54" s="81"/>
      <c r="Q54" s="167" t="s">
        <v>272</v>
      </c>
      <c r="R54" s="126" t="s">
        <v>221</v>
      </c>
      <c r="S54" s="83"/>
      <c r="T54" s="126" t="s">
        <v>221</v>
      </c>
      <c r="U54" s="298">
        <v>44893</v>
      </c>
      <c r="V54" s="286">
        <v>44915</v>
      </c>
      <c r="W54" s="83"/>
      <c r="X54" s="83"/>
      <c r="Y54" s="83"/>
      <c r="Z54" s="83"/>
      <c r="AA54" s="80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</row>
    <row r="55" spans="1:51" s="191" customFormat="1" ht="15.6" x14ac:dyDescent="0.3">
      <c r="A55" s="73" t="s">
        <v>72</v>
      </c>
      <c r="B55" s="5" t="s">
        <v>294</v>
      </c>
      <c r="C55" s="130">
        <v>1394682</v>
      </c>
      <c r="D55" s="301">
        <f>1.0212*4620</f>
        <v>4717.9440000000004</v>
      </c>
      <c r="E55" s="376">
        <v>2346.04</v>
      </c>
      <c r="F55" s="60">
        <f>D55-E55</f>
        <v>2371.9040000000005</v>
      </c>
      <c r="G55" s="61">
        <f>F55/D55</f>
        <v>0.50274102448015501</v>
      </c>
      <c r="H55" s="62"/>
      <c r="I55" s="62"/>
      <c r="J55" s="63">
        <v>45291</v>
      </c>
      <c r="K55" s="141" t="str">
        <f>TEXT(30*MONTH(J55)+30,"mmmm")</f>
        <v>janvier</v>
      </c>
      <c r="L55" s="78" t="s">
        <v>168</v>
      </c>
      <c r="M55" s="227" t="s">
        <v>219</v>
      </c>
      <c r="N55" s="73"/>
      <c r="O55" s="73"/>
      <c r="P55" s="81"/>
      <c r="Q55" s="167" t="s">
        <v>272</v>
      </c>
      <c r="R55" s="126" t="s">
        <v>221</v>
      </c>
      <c r="S55" s="83"/>
      <c r="T55" s="126" t="s">
        <v>221</v>
      </c>
      <c r="U55" s="298">
        <v>44893</v>
      </c>
      <c r="V55" s="286">
        <v>44918</v>
      </c>
      <c r="W55" s="83"/>
      <c r="X55" s="83"/>
      <c r="Y55" s="83"/>
      <c r="Z55" s="83"/>
      <c r="AA55" s="299" t="s">
        <v>295</v>
      </c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</row>
    <row r="56" spans="1:51" s="73" customFormat="1" ht="13.35" customHeight="1" x14ac:dyDescent="0.3">
      <c r="A56" s="326" t="s">
        <v>66</v>
      </c>
      <c r="B56" s="329" t="s">
        <v>296</v>
      </c>
      <c r="C56" s="130">
        <v>973224</v>
      </c>
      <c r="D56" s="301">
        <v>32276.95</v>
      </c>
      <c r="E56" s="376">
        <v>7820.12</v>
      </c>
      <c r="F56" s="60">
        <f>D56-E56</f>
        <v>24456.83</v>
      </c>
      <c r="G56" s="61">
        <f>F56/D56</f>
        <v>0.75771812392434856</v>
      </c>
      <c r="H56" s="62"/>
      <c r="I56" s="62"/>
      <c r="J56" s="63">
        <v>45291</v>
      </c>
      <c r="K56" s="141" t="str">
        <f>TEXT(30*MONTH(J56)+30,"mmmm")</f>
        <v>janvier</v>
      </c>
      <c r="L56" s="78" t="s">
        <v>168</v>
      </c>
      <c r="M56" s="227" t="s">
        <v>219</v>
      </c>
      <c r="P56" s="81"/>
      <c r="Q56" s="167" t="s">
        <v>223</v>
      </c>
      <c r="R56" s="126" t="s">
        <v>221</v>
      </c>
      <c r="S56" s="83"/>
      <c r="T56" s="126" t="s">
        <v>221</v>
      </c>
      <c r="U56" s="284">
        <v>44901</v>
      </c>
      <c r="V56" s="286" t="s">
        <v>297</v>
      </c>
      <c r="W56" s="83"/>
      <c r="X56" s="83"/>
      <c r="Y56" s="83"/>
      <c r="Z56" s="83"/>
      <c r="AA56" s="80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</row>
    <row r="57" spans="1:51" s="191" customFormat="1" ht="15.6" customHeight="1" x14ac:dyDescent="0.3">
      <c r="A57" s="326" t="s">
        <v>72</v>
      </c>
      <c r="B57" s="405" t="s">
        <v>298</v>
      </c>
      <c r="C57" s="156">
        <v>1228077</v>
      </c>
      <c r="D57" s="144"/>
      <c r="E57" s="170"/>
      <c r="F57" s="60"/>
      <c r="G57" s="61"/>
      <c r="H57" s="62"/>
      <c r="I57" s="62"/>
      <c r="J57" s="63">
        <v>45291</v>
      </c>
      <c r="K57" s="64" t="s">
        <v>53</v>
      </c>
      <c r="L57" s="78" t="s">
        <v>168</v>
      </c>
      <c r="M57" s="121" t="s">
        <v>176</v>
      </c>
      <c r="N57" s="197"/>
      <c r="O57" s="73"/>
      <c r="P57" s="81"/>
      <c r="Q57" s="167" t="s">
        <v>223</v>
      </c>
      <c r="R57" s="83"/>
      <c r="S57" s="83"/>
      <c r="T57" s="126" t="s">
        <v>221</v>
      </c>
      <c r="U57" s="286"/>
      <c r="V57" s="286"/>
      <c r="W57" s="83"/>
      <c r="X57" s="83"/>
      <c r="Y57" s="83"/>
      <c r="Z57" s="83"/>
      <c r="AA57" s="80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</row>
    <row r="58" spans="1:51" s="73" customFormat="1" ht="15" customHeight="1" x14ac:dyDescent="0.3">
      <c r="A58" s="73" t="s">
        <v>66</v>
      </c>
      <c r="B58" s="5" t="s">
        <v>299</v>
      </c>
      <c r="C58" s="156">
        <v>940241</v>
      </c>
      <c r="D58" s="301">
        <f>1.0212*3284</f>
        <v>3353.6208000000001</v>
      </c>
      <c r="E58" s="376">
        <v>2465.64</v>
      </c>
      <c r="F58" s="60">
        <f t="shared" ref="F58:F80" si="6">D58-E58</f>
        <v>887.98080000000027</v>
      </c>
      <c r="G58" s="61">
        <f t="shared" ref="G58:G80" si="7">F58/D58</f>
        <v>0.26478270888587052</v>
      </c>
      <c r="H58" s="62"/>
      <c r="I58" s="62"/>
      <c r="J58" s="63">
        <v>45291</v>
      </c>
      <c r="K58" s="141" t="str">
        <f>TEXT(30*MONTH(J58)+30,"mmmm")</f>
        <v>janvier</v>
      </c>
      <c r="L58" s="78" t="s">
        <v>168</v>
      </c>
      <c r="M58" s="121" t="s">
        <v>176</v>
      </c>
      <c r="N58" s="123"/>
      <c r="O58" s="66"/>
      <c r="P58" s="66"/>
      <c r="Q58" s="167" t="s">
        <v>240</v>
      </c>
      <c r="R58" s="70"/>
      <c r="S58" s="70"/>
      <c r="T58" s="126" t="s">
        <v>221</v>
      </c>
      <c r="U58" s="285"/>
      <c r="V58" s="285"/>
      <c r="W58" s="70"/>
      <c r="X58" s="70"/>
      <c r="Y58" s="70"/>
      <c r="Z58" s="70"/>
      <c r="AA58" s="71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</row>
    <row r="59" spans="1:51" s="73" customFormat="1" ht="14.85" customHeight="1" x14ac:dyDescent="0.3">
      <c r="A59" s="322" t="s">
        <v>66</v>
      </c>
      <c r="B59" s="431" t="s">
        <v>300</v>
      </c>
      <c r="C59" s="156">
        <v>926172</v>
      </c>
      <c r="D59" s="301">
        <f>1.0212*4380</f>
        <v>4472.8560000000007</v>
      </c>
      <c r="E59" s="376">
        <f>2748.34+552.99</f>
        <v>3301.33</v>
      </c>
      <c r="F59" s="60">
        <f t="shared" si="6"/>
        <v>1171.5260000000007</v>
      </c>
      <c r="G59" s="61">
        <f t="shared" si="7"/>
        <v>0.26191900655867317</v>
      </c>
      <c r="H59" s="397" t="s">
        <v>301</v>
      </c>
      <c r="I59" s="62"/>
      <c r="J59" s="63">
        <v>45291</v>
      </c>
      <c r="K59" s="141" t="str">
        <f>TEXT(30*MONTH(J59)+30,"mmmm")</f>
        <v>janvier</v>
      </c>
      <c r="L59" s="78" t="s">
        <v>168</v>
      </c>
      <c r="M59" s="121" t="s">
        <v>176</v>
      </c>
      <c r="N59" s="123" t="s">
        <v>302</v>
      </c>
      <c r="O59" s="66"/>
      <c r="P59" s="66"/>
      <c r="Q59" s="167" t="s">
        <v>240</v>
      </c>
      <c r="R59" s="70"/>
      <c r="S59" s="70"/>
      <c r="T59" s="126" t="s">
        <v>221</v>
      </c>
      <c r="U59" s="285"/>
      <c r="V59" s="285"/>
      <c r="W59" s="70"/>
      <c r="X59" s="70"/>
      <c r="Y59" s="70"/>
      <c r="Z59" s="70"/>
      <c r="AA59" s="71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</row>
    <row r="60" spans="1:51" s="191" customFormat="1" ht="15.6" x14ac:dyDescent="0.3">
      <c r="A60" s="322" t="s">
        <v>66</v>
      </c>
      <c r="B60" s="431" t="s">
        <v>300</v>
      </c>
      <c r="C60" s="156">
        <v>926172</v>
      </c>
      <c r="D60" s="302">
        <f>1.0212*990</f>
        <v>1010.9880000000001</v>
      </c>
      <c r="E60" s="379">
        <v>544.5</v>
      </c>
      <c r="F60" s="60">
        <f t="shared" si="6"/>
        <v>466.48800000000006</v>
      </c>
      <c r="G60" s="61">
        <f t="shared" si="7"/>
        <v>0.46141793967880929</v>
      </c>
      <c r="H60" s="62"/>
      <c r="I60" s="62"/>
      <c r="J60" s="63">
        <v>45291</v>
      </c>
      <c r="K60" s="141" t="s">
        <v>53</v>
      </c>
      <c r="L60" s="78" t="s">
        <v>168</v>
      </c>
      <c r="M60" s="121" t="s">
        <v>176</v>
      </c>
      <c r="N60" s="123"/>
      <c r="O60" s="66"/>
      <c r="P60" s="66"/>
      <c r="Q60" s="167" t="s">
        <v>240</v>
      </c>
      <c r="R60" s="70"/>
      <c r="S60" s="70"/>
      <c r="T60" s="126" t="s">
        <v>221</v>
      </c>
      <c r="U60" s="285"/>
      <c r="V60" s="285"/>
      <c r="W60" s="70"/>
      <c r="X60" s="70"/>
      <c r="Y60" s="70"/>
      <c r="Z60" s="70"/>
      <c r="AA60" s="71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</row>
    <row r="61" spans="1:51" s="73" customFormat="1" ht="15.6" x14ac:dyDescent="0.3">
      <c r="A61" s="169" t="s">
        <v>66</v>
      </c>
      <c r="B61" s="5" t="s">
        <v>303</v>
      </c>
      <c r="C61" s="156">
        <v>1263499</v>
      </c>
      <c r="D61" s="301">
        <f>1.0212*4650</f>
        <v>4748.5800000000008</v>
      </c>
      <c r="E61" s="376">
        <v>3616.98</v>
      </c>
      <c r="F61" s="60">
        <f t="shared" si="6"/>
        <v>1131.6000000000008</v>
      </c>
      <c r="G61" s="61">
        <f t="shared" si="7"/>
        <v>0.23830281894798036</v>
      </c>
      <c r="H61" s="62"/>
      <c r="I61" s="62"/>
      <c r="J61" s="63">
        <v>45291</v>
      </c>
      <c r="K61" s="141" t="str">
        <f>TEXT(30*MONTH(J61)+30,"mmmm")</f>
        <v>janvier</v>
      </c>
      <c r="L61" s="78" t="s">
        <v>168</v>
      </c>
      <c r="M61" s="121" t="s">
        <v>176</v>
      </c>
      <c r="N61" s="123"/>
      <c r="O61" s="66"/>
      <c r="P61" s="66"/>
      <c r="Q61" s="167" t="s">
        <v>272</v>
      </c>
      <c r="R61" s="70"/>
      <c r="S61" s="70"/>
      <c r="T61" s="126" t="s">
        <v>221</v>
      </c>
      <c r="U61" s="285">
        <v>44895</v>
      </c>
      <c r="V61" s="285">
        <v>44901</v>
      </c>
      <c r="W61" s="70"/>
      <c r="X61" s="70"/>
      <c r="Y61" s="135"/>
      <c r="Z61" s="127"/>
      <c r="AA61" s="71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</row>
    <row r="62" spans="1:51" s="73" customFormat="1" ht="15.6" x14ac:dyDescent="0.3">
      <c r="A62" s="59" t="s">
        <v>66</v>
      </c>
      <c r="B62" s="5" t="s">
        <v>304</v>
      </c>
      <c r="C62" s="464"/>
      <c r="D62" s="370">
        <v>4004.45</v>
      </c>
      <c r="E62" s="500">
        <f>2876.52</f>
        <v>2876.52</v>
      </c>
      <c r="F62" s="60">
        <f t="shared" si="6"/>
        <v>1127.9299999999998</v>
      </c>
      <c r="G62" s="61">
        <f t="shared" si="7"/>
        <v>0.28166914307832536</v>
      </c>
      <c r="H62" s="469"/>
      <c r="I62" s="470"/>
      <c r="J62" s="119">
        <v>45113</v>
      </c>
      <c r="K62" s="141" t="s">
        <v>61</v>
      </c>
      <c r="L62" s="78" t="s">
        <v>168</v>
      </c>
      <c r="M62" s="227" t="s">
        <v>219</v>
      </c>
      <c r="P62" s="81"/>
      <c r="Q62" s="167"/>
      <c r="R62" s="126" t="s">
        <v>221</v>
      </c>
      <c r="S62" s="83"/>
      <c r="T62" s="126" t="s">
        <v>221</v>
      </c>
      <c r="U62" s="286"/>
      <c r="V62" s="286"/>
      <c r="W62" s="83"/>
      <c r="X62" s="83"/>
      <c r="Y62" s="83"/>
      <c r="Z62" s="83"/>
      <c r="AA62" s="80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</row>
    <row r="63" spans="1:51" s="73" customFormat="1" ht="15.6" x14ac:dyDescent="0.3">
      <c r="A63" s="73" t="s">
        <v>66</v>
      </c>
      <c r="B63" s="5" t="s">
        <v>305</v>
      </c>
      <c r="C63" s="156">
        <v>2452026</v>
      </c>
      <c r="D63" s="301">
        <f>1.0212*4114</f>
        <v>4201.2168000000001</v>
      </c>
      <c r="E63" s="376">
        <v>2089.0700000000002</v>
      </c>
      <c r="F63" s="60">
        <f t="shared" si="6"/>
        <v>2112.1468</v>
      </c>
      <c r="G63" s="61">
        <f t="shared" si="7"/>
        <v>0.50274644241163657</v>
      </c>
      <c r="H63" s="62"/>
      <c r="I63" s="62"/>
      <c r="J63" s="63">
        <v>45291</v>
      </c>
      <c r="K63" s="141" t="str">
        <f>TEXT(30*MONTH(J63)+30,"mmmm")</f>
        <v>janvier</v>
      </c>
      <c r="L63" s="78" t="s">
        <v>168</v>
      </c>
      <c r="M63" s="121" t="s">
        <v>176</v>
      </c>
      <c r="P63" s="81"/>
      <c r="Q63" s="167" t="s">
        <v>272</v>
      </c>
      <c r="R63" s="83"/>
      <c r="S63" s="83"/>
      <c r="T63" s="126" t="s">
        <v>221</v>
      </c>
      <c r="U63" s="286">
        <v>44895</v>
      </c>
      <c r="V63" s="286">
        <v>44900</v>
      </c>
      <c r="W63" s="83"/>
      <c r="X63" s="83"/>
      <c r="Y63" s="83"/>
      <c r="Z63" s="83"/>
      <c r="AA63" s="80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</row>
    <row r="64" spans="1:51" s="191" customFormat="1" ht="15.6" x14ac:dyDescent="0.3">
      <c r="A64" s="73" t="s">
        <v>66</v>
      </c>
      <c r="B64" s="5" t="s">
        <v>306</v>
      </c>
      <c r="C64" s="156">
        <v>1591223</v>
      </c>
      <c r="D64" s="301">
        <f>1.0212*7700</f>
        <v>7863.2400000000007</v>
      </c>
      <c r="E64" s="377">
        <v>5914.63</v>
      </c>
      <c r="F64" s="60">
        <f t="shared" si="6"/>
        <v>1948.6100000000006</v>
      </c>
      <c r="G64" s="61">
        <f t="shared" si="7"/>
        <v>0.24781260650825873</v>
      </c>
      <c r="H64" s="62"/>
      <c r="I64" s="62"/>
      <c r="J64" s="63">
        <v>45291</v>
      </c>
      <c r="K64" s="141" t="str">
        <f>TEXT(30*MONTH(J64)+30,"mmmm")</f>
        <v>janvier</v>
      </c>
      <c r="L64" s="66" t="s">
        <v>168</v>
      </c>
      <c r="M64" s="227" t="s">
        <v>219</v>
      </c>
      <c r="N64" s="123"/>
      <c r="O64" s="66"/>
      <c r="P64" s="66"/>
      <c r="Q64" s="167" t="s">
        <v>223</v>
      </c>
      <c r="R64" s="126" t="s">
        <v>221</v>
      </c>
      <c r="S64" s="70"/>
      <c r="T64" s="126" t="s">
        <v>221</v>
      </c>
      <c r="U64" s="284">
        <v>44901</v>
      </c>
      <c r="V64" s="285" t="s">
        <v>307</v>
      </c>
      <c r="W64" s="131"/>
      <c r="X64" s="131"/>
      <c r="Y64" s="70"/>
      <c r="Z64" s="70"/>
      <c r="AA64" s="71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</row>
    <row r="65" spans="1:51" s="73" customFormat="1" ht="16.350000000000001" customHeight="1" x14ac:dyDescent="0.3">
      <c r="A65" s="73" t="s">
        <v>72</v>
      </c>
      <c r="B65" s="5" t="s">
        <v>308</v>
      </c>
      <c r="C65" s="156">
        <v>1395074</v>
      </c>
      <c r="D65" s="301">
        <f>1.0212*5910</f>
        <v>6035.2920000000004</v>
      </c>
      <c r="E65" s="377">
        <f>2457.79+1117.16</f>
        <v>3574.95</v>
      </c>
      <c r="F65" s="60">
        <f t="shared" si="6"/>
        <v>2460.3420000000006</v>
      </c>
      <c r="G65" s="61">
        <f t="shared" si="7"/>
        <v>0.40765914888625115</v>
      </c>
      <c r="H65" s="62"/>
      <c r="I65" s="62"/>
      <c r="J65" s="63">
        <v>45291</v>
      </c>
      <c r="K65" s="141" t="s">
        <v>53</v>
      </c>
      <c r="L65" s="66" t="s">
        <v>168</v>
      </c>
      <c r="M65" s="227" t="s">
        <v>219</v>
      </c>
      <c r="N65" s="123"/>
      <c r="O65" s="66"/>
      <c r="P65" s="66"/>
      <c r="Q65" s="167" t="s">
        <v>272</v>
      </c>
      <c r="R65" s="126" t="s">
        <v>221</v>
      </c>
      <c r="S65" s="70"/>
      <c r="T65" s="126" t="s">
        <v>221</v>
      </c>
      <c r="U65" s="285">
        <v>44910</v>
      </c>
      <c r="V65" s="285">
        <v>44916</v>
      </c>
      <c r="W65" s="131"/>
      <c r="X65" s="131"/>
      <c r="Y65" s="70"/>
      <c r="Z65" s="70"/>
      <c r="AA65" s="71" t="s">
        <v>309</v>
      </c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</row>
    <row r="66" spans="1:51" s="191" customFormat="1" ht="15.6" x14ac:dyDescent="0.3">
      <c r="A66" s="73" t="s">
        <v>66</v>
      </c>
      <c r="B66" s="5" t="s">
        <v>310</v>
      </c>
      <c r="C66" s="160">
        <v>929043</v>
      </c>
      <c r="D66" s="318">
        <v>4906</v>
      </c>
      <c r="E66" s="376">
        <v>2698.3</v>
      </c>
      <c r="F66" s="74">
        <f t="shared" si="6"/>
        <v>2207.6999999999998</v>
      </c>
      <c r="G66" s="75">
        <f t="shared" si="7"/>
        <v>0.44999999999999996</v>
      </c>
      <c r="H66" s="114"/>
      <c r="I66" s="114"/>
      <c r="J66" s="81">
        <v>45291</v>
      </c>
      <c r="K66" s="86" t="s">
        <v>53</v>
      </c>
      <c r="L66" s="78" t="s">
        <v>168</v>
      </c>
      <c r="M66" s="79" t="s">
        <v>176</v>
      </c>
      <c r="N66" s="73"/>
      <c r="O66" s="73"/>
      <c r="P66" s="81"/>
      <c r="Q66" s="167" t="s">
        <v>240</v>
      </c>
      <c r="R66" s="83"/>
      <c r="S66" s="83"/>
      <c r="T66" s="83"/>
      <c r="U66" s="286"/>
      <c r="V66" s="286"/>
      <c r="W66" s="83"/>
      <c r="X66" s="83"/>
      <c r="Y66" s="83"/>
      <c r="Z66" s="83"/>
      <c r="AA66" s="80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</row>
    <row r="67" spans="1:51" s="191" customFormat="1" ht="15.6" x14ac:dyDescent="0.3">
      <c r="A67" s="73" t="s">
        <v>66</v>
      </c>
      <c r="B67" s="5" t="s">
        <v>311</v>
      </c>
      <c r="C67" s="156">
        <v>927550</v>
      </c>
      <c r="D67" s="301">
        <f>1.0212*5753</f>
        <v>5874.963600000001</v>
      </c>
      <c r="E67" s="376">
        <v>4882.22</v>
      </c>
      <c r="F67" s="60">
        <f t="shared" si="6"/>
        <v>992.7436000000007</v>
      </c>
      <c r="G67" s="61">
        <f t="shared" si="7"/>
        <v>0.16897868099131721</v>
      </c>
      <c r="H67" s="62"/>
      <c r="I67" s="62"/>
      <c r="J67" s="63">
        <v>45291</v>
      </c>
      <c r="K67" s="141" t="str">
        <f>TEXT(30*MONTH(J67)+30,"mmmm")</f>
        <v>janvier</v>
      </c>
      <c r="L67" s="66" t="s">
        <v>168</v>
      </c>
      <c r="M67" s="66" t="s">
        <v>176</v>
      </c>
      <c r="N67" s="123"/>
      <c r="O67" s="66"/>
      <c r="P67" s="66"/>
      <c r="Q67" s="167" t="s">
        <v>223</v>
      </c>
      <c r="R67" s="70"/>
      <c r="S67" s="70"/>
      <c r="T67" s="126" t="s">
        <v>221</v>
      </c>
      <c r="U67" s="284">
        <v>44901</v>
      </c>
      <c r="V67" s="285">
        <v>44570</v>
      </c>
      <c r="W67" s="70"/>
      <c r="X67" s="70"/>
      <c r="Y67" s="70"/>
      <c r="Z67" s="70"/>
      <c r="AA67" s="71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</row>
    <row r="68" spans="1:51" s="73" customFormat="1" ht="15.6" x14ac:dyDescent="0.3">
      <c r="A68" s="201" t="s">
        <v>72</v>
      </c>
      <c r="B68" s="457" t="s">
        <v>312</v>
      </c>
      <c r="C68" s="204">
        <v>948824</v>
      </c>
      <c r="D68" s="454">
        <f>1.0212*8690</f>
        <v>8874.228000000001</v>
      </c>
      <c r="E68" s="455">
        <v>5638.17</v>
      </c>
      <c r="F68" s="206">
        <f t="shared" si="6"/>
        <v>3236.0580000000009</v>
      </c>
      <c r="G68" s="190">
        <f t="shared" si="7"/>
        <v>0.36465797362880475</v>
      </c>
      <c r="H68" s="207"/>
      <c r="I68" s="207"/>
      <c r="J68" s="119">
        <v>44652</v>
      </c>
      <c r="K68" s="141" t="s">
        <v>55</v>
      </c>
      <c r="L68" s="66" t="s">
        <v>168</v>
      </c>
      <c r="M68" s="227" t="s">
        <v>219</v>
      </c>
      <c r="N68" s="123"/>
      <c r="O68" s="66"/>
      <c r="P68" s="66"/>
      <c r="Q68" s="167" t="s">
        <v>272</v>
      </c>
      <c r="R68" s="126" t="s">
        <v>221</v>
      </c>
      <c r="S68" s="70"/>
      <c r="T68" s="126" t="s">
        <v>221</v>
      </c>
      <c r="U68" s="285">
        <v>45011</v>
      </c>
      <c r="V68" s="285">
        <v>45016</v>
      </c>
      <c r="W68" s="70"/>
      <c r="X68" s="70"/>
      <c r="Y68" s="70"/>
      <c r="Z68" s="70"/>
      <c r="AA68" s="71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</row>
    <row r="69" spans="1:51" s="73" customFormat="1" ht="16.5" customHeight="1" x14ac:dyDescent="0.3">
      <c r="A69" s="73" t="s">
        <v>66</v>
      </c>
      <c r="B69" s="5" t="s">
        <v>313</v>
      </c>
      <c r="C69" s="130">
        <v>972845</v>
      </c>
      <c r="D69" s="301">
        <f>1.0212*28649</f>
        <v>29256.358800000002</v>
      </c>
      <c r="E69" s="376">
        <v>21757.200000000001</v>
      </c>
      <c r="F69" s="60">
        <f t="shared" si="6"/>
        <v>7499.1588000000011</v>
      </c>
      <c r="G69" s="61">
        <f t="shared" si="7"/>
        <v>0.2563257735272238</v>
      </c>
      <c r="H69" s="62"/>
      <c r="I69" s="62"/>
      <c r="J69" s="63">
        <v>45291</v>
      </c>
      <c r="K69" s="141" t="str">
        <f>TEXT(30*MONTH(J69)+30,"mmmm")</f>
        <v>janvier</v>
      </c>
      <c r="L69" s="78" t="s">
        <v>168</v>
      </c>
      <c r="M69" s="154" t="s">
        <v>176</v>
      </c>
      <c r="P69" s="81"/>
      <c r="Q69" s="167" t="s">
        <v>272</v>
      </c>
      <c r="R69" s="83"/>
      <c r="S69" s="83"/>
      <c r="T69" s="126" t="s">
        <v>221</v>
      </c>
      <c r="U69" s="286">
        <v>44895</v>
      </c>
      <c r="V69" s="286">
        <v>44896</v>
      </c>
      <c r="W69" s="83"/>
      <c r="X69" s="83"/>
      <c r="Y69" s="83"/>
      <c r="Z69" s="83"/>
      <c r="AA69" s="80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</row>
    <row r="70" spans="1:51" s="191" customFormat="1" ht="17.850000000000001" customHeight="1" x14ac:dyDescent="0.3">
      <c r="A70" s="73" t="s">
        <v>72</v>
      </c>
      <c r="B70" s="5" t="s">
        <v>314</v>
      </c>
      <c r="C70" s="130">
        <v>974288</v>
      </c>
      <c r="D70" s="301">
        <f>1.0212*4598</f>
        <v>4695.4776000000002</v>
      </c>
      <c r="E70" s="376">
        <v>2453.34</v>
      </c>
      <c r="F70" s="60">
        <f t="shared" si="6"/>
        <v>2242.1376</v>
      </c>
      <c r="G70" s="61">
        <f t="shared" si="7"/>
        <v>0.4775100194280556</v>
      </c>
      <c r="H70" s="397" t="s">
        <v>315</v>
      </c>
      <c r="I70" s="398">
        <v>3005.94</v>
      </c>
      <c r="J70" s="63">
        <v>45291</v>
      </c>
      <c r="K70" s="141" t="str">
        <f>TEXT(30*MONTH(J70)+30,"mmmm")</f>
        <v>janvier</v>
      </c>
      <c r="L70" s="78" t="s">
        <v>168</v>
      </c>
      <c r="M70" s="154" t="s">
        <v>176</v>
      </c>
      <c r="N70" s="73"/>
      <c r="O70" s="73"/>
      <c r="P70" s="81"/>
      <c r="Q70" s="167" t="s">
        <v>272</v>
      </c>
      <c r="R70" s="83"/>
      <c r="S70" s="83"/>
      <c r="T70" s="126" t="s">
        <v>221</v>
      </c>
      <c r="U70" s="286">
        <v>44896</v>
      </c>
      <c r="V70" s="286">
        <v>44902</v>
      </c>
      <c r="W70" s="83"/>
      <c r="X70" s="83"/>
      <c r="Y70" s="83"/>
      <c r="Z70" s="83"/>
      <c r="AA70" s="80" t="s">
        <v>316</v>
      </c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</row>
    <row r="71" spans="1:51" s="191" customFormat="1" ht="17.850000000000001" customHeight="1" x14ac:dyDescent="0.3">
      <c r="A71" s="73" t="s">
        <v>66</v>
      </c>
      <c r="B71" s="5" t="s">
        <v>317</v>
      </c>
      <c r="C71" s="156">
        <v>1315141</v>
      </c>
      <c r="D71" s="301">
        <f>1.0212*1970.13</f>
        <v>2011.8967560000003</v>
      </c>
      <c r="E71" s="376">
        <v>1380.15</v>
      </c>
      <c r="F71" s="60">
        <f t="shared" si="6"/>
        <v>631.74675600000023</v>
      </c>
      <c r="G71" s="61">
        <f t="shared" si="7"/>
        <v>0.31400555426910792</v>
      </c>
      <c r="H71" s="62"/>
      <c r="I71" s="62"/>
      <c r="J71" s="63">
        <v>45291</v>
      </c>
      <c r="K71" s="141" t="str">
        <f>TEXT(30*MONTH(J71)+30,"mmmm")</f>
        <v>janvier</v>
      </c>
      <c r="L71" s="66" t="s">
        <v>168</v>
      </c>
      <c r="M71" s="66" t="s">
        <v>176</v>
      </c>
      <c r="N71" s="123"/>
      <c r="O71" s="66"/>
      <c r="P71" s="66"/>
      <c r="Q71" s="167" t="s">
        <v>223</v>
      </c>
      <c r="R71" s="70"/>
      <c r="S71" s="70"/>
      <c r="T71" s="126" t="s">
        <v>221</v>
      </c>
      <c r="U71" s="284">
        <v>44901</v>
      </c>
      <c r="V71" s="284">
        <v>44901</v>
      </c>
      <c r="W71" s="70"/>
      <c r="X71" s="134"/>
      <c r="Y71" s="70"/>
      <c r="Z71" s="70"/>
      <c r="AA71" s="71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</row>
    <row r="72" spans="1:51" s="191" customFormat="1" ht="15.6" x14ac:dyDescent="0.3">
      <c r="A72" s="73" t="s">
        <v>66</v>
      </c>
      <c r="B72" s="5" t="s">
        <v>318</v>
      </c>
      <c r="C72" s="156">
        <v>940240</v>
      </c>
      <c r="D72" s="301">
        <f>1.0212*8591</f>
        <v>8773.1292000000012</v>
      </c>
      <c r="E72" s="376">
        <v>6247.9</v>
      </c>
      <c r="F72" s="60">
        <f t="shared" si="6"/>
        <v>2525.2292000000016</v>
      </c>
      <c r="G72" s="61">
        <f t="shared" si="7"/>
        <v>0.28783677322340145</v>
      </c>
      <c r="H72" s="62"/>
      <c r="I72" s="62"/>
      <c r="J72" s="63">
        <v>45291</v>
      </c>
      <c r="K72" s="141" t="str">
        <f>TEXT(30*MONTH(J72)+30,"mmmm")</f>
        <v>janvier</v>
      </c>
      <c r="L72" s="66" t="s">
        <v>168</v>
      </c>
      <c r="M72" s="66" t="s">
        <v>176</v>
      </c>
      <c r="N72" s="123"/>
      <c r="O72" s="66"/>
      <c r="P72" s="66"/>
      <c r="Q72" s="167" t="s">
        <v>240</v>
      </c>
      <c r="R72" s="70"/>
      <c r="S72" s="70"/>
      <c r="T72" s="126" t="s">
        <v>221</v>
      </c>
      <c r="U72" s="285">
        <v>44888</v>
      </c>
      <c r="V72" s="285"/>
      <c r="W72" s="70"/>
      <c r="X72" s="70"/>
      <c r="Y72" s="70"/>
      <c r="Z72" s="70"/>
      <c r="AA72" s="71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</row>
    <row r="73" spans="1:51" s="198" customFormat="1" ht="15.6" x14ac:dyDescent="0.3">
      <c r="A73" s="73" t="s">
        <v>66</v>
      </c>
      <c r="B73" s="5" t="s">
        <v>319</v>
      </c>
      <c r="C73" s="156">
        <v>940240</v>
      </c>
      <c r="D73" s="302">
        <f>1.0212*2802.3</f>
        <v>2861.7087600000004</v>
      </c>
      <c r="E73" s="379">
        <v>1960.6</v>
      </c>
      <c r="F73" s="60">
        <f t="shared" si="6"/>
        <v>901.10876000000053</v>
      </c>
      <c r="G73" s="61">
        <f t="shared" si="7"/>
        <v>0.31488485921257775</v>
      </c>
      <c r="H73" s="400"/>
      <c r="I73" s="400"/>
      <c r="J73" s="63">
        <v>45291</v>
      </c>
      <c r="K73" s="141" t="str">
        <f>TEXT(30*MONTH(J73)+30,"mmmm")</f>
        <v>janvier</v>
      </c>
      <c r="L73" s="66" t="s">
        <v>168</v>
      </c>
      <c r="M73" s="66" t="s">
        <v>176</v>
      </c>
      <c r="N73" s="123"/>
      <c r="O73" s="66"/>
      <c r="P73" s="66"/>
      <c r="Q73" s="167" t="s">
        <v>240</v>
      </c>
      <c r="R73" s="70"/>
      <c r="S73" s="70"/>
      <c r="T73" s="126" t="s">
        <v>221</v>
      </c>
      <c r="U73" s="285">
        <v>44888</v>
      </c>
      <c r="V73" s="285"/>
      <c r="W73" s="70"/>
      <c r="X73" s="70"/>
      <c r="Y73" s="70"/>
      <c r="Z73" s="70"/>
      <c r="AA73" s="71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</row>
    <row r="74" spans="1:51" s="191" customFormat="1" ht="15.6" x14ac:dyDescent="0.3">
      <c r="A74" s="73" t="s">
        <v>66</v>
      </c>
      <c r="B74" s="5" t="s">
        <v>320</v>
      </c>
      <c r="C74" s="156">
        <v>940240</v>
      </c>
      <c r="D74" s="436">
        <v>7032.08</v>
      </c>
      <c r="E74" s="379">
        <v>4777.5200000000004</v>
      </c>
      <c r="F74" s="60">
        <f t="shared" si="6"/>
        <v>2254.5599999999995</v>
      </c>
      <c r="G74" s="61">
        <f t="shared" si="7"/>
        <v>0.32061068702290069</v>
      </c>
      <c r="H74" s="400"/>
      <c r="I74" s="400"/>
      <c r="J74" s="63">
        <v>45291</v>
      </c>
      <c r="K74" s="141" t="s">
        <v>53</v>
      </c>
      <c r="L74" s="66" t="s">
        <v>168</v>
      </c>
      <c r="M74" s="66" t="s">
        <v>176</v>
      </c>
      <c r="N74" s="123"/>
      <c r="O74" s="66"/>
      <c r="P74" s="66"/>
      <c r="Q74" s="167" t="s">
        <v>240</v>
      </c>
      <c r="R74" s="70"/>
      <c r="S74" s="70"/>
      <c r="T74" s="126" t="s">
        <v>221</v>
      </c>
      <c r="U74" s="285">
        <v>44888</v>
      </c>
      <c r="V74" s="285"/>
      <c r="W74" s="70"/>
      <c r="X74" s="70"/>
      <c r="Y74" s="70"/>
      <c r="Z74" s="70"/>
      <c r="AA74" s="71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</row>
    <row r="75" spans="1:51" s="73" customFormat="1" ht="15.6" x14ac:dyDescent="0.3">
      <c r="A75" s="73" t="s">
        <v>111</v>
      </c>
      <c r="B75" s="5" t="s">
        <v>321</v>
      </c>
      <c r="C75" s="156">
        <v>1075708</v>
      </c>
      <c r="D75" s="301">
        <f>1.0212*519.2</f>
        <v>530.20704000000012</v>
      </c>
      <c r="E75" s="376">
        <v>262.17</v>
      </c>
      <c r="F75" s="60">
        <f t="shared" si="6"/>
        <v>268.0370400000001</v>
      </c>
      <c r="G75" s="61">
        <f t="shared" si="7"/>
        <v>0.50553278206189045</v>
      </c>
      <c r="H75" s="62"/>
      <c r="I75" s="62"/>
      <c r="J75" s="63">
        <v>45291</v>
      </c>
      <c r="K75" s="141" t="str">
        <f>TEXT(30*MONTH(J75)+30,"mmmm")</f>
        <v>janvier</v>
      </c>
      <c r="L75" s="66" t="s">
        <v>168</v>
      </c>
      <c r="M75" s="66" t="s">
        <v>176</v>
      </c>
      <c r="N75" s="123"/>
      <c r="O75" s="66"/>
      <c r="P75" s="66"/>
      <c r="Q75" s="167" t="s">
        <v>220</v>
      </c>
      <c r="R75" s="126"/>
      <c r="S75" s="65">
        <v>44918</v>
      </c>
      <c r="T75" s="126" t="s">
        <v>221</v>
      </c>
      <c r="U75" s="287">
        <v>44895</v>
      </c>
      <c r="V75" s="287">
        <v>44945</v>
      </c>
      <c r="W75" s="128"/>
      <c r="X75" s="128"/>
      <c r="Y75" s="58"/>
      <c r="Z75" s="129"/>
      <c r="AA75" s="71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</row>
    <row r="76" spans="1:51" s="73" customFormat="1" ht="15.6" x14ac:dyDescent="0.3">
      <c r="A76" s="73" t="s">
        <v>72</v>
      </c>
      <c r="B76" s="5" t="s">
        <v>322</v>
      </c>
      <c r="C76" s="156">
        <v>1032032</v>
      </c>
      <c r="D76" s="302">
        <f>1.0212*13534</f>
        <v>13820.920800000002</v>
      </c>
      <c r="E76" s="379">
        <v>5944.6</v>
      </c>
      <c r="F76" s="60">
        <f t="shared" si="6"/>
        <v>7876.3208000000013</v>
      </c>
      <c r="G76" s="61">
        <f t="shared" si="7"/>
        <v>0.56988394000492359</v>
      </c>
      <c r="H76" s="62"/>
      <c r="I76" s="62"/>
      <c r="J76" s="63">
        <v>45291</v>
      </c>
      <c r="K76" s="141" t="s">
        <v>53</v>
      </c>
      <c r="L76" s="78" t="s">
        <v>168</v>
      </c>
      <c r="M76" s="227" t="s">
        <v>219</v>
      </c>
      <c r="P76" s="81"/>
      <c r="Q76" s="167" t="s">
        <v>272</v>
      </c>
      <c r="R76" s="126" t="s">
        <v>221</v>
      </c>
      <c r="S76" s="83"/>
      <c r="T76" s="126" t="s">
        <v>221</v>
      </c>
      <c r="U76" s="286">
        <v>44900</v>
      </c>
      <c r="V76" s="286">
        <v>44901</v>
      </c>
      <c r="W76" s="83"/>
      <c r="X76" s="83"/>
      <c r="Y76" s="83"/>
      <c r="Z76" s="83"/>
      <c r="AA76" s="80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</row>
    <row r="77" spans="1:51" s="191" customFormat="1" ht="15.6" x14ac:dyDescent="0.3">
      <c r="A77" s="73" t="s">
        <v>72</v>
      </c>
      <c r="B77" s="5" t="s">
        <v>323</v>
      </c>
      <c r="C77" s="160">
        <v>933782</v>
      </c>
      <c r="D77" s="302">
        <f>1.0212*6358</f>
        <v>6492.789600000001</v>
      </c>
      <c r="E77" s="379">
        <v>5567.88</v>
      </c>
      <c r="F77" s="60">
        <f t="shared" si="6"/>
        <v>924.90960000000086</v>
      </c>
      <c r="G77" s="61">
        <f t="shared" si="7"/>
        <v>0.14245180530722892</v>
      </c>
      <c r="H77" s="62"/>
      <c r="I77" s="62"/>
      <c r="J77" s="63">
        <v>45291</v>
      </c>
      <c r="K77" s="141" t="s">
        <v>53</v>
      </c>
      <c r="L77" s="78" t="s">
        <v>168</v>
      </c>
      <c r="M77" s="154" t="s">
        <v>176</v>
      </c>
      <c r="N77" s="73"/>
      <c r="O77" s="73"/>
      <c r="P77" s="81"/>
      <c r="Q77" s="167" t="s">
        <v>272</v>
      </c>
      <c r="R77" s="83"/>
      <c r="S77" s="83"/>
      <c r="T77" s="126" t="s">
        <v>221</v>
      </c>
      <c r="U77" s="286">
        <v>44900</v>
      </c>
      <c r="V77" s="286">
        <v>44901</v>
      </c>
      <c r="W77" s="83"/>
      <c r="X77" s="83"/>
      <c r="Y77" s="83"/>
      <c r="Z77" s="83"/>
      <c r="AA77" s="80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</row>
    <row r="78" spans="1:51" s="73" customFormat="1" ht="15.6" x14ac:dyDescent="0.3">
      <c r="A78" s="73" t="s">
        <v>72</v>
      </c>
      <c r="B78" s="5" t="s">
        <v>324</v>
      </c>
      <c r="C78" s="130">
        <v>933760</v>
      </c>
      <c r="D78" s="301">
        <f>1.0212*17963.15</f>
        <v>18343.968780000003</v>
      </c>
      <c r="E78" s="376">
        <f>6261.67+2642.08</f>
        <v>8903.75</v>
      </c>
      <c r="F78" s="60">
        <f t="shared" si="6"/>
        <v>9440.2187800000029</v>
      </c>
      <c r="G78" s="61">
        <f t="shared" si="7"/>
        <v>0.51462248400097865</v>
      </c>
      <c r="H78" s="62"/>
      <c r="I78" s="62"/>
      <c r="J78" s="63">
        <v>45291</v>
      </c>
      <c r="K78" s="141" t="str">
        <f>TEXT(30*MONTH(J78)+30,"mmmm")</f>
        <v>janvier</v>
      </c>
      <c r="L78" s="78" t="s">
        <v>168</v>
      </c>
      <c r="M78" s="227" t="s">
        <v>219</v>
      </c>
      <c r="P78" s="81"/>
      <c r="Q78" s="167" t="s">
        <v>272</v>
      </c>
      <c r="R78" s="126" t="s">
        <v>221</v>
      </c>
      <c r="S78" s="83"/>
      <c r="T78" s="126" t="s">
        <v>221</v>
      </c>
      <c r="U78" s="286">
        <v>44921</v>
      </c>
      <c r="V78" s="286">
        <v>44932</v>
      </c>
      <c r="W78" s="83"/>
      <c r="X78" s="83"/>
      <c r="Y78" s="83"/>
      <c r="Z78" s="83"/>
      <c r="AA78" s="80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</row>
    <row r="79" spans="1:51" s="73" customFormat="1" ht="15.6" x14ac:dyDescent="0.3">
      <c r="A79" s="73" t="s">
        <v>72</v>
      </c>
      <c r="B79" s="5" t="s">
        <v>325</v>
      </c>
      <c r="C79" s="160">
        <v>933760</v>
      </c>
      <c r="D79" s="318">
        <f>4730*(1.0212)</f>
        <v>4830.2760000000007</v>
      </c>
      <c r="E79" s="376">
        <v>2601.5</v>
      </c>
      <c r="F79" s="60">
        <f t="shared" si="6"/>
        <v>2228.7760000000007</v>
      </c>
      <c r="G79" s="61">
        <f t="shared" si="7"/>
        <v>0.46141793967880934</v>
      </c>
      <c r="H79" s="62"/>
      <c r="I79" s="62"/>
      <c r="J79" s="63">
        <v>45291</v>
      </c>
      <c r="K79" s="141" t="str">
        <f>TEXT(30*MONTH(J79)+30,"mmmm")</f>
        <v>janvier</v>
      </c>
      <c r="L79" s="78" t="s">
        <v>168</v>
      </c>
      <c r="M79" s="227" t="s">
        <v>219</v>
      </c>
      <c r="P79" s="81"/>
      <c r="Q79" s="167" t="s">
        <v>272</v>
      </c>
      <c r="R79" s="126" t="s">
        <v>221</v>
      </c>
      <c r="S79" s="83"/>
      <c r="T79" s="126" t="s">
        <v>221</v>
      </c>
      <c r="U79" s="286">
        <v>44921</v>
      </c>
      <c r="V79" s="286">
        <v>44932</v>
      </c>
      <c r="W79" s="83"/>
      <c r="X79" s="83"/>
      <c r="Y79" s="83"/>
      <c r="Z79" s="83"/>
      <c r="AA79" s="80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</row>
    <row r="80" spans="1:51" s="73" customFormat="1" ht="15.6" x14ac:dyDescent="0.3">
      <c r="A80" s="73" t="s">
        <v>72</v>
      </c>
      <c r="B80" s="5" t="s">
        <v>326</v>
      </c>
      <c r="C80" s="156">
        <v>1326492</v>
      </c>
      <c r="D80" s="301">
        <f>1.0212*3755</f>
        <v>3834.6060000000002</v>
      </c>
      <c r="E80" s="376">
        <v>2234.4</v>
      </c>
      <c r="F80" s="60">
        <f t="shared" si="6"/>
        <v>1600.2060000000001</v>
      </c>
      <c r="G80" s="61">
        <f t="shared" si="7"/>
        <v>0.41730649772101752</v>
      </c>
      <c r="H80" s="62"/>
      <c r="I80" s="62"/>
      <c r="J80" s="63">
        <v>45291</v>
      </c>
      <c r="K80" s="141" t="str">
        <f>TEXT(30*MONTH(J80)+30,"mmmm")</f>
        <v>janvier</v>
      </c>
      <c r="L80" s="66" t="s">
        <v>168</v>
      </c>
      <c r="M80" s="227" t="s">
        <v>219</v>
      </c>
      <c r="N80" s="123"/>
      <c r="O80" s="66"/>
      <c r="P80" s="66"/>
      <c r="Q80" s="167" t="s">
        <v>223</v>
      </c>
      <c r="R80" s="126" t="s">
        <v>221</v>
      </c>
      <c r="S80" s="126"/>
      <c r="T80" s="126" t="s">
        <v>221</v>
      </c>
      <c r="U80" s="284">
        <v>44901</v>
      </c>
      <c r="V80" s="284"/>
      <c r="W80" s="128"/>
      <c r="X80" s="128"/>
      <c r="Y80" s="58"/>
      <c r="Z80" s="129"/>
      <c r="AA80" s="71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</row>
    <row r="81" spans="1:51" s="191" customFormat="1" ht="17.100000000000001" customHeight="1" x14ac:dyDescent="0.3">
      <c r="A81" s="73" t="s">
        <v>66</v>
      </c>
      <c r="B81" s="222" t="s">
        <v>327</v>
      </c>
      <c r="C81" s="156">
        <v>1326492</v>
      </c>
      <c r="D81" s="223">
        <f>1.0212*3960</f>
        <v>4043.9520000000002</v>
      </c>
      <c r="E81" s="376">
        <v>4825.5600000000004</v>
      </c>
      <c r="F81" s="218">
        <f t="shared" ref="F81:F93" si="8">D81-E81</f>
        <v>-781.60800000000017</v>
      </c>
      <c r="G81" s="219">
        <f t="shared" ref="G81:G93" si="9">F81/D81</f>
        <v>-0.19327825849564984</v>
      </c>
      <c r="H81" s="216">
        <v>3168</v>
      </c>
      <c r="I81" s="217">
        <f>E81</f>
        <v>4825.5600000000004</v>
      </c>
      <c r="J81" s="119">
        <v>44804</v>
      </c>
      <c r="K81" s="141" t="s">
        <v>129</v>
      </c>
      <c r="L81" s="78" t="s">
        <v>168</v>
      </c>
      <c r="M81" s="154" t="s">
        <v>176</v>
      </c>
      <c r="N81" s="73"/>
      <c r="O81" s="73"/>
      <c r="P81" s="81"/>
      <c r="Q81" s="167" t="s">
        <v>287</v>
      </c>
      <c r="R81" s="83"/>
      <c r="S81" s="83"/>
      <c r="T81" s="126"/>
      <c r="U81" s="286"/>
      <c r="V81" s="286"/>
      <c r="W81" s="83"/>
      <c r="X81" s="83"/>
      <c r="Y81" s="83"/>
      <c r="Z81" s="83"/>
      <c r="AA81" s="80" t="s">
        <v>328</v>
      </c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</row>
    <row r="82" spans="1:51" s="73" customFormat="1" ht="15.6" x14ac:dyDescent="0.3">
      <c r="A82" s="73" t="s">
        <v>66</v>
      </c>
      <c r="B82" s="222" t="s">
        <v>327</v>
      </c>
      <c r="C82" s="156">
        <v>1326492</v>
      </c>
      <c r="D82" s="220">
        <f>1.0212*3801.6</f>
        <v>3882.1939200000002</v>
      </c>
      <c r="E82" s="170"/>
      <c r="F82" s="74">
        <f t="shared" si="8"/>
        <v>3882.1939200000002</v>
      </c>
      <c r="G82" s="75">
        <f t="shared" si="9"/>
        <v>1</v>
      </c>
      <c r="H82" s="221">
        <v>2613.6</v>
      </c>
      <c r="I82" s="62"/>
      <c r="J82" s="119">
        <v>44500</v>
      </c>
      <c r="K82" s="141" t="s">
        <v>62</v>
      </c>
      <c r="L82" s="78" t="s">
        <v>168</v>
      </c>
      <c r="M82" s="154" t="s">
        <v>176</v>
      </c>
      <c r="P82" s="81"/>
      <c r="Q82" s="167" t="s">
        <v>287</v>
      </c>
      <c r="R82" s="83"/>
      <c r="S82" s="83"/>
      <c r="T82" s="126"/>
      <c r="U82" s="286"/>
      <c r="V82" s="286"/>
      <c r="W82" s="83"/>
      <c r="X82" s="83"/>
      <c r="Y82" s="83"/>
      <c r="Z82" s="83"/>
      <c r="AA82" s="80" t="s">
        <v>328</v>
      </c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</row>
    <row r="83" spans="1:51" s="191" customFormat="1" ht="15.6" x14ac:dyDescent="0.3">
      <c r="A83" s="73" t="s">
        <v>66</v>
      </c>
      <c r="B83" s="117" t="s">
        <v>79</v>
      </c>
      <c r="C83" s="156">
        <v>1256620</v>
      </c>
      <c r="D83" s="301">
        <f>1.0212*11840</f>
        <v>12091.008000000002</v>
      </c>
      <c r="E83" s="377">
        <v>8926.11</v>
      </c>
      <c r="F83" s="60">
        <f t="shared" si="8"/>
        <v>3164.898000000001</v>
      </c>
      <c r="G83" s="61">
        <f t="shared" si="9"/>
        <v>0.26175633991806146</v>
      </c>
      <c r="H83" s="62"/>
      <c r="I83" s="62"/>
      <c r="J83" s="63">
        <v>45291</v>
      </c>
      <c r="K83" s="141" t="str">
        <f>TEXT(30*MONTH(J83)+30,"mmmm")</f>
        <v>janvier</v>
      </c>
      <c r="L83" s="66" t="s">
        <v>168</v>
      </c>
      <c r="M83" s="227" t="s">
        <v>219</v>
      </c>
      <c r="N83" s="123"/>
      <c r="O83" s="66"/>
      <c r="P83" s="66"/>
      <c r="Q83" s="167" t="s">
        <v>246</v>
      </c>
      <c r="R83" s="126" t="s">
        <v>221</v>
      </c>
      <c r="S83" s="126"/>
      <c r="T83" s="126" t="s">
        <v>221</v>
      </c>
      <c r="U83" s="284">
        <v>44910</v>
      </c>
      <c r="V83" s="284"/>
      <c r="W83" s="128"/>
      <c r="X83" s="128"/>
      <c r="Y83" s="58"/>
      <c r="Z83" s="129"/>
      <c r="AA83" s="71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</row>
    <row r="84" spans="1:51" s="73" customFormat="1" ht="15.6" x14ac:dyDescent="0.3">
      <c r="A84" s="73" t="s">
        <v>111</v>
      </c>
      <c r="B84" s="117" t="s">
        <v>329</v>
      </c>
      <c r="C84" s="156">
        <v>1207036</v>
      </c>
      <c r="D84" s="301">
        <f>1.0212*17360</f>
        <v>17728.032000000003</v>
      </c>
      <c r="E84" s="376">
        <f>10062.85+2788.43</f>
        <v>12851.28</v>
      </c>
      <c r="F84" s="60">
        <f t="shared" si="8"/>
        <v>4876.7520000000022</v>
      </c>
      <c r="G84" s="61">
        <f t="shared" si="9"/>
        <v>0.27508704857933475</v>
      </c>
      <c r="H84" s="62"/>
      <c r="I84" s="62"/>
      <c r="J84" s="63">
        <v>45291</v>
      </c>
      <c r="K84" s="141" t="str">
        <f>TEXT(30*MONTH(J84)+30,"mmmm")</f>
        <v>janvier</v>
      </c>
      <c r="L84" s="66" t="s">
        <v>168</v>
      </c>
      <c r="M84" s="227" t="s">
        <v>219</v>
      </c>
      <c r="N84" s="123"/>
      <c r="O84" s="66"/>
      <c r="P84" s="66"/>
      <c r="Q84" s="167" t="s">
        <v>220</v>
      </c>
      <c r="R84" s="126" t="s">
        <v>221</v>
      </c>
      <c r="S84" s="65" t="s">
        <v>244</v>
      </c>
      <c r="T84" s="126" t="s">
        <v>221</v>
      </c>
      <c r="U84" s="287">
        <v>44895</v>
      </c>
      <c r="V84" s="287">
        <v>44943</v>
      </c>
      <c r="W84" s="128"/>
      <c r="X84" s="130"/>
      <c r="Y84" s="58"/>
      <c r="Z84" s="129"/>
      <c r="AA84" s="71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</row>
    <row r="85" spans="1:51" s="191" customFormat="1" ht="15.6" x14ac:dyDescent="0.3">
      <c r="A85" s="58" t="s">
        <v>72</v>
      </c>
      <c r="B85" s="5" t="s">
        <v>330</v>
      </c>
      <c r="C85" s="464">
        <v>1566757</v>
      </c>
      <c r="D85" s="318">
        <v>0</v>
      </c>
      <c r="E85" s="475">
        <v>0</v>
      </c>
      <c r="F85" s="472">
        <f t="shared" si="8"/>
        <v>0</v>
      </c>
      <c r="G85" s="473" t="e">
        <f t="shared" si="9"/>
        <v>#DIV/0!</v>
      </c>
      <c r="H85" s="479">
        <v>715</v>
      </c>
      <c r="I85" s="479">
        <v>384</v>
      </c>
      <c r="J85" s="81">
        <v>45291</v>
      </c>
      <c r="K85" s="141" t="s">
        <v>53</v>
      </c>
      <c r="L85" s="66" t="s">
        <v>168</v>
      </c>
      <c r="M85" s="79" t="s">
        <v>176</v>
      </c>
      <c r="N85" s="90" t="s">
        <v>331</v>
      </c>
      <c r="O85" s="84"/>
      <c r="P85" s="77"/>
      <c r="Q85" s="167" t="s">
        <v>223</v>
      </c>
      <c r="R85" s="83"/>
      <c r="S85" s="83"/>
      <c r="T85" s="126"/>
      <c r="U85" s="286"/>
      <c r="V85" s="286"/>
      <c r="W85" s="83"/>
      <c r="X85" s="83"/>
      <c r="Y85" s="83"/>
      <c r="Z85" s="83"/>
      <c r="AA85" s="80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</row>
    <row r="86" spans="1:51" s="191" customFormat="1" ht="15.6" x14ac:dyDescent="0.3">
      <c r="A86" s="73" t="s">
        <v>72</v>
      </c>
      <c r="B86" s="5" t="s">
        <v>332</v>
      </c>
      <c r="C86" s="130">
        <v>1631822</v>
      </c>
      <c r="D86" s="301">
        <f>1.0212*4042.5</f>
        <v>4128.201</v>
      </c>
      <c r="E86" s="376">
        <v>2958.67</v>
      </c>
      <c r="F86" s="60">
        <f t="shared" si="8"/>
        <v>1169.5309999999999</v>
      </c>
      <c r="G86" s="61">
        <f t="shared" si="9"/>
        <v>0.28330282367549448</v>
      </c>
      <c r="H86" s="62"/>
      <c r="I86" s="62"/>
      <c r="J86" s="63">
        <v>45291</v>
      </c>
      <c r="K86" s="141" t="str">
        <f t="shared" ref="K86:K91" si="10">TEXT(30*MONTH(J86)+30,"mmmm")</f>
        <v>janvier</v>
      </c>
      <c r="L86" s="78" t="s">
        <v>168</v>
      </c>
      <c r="M86" s="154" t="s">
        <v>176</v>
      </c>
      <c r="N86" s="73"/>
      <c r="O86" s="73"/>
      <c r="P86" s="81"/>
      <c r="Q86" s="167" t="s">
        <v>223</v>
      </c>
      <c r="R86" s="83"/>
      <c r="S86" s="83"/>
      <c r="T86" s="126" t="s">
        <v>221</v>
      </c>
      <c r="U86" s="284">
        <v>44901</v>
      </c>
      <c r="V86" s="286">
        <v>44958</v>
      </c>
      <c r="W86" s="83"/>
      <c r="X86" s="83"/>
      <c r="Y86" s="83"/>
      <c r="Z86" s="83"/>
      <c r="AA86" s="80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</row>
    <row r="87" spans="1:51" s="191" customFormat="1" ht="15.6" x14ac:dyDescent="0.3">
      <c r="A87" s="169" t="s">
        <v>66</v>
      </c>
      <c r="B87" s="5" t="s">
        <v>333</v>
      </c>
      <c r="C87" s="156">
        <v>997384</v>
      </c>
      <c r="D87" s="301">
        <f>1.0212*4081</f>
        <v>4167.5172000000002</v>
      </c>
      <c r="E87" s="376">
        <v>2960.47</v>
      </c>
      <c r="F87" s="60">
        <f t="shared" si="8"/>
        <v>1207.0472000000004</v>
      </c>
      <c r="G87" s="61">
        <f t="shared" si="9"/>
        <v>0.28963220595706246</v>
      </c>
      <c r="H87" s="62"/>
      <c r="I87" s="62"/>
      <c r="J87" s="63">
        <v>45291</v>
      </c>
      <c r="K87" s="141" t="str">
        <f t="shared" si="10"/>
        <v>janvier</v>
      </c>
      <c r="L87" s="66" t="s">
        <v>168</v>
      </c>
      <c r="M87" s="227" t="s">
        <v>219</v>
      </c>
      <c r="N87" s="123"/>
      <c r="O87" s="66"/>
      <c r="P87" s="66"/>
      <c r="Q87" s="167" t="s">
        <v>223</v>
      </c>
      <c r="R87" s="126" t="s">
        <v>221</v>
      </c>
      <c r="S87" s="70"/>
      <c r="T87" s="126" t="s">
        <v>221</v>
      </c>
      <c r="U87" s="285">
        <v>44902</v>
      </c>
      <c r="V87" s="286">
        <v>44564</v>
      </c>
      <c r="W87" s="70"/>
      <c r="X87" s="70"/>
      <c r="Y87" s="135"/>
      <c r="Z87" s="127"/>
      <c r="AA87" s="71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</row>
    <row r="88" spans="1:51" s="191" customFormat="1" ht="15.6" x14ac:dyDescent="0.3">
      <c r="A88" s="169" t="s">
        <v>72</v>
      </c>
      <c r="B88" s="5" t="s">
        <v>334</v>
      </c>
      <c r="C88" s="156">
        <v>1330805</v>
      </c>
      <c r="D88" s="301">
        <f>1.0212*7700</f>
        <v>7863.2400000000007</v>
      </c>
      <c r="E88" s="376">
        <v>4468.68</v>
      </c>
      <c r="F88" s="60">
        <f t="shared" si="8"/>
        <v>3394.5600000000004</v>
      </c>
      <c r="G88" s="61">
        <f t="shared" si="9"/>
        <v>0.43169990996077956</v>
      </c>
      <c r="H88" s="62"/>
      <c r="I88" s="62"/>
      <c r="J88" s="63">
        <v>45291</v>
      </c>
      <c r="K88" s="141" t="str">
        <f t="shared" si="10"/>
        <v>janvier</v>
      </c>
      <c r="L88" s="66" t="s">
        <v>168</v>
      </c>
      <c r="M88" s="227" t="s">
        <v>219</v>
      </c>
      <c r="N88" s="123"/>
      <c r="O88" s="66"/>
      <c r="P88" s="66"/>
      <c r="Q88" s="167" t="s">
        <v>223</v>
      </c>
      <c r="R88" s="126" t="s">
        <v>221</v>
      </c>
      <c r="S88" s="70"/>
      <c r="T88" s="126" t="s">
        <v>221</v>
      </c>
      <c r="U88" s="285">
        <v>44902</v>
      </c>
      <c r="V88" s="285"/>
      <c r="W88" s="70"/>
      <c r="X88" s="70"/>
      <c r="Y88" s="135"/>
      <c r="Z88" s="127"/>
      <c r="AA88" s="71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</row>
    <row r="89" spans="1:51" s="191" customFormat="1" ht="15.6" x14ac:dyDescent="0.3">
      <c r="A89" s="73" t="s">
        <v>111</v>
      </c>
      <c r="B89" s="117" t="s">
        <v>335</v>
      </c>
      <c r="C89" s="156">
        <v>860750</v>
      </c>
      <c r="D89" s="302">
        <f>1.0212*19573</f>
        <v>19987.947600000003</v>
      </c>
      <c r="E89" s="378">
        <v>7691.2</v>
      </c>
      <c r="F89" s="60">
        <f t="shared" si="8"/>
        <v>12296.747600000002</v>
      </c>
      <c r="G89" s="61">
        <f t="shared" si="9"/>
        <v>0.61520811671529496</v>
      </c>
      <c r="H89" s="62"/>
      <c r="I89" s="62"/>
      <c r="J89" s="63">
        <v>45291</v>
      </c>
      <c r="K89" s="64" t="str">
        <f t="shared" si="10"/>
        <v>janvier</v>
      </c>
      <c r="L89" s="66" t="s">
        <v>168</v>
      </c>
      <c r="M89" s="227" t="s">
        <v>219</v>
      </c>
      <c r="N89" s="123"/>
      <c r="O89" s="66"/>
      <c r="P89" s="66"/>
      <c r="Q89" s="167" t="s">
        <v>220</v>
      </c>
      <c r="R89" s="126" t="s">
        <v>221</v>
      </c>
      <c r="S89" s="126"/>
      <c r="T89" s="126" t="s">
        <v>221</v>
      </c>
      <c r="U89" s="287">
        <v>44895</v>
      </c>
      <c r="V89" s="287">
        <v>44917</v>
      </c>
      <c r="W89" s="128"/>
      <c r="X89" s="128"/>
      <c r="Y89" s="58"/>
      <c r="Z89" s="137"/>
      <c r="AA89" s="71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</row>
    <row r="90" spans="1:51" s="73" customFormat="1" ht="15.6" x14ac:dyDescent="0.3">
      <c r="A90" s="73" t="s">
        <v>66</v>
      </c>
      <c r="B90" s="117" t="s">
        <v>336</v>
      </c>
      <c r="C90" s="129">
        <v>929882</v>
      </c>
      <c r="D90" s="301">
        <f>1.0212*6660</f>
        <v>6801.1920000000009</v>
      </c>
      <c r="E90" s="377">
        <f>2801.84+1167.41</f>
        <v>3969.25</v>
      </c>
      <c r="F90" s="60">
        <f t="shared" si="8"/>
        <v>2831.9420000000009</v>
      </c>
      <c r="G90" s="61">
        <f t="shared" si="9"/>
        <v>0.41638906826920935</v>
      </c>
      <c r="H90" s="62"/>
      <c r="I90" s="62"/>
      <c r="J90" s="63">
        <v>45291</v>
      </c>
      <c r="K90" s="64" t="str">
        <f t="shared" si="10"/>
        <v>janvier</v>
      </c>
      <c r="L90" s="66" t="s">
        <v>168</v>
      </c>
      <c r="M90" s="227" t="s">
        <v>219</v>
      </c>
      <c r="N90" s="123"/>
      <c r="O90" s="66"/>
      <c r="P90" s="66"/>
      <c r="Q90" s="167" t="s">
        <v>272</v>
      </c>
      <c r="R90" s="126" t="s">
        <v>221</v>
      </c>
      <c r="S90" s="126"/>
      <c r="T90" s="126" t="s">
        <v>221</v>
      </c>
      <c r="U90" s="284">
        <v>44894</v>
      </c>
      <c r="V90" s="284">
        <v>44897</v>
      </c>
      <c r="W90" s="128"/>
      <c r="X90" s="128"/>
      <c r="Y90" s="58"/>
      <c r="Z90" s="130"/>
      <c r="AA90" s="71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</row>
    <row r="91" spans="1:51" s="191" customFormat="1" ht="15.6" x14ac:dyDescent="0.3">
      <c r="A91" s="73" t="s">
        <v>111</v>
      </c>
      <c r="B91" s="117" t="s">
        <v>337</v>
      </c>
      <c r="C91" s="156">
        <v>922082</v>
      </c>
      <c r="D91" s="301">
        <f>1.0212*5540</f>
        <v>5657.4480000000003</v>
      </c>
      <c r="E91" s="376">
        <v>2697.98</v>
      </c>
      <c r="F91" s="60">
        <f t="shared" si="8"/>
        <v>2959.4680000000003</v>
      </c>
      <c r="G91" s="61">
        <f t="shared" si="9"/>
        <v>0.52311006658832748</v>
      </c>
      <c r="H91" s="62"/>
      <c r="I91" s="62"/>
      <c r="J91" s="63">
        <v>45291</v>
      </c>
      <c r="K91" s="64" t="str">
        <f t="shared" si="10"/>
        <v>janvier</v>
      </c>
      <c r="L91" s="66" t="s">
        <v>168</v>
      </c>
      <c r="M91" s="227" t="s">
        <v>219</v>
      </c>
      <c r="N91" s="123"/>
      <c r="O91" s="66"/>
      <c r="P91" s="66"/>
      <c r="Q91" s="167" t="s">
        <v>220</v>
      </c>
      <c r="R91" s="126" t="s">
        <v>221</v>
      </c>
      <c r="S91" s="65">
        <v>44918</v>
      </c>
      <c r="T91" s="126" t="s">
        <v>221</v>
      </c>
      <c r="U91" s="287">
        <v>44902</v>
      </c>
      <c r="V91" s="287">
        <v>44918</v>
      </c>
      <c r="W91" s="128"/>
      <c r="X91" s="128"/>
      <c r="Y91" s="65"/>
      <c r="Z91" s="130"/>
      <c r="AA91" s="71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</row>
    <row r="92" spans="1:51" s="73" customFormat="1" ht="15.6" x14ac:dyDescent="0.3">
      <c r="A92" s="58" t="s">
        <v>72</v>
      </c>
      <c r="B92" s="92" t="s">
        <v>338</v>
      </c>
      <c r="C92" s="130">
        <v>940294</v>
      </c>
      <c r="D92" s="144">
        <f>1.0212*12240</f>
        <v>12499.488000000001</v>
      </c>
      <c r="E92" s="468">
        <v>8771.9</v>
      </c>
      <c r="F92" s="60">
        <f t="shared" si="8"/>
        <v>3727.5880000000016</v>
      </c>
      <c r="G92" s="61">
        <f t="shared" si="9"/>
        <v>0.29821925506068736</v>
      </c>
      <c r="H92" s="62"/>
      <c r="I92" s="62"/>
      <c r="J92" s="119">
        <v>44834</v>
      </c>
      <c r="K92" s="141" t="s">
        <v>61</v>
      </c>
      <c r="L92" s="78" t="s">
        <v>168</v>
      </c>
      <c r="M92" s="227" t="s">
        <v>219</v>
      </c>
      <c r="P92" s="81"/>
      <c r="Q92" s="167" t="s">
        <v>272</v>
      </c>
      <c r="R92" s="126" t="s">
        <v>221</v>
      </c>
      <c r="S92" s="83"/>
      <c r="T92" s="126"/>
      <c r="U92" s="286"/>
      <c r="V92" s="286"/>
      <c r="W92" s="83"/>
      <c r="X92" s="83"/>
      <c r="Y92" s="83"/>
      <c r="Z92" s="83"/>
      <c r="AA92" s="80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</row>
    <row r="93" spans="1:51" s="191" customFormat="1" ht="15.6" x14ac:dyDescent="0.3">
      <c r="A93" s="73" t="s">
        <v>66</v>
      </c>
      <c r="B93" s="5" t="s">
        <v>339</v>
      </c>
      <c r="C93" s="156">
        <v>1121335</v>
      </c>
      <c r="D93" s="301">
        <f>1.0212*6463.12</f>
        <v>6600.1381440000005</v>
      </c>
      <c r="E93" s="377">
        <f>2900.55+3380.73</f>
        <v>6281.2800000000007</v>
      </c>
      <c r="F93" s="60">
        <f t="shared" si="8"/>
        <v>318.85814399999981</v>
      </c>
      <c r="G93" s="61">
        <f t="shared" si="9"/>
        <v>4.8310828810434032E-2</v>
      </c>
      <c r="H93" s="62"/>
      <c r="I93" s="62"/>
      <c r="J93" s="63">
        <v>45291</v>
      </c>
      <c r="K93" s="64" t="str">
        <f>TEXT(30*MONTH(J93)+30,"mmmm")</f>
        <v>janvier</v>
      </c>
      <c r="L93" s="66" t="s">
        <v>168</v>
      </c>
      <c r="M93" s="227" t="s">
        <v>219</v>
      </c>
      <c r="N93" s="123"/>
      <c r="O93" s="66"/>
      <c r="P93" s="66"/>
      <c r="Q93" s="167" t="s">
        <v>272</v>
      </c>
      <c r="R93" s="126" t="s">
        <v>221</v>
      </c>
      <c r="S93" s="70"/>
      <c r="T93" s="126" t="s">
        <v>221</v>
      </c>
      <c r="U93" s="285">
        <v>44873</v>
      </c>
      <c r="V93" s="285"/>
      <c r="W93" s="70"/>
      <c r="X93" s="134"/>
      <c r="Y93" s="70"/>
      <c r="Z93" s="70"/>
      <c r="AA93" s="71" t="s">
        <v>340</v>
      </c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</row>
    <row r="94" spans="1:51" s="191" customFormat="1" ht="15.6" x14ac:dyDescent="0.3">
      <c r="A94" s="73" t="s">
        <v>66</v>
      </c>
      <c r="B94" s="5" t="s">
        <v>341</v>
      </c>
      <c r="C94" s="156">
        <v>503644</v>
      </c>
      <c r="D94" s="144"/>
      <c r="E94" s="376"/>
      <c r="F94" s="60"/>
      <c r="G94" s="61"/>
      <c r="H94" s="62">
        <v>2200</v>
      </c>
      <c r="I94" s="62">
        <v>1430</v>
      </c>
      <c r="J94" s="63">
        <v>45657</v>
      </c>
      <c r="K94" s="141" t="s">
        <v>53</v>
      </c>
      <c r="L94" s="66"/>
      <c r="M94" s="227"/>
      <c r="N94" s="73" t="s">
        <v>342</v>
      </c>
      <c r="O94" s="73"/>
      <c r="P94" s="81"/>
      <c r="Q94" s="167"/>
      <c r="R94" s="126" t="s">
        <v>343</v>
      </c>
      <c r="S94" s="83"/>
      <c r="T94" s="126" t="s">
        <v>344</v>
      </c>
      <c r="U94" s="286"/>
      <c r="V94" s="286"/>
      <c r="W94" s="83"/>
      <c r="X94" s="83"/>
      <c r="Y94" s="83"/>
      <c r="Z94" s="83"/>
      <c r="AA94" s="80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</row>
    <row r="95" spans="1:51" s="73" customFormat="1" ht="15.6" x14ac:dyDescent="0.3">
      <c r="A95" s="73" t="s">
        <v>66</v>
      </c>
      <c r="B95" s="5" t="s">
        <v>341</v>
      </c>
      <c r="C95" s="156">
        <v>503644</v>
      </c>
      <c r="D95" s="301">
        <v>6936</v>
      </c>
      <c r="E95" s="376">
        <v>5732.86</v>
      </c>
      <c r="F95" s="60">
        <f t="shared" ref="F95:F113" si="11">D95-E95</f>
        <v>1203.1400000000003</v>
      </c>
      <c r="G95" s="61">
        <f t="shared" ref="G95:G114" si="12">F95/D95</f>
        <v>0.17346309111880051</v>
      </c>
      <c r="H95" s="62"/>
      <c r="I95" s="62"/>
      <c r="J95" s="63">
        <v>45291</v>
      </c>
      <c r="K95" s="141" t="str">
        <f>TEXT(30*MONTH(J95)+30,"mmmm")</f>
        <v>janvier</v>
      </c>
      <c r="L95" s="66" t="s">
        <v>168</v>
      </c>
      <c r="M95" s="227" t="s">
        <v>219</v>
      </c>
      <c r="P95" s="81"/>
      <c r="Q95" s="167" t="s">
        <v>223</v>
      </c>
      <c r="R95" s="126" t="s">
        <v>221</v>
      </c>
      <c r="S95" s="83"/>
      <c r="T95" s="126" t="s">
        <v>221</v>
      </c>
      <c r="U95" s="286">
        <v>44907</v>
      </c>
      <c r="V95" s="286">
        <v>44572</v>
      </c>
      <c r="W95" s="83"/>
      <c r="X95" s="83"/>
      <c r="Y95" s="83"/>
      <c r="Z95" s="83"/>
      <c r="AA95" s="80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</row>
    <row r="96" spans="1:51" s="191" customFormat="1" ht="16.5" customHeight="1" x14ac:dyDescent="0.3">
      <c r="A96" s="474" t="s">
        <v>72</v>
      </c>
      <c r="B96" s="501" t="s">
        <v>345</v>
      </c>
      <c r="C96" s="464">
        <v>973333</v>
      </c>
      <c r="D96" s="177"/>
      <c r="E96" s="144"/>
      <c r="F96" s="60">
        <f t="shared" si="11"/>
        <v>0</v>
      </c>
      <c r="G96" s="61" t="e">
        <f t="shared" si="12"/>
        <v>#DIV/0!</v>
      </c>
      <c r="H96" s="177">
        <f>836*1.0212</f>
        <v>853.72320000000013</v>
      </c>
      <c r="I96" s="144">
        <v>491.39</v>
      </c>
      <c r="J96" s="119">
        <v>45107</v>
      </c>
      <c r="K96" s="141" t="str">
        <f>TEXT(30*MONTH(J96)+30,"mmmm")</f>
        <v>juillet</v>
      </c>
      <c r="L96" s="66" t="s">
        <v>168</v>
      </c>
      <c r="M96" s="227" t="s">
        <v>219</v>
      </c>
      <c r="N96" s="84"/>
      <c r="O96" s="84"/>
      <c r="P96" s="77"/>
      <c r="Q96" s="167" t="s">
        <v>223</v>
      </c>
      <c r="R96" s="126" t="s">
        <v>221</v>
      </c>
      <c r="S96" s="83"/>
      <c r="T96" s="126"/>
      <c r="U96" s="286"/>
      <c r="V96" s="286"/>
      <c r="W96" s="83"/>
      <c r="X96" s="83"/>
      <c r="Y96" s="83"/>
      <c r="Z96" s="83"/>
      <c r="AA96" s="80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</row>
    <row r="97" spans="1:51" s="191" customFormat="1" ht="15.6" x14ac:dyDescent="0.3">
      <c r="A97" s="73" t="s">
        <v>66</v>
      </c>
      <c r="B97" s="117" t="s">
        <v>346</v>
      </c>
      <c r="C97" s="158">
        <v>1190096</v>
      </c>
      <c r="D97" s="301">
        <f>1.0212*3738</f>
        <v>3817.2456000000002</v>
      </c>
      <c r="E97" s="377">
        <v>3072.19</v>
      </c>
      <c r="F97" s="60">
        <f t="shared" si="11"/>
        <v>745.05560000000014</v>
      </c>
      <c r="G97" s="61">
        <f t="shared" si="12"/>
        <v>0.19518146801976799</v>
      </c>
      <c r="H97" s="62"/>
      <c r="I97" s="62"/>
      <c r="J97" s="63">
        <v>45291</v>
      </c>
      <c r="K97" s="64" t="str">
        <f>TEXT(30*MONTH(J97)+30,"mmmm")</f>
        <v>janvier</v>
      </c>
      <c r="L97" s="66" t="s">
        <v>168</v>
      </c>
      <c r="M97" s="227" t="s">
        <v>219</v>
      </c>
      <c r="N97" s="122"/>
      <c r="O97" s="121"/>
      <c r="P97" s="121"/>
      <c r="Q97" s="167" t="s">
        <v>272</v>
      </c>
      <c r="R97" s="126" t="s">
        <v>221</v>
      </c>
      <c r="S97" s="126"/>
      <c r="T97" s="126" t="s">
        <v>221</v>
      </c>
      <c r="U97" s="284">
        <v>44900</v>
      </c>
      <c r="V97" s="284">
        <v>44900</v>
      </c>
      <c r="W97" s="128"/>
      <c r="X97" s="128"/>
      <c r="Y97" s="58"/>
      <c r="Z97" s="130"/>
      <c r="AA97" s="71" t="s">
        <v>347</v>
      </c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</row>
    <row r="98" spans="1:51" s="191" customFormat="1" ht="15.6" x14ac:dyDescent="0.3">
      <c r="A98" s="169" t="s">
        <v>72</v>
      </c>
      <c r="B98" s="5" t="s">
        <v>348</v>
      </c>
      <c r="C98" s="156">
        <v>1084370</v>
      </c>
      <c r="D98" s="301">
        <f>1.0212*7392</f>
        <v>7548.7104000000008</v>
      </c>
      <c r="E98" s="376">
        <v>4151.72</v>
      </c>
      <c r="F98" s="60">
        <f t="shared" si="11"/>
        <v>3396.9904000000006</v>
      </c>
      <c r="G98" s="61">
        <f t="shared" si="12"/>
        <v>0.4500093684876294</v>
      </c>
      <c r="H98" s="62"/>
      <c r="I98" s="62"/>
      <c r="J98" s="63">
        <v>45291</v>
      </c>
      <c r="K98" s="64" t="str">
        <f>TEXT(30*MONTH(J98)+30,"mmmm")</f>
        <v>janvier</v>
      </c>
      <c r="L98" s="66" t="s">
        <v>168</v>
      </c>
      <c r="M98" s="66" t="s">
        <v>176</v>
      </c>
      <c r="N98" s="123"/>
      <c r="O98" s="66"/>
      <c r="P98" s="66"/>
      <c r="Q98" s="167" t="s">
        <v>223</v>
      </c>
      <c r="R98" s="70"/>
      <c r="S98" s="70"/>
      <c r="T98" s="126" t="s">
        <v>221</v>
      </c>
      <c r="U98" s="285">
        <v>44902</v>
      </c>
      <c r="V98" s="285">
        <v>44971</v>
      </c>
      <c r="W98" s="70"/>
      <c r="X98" s="70"/>
      <c r="Y98" s="70"/>
      <c r="Z98" s="70"/>
      <c r="AA98" s="71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</row>
    <row r="99" spans="1:51" s="73" customFormat="1" ht="16.350000000000001" customHeight="1" x14ac:dyDescent="0.3">
      <c r="A99" s="169" t="s">
        <v>72</v>
      </c>
      <c r="B99" s="5" t="s">
        <v>348</v>
      </c>
      <c r="C99" s="156">
        <v>1084370</v>
      </c>
      <c r="D99" s="302">
        <f>1.0212*4620</f>
        <v>4717.9440000000004</v>
      </c>
      <c r="E99" s="379">
        <v>2310</v>
      </c>
      <c r="F99" s="60">
        <f t="shared" si="11"/>
        <v>2407.9440000000004</v>
      </c>
      <c r="G99" s="61">
        <f t="shared" si="12"/>
        <v>0.51037994516255392</v>
      </c>
      <c r="H99" s="62"/>
      <c r="I99" s="62"/>
      <c r="J99" s="63">
        <v>45291</v>
      </c>
      <c r="K99" s="64" t="s">
        <v>53</v>
      </c>
      <c r="L99" s="66" t="s">
        <v>168</v>
      </c>
      <c r="M99" s="66" t="s">
        <v>176</v>
      </c>
      <c r="N99" s="123"/>
      <c r="O99" s="66"/>
      <c r="P99" s="66"/>
      <c r="Q99" s="167" t="s">
        <v>223</v>
      </c>
      <c r="R99" s="70"/>
      <c r="S99" s="70"/>
      <c r="T99" s="126" t="s">
        <v>221</v>
      </c>
      <c r="U99" s="285">
        <v>44902</v>
      </c>
      <c r="V99" s="285"/>
      <c r="W99" s="70"/>
      <c r="X99" s="70"/>
      <c r="Y99" s="70"/>
      <c r="Z99" s="70"/>
      <c r="AA99" s="71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</row>
    <row r="100" spans="1:51" s="191" customFormat="1" ht="15.6" x14ac:dyDescent="0.3">
      <c r="A100" s="73" t="s">
        <v>72</v>
      </c>
      <c r="B100" s="117" t="s">
        <v>349</v>
      </c>
      <c r="C100" s="156">
        <v>987620</v>
      </c>
      <c r="D100" s="301">
        <f>1.0212*8140</f>
        <v>8312.5680000000011</v>
      </c>
      <c r="E100" s="377">
        <v>5608.06</v>
      </c>
      <c r="F100" s="60">
        <f t="shared" si="11"/>
        <v>2704.5080000000007</v>
      </c>
      <c r="G100" s="61">
        <f t="shared" si="12"/>
        <v>0.32535168434110862</v>
      </c>
      <c r="H100" s="62"/>
      <c r="I100" s="62"/>
      <c r="J100" s="63">
        <v>45291</v>
      </c>
      <c r="K100" s="64" t="str">
        <f>TEXT(30*MONTH(J100)+30,"mmmm")</f>
        <v>janvier</v>
      </c>
      <c r="L100" s="66" t="s">
        <v>168</v>
      </c>
      <c r="M100" s="227" t="s">
        <v>219</v>
      </c>
      <c r="N100" s="80"/>
      <c r="O100" s="73"/>
      <c r="P100" s="81"/>
      <c r="Q100" s="167" t="s">
        <v>223</v>
      </c>
      <c r="R100" s="126" t="s">
        <v>221</v>
      </c>
      <c r="S100" s="83"/>
      <c r="T100" s="126" t="s">
        <v>221</v>
      </c>
      <c r="U100" s="285">
        <v>44902</v>
      </c>
      <c r="V100" s="286">
        <v>44907</v>
      </c>
      <c r="W100" s="83"/>
      <c r="X100" s="83"/>
      <c r="Y100" s="83"/>
      <c r="Z100" s="83"/>
      <c r="AA100" s="80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</row>
    <row r="101" spans="1:51" s="73" customFormat="1" ht="15.6" customHeight="1" x14ac:dyDescent="0.3">
      <c r="A101" s="73" t="s">
        <v>126</v>
      </c>
      <c r="B101" s="5" t="s">
        <v>350</v>
      </c>
      <c r="C101" s="156">
        <v>973990</v>
      </c>
      <c r="D101" s="316">
        <f>1.0212*2420</f>
        <v>2471.3040000000001</v>
      </c>
      <c r="E101" s="170">
        <v>1331</v>
      </c>
      <c r="F101" s="60">
        <f t="shared" si="11"/>
        <v>1140.3040000000001</v>
      </c>
      <c r="G101" s="61">
        <f t="shared" si="12"/>
        <v>0.46141793967880929</v>
      </c>
      <c r="H101" s="62"/>
      <c r="I101" s="62"/>
      <c r="J101" s="63">
        <v>45291</v>
      </c>
      <c r="K101" s="64" t="str">
        <f>TEXT(30*MONTH(J101)+30,"mmmm")</f>
        <v>janvier</v>
      </c>
      <c r="L101" s="66" t="s">
        <v>168</v>
      </c>
      <c r="M101" s="66" t="s">
        <v>176</v>
      </c>
      <c r="N101" s="67" t="s">
        <v>351</v>
      </c>
      <c r="O101" s="58"/>
      <c r="P101" s="63"/>
      <c r="Q101" s="167" t="s">
        <v>272</v>
      </c>
      <c r="R101" s="70"/>
      <c r="S101" s="70"/>
      <c r="T101" s="126" t="s">
        <v>221</v>
      </c>
      <c r="U101" s="297">
        <v>44901</v>
      </c>
      <c r="V101" s="285">
        <v>44917</v>
      </c>
      <c r="W101" s="70"/>
      <c r="X101" s="70"/>
      <c r="Y101" s="70"/>
      <c r="Z101" s="70"/>
      <c r="AA101" s="71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</row>
    <row r="102" spans="1:51" s="73" customFormat="1" ht="15.6" x14ac:dyDescent="0.3">
      <c r="A102" s="73" t="s">
        <v>126</v>
      </c>
      <c r="B102" s="5" t="s">
        <v>350</v>
      </c>
      <c r="C102" s="156">
        <v>973990</v>
      </c>
      <c r="D102" s="302">
        <f>(1.0212*5808)+(1.0212*3520)</f>
        <v>9525.7536</v>
      </c>
      <c r="E102" s="376">
        <v>6072</v>
      </c>
      <c r="F102" s="60">
        <f t="shared" si="11"/>
        <v>3453.7536</v>
      </c>
      <c r="G102" s="61">
        <f t="shared" si="12"/>
        <v>0.36257011728709843</v>
      </c>
      <c r="H102" s="62"/>
      <c r="I102" s="62"/>
      <c r="J102" s="63">
        <v>45291</v>
      </c>
      <c r="K102" s="64" t="str">
        <f>TEXT(30*MONTH(J102)+30,"mmmm")</f>
        <v>janvier</v>
      </c>
      <c r="L102" s="66" t="s">
        <v>168</v>
      </c>
      <c r="M102" s="66" t="s">
        <v>176</v>
      </c>
      <c r="N102" s="84" t="s">
        <v>352</v>
      </c>
      <c r="O102" s="84"/>
      <c r="P102" s="77"/>
      <c r="Q102" s="167" t="s">
        <v>272</v>
      </c>
      <c r="R102" s="83"/>
      <c r="S102" s="83"/>
      <c r="T102" s="126" t="s">
        <v>221</v>
      </c>
      <c r="U102" s="298">
        <v>44901</v>
      </c>
      <c r="V102" s="286">
        <v>44917</v>
      </c>
      <c r="W102" s="83"/>
      <c r="X102" s="83"/>
      <c r="Y102" s="83"/>
      <c r="Z102" s="83"/>
      <c r="AA102" s="80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</row>
    <row r="103" spans="1:51" s="73" customFormat="1" ht="15.6" x14ac:dyDescent="0.3">
      <c r="A103" s="73" t="s">
        <v>126</v>
      </c>
      <c r="B103" s="5" t="s">
        <v>353</v>
      </c>
      <c r="C103" s="160">
        <v>1587904</v>
      </c>
      <c r="D103" s="301">
        <v>2800</v>
      </c>
      <c r="E103" s="317">
        <v>2570.89</v>
      </c>
      <c r="F103" s="74">
        <f t="shared" si="11"/>
        <v>229.11000000000013</v>
      </c>
      <c r="G103" s="61">
        <f t="shared" si="12"/>
        <v>8.182500000000005E-2</v>
      </c>
      <c r="H103" s="114"/>
      <c r="I103" s="114"/>
      <c r="J103" s="63">
        <v>45291</v>
      </c>
      <c r="K103" s="86" t="s">
        <v>53</v>
      </c>
      <c r="L103" s="160" t="s">
        <v>168</v>
      </c>
      <c r="M103" s="228" t="s">
        <v>219</v>
      </c>
      <c r="P103" s="81"/>
      <c r="Q103" s="167" t="s">
        <v>354</v>
      </c>
      <c r="R103" s="83"/>
      <c r="S103" s="83"/>
      <c r="T103" s="83"/>
      <c r="U103" s="286"/>
      <c r="V103" s="286"/>
      <c r="W103" s="83"/>
      <c r="X103" s="83"/>
      <c r="Y103" s="83"/>
      <c r="Z103" s="83"/>
      <c r="AA103" s="80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</row>
    <row r="104" spans="1:51" s="191" customFormat="1" ht="17.850000000000001" customHeight="1" x14ac:dyDescent="0.3">
      <c r="A104" s="58" t="s">
        <v>72</v>
      </c>
      <c r="B104" s="92" t="s">
        <v>355</v>
      </c>
      <c r="C104" s="130">
        <v>1931166</v>
      </c>
      <c r="D104" s="144">
        <v>990</v>
      </c>
      <c r="E104" s="475">
        <v>504.18</v>
      </c>
      <c r="F104" s="60">
        <f t="shared" si="11"/>
        <v>485.82</v>
      </c>
      <c r="G104" s="61">
        <f t="shared" si="12"/>
        <v>0.49072727272727273</v>
      </c>
      <c r="H104" s="397" t="s">
        <v>356</v>
      </c>
      <c r="I104" s="397"/>
      <c r="J104" s="119">
        <v>44804</v>
      </c>
      <c r="K104" s="141" t="s">
        <v>129</v>
      </c>
      <c r="L104" s="78" t="s">
        <v>168</v>
      </c>
      <c r="M104" s="154" t="s">
        <v>176</v>
      </c>
      <c r="N104" s="73"/>
      <c r="O104" s="73"/>
      <c r="P104" s="81"/>
      <c r="Q104" s="167" t="s">
        <v>223</v>
      </c>
      <c r="R104" s="83"/>
      <c r="S104" s="83"/>
      <c r="T104" s="126"/>
      <c r="U104" s="286"/>
      <c r="V104" s="286"/>
      <c r="W104" s="83"/>
      <c r="X104" s="83"/>
      <c r="Y104" s="83"/>
      <c r="Z104" s="83"/>
      <c r="AA104" s="80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</row>
    <row r="105" spans="1:51" s="73" customFormat="1" ht="15.6" x14ac:dyDescent="0.3">
      <c r="A105" s="73" t="s">
        <v>66</v>
      </c>
      <c r="B105" s="5" t="s">
        <v>357</v>
      </c>
      <c r="C105" s="156">
        <v>1567827</v>
      </c>
      <c r="D105" s="301">
        <f>1.0212*9680</f>
        <v>9885.2160000000003</v>
      </c>
      <c r="E105" s="376">
        <v>5919.34</v>
      </c>
      <c r="F105" s="60">
        <f t="shared" si="11"/>
        <v>3965.8760000000002</v>
      </c>
      <c r="G105" s="61">
        <f t="shared" si="12"/>
        <v>0.40119264971043628</v>
      </c>
      <c r="H105" s="62"/>
      <c r="I105" s="62"/>
      <c r="J105" s="63">
        <v>45291</v>
      </c>
      <c r="K105" s="64" t="str">
        <f>TEXT(30*MONTH(J105)+30,"mmmm")</f>
        <v>janvier</v>
      </c>
      <c r="L105" s="66" t="s">
        <v>168</v>
      </c>
      <c r="M105" s="66" t="s">
        <v>176</v>
      </c>
      <c r="N105" s="123"/>
      <c r="O105" s="66"/>
      <c r="P105" s="66"/>
      <c r="Q105" s="167" t="s">
        <v>223</v>
      </c>
      <c r="R105" s="127"/>
      <c r="S105" s="127"/>
      <c r="T105" s="126" t="s">
        <v>221</v>
      </c>
      <c r="U105" s="285">
        <v>44907</v>
      </c>
      <c r="V105" s="285">
        <v>44939</v>
      </c>
      <c r="W105" s="70"/>
      <c r="X105" s="70"/>
      <c r="Y105" s="135"/>
      <c r="Z105" s="70"/>
      <c r="AA105" s="71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</row>
    <row r="106" spans="1:51" s="191" customFormat="1" ht="15.6" x14ac:dyDescent="0.3">
      <c r="A106" s="169" t="s">
        <v>66</v>
      </c>
      <c r="B106" s="5" t="s">
        <v>358</v>
      </c>
      <c r="C106" s="156">
        <v>1519432</v>
      </c>
      <c r="D106" s="301">
        <f>1318.37</f>
        <v>1318.37</v>
      </c>
      <c r="E106" s="376">
        <v>936.68</v>
      </c>
      <c r="F106" s="60">
        <f t="shared" si="11"/>
        <v>381.68999999999994</v>
      </c>
      <c r="G106" s="61">
        <f t="shared" si="12"/>
        <v>0.28951660004399371</v>
      </c>
      <c r="H106" s="62"/>
      <c r="I106" s="62"/>
      <c r="J106" s="63">
        <v>45291</v>
      </c>
      <c r="K106" s="64" t="str">
        <f>TEXT(30*MONTH(J106)+30,"mmmm")</f>
        <v>janvier</v>
      </c>
      <c r="L106" s="66" t="s">
        <v>168</v>
      </c>
      <c r="M106" s="227" t="s">
        <v>219</v>
      </c>
      <c r="N106" s="123"/>
      <c r="O106" s="66"/>
      <c r="P106" s="66"/>
      <c r="Q106" s="167" t="s">
        <v>223</v>
      </c>
      <c r="R106" s="126" t="s">
        <v>221</v>
      </c>
      <c r="S106" s="70"/>
      <c r="T106" s="126" t="s">
        <v>221</v>
      </c>
      <c r="U106" s="285">
        <v>44963</v>
      </c>
      <c r="V106" s="285"/>
      <c r="W106" s="70"/>
      <c r="X106" s="70"/>
      <c r="Y106" s="70"/>
      <c r="Z106" s="70"/>
      <c r="AA106" s="71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</row>
    <row r="107" spans="1:51" s="191" customFormat="1" ht="15.6" x14ac:dyDescent="0.3">
      <c r="A107" s="73" t="s">
        <v>72</v>
      </c>
      <c r="B107" s="117" t="s">
        <v>359</v>
      </c>
      <c r="C107" s="129">
        <v>924953</v>
      </c>
      <c r="D107" s="316">
        <f>1.0212*14514</f>
        <v>14821.696800000002</v>
      </c>
      <c r="E107" s="376">
        <v>9469.61</v>
      </c>
      <c r="F107" s="60">
        <f t="shared" si="11"/>
        <v>5352.0868000000009</v>
      </c>
      <c r="G107" s="61">
        <f t="shared" si="12"/>
        <v>0.36109811664748132</v>
      </c>
      <c r="H107" s="62"/>
      <c r="I107" s="62"/>
      <c r="J107" s="63">
        <v>45291</v>
      </c>
      <c r="K107" s="64" t="str">
        <f>TEXT(30*MONTH(J107)+30,"mmmm")</f>
        <v>janvier</v>
      </c>
      <c r="L107" s="66" t="s">
        <v>168</v>
      </c>
      <c r="M107" s="227" t="s">
        <v>219</v>
      </c>
      <c r="N107" s="67"/>
      <c r="O107" s="58"/>
      <c r="P107" s="63"/>
      <c r="Q107" s="167" t="s">
        <v>223</v>
      </c>
      <c r="R107" s="126" t="s">
        <v>221</v>
      </c>
      <c r="S107" s="70"/>
      <c r="T107" s="126" t="s">
        <v>221</v>
      </c>
      <c r="U107" s="285">
        <v>44902</v>
      </c>
      <c r="V107" s="285"/>
      <c r="W107" s="70"/>
      <c r="X107" s="70"/>
      <c r="Y107" s="70"/>
      <c r="Z107" s="70"/>
      <c r="AA107" s="71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</row>
    <row r="108" spans="1:51" s="73" customFormat="1" ht="15.6" x14ac:dyDescent="0.3">
      <c r="A108" s="73" t="s">
        <v>111</v>
      </c>
      <c r="B108" s="5" t="s">
        <v>360</v>
      </c>
      <c r="C108" s="130">
        <v>1222555</v>
      </c>
      <c r="D108" s="301">
        <f>1.0212*7500</f>
        <v>7659.0000000000009</v>
      </c>
      <c r="E108" s="376">
        <v>7121.96</v>
      </c>
      <c r="F108" s="60">
        <f t="shared" si="11"/>
        <v>537.04000000000087</v>
      </c>
      <c r="G108" s="61">
        <f t="shared" si="12"/>
        <v>7.0118814466640658E-2</v>
      </c>
      <c r="H108" s="62"/>
      <c r="I108" s="62"/>
      <c r="J108" s="63">
        <v>45291</v>
      </c>
      <c r="K108" s="64" t="s">
        <v>53</v>
      </c>
      <c r="L108" s="66" t="s">
        <v>168</v>
      </c>
      <c r="M108" s="227" t="s">
        <v>219</v>
      </c>
      <c r="N108" s="124"/>
      <c r="P108" s="81"/>
      <c r="Q108" s="167" t="s">
        <v>220</v>
      </c>
      <c r="R108" s="126" t="s">
        <v>221</v>
      </c>
      <c r="S108" s="65" t="s">
        <v>244</v>
      </c>
      <c r="T108" s="126" t="s">
        <v>221</v>
      </c>
      <c r="U108" s="290">
        <v>44908</v>
      </c>
      <c r="V108" s="286"/>
      <c r="W108" s="83"/>
      <c r="X108" s="83"/>
      <c r="Y108" s="83"/>
      <c r="Z108" s="83"/>
      <c r="AA108" s="80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</row>
    <row r="109" spans="1:51" s="191" customFormat="1" ht="15.6" x14ac:dyDescent="0.3">
      <c r="A109" s="73" t="s">
        <v>72</v>
      </c>
      <c r="B109" s="88" t="s">
        <v>361</v>
      </c>
      <c r="C109" s="130"/>
      <c r="D109" s="224"/>
      <c r="E109" s="180"/>
      <c r="F109" s="60">
        <f t="shared" si="11"/>
        <v>0</v>
      </c>
      <c r="G109" s="61" t="e">
        <f t="shared" si="12"/>
        <v>#DIV/0!</v>
      </c>
      <c r="H109" s="62"/>
      <c r="I109" s="62"/>
      <c r="J109" s="63">
        <v>45291</v>
      </c>
      <c r="K109" s="141" t="str">
        <f t="shared" ref="K109:K114" si="13">TEXT(30*MONTH(J109)+30,"mmmm")</f>
        <v>janvier</v>
      </c>
      <c r="L109" s="121" t="s">
        <v>168</v>
      </c>
      <c r="M109" s="227" t="s">
        <v>219</v>
      </c>
      <c r="N109" s="73" t="s">
        <v>362</v>
      </c>
      <c r="O109" s="73"/>
      <c r="P109" s="81"/>
      <c r="Q109" s="167"/>
      <c r="R109" s="83"/>
      <c r="S109" s="83"/>
      <c r="T109" s="126" t="s">
        <v>221</v>
      </c>
      <c r="U109" s="286"/>
      <c r="V109" s="286"/>
      <c r="W109" s="83"/>
      <c r="X109" s="83"/>
      <c r="Y109" s="83"/>
      <c r="Z109" s="83"/>
      <c r="AA109" s="80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</row>
    <row r="110" spans="1:51" s="73" customFormat="1" ht="15.6" x14ac:dyDescent="0.3">
      <c r="A110" s="73" t="s">
        <v>72</v>
      </c>
      <c r="B110" s="117" t="s">
        <v>363</v>
      </c>
      <c r="C110" s="129">
        <v>948751</v>
      </c>
      <c r="D110" s="316">
        <f>1.0212*23411.37</f>
        <v>23907.691044000003</v>
      </c>
      <c r="E110" s="376">
        <v>21523.51</v>
      </c>
      <c r="F110" s="60">
        <f t="shared" si="11"/>
        <v>2384.1810440000045</v>
      </c>
      <c r="G110" s="61">
        <f t="shared" si="12"/>
        <v>9.9724437613491368E-2</v>
      </c>
      <c r="H110" s="62"/>
      <c r="I110" s="62"/>
      <c r="J110" s="63">
        <v>45291</v>
      </c>
      <c r="K110" s="64" t="str">
        <f t="shared" si="13"/>
        <v>janvier</v>
      </c>
      <c r="L110" s="66" t="s">
        <v>168</v>
      </c>
      <c r="M110" s="227" t="s">
        <v>219</v>
      </c>
      <c r="N110" s="71"/>
      <c r="O110" s="58"/>
      <c r="P110" s="72"/>
      <c r="Q110" s="167" t="s">
        <v>223</v>
      </c>
      <c r="R110" s="126" t="s">
        <v>221</v>
      </c>
      <c r="S110" s="70"/>
      <c r="T110" s="126" t="s">
        <v>221</v>
      </c>
      <c r="U110" s="285">
        <v>44907</v>
      </c>
      <c r="V110" s="285">
        <v>44565</v>
      </c>
      <c r="W110" s="70"/>
      <c r="X110" s="70"/>
      <c r="Y110" s="70"/>
      <c r="Z110" s="70"/>
      <c r="AA110" s="71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</row>
    <row r="111" spans="1:51" s="191" customFormat="1" ht="15.6" x14ac:dyDescent="0.3">
      <c r="A111" s="73" t="s">
        <v>72</v>
      </c>
      <c r="B111" s="5" t="s">
        <v>364</v>
      </c>
      <c r="C111" s="130"/>
      <c r="D111" s="301">
        <f>1.0212*13090</f>
        <v>13367.508000000002</v>
      </c>
      <c r="E111" s="376">
        <v>1238.44</v>
      </c>
      <c r="F111" s="60">
        <f t="shared" si="11"/>
        <v>12129.068000000001</v>
      </c>
      <c r="G111" s="61">
        <f t="shared" si="12"/>
        <v>0.90735445978412732</v>
      </c>
      <c r="H111" s="397" t="s">
        <v>315</v>
      </c>
      <c r="I111" s="396">
        <v>9259.25</v>
      </c>
      <c r="J111" s="63">
        <v>45291</v>
      </c>
      <c r="K111" s="141" t="str">
        <f t="shared" si="13"/>
        <v>janvier</v>
      </c>
      <c r="L111" s="66" t="s">
        <v>168</v>
      </c>
      <c r="M111" s="66" t="s">
        <v>176</v>
      </c>
      <c r="N111" s="73"/>
      <c r="O111" s="73"/>
      <c r="P111" s="81"/>
      <c r="Q111" s="167" t="s">
        <v>272</v>
      </c>
      <c r="R111" s="83"/>
      <c r="S111" s="83"/>
      <c r="T111" s="126" t="s">
        <v>221</v>
      </c>
      <c r="U111" s="286">
        <v>44900</v>
      </c>
      <c r="V111" s="286">
        <v>44901</v>
      </c>
      <c r="W111" s="83"/>
      <c r="X111" s="83"/>
      <c r="Y111" s="83"/>
      <c r="Z111" s="83"/>
      <c r="AA111" s="80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</row>
    <row r="112" spans="1:51" s="73" customFormat="1" ht="15.6" x14ac:dyDescent="0.3">
      <c r="A112" s="73" t="s">
        <v>72</v>
      </c>
      <c r="B112" s="88" t="s">
        <v>365</v>
      </c>
      <c r="C112" s="156">
        <v>1181450</v>
      </c>
      <c r="D112" s="418"/>
      <c r="E112" s="170"/>
      <c r="F112" s="419">
        <f t="shared" si="11"/>
        <v>0</v>
      </c>
      <c r="G112" s="420" t="e">
        <f t="shared" si="12"/>
        <v>#DIV/0!</v>
      </c>
      <c r="H112" s="62"/>
      <c r="I112" s="62"/>
      <c r="J112" s="63">
        <v>45291</v>
      </c>
      <c r="K112" s="64" t="str">
        <f t="shared" si="13"/>
        <v>janvier</v>
      </c>
      <c r="L112" s="66" t="s">
        <v>168</v>
      </c>
      <c r="M112" s="227" t="s">
        <v>219</v>
      </c>
      <c r="N112" s="80"/>
      <c r="P112" s="81"/>
      <c r="Q112" s="167" t="s">
        <v>272</v>
      </c>
      <c r="R112" s="126" t="s">
        <v>221</v>
      </c>
      <c r="S112" s="83"/>
      <c r="T112" s="126" t="s">
        <v>221</v>
      </c>
      <c r="U112" s="286"/>
      <c r="V112" s="286"/>
      <c r="W112" s="83"/>
      <c r="X112" s="83"/>
      <c r="Y112" s="83"/>
      <c r="Z112" s="83"/>
      <c r="AA112" s="80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</row>
    <row r="113" spans="1:51" s="73" customFormat="1" ht="15.6" x14ac:dyDescent="0.3">
      <c r="A113" s="58" t="s">
        <v>66</v>
      </c>
      <c r="B113" s="92" t="s">
        <v>366</v>
      </c>
      <c r="C113" s="130">
        <v>1188021</v>
      </c>
      <c r="D113" s="476">
        <f>1.0212*5723</f>
        <v>5844.3276000000005</v>
      </c>
      <c r="E113" s="144">
        <v>1456.44</v>
      </c>
      <c r="F113" s="477">
        <f t="shared" si="11"/>
        <v>4387.8876</v>
      </c>
      <c r="G113" s="478">
        <f t="shared" si="12"/>
        <v>0.75079425732397331</v>
      </c>
      <c r="H113" s="62"/>
      <c r="I113" s="62"/>
      <c r="J113" s="119">
        <v>45260</v>
      </c>
      <c r="K113" s="141" t="str">
        <f t="shared" si="13"/>
        <v>décembre</v>
      </c>
      <c r="L113" s="66" t="s">
        <v>168</v>
      </c>
      <c r="M113" s="227" t="s">
        <v>219</v>
      </c>
      <c r="P113" s="81"/>
      <c r="Q113" s="167" t="s">
        <v>240</v>
      </c>
      <c r="R113" s="126" t="s">
        <v>221</v>
      </c>
      <c r="S113" s="83"/>
      <c r="T113" s="126"/>
      <c r="U113" s="286"/>
      <c r="V113" s="286"/>
      <c r="W113" s="83"/>
      <c r="X113" s="83"/>
      <c r="Y113" s="83"/>
      <c r="Z113" s="83"/>
      <c r="AA113" s="80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</row>
    <row r="114" spans="1:51" s="191" customFormat="1" ht="15.6" x14ac:dyDescent="0.3">
      <c r="A114" s="73" t="s">
        <v>72</v>
      </c>
      <c r="B114" s="117" t="s">
        <v>93</v>
      </c>
      <c r="C114" s="156">
        <v>872213</v>
      </c>
      <c r="D114" s="330">
        <f>1.0212*12468</f>
        <v>12732.321600000001</v>
      </c>
      <c r="E114" s="377">
        <f>4465.86+3035.34</f>
        <v>7501.2</v>
      </c>
      <c r="F114" s="324">
        <f>D114-E114-E115</f>
        <v>2585.0416000000014</v>
      </c>
      <c r="G114" s="327">
        <f t="shared" si="12"/>
        <v>0.20302987005920436</v>
      </c>
      <c r="H114" s="62"/>
      <c r="I114" s="62"/>
      <c r="J114" s="63">
        <v>45291</v>
      </c>
      <c r="K114" s="64" t="str">
        <f t="shared" si="13"/>
        <v>janvier</v>
      </c>
      <c r="L114" s="66" t="s">
        <v>168</v>
      </c>
      <c r="M114" s="227" t="s">
        <v>219</v>
      </c>
      <c r="N114" s="80" t="s">
        <v>367</v>
      </c>
      <c r="O114" s="73"/>
      <c r="P114" s="81"/>
      <c r="Q114" s="167" t="s">
        <v>223</v>
      </c>
      <c r="R114" s="126" t="s">
        <v>221</v>
      </c>
      <c r="S114" s="83"/>
      <c r="T114" s="126" t="s">
        <v>221</v>
      </c>
      <c r="U114" s="286">
        <v>44903</v>
      </c>
      <c r="V114" s="286">
        <v>44903</v>
      </c>
      <c r="W114" s="83"/>
      <c r="X114" s="83"/>
      <c r="Y114" s="83"/>
      <c r="Z114" s="83"/>
      <c r="AA114" s="80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</row>
    <row r="115" spans="1:51" s="73" customFormat="1" ht="15.6" x14ac:dyDescent="0.3">
      <c r="A115" s="73" t="s">
        <v>72</v>
      </c>
      <c r="B115" s="117" t="s">
        <v>93</v>
      </c>
      <c r="C115" s="156" t="s">
        <v>235</v>
      </c>
      <c r="D115" s="330"/>
      <c r="E115" s="376">
        <f>2646.08</f>
        <v>2646.08</v>
      </c>
      <c r="F115" s="324"/>
      <c r="G115" s="327"/>
      <c r="H115" s="62"/>
      <c r="I115" s="62"/>
      <c r="J115" s="63">
        <v>45291</v>
      </c>
      <c r="K115" s="64" t="s">
        <v>53</v>
      </c>
      <c r="L115" s="66" t="s">
        <v>235</v>
      </c>
      <c r="M115" s="227">
        <v>360</v>
      </c>
      <c r="N115" s="80"/>
      <c r="P115" s="81"/>
      <c r="Q115" s="167" t="s">
        <v>223</v>
      </c>
      <c r="R115" s="126"/>
      <c r="S115" s="83"/>
      <c r="T115" s="126"/>
      <c r="U115" s="286">
        <v>44903</v>
      </c>
      <c r="V115" s="286">
        <v>44903</v>
      </c>
      <c r="W115" s="83"/>
      <c r="X115" s="83"/>
      <c r="Y115" s="83"/>
      <c r="Z115" s="83"/>
      <c r="AA115" s="80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</row>
    <row r="116" spans="1:51" s="73" customFormat="1" ht="15.6" x14ac:dyDescent="0.3">
      <c r="A116" s="73" t="s">
        <v>72</v>
      </c>
      <c r="B116" s="88" t="s">
        <v>368</v>
      </c>
      <c r="C116" s="156">
        <v>1504533</v>
      </c>
      <c r="D116" s="178"/>
      <c r="E116" s="180"/>
      <c r="F116" s="60">
        <f t="shared" ref="F116:F147" si="14">D116-E116</f>
        <v>0</v>
      </c>
      <c r="G116" s="61" t="e">
        <f t="shared" ref="G116:G147" si="15">F116/D116</f>
        <v>#DIV/0!</v>
      </c>
      <c r="H116" s="62"/>
      <c r="I116" s="62"/>
      <c r="J116" s="63">
        <v>45291</v>
      </c>
      <c r="K116" s="64" t="str">
        <f>TEXT(30*MONTH(J116)+30,"mmmm")</f>
        <v>janvier</v>
      </c>
      <c r="L116" s="66" t="s">
        <v>168</v>
      </c>
      <c r="M116" s="227" t="s">
        <v>219</v>
      </c>
      <c r="N116" s="80"/>
      <c r="P116" s="81"/>
      <c r="Q116" s="167"/>
      <c r="R116" s="126" t="s">
        <v>221</v>
      </c>
      <c r="S116" s="83"/>
      <c r="T116" s="126" t="s">
        <v>221</v>
      </c>
      <c r="U116" s="286"/>
      <c r="V116" s="286"/>
      <c r="W116" s="83"/>
      <c r="X116" s="83"/>
      <c r="Y116" s="83"/>
      <c r="Z116" s="83"/>
      <c r="AA116" s="80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</row>
    <row r="117" spans="1:51" s="191" customFormat="1" ht="15.6" x14ac:dyDescent="0.3">
      <c r="A117" s="58" t="s">
        <v>72</v>
      </c>
      <c r="B117" s="499" t="s">
        <v>369</v>
      </c>
      <c r="C117" s="130" t="s">
        <v>235</v>
      </c>
      <c r="D117" s="467"/>
      <c r="E117" s="467"/>
      <c r="F117" s="60">
        <f t="shared" si="14"/>
        <v>0</v>
      </c>
      <c r="G117" s="61" t="e">
        <f t="shared" si="15"/>
        <v>#DIV/0!</v>
      </c>
      <c r="H117" s="467">
        <f>1.0257*3600</f>
        <v>3692.52</v>
      </c>
      <c r="I117" s="467">
        <f>1.0387*2926.97</f>
        <v>3040.2437389999996</v>
      </c>
      <c r="J117" s="119">
        <v>44806</v>
      </c>
      <c r="K117" s="141" t="s">
        <v>129</v>
      </c>
      <c r="L117" s="78" t="s">
        <v>235</v>
      </c>
      <c r="M117" s="154">
        <v>360</v>
      </c>
      <c r="N117" s="73"/>
      <c r="O117" s="73"/>
      <c r="P117" s="81"/>
      <c r="Q117" s="167" t="s">
        <v>223</v>
      </c>
      <c r="R117" s="83"/>
      <c r="S117" s="83"/>
      <c r="T117" s="126"/>
      <c r="U117" s="286"/>
      <c r="V117" s="286"/>
      <c r="W117" s="83"/>
      <c r="X117" s="83"/>
      <c r="Y117" s="83"/>
      <c r="Z117" s="83"/>
      <c r="AA117" s="80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</row>
    <row r="118" spans="1:51" s="191" customFormat="1" ht="15.6" x14ac:dyDescent="0.3">
      <c r="A118" s="73" t="s">
        <v>72</v>
      </c>
      <c r="B118" s="117" t="s">
        <v>370</v>
      </c>
      <c r="C118" s="156">
        <v>943938</v>
      </c>
      <c r="D118" s="316">
        <f>1.0212*5913.6</f>
        <v>6038.9683200000009</v>
      </c>
      <c r="E118" s="376">
        <v>4289.8900000000003</v>
      </c>
      <c r="F118" s="60">
        <f t="shared" si="14"/>
        <v>1749.0783200000005</v>
      </c>
      <c r="G118" s="61">
        <f t="shared" si="15"/>
        <v>0.28963197475425739</v>
      </c>
      <c r="H118" s="62"/>
      <c r="I118" s="62"/>
      <c r="J118" s="68">
        <v>45291</v>
      </c>
      <c r="K118" s="64" t="str">
        <f>TEXT(30*MONTH(J118)+30,"mmmm")</f>
        <v>janvier</v>
      </c>
      <c r="L118" s="66" t="s">
        <v>168</v>
      </c>
      <c r="M118" s="227" t="s">
        <v>219</v>
      </c>
      <c r="N118" s="71"/>
      <c r="O118" s="58"/>
      <c r="P118" s="63"/>
      <c r="Q118" s="167" t="s">
        <v>223</v>
      </c>
      <c r="R118" s="126" t="s">
        <v>221</v>
      </c>
      <c r="S118" s="70"/>
      <c r="T118" s="126" t="s">
        <v>221</v>
      </c>
      <c r="U118" s="285">
        <v>44902</v>
      </c>
      <c r="V118" s="285">
        <v>44966</v>
      </c>
      <c r="W118" s="70"/>
      <c r="X118" s="70"/>
      <c r="Y118" s="70"/>
      <c r="Z118" s="70"/>
      <c r="AA118" s="71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</row>
    <row r="119" spans="1:51" s="191" customFormat="1" ht="15.6" x14ac:dyDescent="0.3">
      <c r="A119" s="210" t="s">
        <v>111</v>
      </c>
      <c r="B119" s="5" t="s">
        <v>371</v>
      </c>
      <c r="C119" s="203">
        <v>824635</v>
      </c>
      <c r="D119" s="301">
        <f>1.0212*3155.37</f>
        <v>3222.2638440000001</v>
      </c>
      <c r="E119" s="399">
        <f>629.67+1633.97</f>
        <v>2263.64</v>
      </c>
      <c r="F119" s="206">
        <f t="shared" si="14"/>
        <v>958.62384400000019</v>
      </c>
      <c r="G119" s="190">
        <f t="shared" si="15"/>
        <v>0.29750010874652638</v>
      </c>
      <c r="H119" s="62"/>
      <c r="I119" s="62"/>
      <c r="J119" s="120">
        <v>44982</v>
      </c>
      <c r="K119" s="64" t="s">
        <v>54</v>
      </c>
      <c r="L119" s="66" t="s">
        <v>168</v>
      </c>
      <c r="M119" s="227" t="s">
        <v>219</v>
      </c>
      <c r="N119" s="123"/>
      <c r="O119" s="66"/>
      <c r="P119" s="66"/>
      <c r="Q119" s="167" t="s">
        <v>220</v>
      </c>
      <c r="R119" s="126" t="s">
        <v>221</v>
      </c>
      <c r="S119" s="70"/>
      <c r="T119" s="126"/>
      <c r="U119" s="289">
        <v>44944</v>
      </c>
      <c r="V119" s="287">
        <v>44965</v>
      </c>
      <c r="W119" s="70"/>
      <c r="X119" s="70"/>
      <c r="Y119" s="70"/>
      <c r="Z119" s="70"/>
      <c r="AA119" s="71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</row>
    <row r="120" spans="1:51" s="191" customFormat="1" ht="15.6" x14ac:dyDescent="0.3">
      <c r="A120" s="169" t="s">
        <v>111</v>
      </c>
      <c r="B120" s="5" t="s">
        <v>372</v>
      </c>
      <c r="C120" s="156">
        <v>930145</v>
      </c>
      <c r="D120" s="302">
        <f>1.0212*1951</f>
        <v>1992.3612000000003</v>
      </c>
      <c r="E120" s="379">
        <v>1521.4</v>
      </c>
      <c r="F120" s="60">
        <f t="shared" si="14"/>
        <v>470.96120000000019</v>
      </c>
      <c r="G120" s="61">
        <f t="shared" si="15"/>
        <v>0.23638344292189595</v>
      </c>
      <c r="H120" s="62"/>
      <c r="I120" s="62"/>
      <c r="J120" s="63">
        <v>45291</v>
      </c>
      <c r="K120" s="64" t="str">
        <f>TEXT(30*MONTH(J120)+30,"mmmm")</f>
        <v>janvier</v>
      </c>
      <c r="L120" s="66" t="s">
        <v>168</v>
      </c>
      <c r="M120" s="66" t="s">
        <v>176</v>
      </c>
      <c r="N120" s="123"/>
      <c r="O120" s="66"/>
      <c r="P120" s="66"/>
      <c r="Q120" s="167" t="s">
        <v>220</v>
      </c>
      <c r="R120" s="70"/>
      <c r="S120" s="70"/>
      <c r="T120" s="126" t="s">
        <v>221</v>
      </c>
      <c r="U120" s="289">
        <v>44896</v>
      </c>
      <c r="V120" s="287">
        <v>44904</v>
      </c>
      <c r="W120" s="70"/>
      <c r="X120" s="70"/>
      <c r="Y120" s="65"/>
      <c r="Z120" s="70"/>
      <c r="AA120" s="71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</row>
    <row r="121" spans="1:51" s="73" customFormat="1" ht="15.6" x14ac:dyDescent="0.3">
      <c r="A121" s="169" t="s">
        <v>66</v>
      </c>
      <c r="B121" s="117" t="s">
        <v>15</v>
      </c>
      <c r="C121" s="156">
        <v>1013807</v>
      </c>
      <c r="D121" s="301">
        <f>1.0212*20603.61</f>
        <v>21040.406532000005</v>
      </c>
      <c r="E121" s="377">
        <v>17437.45</v>
      </c>
      <c r="F121" s="60">
        <f t="shared" si="14"/>
        <v>3602.9565320000038</v>
      </c>
      <c r="G121" s="61">
        <f t="shared" si="15"/>
        <v>0.17123987250533049</v>
      </c>
      <c r="H121" s="62"/>
      <c r="I121" s="62"/>
      <c r="J121" s="63">
        <v>45291</v>
      </c>
      <c r="K121" s="64" t="str">
        <f>TEXT(30*MONTH(J121)+30,"mmmm")</f>
        <v>janvier</v>
      </c>
      <c r="L121" s="66" t="s">
        <v>168</v>
      </c>
      <c r="M121" s="227" t="s">
        <v>219</v>
      </c>
      <c r="N121" s="123"/>
      <c r="O121" s="66"/>
      <c r="P121" s="66"/>
      <c r="Q121" s="167" t="s">
        <v>240</v>
      </c>
      <c r="R121" s="126" t="s">
        <v>221</v>
      </c>
      <c r="S121" s="70"/>
      <c r="T121" s="126" t="s">
        <v>221</v>
      </c>
      <c r="U121" s="285"/>
      <c r="V121" s="285"/>
      <c r="W121" s="70"/>
      <c r="X121" s="70"/>
      <c r="Y121" s="70"/>
      <c r="Z121" s="70"/>
      <c r="AA121" s="71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</row>
    <row r="122" spans="1:51" s="191" customFormat="1" ht="15.6" x14ac:dyDescent="0.3">
      <c r="A122" s="58" t="s">
        <v>66</v>
      </c>
      <c r="B122" s="92" t="s">
        <v>373</v>
      </c>
      <c r="C122" s="464" t="s">
        <v>235</v>
      </c>
      <c r="D122" s="467">
        <v>11400</v>
      </c>
      <c r="E122" s="468">
        <v>10260</v>
      </c>
      <c r="F122" s="60">
        <f t="shared" si="14"/>
        <v>1140</v>
      </c>
      <c r="G122" s="61">
        <f t="shared" si="15"/>
        <v>0.1</v>
      </c>
      <c r="H122" s="62"/>
      <c r="I122" s="62"/>
      <c r="J122" s="119">
        <v>45260</v>
      </c>
      <c r="K122" s="141" t="s">
        <v>63</v>
      </c>
      <c r="L122" s="78" t="s">
        <v>235</v>
      </c>
      <c r="M122" s="79" t="s">
        <v>374</v>
      </c>
      <c r="N122" s="73"/>
      <c r="O122" s="73"/>
      <c r="P122" s="81"/>
      <c r="Q122" s="167" t="s">
        <v>240</v>
      </c>
      <c r="R122" s="83"/>
      <c r="S122" s="83"/>
      <c r="T122" s="126"/>
      <c r="U122" s="286"/>
      <c r="V122" s="286"/>
      <c r="W122" s="83"/>
      <c r="X122" s="83"/>
      <c r="Y122" s="83"/>
      <c r="Z122" s="83"/>
      <c r="AA122" s="80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</row>
    <row r="123" spans="1:51" s="73" customFormat="1" ht="15.6" x14ac:dyDescent="0.3">
      <c r="A123" s="58" t="s">
        <v>66</v>
      </c>
      <c r="B123" s="92" t="s">
        <v>375</v>
      </c>
      <c r="C123" s="130"/>
      <c r="D123" s="468">
        <v>75000</v>
      </c>
      <c r="E123" s="468">
        <v>69100</v>
      </c>
      <c r="F123" s="60">
        <f t="shared" si="14"/>
        <v>5900</v>
      </c>
      <c r="G123" s="61">
        <f t="shared" si="15"/>
        <v>7.8666666666666663E-2</v>
      </c>
      <c r="H123" s="116"/>
      <c r="I123" s="116"/>
      <c r="J123" s="63">
        <v>45291</v>
      </c>
      <c r="K123" s="86" t="s">
        <v>376</v>
      </c>
      <c r="L123" s="160" t="s">
        <v>377</v>
      </c>
      <c r="M123" s="79" t="s">
        <v>378</v>
      </c>
      <c r="P123" s="81"/>
      <c r="Q123" s="167" t="s">
        <v>240</v>
      </c>
      <c r="R123" s="83"/>
      <c r="S123" s="83"/>
      <c r="T123" s="83"/>
      <c r="U123" s="286"/>
      <c r="V123" s="286"/>
      <c r="W123" s="83"/>
      <c r="X123" s="83"/>
      <c r="Y123" s="83"/>
      <c r="Z123" s="83"/>
      <c r="AA123" s="80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</row>
    <row r="124" spans="1:51" s="73" customFormat="1" ht="32.1" customHeight="1" x14ac:dyDescent="0.3">
      <c r="A124" s="73" t="s">
        <v>111</v>
      </c>
      <c r="B124" s="117" t="s">
        <v>379</v>
      </c>
      <c r="C124" s="156">
        <v>931911</v>
      </c>
      <c r="D124" s="301">
        <f>1.0212*3920</f>
        <v>4003.1040000000003</v>
      </c>
      <c r="E124" s="377">
        <v>2292.17</v>
      </c>
      <c r="F124" s="60">
        <f t="shared" si="14"/>
        <v>1710.9340000000002</v>
      </c>
      <c r="G124" s="61">
        <f t="shared" si="15"/>
        <v>0.42740183617512811</v>
      </c>
      <c r="H124" s="62"/>
      <c r="I124" s="62"/>
      <c r="J124" s="142">
        <v>45291</v>
      </c>
      <c r="K124" s="64" t="str">
        <f>TEXT(30*MONTH(J124)+30,"mmmm")</f>
        <v>janvier</v>
      </c>
      <c r="L124" s="66" t="s">
        <v>168</v>
      </c>
      <c r="M124" s="227" t="s">
        <v>219</v>
      </c>
      <c r="N124" s="123"/>
      <c r="O124" s="66"/>
      <c r="P124" s="66"/>
      <c r="Q124" s="167" t="s">
        <v>220</v>
      </c>
      <c r="R124" s="126" t="s">
        <v>221</v>
      </c>
      <c r="S124" s="126"/>
      <c r="T124" s="126" t="s">
        <v>221</v>
      </c>
      <c r="U124" s="287">
        <v>44904</v>
      </c>
      <c r="V124" s="287">
        <v>44907</v>
      </c>
      <c r="W124" s="128"/>
      <c r="X124" s="128"/>
      <c r="Y124" s="65"/>
      <c r="Z124" s="130"/>
      <c r="AA124" s="71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</row>
    <row r="125" spans="1:51" s="73" customFormat="1" ht="15.6" x14ac:dyDescent="0.3">
      <c r="A125" s="73" t="s">
        <v>111</v>
      </c>
      <c r="B125" s="5" t="s">
        <v>380</v>
      </c>
      <c r="C125" s="212" t="s">
        <v>235</v>
      </c>
      <c r="D125" s="301">
        <f>1380</f>
        <v>1380</v>
      </c>
      <c r="E125" s="376">
        <v>1242</v>
      </c>
      <c r="F125" s="213">
        <f t="shared" si="14"/>
        <v>138</v>
      </c>
      <c r="G125" s="214">
        <f t="shared" si="15"/>
        <v>0.1</v>
      </c>
      <c r="H125" s="215"/>
      <c r="I125" s="215"/>
      <c r="J125" s="68">
        <v>45291</v>
      </c>
      <c r="K125" s="141" t="s">
        <v>53</v>
      </c>
      <c r="L125" s="78" t="s">
        <v>235</v>
      </c>
      <c r="M125" s="78" t="s">
        <v>374</v>
      </c>
      <c r="P125" s="81"/>
      <c r="Q125" s="167" t="s">
        <v>220</v>
      </c>
      <c r="R125" s="83"/>
      <c r="S125" s="83"/>
      <c r="T125" s="126"/>
      <c r="U125" s="287">
        <v>44904</v>
      </c>
      <c r="V125" s="287">
        <v>44907</v>
      </c>
      <c r="W125" s="83"/>
      <c r="X125" s="83"/>
      <c r="Y125" s="83"/>
      <c r="Z125" s="83"/>
      <c r="AA125" s="80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</row>
    <row r="126" spans="1:51" s="73" customFormat="1" ht="15.6" x14ac:dyDescent="0.3">
      <c r="A126" s="73" t="s">
        <v>72</v>
      </c>
      <c r="B126" s="5" t="s">
        <v>381</v>
      </c>
      <c r="C126" s="156">
        <v>1633620</v>
      </c>
      <c r="D126" s="301">
        <f>1.0212*18700</f>
        <v>19096.440000000002</v>
      </c>
      <c r="E126" s="376">
        <v>15843.92</v>
      </c>
      <c r="F126" s="60">
        <f t="shared" si="14"/>
        <v>3252.5200000000023</v>
      </c>
      <c r="G126" s="61">
        <f t="shared" si="15"/>
        <v>0.17032075088341084</v>
      </c>
      <c r="H126" s="62"/>
      <c r="I126" s="62"/>
      <c r="J126" s="142">
        <v>45291</v>
      </c>
      <c r="K126" s="64" t="str">
        <f>TEXT(30*MONTH(J126)+30,"mmmm")</f>
        <v>janvier</v>
      </c>
      <c r="L126" s="66" t="s">
        <v>168</v>
      </c>
      <c r="M126" s="121" t="s">
        <v>176</v>
      </c>
      <c r="N126" s="122"/>
      <c r="O126" s="121"/>
      <c r="P126" s="121"/>
      <c r="Q126" s="167" t="s">
        <v>223</v>
      </c>
      <c r="R126" s="127"/>
      <c r="S126" s="126"/>
      <c r="T126" s="126" t="s">
        <v>221</v>
      </c>
      <c r="U126" s="285">
        <v>44902</v>
      </c>
      <c r="V126" s="285">
        <v>44572</v>
      </c>
      <c r="W126" s="70"/>
      <c r="X126" s="70"/>
      <c r="Y126" s="135"/>
      <c r="Z126" s="70"/>
      <c r="AA126" s="71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</row>
    <row r="127" spans="1:51" s="73" customFormat="1" ht="15.6" x14ac:dyDescent="0.3">
      <c r="A127" s="73" t="s">
        <v>72</v>
      </c>
      <c r="B127" s="117" t="s">
        <v>95</v>
      </c>
      <c r="C127" s="156">
        <v>1011138</v>
      </c>
      <c r="D127" s="301">
        <f>1.0212*20130</f>
        <v>20556.756000000001</v>
      </c>
      <c r="E127" s="376">
        <v>16878.740000000002</v>
      </c>
      <c r="F127" s="60">
        <f t="shared" si="14"/>
        <v>3678.0159999999996</v>
      </c>
      <c r="G127" s="61">
        <f t="shared" si="15"/>
        <v>0.17892005917665216</v>
      </c>
      <c r="H127" s="62"/>
      <c r="I127" s="62"/>
      <c r="J127" s="142">
        <v>45291</v>
      </c>
      <c r="K127" s="64" t="str">
        <f>TEXT(30*MONTH(J127)+30,"mmmm")</f>
        <v>janvier</v>
      </c>
      <c r="L127" s="66" t="s">
        <v>168</v>
      </c>
      <c r="M127" s="121" t="s">
        <v>176</v>
      </c>
      <c r="N127" s="80"/>
      <c r="P127" s="81"/>
      <c r="Q127" s="167" t="s">
        <v>272</v>
      </c>
      <c r="R127" s="83"/>
      <c r="S127" s="83"/>
      <c r="T127" s="126" t="s">
        <v>221</v>
      </c>
      <c r="U127" s="298">
        <v>44902</v>
      </c>
      <c r="V127" s="286">
        <v>44930</v>
      </c>
      <c r="W127" s="83"/>
      <c r="X127" s="83"/>
      <c r="Y127" s="83"/>
      <c r="Z127" s="83"/>
      <c r="AA127" s="80" t="s">
        <v>382</v>
      </c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</row>
    <row r="128" spans="1:51" s="73" customFormat="1" ht="15.6" x14ac:dyDescent="0.3">
      <c r="A128" s="73" t="s">
        <v>72</v>
      </c>
      <c r="B128" s="5" t="s">
        <v>383</v>
      </c>
      <c r="C128" s="130" t="s">
        <v>235</v>
      </c>
      <c r="D128" s="318">
        <f>600*1.0459</f>
        <v>627.54000000000008</v>
      </c>
      <c r="E128" s="376">
        <v>400</v>
      </c>
      <c r="F128" s="60">
        <f t="shared" si="14"/>
        <v>227.54000000000008</v>
      </c>
      <c r="G128" s="61">
        <f t="shared" si="15"/>
        <v>0.36259043248239164</v>
      </c>
      <c r="H128" s="62"/>
      <c r="I128" s="62"/>
      <c r="J128" s="142">
        <v>45291</v>
      </c>
      <c r="K128" s="141" t="s">
        <v>53</v>
      </c>
      <c r="L128" s="78" t="s">
        <v>235</v>
      </c>
      <c r="M128" s="79" t="s">
        <v>374</v>
      </c>
      <c r="P128" s="81"/>
      <c r="Q128" s="167" t="s">
        <v>272</v>
      </c>
      <c r="R128" s="83"/>
      <c r="S128" s="83"/>
      <c r="T128" s="126" t="s">
        <v>221</v>
      </c>
      <c r="U128" s="298">
        <v>44902</v>
      </c>
      <c r="V128" s="286">
        <v>44930</v>
      </c>
      <c r="W128" s="83"/>
      <c r="X128" s="83"/>
      <c r="Y128" s="83"/>
      <c r="Z128" s="83"/>
      <c r="AA128" s="80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</row>
    <row r="129" spans="1:51" s="73" customFormat="1" ht="15.6" x14ac:dyDescent="0.3">
      <c r="A129" s="73" t="s">
        <v>72</v>
      </c>
      <c r="B129" s="5" t="s">
        <v>384</v>
      </c>
      <c r="C129" s="130" t="s">
        <v>235</v>
      </c>
      <c r="D129" s="318">
        <f>3400*1.0459</f>
        <v>3556.0600000000004</v>
      </c>
      <c r="E129" s="376">
        <v>3200</v>
      </c>
      <c r="F129" s="60">
        <f t="shared" si="14"/>
        <v>356.0600000000004</v>
      </c>
      <c r="G129" s="61">
        <f t="shared" si="15"/>
        <v>0.10012766938690583</v>
      </c>
      <c r="H129" s="62"/>
      <c r="I129" s="62"/>
      <c r="J129" s="142">
        <v>45291</v>
      </c>
      <c r="K129" s="141" t="str">
        <f>TEXT(30*MONTH(J129)+30,"mmmm")</f>
        <v>janvier</v>
      </c>
      <c r="L129" s="78" t="s">
        <v>235</v>
      </c>
      <c r="M129" s="79" t="s">
        <v>374</v>
      </c>
      <c r="P129" s="81"/>
      <c r="Q129" s="167" t="s">
        <v>272</v>
      </c>
      <c r="R129" s="83"/>
      <c r="S129" s="83"/>
      <c r="T129" s="126" t="s">
        <v>221</v>
      </c>
      <c r="U129" s="298">
        <v>44902</v>
      </c>
      <c r="V129" s="286">
        <v>44930</v>
      </c>
      <c r="W129" s="83"/>
      <c r="X129" s="83"/>
      <c r="Y129" s="83"/>
      <c r="Z129" s="83"/>
      <c r="AA129" s="80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</row>
    <row r="130" spans="1:51" s="73" customFormat="1" ht="15.6" x14ac:dyDescent="0.3">
      <c r="A130" s="73" t="s">
        <v>72</v>
      </c>
      <c r="B130" s="5" t="s">
        <v>385</v>
      </c>
      <c r="C130" s="130">
        <v>864790</v>
      </c>
      <c r="D130" s="301">
        <f>1.0212*65000</f>
        <v>66378</v>
      </c>
      <c r="E130" s="376">
        <v>44325.06</v>
      </c>
      <c r="F130" s="60">
        <f t="shared" si="14"/>
        <v>22052.940000000002</v>
      </c>
      <c r="G130" s="61">
        <f t="shared" si="15"/>
        <v>0.33223266745005881</v>
      </c>
      <c r="H130" s="62"/>
      <c r="I130" s="62"/>
      <c r="J130" s="142">
        <v>45291</v>
      </c>
      <c r="K130" s="141" t="str">
        <f>TEXT(30*MONTH(J130)+30,"mmmm")</f>
        <v>janvier</v>
      </c>
      <c r="L130" s="78" t="s">
        <v>175</v>
      </c>
      <c r="M130" s="79" t="s">
        <v>176</v>
      </c>
      <c r="P130" s="81"/>
      <c r="Q130" s="167" t="s">
        <v>272</v>
      </c>
      <c r="R130" s="83"/>
      <c r="S130" s="83"/>
      <c r="T130" s="126" t="s">
        <v>221</v>
      </c>
      <c r="U130" s="286">
        <v>44901</v>
      </c>
      <c r="V130" s="286">
        <v>44914</v>
      </c>
      <c r="W130" s="83"/>
      <c r="X130" s="83"/>
      <c r="Y130" s="83"/>
      <c r="Z130" s="83"/>
      <c r="AA130" s="80" t="s">
        <v>386</v>
      </c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</row>
    <row r="131" spans="1:51" s="73" customFormat="1" ht="15.6" x14ac:dyDescent="0.3">
      <c r="A131" s="73" t="s">
        <v>111</v>
      </c>
      <c r="B131" s="117" t="s">
        <v>387</v>
      </c>
      <c r="C131" s="156">
        <v>1363917</v>
      </c>
      <c r="D131" s="301">
        <f>1.0212*15670</f>
        <v>16002.204000000002</v>
      </c>
      <c r="E131" s="376">
        <v>12333.45</v>
      </c>
      <c r="F131" s="60">
        <f t="shared" si="14"/>
        <v>3668.7540000000008</v>
      </c>
      <c r="G131" s="61">
        <f t="shared" si="15"/>
        <v>0.22926554367135929</v>
      </c>
      <c r="H131" s="62"/>
      <c r="I131" s="62"/>
      <c r="J131" s="142">
        <v>45291</v>
      </c>
      <c r="K131" s="64" t="str">
        <f>TEXT(30*MONTH(J131)+30,"mmmm")</f>
        <v>janvier</v>
      </c>
      <c r="L131" s="66" t="s">
        <v>168</v>
      </c>
      <c r="M131" s="227" t="s">
        <v>219</v>
      </c>
      <c r="N131" s="122"/>
      <c r="O131" s="121"/>
      <c r="P131" s="121"/>
      <c r="Q131" s="167" t="s">
        <v>220</v>
      </c>
      <c r="R131" s="126" t="s">
        <v>221</v>
      </c>
      <c r="S131" s="65">
        <v>44918</v>
      </c>
      <c r="T131" s="126" t="s">
        <v>221</v>
      </c>
      <c r="U131" s="287">
        <v>44896</v>
      </c>
      <c r="V131" s="287">
        <v>44918</v>
      </c>
      <c r="W131" s="128"/>
      <c r="X131" s="128"/>
      <c r="Y131" s="65"/>
      <c r="Z131" s="130"/>
      <c r="AA131" s="71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</row>
    <row r="132" spans="1:51" s="73" customFormat="1" ht="15.6" x14ac:dyDescent="0.3">
      <c r="A132" s="73" t="s">
        <v>72</v>
      </c>
      <c r="B132" s="5" t="s">
        <v>388</v>
      </c>
      <c r="C132" s="156">
        <v>1150712</v>
      </c>
      <c r="D132" s="301">
        <f>1.0212*3739.45</f>
        <v>3818.7263400000002</v>
      </c>
      <c r="E132" s="376">
        <v>2349.94</v>
      </c>
      <c r="F132" s="60">
        <f t="shared" si="14"/>
        <v>1468.7863400000001</v>
      </c>
      <c r="G132" s="61">
        <f t="shared" si="15"/>
        <v>0.38462728387077877</v>
      </c>
      <c r="H132" s="62"/>
      <c r="I132" s="62"/>
      <c r="J132" s="142">
        <v>45291</v>
      </c>
      <c r="K132" s="64" t="str">
        <f>TEXT(30*MONTH(J132)+30,"mmmm")</f>
        <v>janvier</v>
      </c>
      <c r="L132" s="66" t="s">
        <v>168</v>
      </c>
      <c r="M132" s="121" t="s">
        <v>176</v>
      </c>
      <c r="N132" s="122"/>
      <c r="O132" s="121"/>
      <c r="P132" s="121"/>
      <c r="Q132" s="167" t="s">
        <v>272</v>
      </c>
      <c r="R132" s="70"/>
      <c r="S132" s="70"/>
      <c r="T132" s="126" t="s">
        <v>221</v>
      </c>
      <c r="U132" s="321">
        <v>44902</v>
      </c>
      <c r="V132" s="285"/>
      <c r="W132" s="70"/>
      <c r="X132" s="70"/>
      <c r="Y132" s="70"/>
      <c r="Z132" s="70"/>
      <c r="AA132" s="71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</row>
    <row r="133" spans="1:51" s="73" customFormat="1" ht="15.6" x14ac:dyDescent="0.3">
      <c r="A133" s="73" t="s">
        <v>66</v>
      </c>
      <c r="B133" s="5" t="s">
        <v>389</v>
      </c>
      <c r="C133" s="156">
        <v>2431448</v>
      </c>
      <c r="D133" s="301">
        <f>1.0212*990</f>
        <v>1010.9880000000001</v>
      </c>
      <c r="E133" s="376">
        <v>495</v>
      </c>
      <c r="F133" s="60">
        <f t="shared" si="14"/>
        <v>515.98800000000006</v>
      </c>
      <c r="G133" s="61">
        <f t="shared" si="15"/>
        <v>0.51037994516255392</v>
      </c>
      <c r="H133" s="62"/>
      <c r="I133" s="62"/>
      <c r="J133" s="142">
        <v>45291</v>
      </c>
      <c r="K133" s="64" t="str">
        <f>TEXT(30*MONTH(J133)+30,"mmmm")</f>
        <v>janvier</v>
      </c>
      <c r="L133" s="66" t="s">
        <v>168</v>
      </c>
      <c r="M133" s="121" t="s">
        <v>176</v>
      </c>
      <c r="N133" s="122"/>
      <c r="O133" s="121"/>
      <c r="P133" s="121"/>
      <c r="Q133" s="167" t="s">
        <v>272</v>
      </c>
      <c r="R133" s="70"/>
      <c r="S133" s="70"/>
      <c r="T133" s="126" t="s">
        <v>221</v>
      </c>
      <c r="U133" s="297">
        <v>44902</v>
      </c>
      <c r="V133" s="285">
        <v>44953</v>
      </c>
      <c r="W133" s="70"/>
      <c r="X133" s="70"/>
      <c r="Y133" s="70"/>
      <c r="Z133" s="70"/>
      <c r="AA133" s="71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</row>
    <row r="134" spans="1:51" s="73" customFormat="1" ht="28.8" x14ac:dyDescent="0.3">
      <c r="A134" s="73" t="s">
        <v>66</v>
      </c>
      <c r="B134" s="88" t="s">
        <v>390</v>
      </c>
      <c r="C134" s="160">
        <v>895558</v>
      </c>
      <c r="D134" s="114"/>
      <c r="E134" s="283"/>
      <c r="F134" s="74">
        <f t="shared" si="14"/>
        <v>0</v>
      </c>
      <c r="G134" s="75" t="e">
        <f t="shared" si="15"/>
        <v>#DIV/0!</v>
      </c>
      <c r="H134" s="113">
        <v>48954.96</v>
      </c>
      <c r="I134" s="280">
        <v>46224.2</v>
      </c>
      <c r="J134" s="119">
        <v>44862</v>
      </c>
      <c r="K134" s="64" t="s">
        <v>62</v>
      </c>
      <c r="L134" s="66" t="s">
        <v>168</v>
      </c>
      <c r="M134" s="227" t="s">
        <v>219</v>
      </c>
      <c r="N134" s="230" t="s">
        <v>391</v>
      </c>
      <c r="O134" s="121"/>
      <c r="P134" s="121"/>
      <c r="Q134" s="167" t="s">
        <v>246</v>
      </c>
      <c r="R134" s="126" t="s">
        <v>221</v>
      </c>
      <c r="S134" s="70"/>
      <c r="T134" s="126"/>
      <c r="U134" s="285"/>
      <c r="V134" s="285"/>
      <c r="W134" s="70"/>
      <c r="X134" s="134"/>
      <c r="Y134" s="70"/>
      <c r="Z134" s="70"/>
      <c r="AA134" s="71" t="s">
        <v>392</v>
      </c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</row>
    <row r="135" spans="1:51" s="73" customFormat="1" ht="15.6" x14ac:dyDescent="0.3">
      <c r="A135" s="73" t="s">
        <v>111</v>
      </c>
      <c r="B135" s="5" t="s">
        <v>393</v>
      </c>
      <c r="C135" s="130">
        <v>1407439</v>
      </c>
      <c r="D135" s="301">
        <f>1.0212*5719.9</f>
        <v>5841.1618800000006</v>
      </c>
      <c r="E135" s="376">
        <v>4468.5600000000004</v>
      </c>
      <c r="F135" s="60">
        <f t="shared" si="14"/>
        <v>1372.6018800000002</v>
      </c>
      <c r="G135" s="61">
        <f t="shared" si="15"/>
        <v>0.23498781718407025</v>
      </c>
      <c r="H135" s="62"/>
      <c r="I135" s="62"/>
      <c r="J135" s="63">
        <v>45291</v>
      </c>
      <c r="K135" s="141" t="str">
        <f>TEXT(30*MONTH(J135)+30,"mmmm")</f>
        <v>janvier</v>
      </c>
      <c r="L135" s="78" t="s">
        <v>168</v>
      </c>
      <c r="M135" s="227" t="s">
        <v>219</v>
      </c>
      <c r="P135" s="81"/>
      <c r="Q135" s="167" t="s">
        <v>220</v>
      </c>
      <c r="R135" s="126" t="s">
        <v>221</v>
      </c>
      <c r="S135" s="65">
        <v>44918</v>
      </c>
      <c r="T135" s="126" t="s">
        <v>221</v>
      </c>
      <c r="U135" s="290">
        <v>44903</v>
      </c>
      <c r="V135" s="290">
        <v>44918</v>
      </c>
      <c r="W135" s="83"/>
      <c r="X135" s="83"/>
      <c r="Y135" s="83"/>
      <c r="Z135" s="83"/>
      <c r="AA135" s="80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</row>
    <row r="136" spans="1:51" s="73" customFormat="1" ht="15.6" x14ac:dyDescent="0.3">
      <c r="A136" s="73" t="s">
        <v>111</v>
      </c>
      <c r="B136" s="5" t="s">
        <v>394</v>
      </c>
      <c r="C136" s="130">
        <v>1407439</v>
      </c>
      <c r="D136" s="301">
        <f>1.0212*(1800*0.22)</f>
        <v>404.39520000000005</v>
      </c>
      <c r="E136" s="376">
        <v>257.39999999999998</v>
      </c>
      <c r="F136" s="60">
        <f t="shared" si="14"/>
        <v>146.99520000000007</v>
      </c>
      <c r="G136" s="61">
        <f t="shared" si="15"/>
        <v>0.36349392871132014</v>
      </c>
      <c r="H136" s="62"/>
      <c r="I136" s="62"/>
      <c r="J136" s="63">
        <v>45291</v>
      </c>
      <c r="K136" s="141" t="s">
        <v>53</v>
      </c>
      <c r="L136" s="78" t="s">
        <v>168</v>
      </c>
      <c r="M136" s="276" t="s">
        <v>176</v>
      </c>
      <c r="P136" s="81"/>
      <c r="Q136" s="167" t="s">
        <v>220</v>
      </c>
      <c r="R136" s="126" t="s">
        <v>221</v>
      </c>
      <c r="S136" s="65">
        <v>44918</v>
      </c>
      <c r="T136" s="126" t="s">
        <v>221</v>
      </c>
      <c r="U136" s="290">
        <v>44903</v>
      </c>
      <c r="V136" s="290">
        <v>44918</v>
      </c>
      <c r="W136" s="83"/>
      <c r="X136" s="83"/>
      <c r="Y136" s="83"/>
      <c r="Z136" s="83"/>
      <c r="AA136" s="80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</row>
    <row r="137" spans="1:51" s="73" customFormat="1" ht="15.6" x14ac:dyDescent="0.3">
      <c r="A137" s="73" t="s">
        <v>111</v>
      </c>
      <c r="B137" s="117" t="s">
        <v>395</v>
      </c>
      <c r="C137" s="156">
        <v>993689</v>
      </c>
      <c r="D137" s="301">
        <v>3565.62</v>
      </c>
      <c r="E137" s="377">
        <v>2052.62</v>
      </c>
      <c r="F137" s="60">
        <f t="shared" si="14"/>
        <v>1513</v>
      </c>
      <c r="G137" s="61">
        <f t="shared" si="15"/>
        <v>0.4243301305242847</v>
      </c>
      <c r="H137" s="62"/>
      <c r="I137" s="62"/>
      <c r="J137" s="63">
        <v>45291</v>
      </c>
      <c r="K137" s="64" t="str">
        <f t="shared" ref="K137:K150" si="16">TEXT(30*MONTH(J137)+30,"mmmm")</f>
        <v>janvier</v>
      </c>
      <c r="L137" s="66" t="s">
        <v>175</v>
      </c>
      <c r="M137" s="227" t="s">
        <v>219</v>
      </c>
      <c r="N137" s="122"/>
      <c r="O137" s="121"/>
      <c r="P137" s="121"/>
      <c r="Q137" s="167" t="s">
        <v>220</v>
      </c>
      <c r="R137" s="126" t="s">
        <v>221</v>
      </c>
      <c r="S137" s="126"/>
      <c r="T137" s="126" t="s">
        <v>221</v>
      </c>
      <c r="U137" s="287">
        <v>44896</v>
      </c>
      <c r="V137" s="287">
        <v>44910</v>
      </c>
      <c r="W137" s="130"/>
      <c r="X137" s="128"/>
      <c r="Y137" s="58"/>
      <c r="Z137" s="129"/>
      <c r="AA137" s="71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</row>
    <row r="138" spans="1:51" s="73" customFormat="1" ht="15.6" x14ac:dyDescent="0.3">
      <c r="A138" s="73" t="s">
        <v>66</v>
      </c>
      <c r="B138" s="5" t="s">
        <v>396</v>
      </c>
      <c r="C138" s="156">
        <v>888197</v>
      </c>
      <c r="D138" s="301">
        <f>1.0212*13420</f>
        <v>13704.504000000001</v>
      </c>
      <c r="E138" s="376">
        <v>10365.36</v>
      </c>
      <c r="F138" s="60">
        <f t="shared" si="14"/>
        <v>3339.1440000000002</v>
      </c>
      <c r="G138" s="61">
        <f t="shared" si="15"/>
        <v>0.24365303552759005</v>
      </c>
      <c r="H138" s="62"/>
      <c r="I138" s="62"/>
      <c r="J138" s="63">
        <v>45291</v>
      </c>
      <c r="K138" s="64" t="str">
        <f t="shared" si="16"/>
        <v>janvier</v>
      </c>
      <c r="L138" s="66" t="s">
        <v>168</v>
      </c>
      <c r="M138" s="121" t="s">
        <v>176</v>
      </c>
      <c r="N138" s="122"/>
      <c r="O138" s="121"/>
      <c r="P138" s="121"/>
      <c r="Q138" s="167" t="s">
        <v>354</v>
      </c>
      <c r="R138" s="70"/>
      <c r="S138" s="70"/>
      <c r="T138" s="126" t="s">
        <v>221</v>
      </c>
      <c r="U138" s="284">
        <v>44895</v>
      </c>
      <c r="V138" s="285"/>
      <c r="W138" s="70"/>
      <c r="X138" s="70"/>
      <c r="Y138" s="70"/>
      <c r="Z138" s="70"/>
      <c r="AA138" s="71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</row>
    <row r="139" spans="1:51" s="73" customFormat="1" ht="15.6" x14ac:dyDescent="0.3">
      <c r="A139" s="73" t="s">
        <v>111</v>
      </c>
      <c r="B139" s="117" t="s">
        <v>397</v>
      </c>
      <c r="C139" s="156">
        <v>1008316</v>
      </c>
      <c r="D139" s="301">
        <f>1.0212*4265</f>
        <v>4355.4180000000006</v>
      </c>
      <c r="E139" s="376">
        <v>1856.72</v>
      </c>
      <c r="F139" s="60">
        <f t="shared" si="14"/>
        <v>2498.6980000000003</v>
      </c>
      <c r="G139" s="61">
        <f t="shared" si="15"/>
        <v>0.5736987816094804</v>
      </c>
      <c r="H139" s="62"/>
      <c r="I139" s="62"/>
      <c r="J139" s="63">
        <v>45291</v>
      </c>
      <c r="K139" s="64" t="str">
        <f t="shared" si="16"/>
        <v>janvier</v>
      </c>
      <c r="L139" s="66" t="s">
        <v>168</v>
      </c>
      <c r="M139" s="227" t="s">
        <v>219</v>
      </c>
      <c r="N139" s="122"/>
      <c r="O139" s="121"/>
      <c r="P139" s="121"/>
      <c r="Q139" s="167" t="s">
        <v>220</v>
      </c>
      <c r="R139" s="126" t="s">
        <v>221</v>
      </c>
      <c r="S139" s="65">
        <v>44918</v>
      </c>
      <c r="T139" s="126" t="s">
        <v>221</v>
      </c>
      <c r="U139" s="287">
        <v>44896</v>
      </c>
      <c r="V139" s="287">
        <v>44918</v>
      </c>
      <c r="W139" s="130"/>
      <c r="X139" s="133"/>
      <c r="Y139" s="65"/>
      <c r="Z139" s="129"/>
      <c r="AA139" s="71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</row>
    <row r="140" spans="1:51" s="73" customFormat="1" ht="15.6" x14ac:dyDescent="0.3">
      <c r="A140" s="73" t="s">
        <v>66</v>
      </c>
      <c r="B140" s="5" t="s">
        <v>398</v>
      </c>
      <c r="C140" s="130">
        <v>1188021</v>
      </c>
      <c r="D140" s="301">
        <f>1.0212*1584</f>
        <v>1617.5808000000002</v>
      </c>
      <c r="E140" s="376">
        <v>804.36</v>
      </c>
      <c r="F140" s="60">
        <f t="shared" si="14"/>
        <v>813.22080000000017</v>
      </c>
      <c r="G140" s="61">
        <f t="shared" si="15"/>
        <v>0.50273890491281803</v>
      </c>
      <c r="H140" s="62"/>
      <c r="I140" s="62"/>
      <c r="J140" s="63">
        <v>45291</v>
      </c>
      <c r="K140" s="141" t="str">
        <f t="shared" si="16"/>
        <v>janvier</v>
      </c>
      <c r="L140" s="78" t="s">
        <v>168</v>
      </c>
      <c r="M140" s="227" t="s">
        <v>219</v>
      </c>
      <c r="P140" s="81"/>
      <c r="Q140" s="167" t="s">
        <v>240</v>
      </c>
      <c r="R140" s="126" t="s">
        <v>221</v>
      </c>
      <c r="S140" s="83"/>
      <c r="T140" s="126" t="s">
        <v>221</v>
      </c>
      <c r="U140" s="286"/>
      <c r="V140" s="286"/>
      <c r="W140" s="83"/>
      <c r="X140" s="83"/>
      <c r="Y140" s="83"/>
      <c r="Z140" s="83"/>
      <c r="AA140" s="80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</row>
    <row r="141" spans="1:51" s="73" customFormat="1" ht="15.6" x14ac:dyDescent="0.3">
      <c r="A141" s="73" t="s">
        <v>111</v>
      </c>
      <c r="B141" s="117" t="s">
        <v>399</v>
      </c>
      <c r="C141" s="158">
        <v>933483</v>
      </c>
      <c r="D141" s="301">
        <f>1.0212*13200</f>
        <v>13479.840000000002</v>
      </c>
      <c r="E141" s="377">
        <v>11171.52</v>
      </c>
      <c r="F141" s="60">
        <f t="shared" si="14"/>
        <v>2308.3200000000015</v>
      </c>
      <c r="G141" s="61">
        <f t="shared" si="15"/>
        <v>0.17124238863369307</v>
      </c>
      <c r="H141" s="62"/>
      <c r="I141" s="62"/>
      <c r="J141" s="63">
        <v>45291</v>
      </c>
      <c r="K141" s="64" t="str">
        <f t="shared" si="16"/>
        <v>janvier</v>
      </c>
      <c r="L141" s="66" t="s">
        <v>168</v>
      </c>
      <c r="M141" s="227" t="s">
        <v>219</v>
      </c>
      <c r="N141" s="122"/>
      <c r="O141" s="121"/>
      <c r="P141" s="121"/>
      <c r="Q141" s="167" t="s">
        <v>220</v>
      </c>
      <c r="R141" s="126" t="s">
        <v>221</v>
      </c>
      <c r="S141" s="126"/>
      <c r="T141" s="126" t="s">
        <v>221</v>
      </c>
      <c r="U141" s="287">
        <v>44904</v>
      </c>
      <c r="V141" s="287">
        <v>44907</v>
      </c>
      <c r="W141" s="130"/>
      <c r="X141" s="128"/>
      <c r="Y141" s="65"/>
      <c r="Z141" s="129"/>
      <c r="AA141" s="71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</row>
    <row r="142" spans="1:51" s="73" customFormat="1" ht="15.6" x14ac:dyDescent="0.3">
      <c r="A142" s="58" t="s">
        <v>111</v>
      </c>
      <c r="B142" s="117" t="s">
        <v>400</v>
      </c>
      <c r="C142" s="464">
        <v>1126912</v>
      </c>
      <c r="D142" s="301">
        <f>1.0212*2730</f>
        <v>2787.8760000000002</v>
      </c>
      <c r="E142" s="475">
        <v>1868.7</v>
      </c>
      <c r="F142" s="60">
        <f t="shared" si="14"/>
        <v>919.17600000000016</v>
      </c>
      <c r="G142" s="61">
        <f t="shared" si="15"/>
        <v>0.32970476448737324</v>
      </c>
      <c r="H142" s="62"/>
      <c r="I142" s="62"/>
      <c r="J142" s="119">
        <v>44770</v>
      </c>
      <c r="K142" s="64" t="s">
        <v>59</v>
      </c>
      <c r="L142" s="66" t="s">
        <v>168</v>
      </c>
      <c r="M142" s="227" t="s">
        <v>219</v>
      </c>
      <c r="N142" s="122"/>
      <c r="O142" s="121"/>
      <c r="P142" s="121"/>
      <c r="Q142" s="167" t="s">
        <v>220</v>
      </c>
      <c r="R142" s="126" t="s">
        <v>221</v>
      </c>
      <c r="S142" s="126"/>
      <c r="T142" s="126"/>
      <c r="U142" s="287">
        <v>45114</v>
      </c>
      <c r="V142" s="287">
        <v>45126</v>
      </c>
      <c r="W142" s="130"/>
      <c r="X142" s="130"/>
      <c r="Y142" s="58"/>
      <c r="Z142" s="129"/>
      <c r="AA142" s="71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</row>
    <row r="143" spans="1:51" s="73" customFormat="1" ht="15.6" x14ac:dyDescent="0.3">
      <c r="A143" s="73" t="s">
        <v>72</v>
      </c>
      <c r="B143" s="117" t="s">
        <v>401</v>
      </c>
      <c r="C143" s="156">
        <v>944769</v>
      </c>
      <c r="D143" s="301">
        <f>1.0212*2557</f>
        <v>2611.2084000000004</v>
      </c>
      <c r="E143" s="376">
        <f>552.99+1179.47</f>
        <v>1732.46</v>
      </c>
      <c r="F143" s="60">
        <f t="shared" si="14"/>
        <v>878.7484000000004</v>
      </c>
      <c r="G143" s="61">
        <f t="shared" si="15"/>
        <v>0.33652940148323673</v>
      </c>
      <c r="H143" s="62"/>
      <c r="I143" s="62"/>
      <c r="J143" s="63">
        <v>45291</v>
      </c>
      <c r="K143" s="64" t="str">
        <f t="shared" si="16"/>
        <v>janvier</v>
      </c>
      <c r="L143" s="66" t="s">
        <v>168</v>
      </c>
      <c r="M143" s="121" t="s">
        <v>176</v>
      </c>
      <c r="N143" s="80"/>
      <c r="P143" s="81"/>
      <c r="Q143" s="167" t="s">
        <v>272</v>
      </c>
      <c r="R143" s="83"/>
      <c r="S143" s="83"/>
      <c r="T143" s="126" t="s">
        <v>221</v>
      </c>
      <c r="U143" s="286">
        <v>44903</v>
      </c>
      <c r="V143" s="286">
        <v>44908</v>
      </c>
      <c r="W143" s="83"/>
      <c r="X143" s="83"/>
      <c r="Y143" s="83"/>
      <c r="Z143" s="83"/>
      <c r="AA143" s="80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</row>
    <row r="144" spans="1:51" s="73" customFormat="1" ht="15.6" x14ac:dyDescent="0.3">
      <c r="A144" s="73" t="s">
        <v>111</v>
      </c>
      <c r="B144" s="117" t="s">
        <v>402</v>
      </c>
      <c r="C144" s="156">
        <v>947704</v>
      </c>
      <c r="D144" s="301">
        <f>1.0212*5260</f>
        <v>5371.5120000000006</v>
      </c>
      <c r="E144" s="376">
        <v>3848.01</v>
      </c>
      <c r="F144" s="60">
        <f t="shared" si="14"/>
        <v>1523.5020000000004</v>
      </c>
      <c r="G144" s="61">
        <f t="shared" si="15"/>
        <v>0.28362628623002245</v>
      </c>
      <c r="H144" s="62"/>
      <c r="I144" s="62"/>
      <c r="J144" s="63">
        <v>45291</v>
      </c>
      <c r="K144" s="64" t="str">
        <f t="shared" si="16"/>
        <v>janvier</v>
      </c>
      <c r="L144" s="66" t="s">
        <v>168</v>
      </c>
      <c r="M144" s="227" t="s">
        <v>219</v>
      </c>
      <c r="N144" s="122"/>
      <c r="O144" s="121"/>
      <c r="P144" s="121"/>
      <c r="Q144" s="167" t="s">
        <v>220</v>
      </c>
      <c r="R144" s="126" t="s">
        <v>221</v>
      </c>
      <c r="S144" s="126"/>
      <c r="T144" s="126" t="s">
        <v>221</v>
      </c>
      <c r="U144" s="287">
        <v>44903</v>
      </c>
      <c r="V144" s="287">
        <v>44904</v>
      </c>
      <c r="W144" s="130"/>
      <c r="X144" s="128"/>
      <c r="Y144" s="65"/>
      <c r="Z144" s="129"/>
      <c r="AA144" s="71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</row>
    <row r="145" spans="1:51" s="73" customFormat="1" ht="15.6" x14ac:dyDescent="0.3">
      <c r="A145" s="84" t="s">
        <v>66</v>
      </c>
      <c r="B145" s="5" t="s">
        <v>403</v>
      </c>
      <c r="C145" s="130">
        <v>1170878</v>
      </c>
      <c r="D145" s="301">
        <f>1.0212*55250</f>
        <v>56421.3</v>
      </c>
      <c r="E145" s="376">
        <v>51187.7</v>
      </c>
      <c r="F145" s="60">
        <f t="shared" si="14"/>
        <v>5233.6000000000058</v>
      </c>
      <c r="G145" s="61">
        <f t="shared" si="15"/>
        <v>9.2759294805330711E-2</v>
      </c>
      <c r="H145" s="62"/>
      <c r="I145" s="62"/>
      <c r="J145" s="63">
        <v>45291</v>
      </c>
      <c r="K145" s="141" t="str">
        <f t="shared" si="16"/>
        <v>janvier</v>
      </c>
      <c r="L145" s="66" t="s">
        <v>168</v>
      </c>
      <c r="M145" s="227" t="s">
        <v>219</v>
      </c>
      <c r="P145" s="81"/>
      <c r="Q145" s="167" t="s">
        <v>240</v>
      </c>
      <c r="R145" s="126" t="s">
        <v>221</v>
      </c>
      <c r="S145" s="83"/>
      <c r="T145" s="126" t="s">
        <v>221</v>
      </c>
      <c r="U145" s="286"/>
      <c r="V145" s="286"/>
      <c r="W145" s="83"/>
      <c r="X145" s="83"/>
      <c r="Y145" s="83"/>
      <c r="Z145" s="83"/>
      <c r="AA145" s="80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</row>
    <row r="146" spans="1:51" s="199" customFormat="1" ht="15.6" x14ac:dyDescent="0.3">
      <c r="A146" s="73" t="s">
        <v>111</v>
      </c>
      <c r="B146" s="5" t="s">
        <v>404</v>
      </c>
      <c r="C146" s="156">
        <v>1761687</v>
      </c>
      <c r="D146" s="301">
        <f>1.0212*5060</f>
        <v>5167.2720000000008</v>
      </c>
      <c r="E146" s="376">
        <v>2325.23</v>
      </c>
      <c r="F146" s="60">
        <f t="shared" si="14"/>
        <v>2842.0420000000008</v>
      </c>
      <c r="G146" s="61">
        <f t="shared" si="15"/>
        <v>0.55000820549024709</v>
      </c>
      <c r="H146" s="62"/>
      <c r="I146" s="62"/>
      <c r="J146" s="63">
        <v>45291</v>
      </c>
      <c r="K146" s="64" t="str">
        <f t="shared" si="16"/>
        <v>janvier</v>
      </c>
      <c r="L146" s="66" t="s">
        <v>168</v>
      </c>
      <c r="M146" s="121" t="s">
        <v>176</v>
      </c>
      <c r="N146" s="123"/>
      <c r="O146" s="66"/>
      <c r="P146" s="66"/>
      <c r="Q146" s="167" t="s">
        <v>220</v>
      </c>
      <c r="R146" s="70"/>
      <c r="S146" s="70"/>
      <c r="T146" s="126" t="s">
        <v>221</v>
      </c>
      <c r="U146" s="287">
        <v>44896</v>
      </c>
      <c r="V146" s="287">
        <v>44910</v>
      </c>
      <c r="W146" s="131"/>
      <c r="X146" s="70"/>
      <c r="Y146" s="70"/>
      <c r="Z146" s="70"/>
      <c r="AA146" s="71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</row>
    <row r="147" spans="1:51" s="73" customFormat="1" ht="15.6" x14ac:dyDescent="0.3">
      <c r="A147" s="73" t="s">
        <v>72</v>
      </c>
      <c r="B147" s="117" t="s">
        <v>405</v>
      </c>
      <c r="C147" s="156">
        <v>972907</v>
      </c>
      <c r="D147" s="316">
        <f>1.0212*22457</f>
        <v>22933.088400000004</v>
      </c>
      <c r="E147" s="376">
        <v>14020.4</v>
      </c>
      <c r="F147" s="60">
        <f t="shared" si="14"/>
        <v>8912.6884000000045</v>
      </c>
      <c r="G147" s="61">
        <f t="shared" si="15"/>
        <v>0.38863881935762318</v>
      </c>
      <c r="H147" s="62"/>
      <c r="I147" s="62"/>
      <c r="J147" s="63">
        <v>45291</v>
      </c>
      <c r="K147" s="64" t="str">
        <f t="shared" si="16"/>
        <v>janvier</v>
      </c>
      <c r="L147" s="66" t="s">
        <v>168</v>
      </c>
      <c r="M147" s="227" t="s">
        <v>219</v>
      </c>
      <c r="N147" s="71"/>
      <c r="O147" s="58"/>
      <c r="P147" s="72"/>
      <c r="Q147" s="167" t="s">
        <v>272</v>
      </c>
      <c r="R147" s="126" t="s">
        <v>221</v>
      </c>
      <c r="S147" s="70"/>
      <c r="T147" s="126" t="s">
        <v>221</v>
      </c>
      <c r="U147" s="321">
        <v>44903</v>
      </c>
      <c r="V147" s="285"/>
      <c r="W147" s="70"/>
      <c r="X147" s="70"/>
      <c r="Y147" s="70"/>
      <c r="Z147" s="70"/>
      <c r="AA147" s="71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</row>
    <row r="148" spans="1:51" s="73" customFormat="1" ht="15.6" x14ac:dyDescent="0.3">
      <c r="A148" s="169" t="s">
        <v>66</v>
      </c>
      <c r="B148" s="5" t="s">
        <v>406</v>
      </c>
      <c r="C148" s="156">
        <v>953666</v>
      </c>
      <c r="D148" s="301">
        <f>1.0212*8900</f>
        <v>9088.68</v>
      </c>
      <c r="E148" s="376">
        <v>6608.93</v>
      </c>
      <c r="F148" s="60">
        <f t="shared" ref="F148:F179" si="17">D148-E148</f>
        <v>2479.75</v>
      </c>
      <c r="G148" s="61">
        <f t="shared" ref="G148:G179" si="18">F148/D148</f>
        <v>0.27283940022093417</v>
      </c>
      <c r="H148" s="62"/>
      <c r="I148" s="62"/>
      <c r="J148" s="63">
        <v>45291</v>
      </c>
      <c r="K148" s="64" t="str">
        <f t="shared" si="16"/>
        <v>janvier</v>
      </c>
      <c r="L148" s="66" t="s">
        <v>168</v>
      </c>
      <c r="M148" s="156" t="s">
        <v>176</v>
      </c>
      <c r="N148" s="123"/>
      <c r="O148" s="66"/>
      <c r="P148" s="66"/>
      <c r="Q148" s="167" t="s">
        <v>240</v>
      </c>
      <c r="R148" s="70"/>
      <c r="S148" s="70"/>
      <c r="T148" s="126" t="s">
        <v>221</v>
      </c>
      <c r="U148" s="284"/>
      <c r="V148" s="285"/>
      <c r="W148" s="70"/>
      <c r="X148" s="70"/>
      <c r="Y148" s="70"/>
      <c r="Z148" s="70"/>
      <c r="AA148" s="71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</row>
    <row r="149" spans="1:51" s="73" customFormat="1" ht="15.6" x14ac:dyDescent="0.3">
      <c r="A149" s="169" t="s">
        <v>66</v>
      </c>
      <c r="B149" s="5" t="s">
        <v>407</v>
      </c>
      <c r="C149" s="156">
        <v>935545</v>
      </c>
      <c r="D149" s="301">
        <f>1.0212*173000</f>
        <v>176667.6</v>
      </c>
      <c r="E149" s="376">
        <v>165031.07999999999</v>
      </c>
      <c r="F149" s="60">
        <f t="shared" si="17"/>
        <v>11636.520000000019</v>
      </c>
      <c r="G149" s="61">
        <f t="shared" si="18"/>
        <v>6.5866746364358936E-2</v>
      </c>
      <c r="H149" s="62"/>
      <c r="I149" s="62"/>
      <c r="J149" s="63">
        <v>45291</v>
      </c>
      <c r="K149" s="64" t="str">
        <f t="shared" si="16"/>
        <v>janvier</v>
      </c>
      <c r="L149" s="66" t="s">
        <v>168</v>
      </c>
      <c r="M149" s="156" t="s">
        <v>176</v>
      </c>
      <c r="N149" s="123"/>
      <c r="O149" s="66"/>
      <c r="P149" s="66"/>
      <c r="Q149" s="167" t="s">
        <v>240</v>
      </c>
      <c r="R149" s="70"/>
      <c r="S149" s="70"/>
      <c r="T149" s="126" t="s">
        <v>221</v>
      </c>
      <c r="U149" s="284"/>
      <c r="V149" s="285">
        <v>44923</v>
      </c>
      <c r="W149" s="70"/>
      <c r="X149" s="70"/>
      <c r="Y149" s="70"/>
      <c r="Z149" s="70"/>
      <c r="AA149" s="71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</row>
    <row r="150" spans="1:51" s="73" customFormat="1" ht="15.6" x14ac:dyDescent="0.3">
      <c r="A150" s="73" t="s">
        <v>66</v>
      </c>
      <c r="B150" s="5" t="s">
        <v>408</v>
      </c>
      <c r="C150" s="130">
        <v>953665</v>
      </c>
      <c r="D150" s="301">
        <f>1.0212*32623.24</f>
        <v>33314.852688000006</v>
      </c>
      <c r="E150" s="376">
        <v>16941.740000000002</v>
      </c>
      <c r="F150" s="60">
        <f t="shared" si="17"/>
        <v>16373.112688000005</v>
      </c>
      <c r="G150" s="61">
        <f t="shared" si="18"/>
        <v>0.49146585882691274</v>
      </c>
      <c r="H150" s="397" t="s">
        <v>315</v>
      </c>
      <c r="I150" s="396">
        <v>24367.040000000001</v>
      </c>
      <c r="J150" s="63">
        <v>45291</v>
      </c>
      <c r="K150" s="141" t="str">
        <f t="shared" si="16"/>
        <v>janvier</v>
      </c>
      <c r="L150" s="78" t="s">
        <v>168</v>
      </c>
      <c r="M150" s="154" t="s">
        <v>176</v>
      </c>
      <c r="P150" s="81"/>
      <c r="Q150" s="167" t="s">
        <v>223</v>
      </c>
      <c r="R150" s="83"/>
      <c r="S150" s="83"/>
      <c r="T150" s="126" t="s">
        <v>221</v>
      </c>
      <c r="U150" s="286">
        <v>44896</v>
      </c>
      <c r="V150" s="295">
        <v>44901</v>
      </c>
      <c r="W150" s="83"/>
      <c r="X150" s="83"/>
      <c r="Y150" s="83"/>
      <c r="Z150" s="83"/>
      <c r="AA150" s="80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</row>
    <row r="151" spans="1:51" s="238" customFormat="1" ht="15.6" x14ac:dyDescent="0.3">
      <c r="A151" s="58" t="s">
        <v>72</v>
      </c>
      <c r="B151" s="5" t="s">
        <v>108</v>
      </c>
      <c r="C151" s="130">
        <v>1023706</v>
      </c>
      <c r="D151" s="318">
        <v>1500</v>
      </c>
      <c r="E151" s="140">
        <v>485.29</v>
      </c>
      <c r="F151" s="60">
        <f t="shared" si="17"/>
        <v>1014.71</v>
      </c>
      <c r="G151" s="61">
        <f t="shared" si="18"/>
        <v>0.67647333333333337</v>
      </c>
      <c r="H151" s="140"/>
      <c r="I151" s="140"/>
      <c r="J151" s="277" t="s">
        <v>409</v>
      </c>
      <c r="K151" s="86" t="s">
        <v>55</v>
      </c>
      <c r="L151" s="78" t="s">
        <v>168</v>
      </c>
      <c r="M151" s="227" t="s">
        <v>219</v>
      </c>
      <c r="N151" s="73"/>
      <c r="O151" s="73"/>
      <c r="P151" s="81"/>
      <c r="Q151" s="167" t="s">
        <v>240</v>
      </c>
      <c r="R151" s="83"/>
      <c r="S151" s="83"/>
      <c r="T151" s="83"/>
      <c r="U151" s="286"/>
      <c r="V151" s="286"/>
      <c r="W151" s="83"/>
      <c r="X151" s="83"/>
      <c r="Y151" s="83"/>
      <c r="Z151" s="83"/>
      <c r="AA151" s="80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</row>
    <row r="152" spans="1:51" s="73" customFormat="1" ht="15.6" x14ac:dyDescent="0.3">
      <c r="A152" s="73" t="s">
        <v>72</v>
      </c>
      <c r="B152" s="5" t="s">
        <v>108</v>
      </c>
      <c r="C152" s="160">
        <v>1023706</v>
      </c>
      <c r="D152" s="301">
        <f>2200</f>
        <v>2200</v>
      </c>
      <c r="E152" s="376">
        <v>1884.21</v>
      </c>
      <c r="F152" s="74">
        <f t="shared" si="17"/>
        <v>315.78999999999996</v>
      </c>
      <c r="G152" s="75">
        <f t="shared" si="18"/>
        <v>0.14354090909090908</v>
      </c>
      <c r="H152" s="114"/>
      <c r="I152" s="115"/>
      <c r="J152" s="63">
        <v>45291</v>
      </c>
      <c r="K152" s="86" t="s">
        <v>53</v>
      </c>
      <c r="L152" s="174" t="s">
        <v>168</v>
      </c>
      <c r="M152" s="228"/>
      <c r="P152" s="81"/>
      <c r="Q152" s="167" t="s">
        <v>240</v>
      </c>
      <c r="R152" s="83"/>
      <c r="S152" s="83"/>
      <c r="T152" s="83"/>
      <c r="U152" s="286"/>
      <c r="V152" s="286"/>
      <c r="W152" s="83"/>
      <c r="X152" s="83"/>
      <c r="Y152" s="83"/>
      <c r="Z152" s="83"/>
      <c r="AA152" s="80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</row>
    <row r="153" spans="1:51" s="73" customFormat="1" ht="15.6" x14ac:dyDescent="0.3">
      <c r="A153" s="73" t="s">
        <v>66</v>
      </c>
      <c r="B153" s="117" t="s">
        <v>410</v>
      </c>
      <c r="C153" s="156">
        <v>1355803</v>
      </c>
      <c r="D153" s="301">
        <f>1.0212*38480</f>
        <v>39295.776000000005</v>
      </c>
      <c r="E153" s="377">
        <v>35015.33</v>
      </c>
      <c r="F153" s="60">
        <f t="shared" si="17"/>
        <v>4280.4460000000036</v>
      </c>
      <c r="G153" s="61">
        <f t="shared" si="18"/>
        <v>0.10892890879671145</v>
      </c>
      <c r="H153" s="62"/>
      <c r="I153" s="62"/>
      <c r="J153" s="63">
        <v>45291</v>
      </c>
      <c r="K153" s="64" t="str">
        <f>TEXT(30*MONTH(J153)+30,"mmmm")</f>
        <v>janvier</v>
      </c>
      <c r="L153" s="66" t="s">
        <v>168</v>
      </c>
      <c r="M153" s="227" t="s">
        <v>219</v>
      </c>
      <c r="N153" s="123"/>
      <c r="O153" s="66"/>
      <c r="P153" s="66"/>
      <c r="Q153" s="167" t="s">
        <v>223</v>
      </c>
      <c r="R153" s="126" t="s">
        <v>221</v>
      </c>
      <c r="S153" s="126"/>
      <c r="T153" s="126" t="s">
        <v>221</v>
      </c>
      <c r="U153" s="284">
        <v>44896</v>
      </c>
      <c r="V153" s="284" t="s">
        <v>297</v>
      </c>
      <c r="W153" s="130"/>
      <c r="X153" s="128"/>
      <c r="Y153" s="58"/>
      <c r="Z153" s="129"/>
      <c r="AA153" s="71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</row>
    <row r="154" spans="1:51" s="73" customFormat="1" ht="15.6" x14ac:dyDescent="0.3">
      <c r="A154" s="73" t="s">
        <v>66</v>
      </c>
      <c r="B154" s="5" t="s">
        <v>109</v>
      </c>
      <c r="C154" s="156">
        <v>885862</v>
      </c>
      <c r="D154" s="301">
        <f>1.0212*5790</f>
        <v>5912.7480000000005</v>
      </c>
      <c r="E154" s="376">
        <v>4725.59</v>
      </c>
      <c r="F154" s="60">
        <f t="shared" si="17"/>
        <v>1187.1580000000004</v>
      </c>
      <c r="G154" s="61">
        <f t="shared" si="18"/>
        <v>0.20077940071181796</v>
      </c>
      <c r="H154" s="62"/>
      <c r="I154" s="62"/>
      <c r="J154" s="63">
        <v>45291</v>
      </c>
      <c r="K154" s="64" t="str">
        <f>TEXT(30*MONTH(J154)+30,"mmmm")</f>
        <v>janvier</v>
      </c>
      <c r="L154" s="66" t="s">
        <v>168</v>
      </c>
      <c r="M154" s="227" t="s">
        <v>219</v>
      </c>
      <c r="N154" s="123"/>
      <c r="O154" s="66"/>
      <c r="P154" s="66"/>
      <c r="Q154" s="167" t="s">
        <v>223</v>
      </c>
      <c r="R154" s="126" t="s">
        <v>221</v>
      </c>
      <c r="S154" s="70"/>
      <c r="T154" s="126" t="s">
        <v>221</v>
      </c>
      <c r="U154" s="285">
        <v>44907</v>
      </c>
      <c r="V154" s="285" t="s">
        <v>297</v>
      </c>
      <c r="W154" s="70"/>
      <c r="X154" s="70"/>
      <c r="Y154" s="70"/>
      <c r="Z154" s="70"/>
      <c r="AA154" s="71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</row>
    <row r="155" spans="1:51" s="73" customFormat="1" ht="17.100000000000001" customHeight="1" x14ac:dyDescent="0.3">
      <c r="A155" s="73" t="s">
        <v>111</v>
      </c>
      <c r="B155" s="117" t="s">
        <v>411</v>
      </c>
      <c r="C155" s="156">
        <v>940313</v>
      </c>
      <c r="D155" s="301">
        <f>1.0212*5803</f>
        <v>5926.0236000000004</v>
      </c>
      <c r="E155" s="377">
        <v>4434.83</v>
      </c>
      <c r="F155" s="60">
        <f t="shared" si="17"/>
        <v>1491.1936000000005</v>
      </c>
      <c r="G155" s="61">
        <f t="shared" si="18"/>
        <v>0.25163477242986348</v>
      </c>
      <c r="H155" s="62"/>
      <c r="I155" s="62"/>
      <c r="J155" s="63">
        <v>45291</v>
      </c>
      <c r="K155" s="64" t="str">
        <f>TEXT(30*MONTH(J155)+30,"mmmm")</f>
        <v>janvier</v>
      </c>
      <c r="L155" s="66" t="s">
        <v>168</v>
      </c>
      <c r="M155" s="227" t="s">
        <v>219</v>
      </c>
      <c r="N155" s="123"/>
      <c r="O155" s="66"/>
      <c r="P155" s="66"/>
      <c r="Q155" s="167" t="s">
        <v>220</v>
      </c>
      <c r="R155" s="126" t="s">
        <v>221</v>
      </c>
      <c r="S155" s="70"/>
      <c r="T155" s="126" t="s">
        <v>221</v>
      </c>
      <c r="U155" s="287">
        <v>44903</v>
      </c>
      <c r="V155" s="287">
        <v>44908</v>
      </c>
      <c r="W155" s="130"/>
      <c r="X155" s="128"/>
      <c r="Y155" s="65"/>
      <c r="Z155" s="129"/>
      <c r="AA155" s="71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</row>
    <row r="156" spans="1:51" s="73" customFormat="1" ht="15.6" x14ac:dyDescent="0.3">
      <c r="A156" s="238" t="s">
        <v>66</v>
      </c>
      <c r="B156" s="5" t="s">
        <v>412</v>
      </c>
      <c r="C156" s="281">
        <v>1029546</v>
      </c>
      <c r="D156" s="502">
        <v>9336.69</v>
      </c>
      <c r="E156" s="403">
        <f>4400+1445.95</f>
        <v>5845.95</v>
      </c>
      <c r="F156" s="282">
        <f t="shared" si="17"/>
        <v>3490.7400000000007</v>
      </c>
      <c r="G156" s="239">
        <f t="shared" si="18"/>
        <v>0.37387339624642141</v>
      </c>
      <c r="H156" s="240"/>
      <c r="I156" s="240"/>
      <c r="J156" s="241">
        <v>45291</v>
      </c>
      <c r="K156" s="242" t="s">
        <v>53</v>
      </c>
      <c r="L156" s="243" t="s">
        <v>168</v>
      </c>
      <c r="M156" s="244" t="s">
        <v>219</v>
      </c>
      <c r="N156" s="245"/>
      <c r="O156" s="243"/>
      <c r="P156" s="243"/>
      <c r="Q156" s="246" t="s">
        <v>240</v>
      </c>
      <c r="R156" s="247" t="s">
        <v>221</v>
      </c>
      <c r="S156" s="248"/>
      <c r="T156" s="247" t="s">
        <v>221</v>
      </c>
      <c r="U156" s="291"/>
      <c r="V156" s="291"/>
      <c r="W156" s="249"/>
      <c r="X156" s="247"/>
      <c r="Y156" s="243"/>
      <c r="Z156" s="249"/>
      <c r="AA156" s="250"/>
      <c r="AB156" s="251"/>
      <c r="AC156" s="251"/>
      <c r="AD156" s="251"/>
      <c r="AE156" s="251"/>
      <c r="AF156" s="251"/>
      <c r="AG156" s="251"/>
      <c r="AH156" s="251"/>
      <c r="AI156" s="251"/>
      <c r="AJ156" s="251"/>
      <c r="AK156" s="251"/>
      <c r="AL156" s="251"/>
      <c r="AM156" s="251"/>
      <c r="AN156" s="252"/>
      <c r="AO156" s="252"/>
      <c r="AP156" s="252"/>
      <c r="AQ156" s="252"/>
      <c r="AR156" s="252"/>
      <c r="AS156" s="252"/>
      <c r="AT156" s="252"/>
      <c r="AU156" s="252"/>
      <c r="AV156" s="252"/>
      <c r="AW156" s="252"/>
      <c r="AX156" s="252"/>
      <c r="AY156" s="252"/>
    </row>
    <row r="157" spans="1:51" s="73" customFormat="1" ht="15.6" x14ac:dyDescent="0.3">
      <c r="A157" s="73" t="s">
        <v>72</v>
      </c>
      <c r="B157" s="117" t="s">
        <v>413</v>
      </c>
      <c r="C157" s="156">
        <v>697906</v>
      </c>
      <c r="D157" s="301">
        <f>1.0212*38919</f>
        <v>39744.082800000004</v>
      </c>
      <c r="E157" s="376">
        <v>29866.32</v>
      </c>
      <c r="F157" s="60">
        <f t="shared" si="17"/>
        <v>9877.7628000000041</v>
      </c>
      <c r="G157" s="61">
        <f t="shared" si="18"/>
        <v>0.2485341742494559</v>
      </c>
      <c r="H157" s="62"/>
      <c r="I157" s="62"/>
      <c r="J157" s="63">
        <v>45291</v>
      </c>
      <c r="K157" s="64" t="str">
        <f>TEXT(30*MONTH(J157)+30,"mmmm")</f>
        <v>janvier</v>
      </c>
      <c r="L157" s="66" t="s">
        <v>168</v>
      </c>
      <c r="M157" s="227" t="s">
        <v>219</v>
      </c>
      <c r="N157" s="71"/>
      <c r="O157" s="58"/>
      <c r="P157" s="63"/>
      <c r="Q157" s="167" t="s">
        <v>223</v>
      </c>
      <c r="R157" s="126" t="s">
        <v>221</v>
      </c>
      <c r="S157" s="70"/>
      <c r="T157" s="126" t="s">
        <v>221</v>
      </c>
      <c r="U157" s="285">
        <v>44902</v>
      </c>
      <c r="V157" s="285">
        <v>44972</v>
      </c>
      <c r="W157" s="70"/>
      <c r="X157" s="70"/>
      <c r="Y157" s="70"/>
      <c r="Z157" s="70"/>
      <c r="AA157" s="71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</row>
    <row r="158" spans="1:51" s="73" customFormat="1" ht="15.6" x14ac:dyDescent="0.3">
      <c r="A158" s="73" t="s">
        <v>72</v>
      </c>
      <c r="B158" s="5" t="s">
        <v>414</v>
      </c>
      <c r="C158" s="174"/>
      <c r="D158" s="301">
        <f>1.0212*4400</f>
        <v>4493.2800000000007</v>
      </c>
      <c r="E158" s="376">
        <v>3055.38</v>
      </c>
      <c r="F158" s="60">
        <f t="shared" si="17"/>
        <v>1437.9000000000005</v>
      </c>
      <c r="G158" s="61">
        <f t="shared" si="18"/>
        <v>0.32001121675034727</v>
      </c>
      <c r="H158" s="62"/>
      <c r="I158" s="62"/>
      <c r="J158" s="63">
        <v>45291</v>
      </c>
      <c r="K158" s="141" t="str">
        <f>TEXT(30*MONTH(J158)+30,"mmmm")</f>
        <v>janvier</v>
      </c>
      <c r="L158" s="66" t="s">
        <v>168</v>
      </c>
      <c r="M158" s="79" t="s">
        <v>176</v>
      </c>
      <c r="P158" s="81"/>
      <c r="Q158" s="167" t="s">
        <v>272</v>
      </c>
      <c r="R158" s="83"/>
      <c r="S158" s="83"/>
      <c r="T158" s="126" t="s">
        <v>221</v>
      </c>
      <c r="U158" s="298">
        <v>44903</v>
      </c>
      <c r="V158" s="286">
        <v>44914</v>
      </c>
      <c r="W158" s="83"/>
      <c r="X158" s="83"/>
      <c r="Y158" s="83"/>
      <c r="Z158" s="83"/>
      <c r="AA158" s="80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</row>
    <row r="159" spans="1:51" s="73" customFormat="1" ht="15.6" x14ac:dyDescent="0.3">
      <c r="A159" s="58" t="s">
        <v>72</v>
      </c>
      <c r="B159" s="5" t="s">
        <v>415</v>
      </c>
      <c r="C159" s="130">
        <v>935494</v>
      </c>
      <c r="D159" s="301">
        <f>1.0212*5170</f>
        <v>5279.6040000000003</v>
      </c>
      <c r="E159" s="376">
        <f>2113.67+2122.64</f>
        <v>4236.3099999999995</v>
      </c>
      <c r="F159" s="60">
        <f t="shared" si="17"/>
        <v>1043.2940000000008</v>
      </c>
      <c r="G159" s="61">
        <f t="shared" si="18"/>
        <v>0.19760838123465335</v>
      </c>
      <c r="H159" s="62"/>
      <c r="I159" s="62"/>
      <c r="J159" s="87">
        <v>44742</v>
      </c>
      <c r="K159" s="141" t="s">
        <v>57</v>
      </c>
      <c r="L159" s="78" t="s">
        <v>168</v>
      </c>
      <c r="M159" s="227" t="s">
        <v>219</v>
      </c>
      <c r="P159" s="81"/>
      <c r="Q159" s="167" t="s">
        <v>223</v>
      </c>
      <c r="R159" s="126" t="s">
        <v>221</v>
      </c>
      <c r="S159" s="83"/>
      <c r="T159" s="126"/>
      <c r="U159" s="286"/>
      <c r="V159" s="286"/>
      <c r="W159" s="83"/>
      <c r="X159" s="83"/>
      <c r="Y159" s="83"/>
      <c r="Z159" s="83"/>
      <c r="AA159" s="80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</row>
    <row r="160" spans="1:51" s="73" customFormat="1" ht="15.6" x14ac:dyDescent="0.3">
      <c r="A160" s="73" t="s">
        <v>66</v>
      </c>
      <c r="B160" s="117" t="s">
        <v>416</v>
      </c>
      <c r="C160" s="129"/>
      <c r="D160" s="302">
        <f>1.0212*13844</f>
        <v>14137.492800000002</v>
      </c>
      <c r="E160" s="379">
        <v>7911.2</v>
      </c>
      <c r="F160" s="60">
        <f t="shared" si="17"/>
        <v>6226.292800000002</v>
      </c>
      <c r="G160" s="61">
        <f t="shared" si="18"/>
        <v>0.44040997142010929</v>
      </c>
      <c r="H160" s="62"/>
      <c r="I160" s="62"/>
      <c r="J160" s="118">
        <v>45291</v>
      </c>
      <c r="K160" s="64" t="s">
        <v>53</v>
      </c>
      <c r="L160" s="66" t="s">
        <v>168</v>
      </c>
      <c r="M160" s="66" t="s">
        <v>176</v>
      </c>
      <c r="N160" s="123"/>
      <c r="O160" s="66"/>
      <c r="P160" s="66"/>
      <c r="Q160" s="167" t="s">
        <v>223</v>
      </c>
      <c r="R160" s="70"/>
      <c r="S160" s="70"/>
      <c r="T160" s="126" t="s">
        <v>221</v>
      </c>
      <c r="U160" s="285">
        <v>44902</v>
      </c>
      <c r="V160" s="285"/>
      <c r="W160" s="70"/>
      <c r="X160" s="70"/>
      <c r="Y160" s="70"/>
      <c r="Z160" s="70"/>
      <c r="AA160" s="71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</row>
    <row r="161" spans="1:51" s="73" customFormat="1" ht="15.6" x14ac:dyDescent="0.3">
      <c r="A161" s="73" t="s">
        <v>66</v>
      </c>
      <c r="B161" s="117" t="s">
        <v>110</v>
      </c>
      <c r="C161" s="156">
        <v>963540</v>
      </c>
      <c r="D161" s="302">
        <f>1.0212*25000</f>
        <v>25530.000000000004</v>
      </c>
      <c r="E161" s="376">
        <v>14587.82</v>
      </c>
      <c r="F161" s="60">
        <f t="shared" si="17"/>
        <v>10942.180000000004</v>
      </c>
      <c r="G161" s="61">
        <f t="shared" si="18"/>
        <v>0.42860086173129663</v>
      </c>
      <c r="H161" s="62"/>
      <c r="I161" s="62"/>
      <c r="J161" s="118">
        <v>45291</v>
      </c>
      <c r="K161" s="64" t="str">
        <f t="shared" ref="K161:K169" si="19">TEXT(30*MONTH(J161)+30,"mmmm")</f>
        <v>janvier</v>
      </c>
      <c r="L161" s="66" t="s">
        <v>168</v>
      </c>
      <c r="M161" s="66" t="s">
        <v>176</v>
      </c>
      <c r="N161" s="123"/>
      <c r="O161" s="66"/>
      <c r="P161" s="66"/>
      <c r="Q161" s="167" t="s">
        <v>417</v>
      </c>
      <c r="R161" s="70"/>
      <c r="S161" s="70"/>
      <c r="T161" s="126" t="s">
        <v>221</v>
      </c>
      <c r="U161" s="285">
        <v>44904</v>
      </c>
      <c r="V161" s="285"/>
      <c r="W161" s="70"/>
      <c r="X161" s="70"/>
      <c r="Y161" s="70"/>
      <c r="Z161" s="70"/>
      <c r="AA161" s="71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</row>
    <row r="162" spans="1:51" s="73" customFormat="1" ht="15.6" x14ac:dyDescent="0.3">
      <c r="A162" s="73" t="s">
        <v>72</v>
      </c>
      <c r="B162" s="5" t="s">
        <v>418</v>
      </c>
      <c r="C162" s="130">
        <v>929575</v>
      </c>
      <c r="D162" s="301">
        <f>1.0212*7150</f>
        <v>7301.5800000000008</v>
      </c>
      <c r="E162" s="379">
        <v>6131.72</v>
      </c>
      <c r="F162" s="60">
        <f t="shared" si="17"/>
        <v>1169.8600000000006</v>
      </c>
      <c r="G162" s="61">
        <f t="shared" si="18"/>
        <v>0.16022011674185593</v>
      </c>
      <c r="H162" s="62"/>
      <c r="I162" s="62"/>
      <c r="J162" s="118">
        <v>45291</v>
      </c>
      <c r="K162" s="141" t="str">
        <f t="shared" si="19"/>
        <v>janvier</v>
      </c>
      <c r="L162" s="78" t="s">
        <v>168</v>
      </c>
      <c r="M162" s="154" t="s">
        <v>176</v>
      </c>
      <c r="P162" s="81"/>
      <c r="Q162" s="167" t="s">
        <v>223</v>
      </c>
      <c r="R162" s="83"/>
      <c r="S162" s="83"/>
      <c r="T162" s="126" t="s">
        <v>221</v>
      </c>
      <c r="U162" s="285">
        <v>44902</v>
      </c>
      <c r="V162" s="286"/>
      <c r="W162" s="83"/>
      <c r="X162" s="83"/>
      <c r="Y162" s="83"/>
      <c r="Z162" s="83"/>
      <c r="AA162" s="80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</row>
    <row r="163" spans="1:51" s="73" customFormat="1" ht="15.6" x14ac:dyDescent="0.3">
      <c r="A163" s="73" t="s">
        <v>72</v>
      </c>
      <c r="B163" s="117" t="s">
        <v>419</v>
      </c>
      <c r="C163" s="129">
        <v>932994</v>
      </c>
      <c r="D163" s="301">
        <f>1.0212*3073.65</f>
        <v>3138.8113800000006</v>
      </c>
      <c r="E163" s="376">
        <v>2759.23</v>
      </c>
      <c r="F163" s="60">
        <f t="shared" si="17"/>
        <v>379.58138000000054</v>
      </c>
      <c r="G163" s="61">
        <f t="shared" si="18"/>
        <v>0.12093156741390446</v>
      </c>
      <c r="H163" s="62"/>
      <c r="I163" s="62"/>
      <c r="J163" s="118">
        <v>45291</v>
      </c>
      <c r="K163" s="64" t="str">
        <f t="shared" si="19"/>
        <v>janvier</v>
      </c>
      <c r="L163" s="66" t="s">
        <v>168</v>
      </c>
      <c r="M163" s="227" t="s">
        <v>219</v>
      </c>
      <c r="N163" s="122"/>
      <c r="O163" s="125"/>
      <c r="P163" s="125"/>
      <c r="Q163" s="167" t="s">
        <v>223</v>
      </c>
      <c r="R163" s="126" t="s">
        <v>221</v>
      </c>
      <c r="S163" s="126"/>
      <c r="T163" s="126" t="s">
        <v>221</v>
      </c>
      <c r="U163" s="285">
        <v>44902</v>
      </c>
      <c r="V163" s="285">
        <v>44573</v>
      </c>
      <c r="W163" s="128"/>
      <c r="X163" s="132"/>
      <c r="Y163" s="58"/>
      <c r="Z163" s="129"/>
      <c r="AA163" s="71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</row>
    <row r="164" spans="1:51" s="73" customFormat="1" ht="15.6" x14ac:dyDescent="0.3">
      <c r="A164" s="73" t="s">
        <v>111</v>
      </c>
      <c r="B164" s="117" t="s">
        <v>420</v>
      </c>
      <c r="C164" s="156">
        <v>1146100</v>
      </c>
      <c r="D164" s="301">
        <v>3507.83</v>
      </c>
      <c r="E164" s="377">
        <v>1641.54</v>
      </c>
      <c r="F164" s="60">
        <f t="shared" si="17"/>
        <v>1866.29</v>
      </c>
      <c r="G164" s="61">
        <f t="shared" si="18"/>
        <v>0.5320354749232431</v>
      </c>
      <c r="H164" s="62"/>
      <c r="I164" s="62"/>
      <c r="J164" s="118">
        <v>45291</v>
      </c>
      <c r="K164" s="64" t="str">
        <f t="shared" si="19"/>
        <v>janvier</v>
      </c>
      <c r="L164" s="66" t="s">
        <v>168</v>
      </c>
      <c r="M164" s="227" t="s">
        <v>219</v>
      </c>
      <c r="N164" s="122"/>
      <c r="O164" s="121"/>
      <c r="P164" s="121"/>
      <c r="Q164" s="167" t="s">
        <v>220</v>
      </c>
      <c r="R164" s="126" t="s">
        <v>221</v>
      </c>
      <c r="S164" s="126"/>
      <c r="T164" s="126" t="s">
        <v>221</v>
      </c>
      <c r="U164" s="287">
        <v>44903</v>
      </c>
      <c r="V164" s="287">
        <v>44949</v>
      </c>
      <c r="W164" s="130"/>
      <c r="X164" s="128"/>
      <c r="Y164" s="65"/>
      <c r="Z164" s="129"/>
      <c r="AA164" s="71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</row>
    <row r="165" spans="1:51" s="73" customFormat="1" ht="15.6" x14ac:dyDescent="0.3">
      <c r="A165" s="73" t="s">
        <v>111</v>
      </c>
      <c r="B165" s="5" t="s">
        <v>421</v>
      </c>
      <c r="C165" s="156">
        <v>780527</v>
      </c>
      <c r="D165" s="301">
        <f>1.0212*3080</f>
        <v>3145.2960000000003</v>
      </c>
      <c r="E165" s="376">
        <v>2904.49</v>
      </c>
      <c r="F165" s="60">
        <f t="shared" si="17"/>
        <v>240.80600000000049</v>
      </c>
      <c r="G165" s="61">
        <f t="shared" si="18"/>
        <v>7.6560679821549543E-2</v>
      </c>
      <c r="H165" s="62"/>
      <c r="I165" s="62"/>
      <c r="J165" s="118">
        <v>45291</v>
      </c>
      <c r="K165" s="64" t="str">
        <f t="shared" si="19"/>
        <v>janvier</v>
      </c>
      <c r="L165" s="66" t="s">
        <v>168</v>
      </c>
      <c r="M165" s="66" t="s">
        <v>176</v>
      </c>
      <c r="N165" s="123"/>
      <c r="O165" s="66"/>
      <c r="P165" s="66"/>
      <c r="Q165" s="167" t="s">
        <v>220</v>
      </c>
      <c r="R165" s="70"/>
      <c r="S165" s="70"/>
      <c r="T165" s="126" t="s">
        <v>221</v>
      </c>
      <c r="U165" s="287">
        <v>44903</v>
      </c>
      <c r="V165" s="287">
        <v>44915</v>
      </c>
      <c r="W165" s="70"/>
      <c r="X165" s="70"/>
      <c r="Y165" s="70"/>
      <c r="Z165" s="70"/>
      <c r="AA165" s="71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</row>
    <row r="166" spans="1:51" s="73" customFormat="1" ht="15.6" x14ac:dyDescent="0.3">
      <c r="A166" s="73" t="s">
        <v>66</v>
      </c>
      <c r="B166" s="5" t="s">
        <v>422</v>
      </c>
      <c r="C166" s="156">
        <v>1236896</v>
      </c>
      <c r="D166" s="301">
        <f>1.0212*5162.57</f>
        <v>5272.0164840000007</v>
      </c>
      <c r="E166" s="376">
        <v>4157.8999999999996</v>
      </c>
      <c r="F166" s="60">
        <f t="shared" si="17"/>
        <v>1114.116484000001</v>
      </c>
      <c r="G166" s="61">
        <f t="shared" si="18"/>
        <v>0.21132644167202891</v>
      </c>
      <c r="H166" s="62"/>
      <c r="I166" s="62"/>
      <c r="J166" s="118">
        <v>45291</v>
      </c>
      <c r="K166" s="64" t="str">
        <f t="shared" si="19"/>
        <v>janvier</v>
      </c>
      <c r="L166" s="66" t="s">
        <v>168</v>
      </c>
      <c r="M166" s="227" t="s">
        <v>219</v>
      </c>
      <c r="N166" s="123"/>
      <c r="O166" s="66"/>
      <c r="P166" s="66"/>
      <c r="Q166" s="167" t="s">
        <v>272</v>
      </c>
      <c r="R166" s="126" t="s">
        <v>221</v>
      </c>
      <c r="S166" s="70"/>
      <c r="T166" s="126" t="s">
        <v>221</v>
      </c>
      <c r="U166" s="321">
        <v>44903</v>
      </c>
      <c r="V166" s="285"/>
      <c r="W166" s="70"/>
      <c r="X166" s="70"/>
      <c r="Y166" s="70"/>
      <c r="Z166" s="70"/>
      <c r="AA166" s="71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</row>
    <row r="167" spans="1:51" s="73" customFormat="1" ht="15.6" customHeight="1" x14ac:dyDescent="0.3">
      <c r="A167" s="201" t="s">
        <v>111</v>
      </c>
      <c r="B167" s="5" t="s">
        <v>423</v>
      </c>
      <c r="C167" s="204"/>
      <c r="D167" s="318">
        <v>8575.4599999999991</v>
      </c>
      <c r="E167" s="205">
        <f>4906</f>
        <v>4906</v>
      </c>
      <c r="F167" s="206">
        <f t="shared" si="17"/>
        <v>3669.4599999999991</v>
      </c>
      <c r="G167" s="190">
        <f t="shared" si="18"/>
        <v>0.42790240989987705</v>
      </c>
      <c r="H167" s="296">
        <v>7915.81</v>
      </c>
      <c r="I167" s="296">
        <v>4906</v>
      </c>
      <c r="J167" s="118">
        <v>45291</v>
      </c>
      <c r="K167" s="64" t="str">
        <f t="shared" si="19"/>
        <v>janvier</v>
      </c>
      <c r="L167" s="66" t="s">
        <v>168</v>
      </c>
      <c r="M167" s="254" t="s">
        <v>219</v>
      </c>
      <c r="N167" s="123" t="s">
        <v>424</v>
      </c>
      <c r="O167" s="66"/>
      <c r="P167" s="66"/>
      <c r="Q167" s="167" t="s">
        <v>220</v>
      </c>
      <c r="R167" s="126" t="s">
        <v>221</v>
      </c>
      <c r="S167" s="70"/>
      <c r="T167" s="126"/>
      <c r="U167" s="289">
        <v>44910</v>
      </c>
      <c r="V167" s="289">
        <v>44917</v>
      </c>
      <c r="W167" s="70"/>
      <c r="X167" s="70"/>
      <c r="Y167" s="70"/>
      <c r="Z167" s="70"/>
      <c r="AA167" s="71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</row>
    <row r="168" spans="1:51" s="73" customFormat="1" ht="15.6" x14ac:dyDescent="0.3">
      <c r="A168" s="73" t="s">
        <v>66</v>
      </c>
      <c r="B168" s="5" t="s">
        <v>425</v>
      </c>
      <c r="C168" s="130">
        <v>1690834</v>
      </c>
      <c r="D168" s="301">
        <v>12000</v>
      </c>
      <c r="E168" s="376">
        <v>5585.61</v>
      </c>
      <c r="F168" s="60">
        <f t="shared" si="17"/>
        <v>6414.39</v>
      </c>
      <c r="G168" s="61">
        <f t="shared" si="18"/>
        <v>0.53453250000000008</v>
      </c>
      <c r="H168" s="62"/>
      <c r="I168" s="62"/>
      <c r="J168" s="63">
        <v>45291</v>
      </c>
      <c r="K168" s="141" t="str">
        <f t="shared" si="19"/>
        <v>janvier</v>
      </c>
      <c r="L168" s="78" t="s">
        <v>168</v>
      </c>
      <c r="M168" s="154" t="s">
        <v>176</v>
      </c>
      <c r="P168" s="81"/>
      <c r="Q168" s="167" t="s">
        <v>223</v>
      </c>
      <c r="R168" s="83"/>
      <c r="S168" s="83"/>
      <c r="T168" s="126" t="s">
        <v>221</v>
      </c>
      <c r="U168" s="285">
        <v>44902</v>
      </c>
      <c r="V168" s="286">
        <v>44945</v>
      </c>
      <c r="W168" s="83"/>
      <c r="X168" s="83"/>
      <c r="Y168" s="83"/>
      <c r="Z168" s="83"/>
      <c r="AA168" s="80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</row>
    <row r="169" spans="1:51" s="73" customFormat="1" ht="15.6" x14ac:dyDescent="0.3">
      <c r="A169" s="73" t="s">
        <v>66</v>
      </c>
      <c r="B169" s="5" t="s">
        <v>426</v>
      </c>
      <c r="C169" s="130">
        <v>972773</v>
      </c>
      <c r="D169" s="301">
        <v>22000</v>
      </c>
      <c r="E169" s="376">
        <v>9435.7199999999993</v>
      </c>
      <c r="F169" s="60">
        <f t="shared" si="17"/>
        <v>12564.28</v>
      </c>
      <c r="G169" s="61">
        <f t="shared" si="18"/>
        <v>0.57110363636363637</v>
      </c>
      <c r="H169" s="397" t="s">
        <v>427</v>
      </c>
      <c r="I169" s="398">
        <v>16170</v>
      </c>
      <c r="J169" s="63">
        <v>45291</v>
      </c>
      <c r="K169" s="141" t="str">
        <f t="shared" si="19"/>
        <v>janvier</v>
      </c>
      <c r="L169" s="78" t="s">
        <v>168</v>
      </c>
      <c r="M169" s="154" t="s">
        <v>176</v>
      </c>
      <c r="P169" s="81"/>
      <c r="Q169" s="167" t="s">
        <v>223</v>
      </c>
      <c r="R169" s="83"/>
      <c r="S169" s="83"/>
      <c r="T169" s="126" t="s">
        <v>221</v>
      </c>
      <c r="U169" s="285">
        <v>44902</v>
      </c>
      <c r="V169" s="286">
        <v>44577</v>
      </c>
      <c r="W169" s="83"/>
      <c r="X169" s="83"/>
      <c r="Y169" s="83"/>
      <c r="Z169" s="83"/>
      <c r="AA169" s="80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</row>
    <row r="170" spans="1:51" s="73" customFormat="1" ht="15.6" x14ac:dyDescent="0.3">
      <c r="A170" s="73" t="s">
        <v>72</v>
      </c>
      <c r="B170" s="5" t="s">
        <v>428</v>
      </c>
      <c r="C170" s="174">
        <v>1102408</v>
      </c>
      <c r="D170" s="301">
        <v>21369.37</v>
      </c>
      <c r="E170" s="376">
        <f>1.0156*(2762.74+5280+4125)</f>
        <v>12357.556744000001</v>
      </c>
      <c r="F170" s="60">
        <f t="shared" si="17"/>
        <v>9011.8132559999976</v>
      </c>
      <c r="G170" s="61">
        <f t="shared" si="18"/>
        <v>0.42171637516688598</v>
      </c>
      <c r="H170" s="114">
        <v>23369.37</v>
      </c>
      <c r="I170" s="114"/>
      <c r="J170" s="63">
        <v>45291</v>
      </c>
      <c r="K170" s="86" t="s">
        <v>53</v>
      </c>
      <c r="L170" s="160" t="s">
        <v>168</v>
      </c>
      <c r="M170" s="228" t="s">
        <v>219</v>
      </c>
      <c r="P170" s="81"/>
      <c r="Q170" s="167" t="s">
        <v>223</v>
      </c>
      <c r="R170" s="83"/>
      <c r="S170" s="83"/>
      <c r="T170" s="83"/>
      <c r="U170" s="286"/>
      <c r="V170" s="286"/>
      <c r="W170" s="83"/>
      <c r="X170" s="83"/>
      <c r="Y170" s="83"/>
      <c r="Z170" s="83"/>
      <c r="AA170" s="80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</row>
    <row r="171" spans="1:51" s="73" customFormat="1" ht="15.6" x14ac:dyDescent="0.3">
      <c r="A171" s="73" t="s">
        <v>126</v>
      </c>
      <c r="B171" s="5" t="s">
        <v>429</v>
      </c>
      <c r="C171" s="160"/>
      <c r="D171" s="318">
        <v>907.5</v>
      </c>
      <c r="E171" s="399">
        <f>2925*0.22/12*11</f>
        <v>589.875</v>
      </c>
      <c r="F171" s="74">
        <f t="shared" si="17"/>
        <v>317.625</v>
      </c>
      <c r="G171" s="75">
        <f t="shared" si="18"/>
        <v>0.35</v>
      </c>
      <c r="H171" s="114">
        <f>4225*0.22</f>
        <v>929.5</v>
      </c>
      <c r="I171" s="114">
        <f>2925*0.22</f>
        <v>643.5</v>
      </c>
      <c r="J171" s="63">
        <v>45291</v>
      </c>
      <c r="K171" s="86" t="s">
        <v>53</v>
      </c>
      <c r="L171" s="66" t="s">
        <v>168</v>
      </c>
      <c r="M171" s="227" t="s">
        <v>176</v>
      </c>
      <c r="P171" s="81"/>
      <c r="Q171" s="167"/>
      <c r="R171" s="83"/>
      <c r="S171" s="83"/>
      <c r="T171" s="83"/>
      <c r="U171" s="286"/>
      <c r="V171" s="286"/>
      <c r="W171" s="83"/>
      <c r="X171" s="83"/>
      <c r="Y171" s="83"/>
      <c r="Z171" s="83"/>
      <c r="AA171" s="80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</row>
    <row r="172" spans="1:51" s="73" customFormat="1" ht="55.2" x14ac:dyDescent="0.3">
      <c r="A172" s="73" t="s">
        <v>66</v>
      </c>
      <c r="B172" s="5" t="s">
        <v>119</v>
      </c>
      <c r="C172" s="156">
        <v>1650297</v>
      </c>
      <c r="D172" s="316">
        <f>1.0387*13900.92</f>
        <v>14438.885603999999</v>
      </c>
      <c r="E172" s="376">
        <v>11455.97</v>
      </c>
      <c r="F172" s="60">
        <f t="shared" si="17"/>
        <v>2982.9156039999998</v>
      </c>
      <c r="G172" s="61">
        <f t="shared" si="18"/>
        <v>0.20658904612234366</v>
      </c>
      <c r="H172" s="62"/>
      <c r="I172" s="62"/>
      <c r="J172" s="63">
        <v>45291</v>
      </c>
      <c r="K172" s="64" t="str">
        <f>TEXT(30*MONTH(J172)+30,"mmmm")</f>
        <v>janvier</v>
      </c>
      <c r="L172" s="66" t="s">
        <v>168</v>
      </c>
      <c r="M172" s="66" t="s">
        <v>176</v>
      </c>
      <c r="N172" s="123" t="s">
        <v>430</v>
      </c>
      <c r="O172" s="66"/>
      <c r="P172" s="66"/>
      <c r="Q172" s="167" t="s">
        <v>431</v>
      </c>
      <c r="R172" s="70"/>
      <c r="S172" s="70"/>
      <c r="T172" s="126" t="s">
        <v>221</v>
      </c>
      <c r="U172" s="285">
        <v>44881</v>
      </c>
      <c r="V172" s="285"/>
      <c r="W172" s="131"/>
      <c r="X172" s="70"/>
      <c r="Y172" s="70"/>
      <c r="Z172" s="70"/>
      <c r="AA172" s="200" t="s">
        <v>432</v>
      </c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</row>
    <row r="173" spans="1:51" s="73" customFormat="1" ht="15.6" x14ac:dyDescent="0.3">
      <c r="A173" s="73" t="s">
        <v>72</v>
      </c>
      <c r="B173" s="117" t="s">
        <v>433</v>
      </c>
      <c r="C173" s="156">
        <v>1846318</v>
      </c>
      <c r="D173" s="301">
        <f>1.0212*5478</f>
        <v>5594.133600000001</v>
      </c>
      <c r="E173" s="376">
        <v>4079.83</v>
      </c>
      <c r="F173" s="60">
        <f t="shared" si="17"/>
        <v>1514.3036000000011</v>
      </c>
      <c r="G173" s="61">
        <f t="shared" si="18"/>
        <v>0.27069492941677348</v>
      </c>
      <c r="H173" s="62"/>
      <c r="I173" s="62"/>
      <c r="J173" s="63">
        <v>45291</v>
      </c>
      <c r="K173" s="64" t="s">
        <v>53</v>
      </c>
      <c r="L173" s="66" t="s">
        <v>168</v>
      </c>
      <c r="M173" s="66" t="s">
        <v>209</v>
      </c>
      <c r="N173" s="80"/>
      <c r="P173" s="81"/>
      <c r="Q173" s="167" t="s">
        <v>223</v>
      </c>
      <c r="R173" s="83"/>
      <c r="S173" s="83"/>
      <c r="T173" s="126" t="s">
        <v>221</v>
      </c>
      <c r="U173" s="285">
        <v>44902</v>
      </c>
      <c r="V173" s="286">
        <v>44914</v>
      </c>
      <c r="W173" s="83"/>
      <c r="X173" s="83"/>
      <c r="Y173" s="83"/>
      <c r="Z173" s="83"/>
      <c r="AA173" s="80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</row>
    <row r="174" spans="1:51" s="73" customFormat="1" ht="15.6" x14ac:dyDescent="0.3">
      <c r="A174" s="58" t="s">
        <v>72</v>
      </c>
      <c r="B174" s="92" t="s">
        <v>434</v>
      </c>
      <c r="C174" s="480">
        <v>1179352</v>
      </c>
      <c r="D174" s="144">
        <f>1.0212*6142.2</f>
        <v>6272.4146400000009</v>
      </c>
      <c r="E174" s="144">
        <f>2008.86+2419.77</f>
        <v>4428.63</v>
      </c>
      <c r="F174" s="60">
        <f t="shared" si="17"/>
        <v>1843.7846400000008</v>
      </c>
      <c r="G174" s="61">
        <f t="shared" si="18"/>
        <v>0.29395133227353104</v>
      </c>
      <c r="H174" s="62"/>
      <c r="I174" s="62"/>
      <c r="J174" s="119">
        <v>44818</v>
      </c>
      <c r="K174" s="141" t="s">
        <v>61</v>
      </c>
      <c r="L174" s="78" t="s">
        <v>168</v>
      </c>
      <c r="M174" s="227" t="s">
        <v>219</v>
      </c>
      <c r="P174" s="81"/>
      <c r="Q174" s="167" t="s">
        <v>223</v>
      </c>
      <c r="R174" s="126" t="s">
        <v>221</v>
      </c>
      <c r="S174" s="83"/>
      <c r="T174" s="126"/>
      <c r="U174" s="286"/>
      <c r="V174" s="286"/>
      <c r="W174" s="83"/>
      <c r="X174" s="83"/>
      <c r="Y174" s="83"/>
      <c r="Z174" s="83"/>
      <c r="AA174" s="80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</row>
    <row r="175" spans="1:51" s="73" customFormat="1" ht="15.6" x14ac:dyDescent="0.3">
      <c r="A175" s="58" t="s">
        <v>72</v>
      </c>
      <c r="B175" s="92" t="s">
        <v>435</v>
      </c>
      <c r="C175" s="130"/>
      <c r="D175" s="468">
        <f>19900*0.22</f>
        <v>4378</v>
      </c>
      <c r="E175" s="468">
        <f>13975*0.22</f>
        <v>3074.5</v>
      </c>
      <c r="F175" s="60">
        <f t="shared" si="17"/>
        <v>1303.5</v>
      </c>
      <c r="G175" s="61">
        <f t="shared" si="18"/>
        <v>0.29773869346733667</v>
      </c>
      <c r="H175" s="116">
        <f>19900*0.22</f>
        <v>4378</v>
      </c>
      <c r="I175" s="116">
        <f>13975*0.22</f>
        <v>3074.5</v>
      </c>
      <c r="J175" s="87">
        <v>45199</v>
      </c>
      <c r="K175" s="86" t="s">
        <v>61</v>
      </c>
      <c r="L175" s="160" t="s">
        <v>168</v>
      </c>
      <c r="M175" s="227" t="s">
        <v>219</v>
      </c>
      <c r="P175" s="81"/>
      <c r="Q175" s="167" t="s">
        <v>223</v>
      </c>
      <c r="R175" s="83"/>
      <c r="S175" s="83"/>
      <c r="T175" s="83"/>
      <c r="U175" s="286"/>
      <c r="V175" s="286"/>
      <c r="W175" s="83"/>
      <c r="X175" s="83"/>
      <c r="Y175" s="83"/>
      <c r="Z175" s="83"/>
      <c r="AA175" s="80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</row>
    <row r="176" spans="1:51" s="73" customFormat="1" ht="15.6" x14ac:dyDescent="0.3">
      <c r="A176" s="73" t="s">
        <v>111</v>
      </c>
      <c r="B176" s="117" t="s">
        <v>436</v>
      </c>
      <c r="C176" s="156">
        <v>935513</v>
      </c>
      <c r="D176" s="301">
        <f>1.0212*10870</f>
        <v>11100.444000000001</v>
      </c>
      <c r="E176" s="376">
        <v>6113.95</v>
      </c>
      <c r="F176" s="60">
        <f t="shared" si="17"/>
        <v>4986.4940000000015</v>
      </c>
      <c r="G176" s="61">
        <f t="shared" si="18"/>
        <v>0.44921572506469121</v>
      </c>
      <c r="H176" s="62"/>
      <c r="I176" s="62"/>
      <c r="J176" s="118">
        <v>45291</v>
      </c>
      <c r="K176" s="64" t="str">
        <f t="shared" ref="K176:K185" si="20">TEXT(30*MONTH(J176)+30,"mmmm")</f>
        <v>janvier</v>
      </c>
      <c r="L176" s="66" t="s">
        <v>168</v>
      </c>
      <c r="M176" s="227" t="s">
        <v>219</v>
      </c>
      <c r="N176" s="123"/>
      <c r="O176" s="66"/>
      <c r="P176" s="66"/>
      <c r="Q176" s="167" t="s">
        <v>220</v>
      </c>
      <c r="R176" s="126" t="s">
        <v>221</v>
      </c>
      <c r="S176" s="65">
        <v>44918</v>
      </c>
      <c r="T176" s="126" t="s">
        <v>221</v>
      </c>
      <c r="U176" s="287">
        <v>44904</v>
      </c>
      <c r="V176" s="287">
        <v>44924</v>
      </c>
      <c r="W176" s="130"/>
      <c r="X176" s="128"/>
      <c r="Y176" s="65"/>
      <c r="Z176" s="129"/>
      <c r="AA176" s="71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</row>
    <row r="177" spans="1:51" s="73" customFormat="1" ht="15.6" x14ac:dyDescent="0.3">
      <c r="A177" s="58" t="s">
        <v>72</v>
      </c>
      <c r="B177" s="5" t="s">
        <v>437</v>
      </c>
      <c r="C177" s="464">
        <v>1425061</v>
      </c>
      <c r="D177" s="302">
        <f>1.0212*7983</f>
        <v>8152.2396000000008</v>
      </c>
      <c r="E177" s="376">
        <v>7128</v>
      </c>
      <c r="F177" s="60">
        <f t="shared" si="17"/>
        <v>1024.2396000000008</v>
      </c>
      <c r="G177" s="61">
        <f t="shared" si="18"/>
        <v>0.12563904525082908</v>
      </c>
      <c r="H177" s="62"/>
      <c r="I177" s="62"/>
      <c r="J177" s="119">
        <v>44742</v>
      </c>
      <c r="K177" s="141" t="str">
        <f t="shared" si="20"/>
        <v>juillet</v>
      </c>
      <c r="L177" s="66" t="s">
        <v>168</v>
      </c>
      <c r="M177" s="79" t="s">
        <v>176</v>
      </c>
      <c r="N177" s="84"/>
      <c r="O177" s="84"/>
      <c r="P177" s="77"/>
      <c r="Q177" s="167" t="s">
        <v>223</v>
      </c>
      <c r="R177" s="83"/>
      <c r="S177" s="83"/>
      <c r="T177" s="126"/>
      <c r="U177" s="286"/>
      <c r="V177" s="286"/>
      <c r="W177" s="83"/>
      <c r="X177" s="83"/>
      <c r="Y177" s="83"/>
      <c r="Z177" s="83"/>
      <c r="AA177" s="80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</row>
    <row r="178" spans="1:51" s="73" customFormat="1" ht="15.6" x14ac:dyDescent="0.3">
      <c r="A178" s="73" t="s">
        <v>72</v>
      </c>
      <c r="B178" s="5" t="s">
        <v>438</v>
      </c>
      <c r="C178" s="130">
        <v>972812</v>
      </c>
      <c r="D178" s="301">
        <f>1.0212*9900</f>
        <v>10109.880000000001</v>
      </c>
      <c r="E178" s="376">
        <v>7630.02</v>
      </c>
      <c r="F178" s="60">
        <f t="shared" si="17"/>
        <v>2479.8600000000006</v>
      </c>
      <c r="G178" s="61">
        <f t="shared" si="18"/>
        <v>0.24529074529074532</v>
      </c>
      <c r="H178" s="62"/>
      <c r="I178" s="62"/>
      <c r="J178" s="63">
        <v>45291</v>
      </c>
      <c r="K178" s="141" t="str">
        <f t="shared" si="20"/>
        <v>janvier</v>
      </c>
      <c r="L178" s="66" t="s">
        <v>168</v>
      </c>
      <c r="M178" s="79" t="s">
        <v>209</v>
      </c>
      <c r="P178" s="81"/>
      <c r="Q178" s="167" t="s">
        <v>223</v>
      </c>
      <c r="R178" s="83"/>
      <c r="S178" s="83"/>
      <c r="T178" s="126" t="s">
        <v>221</v>
      </c>
      <c r="U178" s="285">
        <v>44902</v>
      </c>
      <c r="V178" s="285">
        <v>44902</v>
      </c>
      <c r="W178" s="83"/>
      <c r="X178" s="83"/>
      <c r="Y178" s="83"/>
      <c r="Z178" s="83"/>
      <c r="AA178" s="80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</row>
    <row r="179" spans="1:51" s="73" customFormat="1" ht="15.6" x14ac:dyDescent="0.3">
      <c r="A179" s="73" t="s">
        <v>72</v>
      </c>
      <c r="B179" s="117" t="s">
        <v>439</v>
      </c>
      <c r="C179" s="129">
        <v>1258757</v>
      </c>
      <c r="D179" s="301">
        <f>1.0212*68708</f>
        <v>70164.609600000011</v>
      </c>
      <c r="E179" s="376">
        <v>49843.33</v>
      </c>
      <c r="F179" s="60">
        <f t="shared" si="17"/>
        <v>20321.279600000009</v>
      </c>
      <c r="G179" s="61">
        <f t="shared" si="18"/>
        <v>0.28962292694064967</v>
      </c>
      <c r="H179" s="62"/>
      <c r="I179" s="62"/>
      <c r="J179" s="63">
        <v>45291</v>
      </c>
      <c r="K179" s="64" t="str">
        <f t="shared" si="20"/>
        <v>janvier</v>
      </c>
      <c r="L179" s="66" t="s">
        <v>168</v>
      </c>
      <c r="M179" s="227" t="s">
        <v>219</v>
      </c>
      <c r="N179" s="80"/>
      <c r="P179" s="81"/>
      <c r="Q179" s="167" t="s">
        <v>223</v>
      </c>
      <c r="R179" s="126" t="s">
        <v>221</v>
      </c>
      <c r="S179" s="83"/>
      <c r="T179" s="126" t="s">
        <v>221</v>
      </c>
      <c r="U179" s="285">
        <v>44902</v>
      </c>
      <c r="V179" s="286"/>
      <c r="W179" s="83"/>
      <c r="X179" s="83"/>
      <c r="Y179" s="83"/>
      <c r="Z179" s="83"/>
      <c r="AA179" s="80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</row>
    <row r="180" spans="1:51" s="73" customFormat="1" ht="15.6" x14ac:dyDescent="0.3">
      <c r="A180" s="73" t="s">
        <v>111</v>
      </c>
      <c r="B180" s="117" t="s">
        <v>440</v>
      </c>
      <c r="C180" s="156">
        <v>1064321</v>
      </c>
      <c r="D180" s="301">
        <f>1.0212*12730</f>
        <v>12999.876000000002</v>
      </c>
      <c r="E180" s="377">
        <v>8079.63</v>
      </c>
      <c r="F180" s="60">
        <f t="shared" ref="F180:F195" si="21">D180-E180</f>
        <v>4920.2460000000019</v>
      </c>
      <c r="G180" s="61">
        <f t="shared" ref="G180:G195" si="22">F180/D180</f>
        <v>0.37848407169422238</v>
      </c>
      <c r="H180" s="62"/>
      <c r="I180" s="62"/>
      <c r="J180" s="63">
        <v>45291</v>
      </c>
      <c r="K180" s="64" t="str">
        <f t="shared" si="20"/>
        <v>janvier</v>
      </c>
      <c r="L180" s="66" t="s">
        <v>168</v>
      </c>
      <c r="M180" s="227" t="s">
        <v>219</v>
      </c>
      <c r="N180" s="123"/>
      <c r="O180" s="66"/>
      <c r="P180" s="66"/>
      <c r="Q180" s="167" t="s">
        <v>220</v>
      </c>
      <c r="R180" s="126" t="s">
        <v>221</v>
      </c>
      <c r="S180" s="126"/>
      <c r="T180" s="126" t="s">
        <v>221</v>
      </c>
      <c r="U180" s="287">
        <v>44903</v>
      </c>
      <c r="V180" s="287">
        <v>44904</v>
      </c>
      <c r="W180" s="130"/>
      <c r="X180" s="128"/>
      <c r="Y180" s="65"/>
      <c r="Z180" s="129"/>
      <c r="AA180" s="71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</row>
    <row r="181" spans="1:51" s="201" customFormat="1" ht="15.6" x14ac:dyDescent="0.3">
      <c r="A181" s="73" t="s">
        <v>72</v>
      </c>
      <c r="B181" s="117" t="s">
        <v>441</v>
      </c>
      <c r="C181" s="129">
        <v>960862</v>
      </c>
      <c r="D181" s="316">
        <f>1.0212*8352.96</f>
        <v>8530.0427519999994</v>
      </c>
      <c r="E181" s="377">
        <v>6059.48</v>
      </c>
      <c r="F181" s="60">
        <f t="shared" si="21"/>
        <v>2470.5627519999998</v>
      </c>
      <c r="G181" s="61">
        <f t="shared" si="22"/>
        <v>0.28963075846492548</v>
      </c>
      <c r="H181" s="62"/>
      <c r="I181" s="62"/>
      <c r="J181" s="63">
        <v>45291</v>
      </c>
      <c r="K181" s="64" t="str">
        <f t="shared" si="20"/>
        <v>janvier</v>
      </c>
      <c r="L181" s="66" t="s">
        <v>168</v>
      </c>
      <c r="M181" s="227" t="s">
        <v>219</v>
      </c>
      <c r="N181" s="71"/>
      <c r="O181" s="58"/>
      <c r="P181" s="72"/>
      <c r="Q181" s="167" t="s">
        <v>223</v>
      </c>
      <c r="R181" s="126" t="s">
        <v>221</v>
      </c>
      <c r="S181" s="70"/>
      <c r="T181" s="126" t="s">
        <v>221</v>
      </c>
      <c r="U181" s="285">
        <v>44902</v>
      </c>
      <c r="V181" s="285">
        <v>44917</v>
      </c>
      <c r="W181" s="70"/>
      <c r="X181" s="70"/>
      <c r="Y181" s="70"/>
      <c r="Z181" s="70"/>
      <c r="AA181" s="71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</row>
    <row r="182" spans="1:51" s="73" customFormat="1" ht="15.6" x14ac:dyDescent="0.3">
      <c r="A182" s="73" t="s">
        <v>72</v>
      </c>
      <c r="B182" s="5" t="s">
        <v>442</v>
      </c>
      <c r="C182" s="156">
        <v>1032022</v>
      </c>
      <c r="D182" s="316">
        <f>1.0212*8910</f>
        <v>9098.8920000000016</v>
      </c>
      <c r="E182" s="376">
        <v>6462.34</v>
      </c>
      <c r="F182" s="60">
        <f t="shared" si="21"/>
        <v>2636.5520000000015</v>
      </c>
      <c r="G182" s="61">
        <f t="shared" si="22"/>
        <v>0.28976627044259906</v>
      </c>
      <c r="H182" s="62"/>
      <c r="I182" s="62"/>
      <c r="J182" s="63">
        <v>45291</v>
      </c>
      <c r="K182" s="64" t="str">
        <f t="shared" si="20"/>
        <v>janvier</v>
      </c>
      <c r="L182" s="66" t="s">
        <v>168</v>
      </c>
      <c r="M182" s="79" t="s">
        <v>176</v>
      </c>
      <c r="N182" s="85"/>
      <c r="P182" s="81"/>
      <c r="Q182" s="167" t="s">
        <v>223</v>
      </c>
      <c r="R182" s="83"/>
      <c r="S182" s="83"/>
      <c r="T182" s="126" t="s">
        <v>221</v>
      </c>
      <c r="U182" s="285">
        <v>44902</v>
      </c>
      <c r="V182" s="286">
        <v>44572</v>
      </c>
      <c r="W182" s="83"/>
      <c r="X182" s="83"/>
      <c r="Y182" s="83"/>
      <c r="Z182" s="83"/>
      <c r="AA182" s="80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</row>
    <row r="183" spans="1:51" s="73" customFormat="1" ht="15.6" x14ac:dyDescent="0.3">
      <c r="A183" s="73" t="s">
        <v>72</v>
      </c>
      <c r="B183" s="5" t="s">
        <v>442</v>
      </c>
      <c r="C183" s="156">
        <v>1032022</v>
      </c>
      <c r="D183" s="380">
        <f>(9418-8910)*1.0212</f>
        <v>518.76960000000008</v>
      </c>
      <c r="E183" s="376">
        <f>472.51</f>
        <v>472.51</v>
      </c>
      <c r="F183" s="60">
        <f t="shared" si="21"/>
        <v>46.259600000000091</v>
      </c>
      <c r="G183" s="61">
        <f t="shared" si="22"/>
        <v>8.9171763341568358E-2</v>
      </c>
      <c r="H183" s="62"/>
      <c r="I183" s="62"/>
      <c r="J183" s="63">
        <v>45291</v>
      </c>
      <c r="K183" s="64" t="str">
        <f t="shared" si="20"/>
        <v>janvier</v>
      </c>
      <c r="L183" s="78" t="s">
        <v>235</v>
      </c>
      <c r="M183" s="154">
        <v>360</v>
      </c>
      <c r="N183" s="85"/>
      <c r="P183" s="81"/>
      <c r="Q183" s="167" t="s">
        <v>223</v>
      </c>
      <c r="R183" s="83"/>
      <c r="S183" s="83"/>
      <c r="T183" s="126" t="s">
        <v>221</v>
      </c>
      <c r="U183" s="285">
        <v>44902</v>
      </c>
      <c r="V183" s="286">
        <v>44572</v>
      </c>
      <c r="W183" s="83"/>
      <c r="X183" s="83"/>
      <c r="Y183" s="83"/>
      <c r="Z183" s="83"/>
      <c r="AA183" s="80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</row>
    <row r="184" spans="1:51" s="73" customFormat="1" ht="15.6" x14ac:dyDescent="0.3">
      <c r="A184" s="73" t="s">
        <v>66</v>
      </c>
      <c r="B184" s="5" t="s">
        <v>443</v>
      </c>
      <c r="C184" s="160">
        <v>935526</v>
      </c>
      <c r="D184" s="301">
        <v>60762</v>
      </c>
      <c r="E184" s="376">
        <v>56462.11</v>
      </c>
      <c r="F184" s="74">
        <f t="shared" si="21"/>
        <v>4299.8899999999994</v>
      </c>
      <c r="G184" s="75">
        <f t="shared" si="22"/>
        <v>7.0766103814884296E-2</v>
      </c>
      <c r="H184" s="76"/>
      <c r="I184" s="76"/>
      <c r="J184" s="87">
        <v>45291</v>
      </c>
      <c r="K184" s="86" t="str">
        <f t="shared" si="20"/>
        <v>janvier</v>
      </c>
      <c r="L184" s="78" t="s">
        <v>168</v>
      </c>
      <c r="M184" s="154" t="s">
        <v>176</v>
      </c>
      <c r="P184" s="81"/>
      <c r="Q184" s="167" t="s">
        <v>240</v>
      </c>
      <c r="R184" s="83"/>
      <c r="S184" s="83"/>
      <c r="T184" s="253" t="s">
        <v>221</v>
      </c>
      <c r="U184" s="286"/>
      <c r="V184" s="286"/>
      <c r="W184" s="83"/>
      <c r="X184" s="83"/>
      <c r="Y184" s="83"/>
      <c r="Z184" s="83"/>
      <c r="AA184" s="80"/>
      <c r="AB184" s="371"/>
      <c r="AC184" s="371"/>
      <c r="AD184" s="371"/>
      <c r="AE184" s="371"/>
      <c r="AF184" s="371"/>
      <c r="AG184" s="371"/>
      <c r="AH184" s="371"/>
      <c r="AI184" s="371"/>
      <c r="AJ184" s="371"/>
      <c r="AK184" s="371"/>
      <c r="AL184" s="371"/>
      <c r="AM184" s="371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</row>
    <row r="185" spans="1:51" s="73" customFormat="1" ht="15.6" x14ac:dyDescent="0.3">
      <c r="A185" s="73" t="s">
        <v>66</v>
      </c>
      <c r="B185" s="5" t="s">
        <v>444</v>
      </c>
      <c r="C185" s="130">
        <v>935526</v>
      </c>
      <c r="D185" s="301">
        <f>1.0212*113990</f>
        <v>116406.58800000002</v>
      </c>
      <c r="E185" s="376">
        <v>82265.55</v>
      </c>
      <c r="F185" s="60">
        <f t="shared" si="21"/>
        <v>34141.038000000015</v>
      </c>
      <c r="G185" s="61">
        <f t="shared" si="22"/>
        <v>0.29329128691582307</v>
      </c>
      <c r="H185" s="62"/>
      <c r="I185" s="62"/>
      <c r="J185" s="63">
        <v>45291</v>
      </c>
      <c r="K185" s="141" t="str">
        <f t="shared" si="20"/>
        <v>janvier</v>
      </c>
      <c r="L185" s="78" t="s">
        <v>168</v>
      </c>
      <c r="M185" s="227" t="s">
        <v>219</v>
      </c>
      <c r="P185" s="81"/>
      <c r="Q185" s="167" t="s">
        <v>240</v>
      </c>
      <c r="R185" s="126" t="s">
        <v>221</v>
      </c>
      <c r="S185" s="83"/>
      <c r="T185" s="126" t="s">
        <v>221</v>
      </c>
      <c r="U185" s="286"/>
      <c r="V185" s="286">
        <v>44923</v>
      </c>
      <c r="W185" s="83"/>
      <c r="X185" s="83"/>
      <c r="Y185" s="83"/>
      <c r="Z185" s="83"/>
      <c r="AA185" s="80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</row>
    <row r="186" spans="1:51" s="73" customFormat="1" ht="15.6" x14ac:dyDescent="0.3">
      <c r="A186" s="58" t="s">
        <v>66</v>
      </c>
      <c r="B186" s="92" t="s">
        <v>445</v>
      </c>
      <c r="C186" s="130">
        <v>935526</v>
      </c>
      <c r="D186" s="144">
        <f>1.0212*27500</f>
        <v>28083.000000000004</v>
      </c>
      <c r="E186" s="376">
        <v>23929.57</v>
      </c>
      <c r="F186" s="60">
        <f t="shared" si="21"/>
        <v>4153.4300000000039</v>
      </c>
      <c r="G186" s="61">
        <f t="shared" si="22"/>
        <v>0.14789837268098149</v>
      </c>
      <c r="H186" s="62"/>
      <c r="I186" s="62"/>
      <c r="J186" s="119">
        <v>45107</v>
      </c>
      <c r="K186" s="141" t="s">
        <v>58</v>
      </c>
      <c r="L186" s="78" t="s">
        <v>168</v>
      </c>
      <c r="M186" s="227" t="s">
        <v>219</v>
      </c>
      <c r="P186" s="81"/>
      <c r="Q186" s="167" t="s">
        <v>240</v>
      </c>
      <c r="R186" s="126" t="s">
        <v>221</v>
      </c>
      <c r="S186" s="83"/>
      <c r="T186" s="126"/>
      <c r="U186" s="286"/>
      <c r="V186" s="286"/>
      <c r="W186" s="83"/>
      <c r="X186" s="83"/>
      <c r="Y186" s="83"/>
      <c r="Z186" s="83"/>
      <c r="AA186" s="80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</row>
    <row r="187" spans="1:51" s="73" customFormat="1" ht="15.6" x14ac:dyDescent="0.3">
      <c r="A187" s="73" t="s">
        <v>66</v>
      </c>
      <c r="B187" s="117" t="s">
        <v>446</v>
      </c>
      <c r="C187" s="156">
        <v>1242703</v>
      </c>
      <c r="D187" s="301">
        <f>1.0212*3680</f>
        <v>3758.0160000000005</v>
      </c>
      <c r="E187" s="377">
        <v>2401.89</v>
      </c>
      <c r="F187" s="60">
        <f t="shared" si="21"/>
        <v>1356.1260000000007</v>
      </c>
      <c r="G187" s="61">
        <f t="shared" si="22"/>
        <v>0.36086222091656889</v>
      </c>
      <c r="H187" s="62"/>
      <c r="I187" s="62"/>
      <c r="J187" s="63">
        <v>45291</v>
      </c>
      <c r="K187" s="141" t="str">
        <f t="shared" ref="K187:K193" si="23">TEXT(30*MONTH(J187)+30,"mmmm")</f>
        <v>janvier</v>
      </c>
      <c r="L187" s="66" t="s">
        <v>168</v>
      </c>
      <c r="M187" s="227" t="s">
        <v>219</v>
      </c>
      <c r="N187" s="123"/>
      <c r="O187" s="66"/>
      <c r="P187" s="66"/>
      <c r="Q187" s="167" t="s">
        <v>272</v>
      </c>
      <c r="R187" s="126" t="s">
        <v>221</v>
      </c>
      <c r="S187" s="126"/>
      <c r="T187" s="126" t="s">
        <v>221</v>
      </c>
      <c r="U187" s="297">
        <v>44903</v>
      </c>
      <c r="V187" s="284">
        <v>44922</v>
      </c>
      <c r="W187" s="128"/>
      <c r="X187" s="128"/>
      <c r="Y187" s="58"/>
      <c r="Z187" s="129"/>
      <c r="AA187" s="71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</row>
    <row r="188" spans="1:51" s="73" customFormat="1" ht="15.6" x14ac:dyDescent="0.3">
      <c r="A188" s="73" t="s">
        <v>66</v>
      </c>
      <c r="B188" s="88" t="s">
        <v>447</v>
      </c>
      <c r="C188" s="158">
        <v>1200838</v>
      </c>
      <c r="D188" s="144"/>
      <c r="E188" s="170"/>
      <c r="F188" s="60">
        <f t="shared" si="21"/>
        <v>0</v>
      </c>
      <c r="G188" s="61" t="e">
        <f t="shared" si="22"/>
        <v>#DIV/0!</v>
      </c>
      <c r="H188" s="62"/>
      <c r="I188" s="62"/>
      <c r="J188" s="63">
        <v>45291</v>
      </c>
      <c r="K188" s="64" t="str">
        <f t="shared" si="23"/>
        <v>janvier</v>
      </c>
      <c r="L188" s="66" t="s">
        <v>168</v>
      </c>
      <c r="M188" s="227" t="s">
        <v>219</v>
      </c>
      <c r="N188" s="123"/>
      <c r="O188" s="66"/>
      <c r="P188" s="66"/>
      <c r="Q188" s="167" t="s">
        <v>246</v>
      </c>
      <c r="R188" s="126" t="s">
        <v>221</v>
      </c>
      <c r="S188" s="70"/>
      <c r="T188" s="126" t="s">
        <v>221</v>
      </c>
      <c r="U188" s="285"/>
      <c r="V188" s="285"/>
      <c r="W188" s="70"/>
      <c r="X188" s="70"/>
      <c r="Y188" s="70"/>
      <c r="Z188" s="70"/>
      <c r="AA188" s="71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</row>
    <row r="189" spans="1:51" s="73" customFormat="1" ht="15.6" x14ac:dyDescent="0.3">
      <c r="A189" s="73" t="s">
        <v>72</v>
      </c>
      <c r="B189" s="117" t="s">
        <v>448</v>
      </c>
      <c r="C189" s="165">
        <v>811071</v>
      </c>
      <c r="D189" s="301">
        <f>1.0212*28421</f>
        <v>29023.525200000004</v>
      </c>
      <c r="E189" s="376">
        <v>17804.34</v>
      </c>
      <c r="F189" s="60">
        <f t="shared" si="21"/>
        <v>11219.185200000004</v>
      </c>
      <c r="G189" s="61">
        <f t="shared" si="22"/>
        <v>0.38655487652478554</v>
      </c>
      <c r="H189" s="62"/>
      <c r="I189" s="62"/>
      <c r="J189" s="63">
        <v>45291</v>
      </c>
      <c r="K189" s="64" t="str">
        <f t="shared" si="23"/>
        <v>janvier</v>
      </c>
      <c r="L189" s="66" t="s">
        <v>168</v>
      </c>
      <c r="M189" s="66" t="s">
        <v>209</v>
      </c>
      <c r="N189" s="67"/>
      <c r="O189" s="58"/>
      <c r="P189" s="68"/>
      <c r="Q189" s="167" t="s">
        <v>417</v>
      </c>
      <c r="R189" s="70"/>
      <c r="S189" s="70"/>
      <c r="T189" s="126" t="s">
        <v>221</v>
      </c>
      <c r="U189" s="285">
        <v>44904</v>
      </c>
      <c r="V189" s="285"/>
      <c r="W189" s="70"/>
      <c r="X189" s="70"/>
      <c r="Y189" s="70"/>
      <c r="Z189" s="70"/>
      <c r="AA189" s="71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</row>
    <row r="190" spans="1:51" s="73" customFormat="1" ht="15.6" x14ac:dyDescent="0.3">
      <c r="A190" s="73" t="s">
        <v>72</v>
      </c>
      <c r="B190" s="117" t="s">
        <v>448</v>
      </c>
      <c r="C190" s="165">
        <v>811071</v>
      </c>
      <c r="D190" s="301">
        <f>1.0212*4063</f>
        <v>4149.1356000000005</v>
      </c>
      <c r="E190" s="399">
        <v>3780.12</v>
      </c>
      <c r="F190" s="60">
        <f t="shared" si="21"/>
        <v>369.01560000000063</v>
      </c>
      <c r="G190" s="61">
        <f t="shared" si="22"/>
        <v>8.8937946496615003E-2</v>
      </c>
      <c r="H190" s="62"/>
      <c r="I190" s="62"/>
      <c r="J190" s="63">
        <v>45291</v>
      </c>
      <c r="K190" s="64" t="str">
        <f t="shared" si="23"/>
        <v>janvier</v>
      </c>
      <c r="L190" s="66"/>
      <c r="M190" s="193" t="s">
        <v>183</v>
      </c>
      <c r="N190" s="67"/>
      <c r="O190" s="58"/>
      <c r="P190" s="68"/>
      <c r="Q190" s="167" t="s">
        <v>417</v>
      </c>
      <c r="R190" s="70"/>
      <c r="S190" s="70"/>
      <c r="T190" s="126" t="s">
        <v>221</v>
      </c>
      <c r="U190" s="285">
        <v>44904</v>
      </c>
      <c r="V190" s="285"/>
      <c r="W190" s="70"/>
      <c r="X190" s="70"/>
      <c r="Y190" s="70"/>
      <c r="Z190" s="70"/>
      <c r="AA190" s="71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</row>
    <row r="191" spans="1:51" s="73" customFormat="1" ht="35.1" customHeight="1" x14ac:dyDescent="0.3">
      <c r="A191" s="73" t="s">
        <v>66</v>
      </c>
      <c r="B191" s="5" t="s">
        <v>449</v>
      </c>
      <c r="C191" s="130"/>
      <c r="D191" s="301">
        <f>1.0212*42000</f>
        <v>42890.400000000001</v>
      </c>
      <c r="E191" s="376">
        <v>33975.68</v>
      </c>
      <c r="F191" s="60">
        <f t="shared" si="21"/>
        <v>8914.7200000000012</v>
      </c>
      <c r="G191" s="61">
        <f t="shared" si="22"/>
        <v>0.20784884263145134</v>
      </c>
      <c r="H191" s="62"/>
      <c r="I191" s="62"/>
      <c r="J191" s="63">
        <v>45291</v>
      </c>
      <c r="K191" s="141" t="str">
        <f t="shared" si="23"/>
        <v>janvier</v>
      </c>
      <c r="L191" s="66" t="s">
        <v>168</v>
      </c>
      <c r="M191" s="66" t="s">
        <v>176</v>
      </c>
      <c r="N191" s="326"/>
      <c r="P191" s="81"/>
      <c r="Q191" s="167" t="s">
        <v>272</v>
      </c>
      <c r="R191" s="83"/>
      <c r="S191" s="83"/>
      <c r="T191" s="126" t="s">
        <v>221</v>
      </c>
      <c r="U191" s="298">
        <v>44904</v>
      </c>
      <c r="V191" s="286">
        <v>44916</v>
      </c>
      <c r="W191" s="83"/>
      <c r="X191" s="83"/>
      <c r="Y191" s="83"/>
      <c r="Z191" s="83"/>
      <c r="AA191" s="80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</row>
    <row r="192" spans="1:51" s="73" customFormat="1" ht="15.6" x14ac:dyDescent="0.3">
      <c r="A192" s="73" t="s">
        <v>126</v>
      </c>
      <c r="B192" s="117" t="s">
        <v>450</v>
      </c>
      <c r="C192" s="156">
        <v>810719</v>
      </c>
      <c r="D192" s="301">
        <f>1.0212*7550</f>
        <v>7710.06</v>
      </c>
      <c r="E192" s="376">
        <v>6167.41</v>
      </c>
      <c r="F192" s="60">
        <f t="shared" si="21"/>
        <v>1542.6500000000005</v>
      </c>
      <c r="G192" s="61">
        <f t="shared" si="22"/>
        <v>0.2000827490317845</v>
      </c>
      <c r="H192" s="62"/>
      <c r="I192" s="62"/>
      <c r="J192" s="63">
        <v>45291</v>
      </c>
      <c r="K192" s="64" t="str">
        <f t="shared" si="23"/>
        <v>janvier</v>
      </c>
      <c r="L192" s="66" t="s">
        <v>168</v>
      </c>
      <c r="M192" s="227" t="s">
        <v>176</v>
      </c>
      <c r="N192" s="421"/>
      <c r="P192" s="81"/>
      <c r="Q192" s="167" t="s">
        <v>272</v>
      </c>
      <c r="R192" s="126" t="s">
        <v>221</v>
      </c>
      <c r="S192" s="83"/>
      <c r="T192" s="126" t="s">
        <v>221</v>
      </c>
      <c r="U192" s="286">
        <v>44904</v>
      </c>
      <c r="V192" s="286">
        <v>44909</v>
      </c>
      <c r="W192" s="83"/>
      <c r="X192" s="83"/>
      <c r="Y192" s="83"/>
      <c r="Z192" s="83"/>
      <c r="AA192" s="80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</row>
    <row r="193" spans="1:51" s="73" customFormat="1" ht="15.6" x14ac:dyDescent="0.3">
      <c r="A193" s="73" t="s">
        <v>72</v>
      </c>
      <c r="B193" s="5" t="s">
        <v>451</v>
      </c>
      <c r="C193" s="130" t="s">
        <v>452</v>
      </c>
      <c r="D193" s="301">
        <f>1.0212*100000</f>
        <v>102120.00000000001</v>
      </c>
      <c r="E193" s="170">
        <f>65727.6+18655.93</f>
        <v>84383.53</v>
      </c>
      <c r="F193" s="60">
        <f t="shared" si="21"/>
        <v>17736.470000000016</v>
      </c>
      <c r="G193" s="61">
        <f t="shared" si="22"/>
        <v>0.1736826282804545</v>
      </c>
      <c r="H193" s="62">
        <f>18655.93/4</f>
        <v>4663.9825000000001</v>
      </c>
      <c r="I193" s="62"/>
      <c r="J193" s="63">
        <v>45291</v>
      </c>
      <c r="K193" s="141" t="str">
        <f t="shared" si="23"/>
        <v>janvier</v>
      </c>
      <c r="L193" s="66" t="s">
        <v>168</v>
      </c>
      <c r="M193" s="227" t="s">
        <v>453</v>
      </c>
      <c r="P193" s="81"/>
      <c r="Q193" s="167" t="s">
        <v>223</v>
      </c>
      <c r="R193" s="126" t="s">
        <v>221</v>
      </c>
      <c r="S193" s="83"/>
      <c r="T193" s="126" t="s">
        <v>221</v>
      </c>
      <c r="U193" s="285">
        <v>44902</v>
      </c>
      <c r="V193" s="285">
        <v>44573</v>
      </c>
      <c r="W193" s="83"/>
      <c r="X193" s="83"/>
      <c r="Y193" s="83"/>
      <c r="Z193" s="83"/>
      <c r="AA193" s="80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</row>
    <row r="194" spans="1:51" s="73" customFormat="1" ht="15.6" x14ac:dyDescent="0.3">
      <c r="A194" s="73" t="s">
        <v>72</v>
      </c>
      <c r="B194" s="5" t="s">
        <v>454</v>
      </c>
      <c r="C194" s="130">
        <v>951999</v>
      </c>
      <c r="D194" s="438">
        <v>6446.84</v>
      </c>
      <c r="E194" s="379">
        <v>4356.8900000000003</v>
      </c>
      <c r="F194" s="60">
        <f t="shared" si="21"/>
        <v>2089.9499999999998</v>
      </c>
      <c r="G194" s="61">
        <f t="shared" si="22"/>
        <v>0.32418207990271197</v>
      </c>
      <c r="H194" s="62"/>
      <c r="I194" s="62"/>
      <c r="J194" s="63">
        <v>45291</v>
      </c>
      <c r="K194" s="64" t="s">
        <v>53</v>
      </c>
      <c r="L194" s="66" t="s">
        <v>168</v>
      </c>
      <c r="M194" s="66" t="s">
        <v>209</v>
      </c>
      <c r="N194" s="123"/>
      <c r="O194" s="66"/>
      <c r="P194" s="66"/>
      <c r="Q194" s="167" t="s">
        <v>223</v>
      </c>
      <c r="R194" s="70"/>
      <c r="S194" s="70"/>
      <c r="T194" s="126" t="s">
        <v>221</v>
      </c>
      <c r="U194" s="285">
        <v>44902</v>
      </c>
      <c r="V194" s="285">
        <v>44910</v>
      </c>
      <c r="W194" s="70"/>
      <c r="X194" s="70"/>
      <c r="Y194" s="70"/>
      <c r="Z194" s="70"/>
      <c r="AA194" s="71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</row>
    <row r="195" spans="1:51" s="73" customFormat="1" ht="15.6" x14ac:dyDescent="0.3">
      <c r="A195" s="73" t="s">
        <v>72</v>
      </c>
      <c r="B195" s="5" t="s">
        <v>455</v>
      </c>
      <c r="C195" s="130">
        <v>951999</v>
      </c>
      <c r="D195" s="178"/>
      <c r="E195" s="376"/>
      <c r="F195" s="60">
        <f t="shared" si="21"/>
        <v>0</v>
      </c>
      <c r="G195" s="61" t="e">
        <f t="shared" si="22"/>
        <v>#DIV/0!</v>
      </c>
      <c r="H195" s="62"/>
      <c r="I195" s="62"/>
      <c r="J195" s="63">
        <v>45291</v>
      </c>
      <c r="K195" s="64" t="s">
        <v>53</v>
      </c>
      <c r="L195" s="66" t="s">
        <v>168</v>
      </c>
      <c r="M195" s="66" t="s">
        <v>209</v>
      </c>
      <c r="N195" s="123"/>
      <c r="O195" s="66"/>
      <c r="P195" s="66"/>
      <c r="Q195" s="167" t="s">
        <v>223</v>
      </c>
      <c r="R195" s="70"/>
      <c r="S195" s="70"/>
      <c r="T195" s="126" t="s">
        <v>221</v>
      </c>
      <c r="U195" s="285">
        <v>44902</v>
      </c>
      <c r="V195" s="285">
        <v>44910</v>
      </c>
      <c r="W195" s="70"/>
      <c r="X195" s="70"/>
      <c r="Y195" s="70"/>
      <c r="Z195" s="70"/>
      <c r="AA195" s="71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</row>
    <row r="196" spans="1:51" s="73" customFormat="1" ht="15.6" x14ac:dyDescent="0.3">
      <c r="A196" s="208" t="s">
        <v>126</v>
      </c>
      <c r="B196" s="202" t="s">
        <v>456</v>
      </c>
      <c r="C196" s="209" t="s">
        <v>235</v>
      </c>
      <c r="D196" s="506"/>
      <c r="E196" s="376">
        <v>874.16</v>
      </c>
      <c r="F196" s="213"/>
      <c r="G196" s="214"/>
      <c r="H196" s="507"/>
      <c r="I196" s="507"/>
      <c r="J196" s="68">
        <v>45107</v>
      </c>
      <c r="K196" s="481" t="s">
        <v>53</v>
      </c>
      <c r="L196" s="130" t="s">
        <v>235</v>
      </c>
      <c r="M196" s="130">
        <v>360</v>
      </c>
      <c r="N196" s="328"/>
      <c r="O196" s="66"/>
      <c r="P196" s="66"/>
      <c r="Q196" s="167" t="s">
        <v>272</v>
      </c>
      <c r="R196" s="70"/>
      <c r="S196" s="70"/>
      <c r="T196" s="126"/>
      <c r="U196" s="285"/>
      <c r="V196" s="285"/>
      <c r="W196" s="70"/>
      <c r="X196" s="70"/>
      <c r="Y196" s="70"/>
      <c r="Z196" s="70"/>
      <c r="AA196" s="71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</row>
    <row r="197" spans="1:51" s="323" customFormat="1" ht="15.6" x14ac:dyDescent="0.3">
      <c r="A197" s="483" t="s">
        <v>126</v>
      </c>
      <c r="B197" s="369" t="s">
        <v>456</v>
      </c>
      <c r="C197" s="482">
        <v>1009055</v>
      </c>
      <c r="D197" s="505">
        <v>32378</v>
      </c>
      <c r="E197" s="541">
        <f>16727.39+1736.08</f>
        <v>18463.47</v>
      </c>
      <c r="F197" s="324">
        <f>D197-E197</f>
        <v>13914.529999999999</v>
      </c>
      <c r="G197" s="327">
        <f t="shared" ref="G197:G228" si="24">F197/D197</f>
        <v>0.42975260979677554</v>
      </c>
      <c r="H197" s="484"/>
      <c r="I197" s="484"/>
      <c r="J197" s="485">
        <v>45107</v>
      </c>
      <c r="K197" s="486" t="s">
        <v>68</v>
      </c>
      <c r="L197" s="487" t="s">
        <v>168</v>
      </c>
      <c r="M197" s="488" t="s">
        <v>457</v>
      </c>
      <c r="N197" s="489" t="s">
        <v>458</v>
      </c>
      <c r="O197" s="490"/>
      <c r="P197" s="491"/>
      <c r="Q197" s="492" t="s">
        <v>272</v>
      </c>
      <c r="R197" s="493"/>
      <c r="S197" s="493"/>
      <c r="T197" s="494"/>
      <c r="U197" s="495"/>
      <c r="V197" s="495"/>
      <c r="W197" s="493"/>
      <c r="X197" s="493"/>
      <c r="Y197" s="493"/>
      <c r="Z197" s="493"/>
      <c r="AA197" s="496"/>
      <c r="AB197" s="497"/>
      <c r="AC197" s="497"/>
      <c r="AD197" s="497"/>
      <c r="AE197" s="497"/>
      <c r="AF197" s="497"/>
      <c r="AG197" s="497"/>
      <c r="AH197" s="497"/>
      <c r="AI197" s="497"/>
      <c r="AJ197" s="497"/>
      <c r="AK197" s="497"/>
      <c r="AL197" s="497"/>
      <c r="AM197" s="497"/>
      <c r="AN197" s="498"/>
      <c r="AO197" s="498"/>
      <c r="AP197" s="498"/>
      <c r="AQ197" s="498"/>
      <c r="AR197" s="498"/>
      <c r="AS197" s="498"/>
      <c r="AT197" s="498"/>
      <c r="AU197" s="498"/>
      <c r="AV197" s="498"/>
      <c r="AW197" s="498"/>
      <c r="AX197" s="498"/>
      <c r="AY197" s="498"/>
    </row>
    <row r="198" spans="1:51" s="73" customFormat="1" ht="15.6" x14ac:dyDescent="0.3">
      <c r="A198" s="73" t="s">
        <v>72</v>
      </c>
      <c r="B198" s="5" t="s">
        <v>459</v>
      </c>
      <c r="C198" s="165">
        <v>1041474</v>
      </c>
      <c r="D198" s="301">
        <f>1.0212*20977.1</f>
        <v>21421.81452</v>
      </c>
      <c r="E198" s="300">
        <f>8937.28+2014.49+2014.49</f>
        <v>12966.26</v>
      </c>
      <c r="F198" s="60">
        <f>D198-E198</f>
        <v>8455.5545199999997</v>
      </c>
      <c r="G198" s="61">
        <f t="shared" si="24"/>
        <v>0.39471700738075477</v>
      </c>
      <c r="H198" s="62"/>
      <c r="I198" s="62"/>
      <c r="J198" s="63">
        <v>45291</v>
      </c>
      <c r="K198" s="141" t="str">
        <f t="shared" ref="K198:K203" si="25">TEXT(30*MONTH(J198)+30,"mmmm")</f>
        <v>janvier</v>
      </c>
      <c r="L198" s="66" t="s">
        <v>168</v>
      </c>
      <c r="M198" s="227" t="s">
        <v>219</v>
      </c>
      <c r="P198" s="81"/>
      <c r="Q198" s="167" t="s">
        <v>223</v>
      </c>
      <c r="R198" s="126" t="s">
        <v>221</v>
      </c>
      <c r="S198" s="83"/>
      <c r="T198" s="126" t="s">
        <v>221</v>
      </c>
      <c r="U198" s="285">
        <v>44902</v>
      </c>
      <c r="V198" s="285">
        <v>44902</v>
      </c>
      <c r="W198" s="83"/>
      <c r="X198" s="83"/>
      <c r="Y198" s="83"/>
      <c r="Z198" s="83"/>
      <c r="AA198" s="80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</row>
    <row r="199" spans="1:51" s="73" customFormat="1" ht="15.6" x14ac:dyDescent="0.3">
      <c r="A199" s="73" t="s">
        <v>111</v>
      </c>
      <c r="B199" s="88" t="s">
        <v>460</v>
      </c>
      <c r="C199" s="156">
        <v>1135518</v>
      </c>
      <c r="D199" s="224"/>
      <c r="E199" s="180"/>
      <c r="F199" s="60">
        <f>D199-E199</f>
        <v>0</v>
      </c>
      <c r="G199" s="61" t="e">
        <f t="shared" si="24"/>
        <v>#DIV/0!</v>
      </c>
      <c r="H199" s="62"/>
      <c r="I199" s="62"/>
      <c r="J199" s="63">
        <v>45291</v>
      </c>
      <c r="K199" s="64" t="str">
        <f t="shared" si="25"/>
        <v>janvier</v>
      </c>
      <c r="L199" s="66" t="s">
        <v>168</v>
      </c>
      <c r="M199" s="227" t="s">
        <v>219</v>
      </c>
      <c r="N199" s="80" t="s">
        <v>461</v>
      </c>
      <c r="P199" s="81"/>
      <c r="Q199" s="167" t="s">
        <v>220</v>
      </c>
      <c r="R199" s="126" t="s">
        <v>221</v>
      </c>
      <c r="S199" s="83"/>
      <c r="T199" s="126" t="s">
        <v>221</v>
      </c>
      <c r="U199" s="288"/>
      <c r="V199" s="288"/>
      <c r="W199" s="83"/>
      <c r="X199" s="83"/>
      <c r="Y199" s="83"/>
      <c r="Z199" s="83"/>
      <c r="AA199" s="80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</row>
    <row r="200" spans="1:51" s="73" customFormat="1" ht="15.6" x14ac:dyDescent="0.3">
      <c r="A200" s="73" t="s">
        <v>66</v>
      </c>
      <c r="B200" s="5" t="s">
        <v>462</v>
      </c>
      <c r="C200" s="156">
        <v>1027695</v>
      </c>
      <c r="D200" s="301">
        <f>1.0212*9780.1</f>
        <v>9987.4381200000007</v>
      </c>
      <c r="E200" s="376">
        <v>5757.37</v>
      </c>
      <c r="F200" s="60">
        <f>D200-E200</f>
        <v>4230.0681200000008</v>
      </c>
      <c r="G200" s="61">
        <f t="shared" si="24"/>
        <v>0.42353885642897987</v>
      </c>
      <c r="H200" s="62"/>
      <c r="I200" s="62"/>
      <c r="J200" s="63">
        <v>45291</v>
      </c>
      <c r="K200" s="64" t="str">
        <f t="shared" si="25"/>
        <v>janvier</v>
      </c>
      <c r="L200" s="66" t="s">
        <v>168</v>
      </c>
      <c r="M200" s="66" t="s">
        <v>176</v>
      </c>
      <c r="N200" s="123"/>
      <c r="O200" s="66"/>
      <c r="P200" s="66"/>
      <c r="Q200" s="167" t="s">
        <v>240</v>
      </c>
      <c r="R200" s="70"/>
      <c r="S200" s="70"/>
      <c r="T200" s="126" t="s">
        <v>221</v>
      </c>
      <c r="U200" s="285"/>
      <c r="V200" s="285"/>
      <c r="W200" s="70"/>
      <c r="X200" s="70"/>
      <c r="Y200" s="70"/>
      <c r="Z200" s="70"/>
      <c r="AA200" s="71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</row>
    <row r="201" spans="1:51" s="73" customFormat="1" ht="15.6" x14ac:dyDescent="0.3">
      <c r="A201" s="73" t="s">
        <v>66</v>
      </c>
      <c r="B201" s="394" t="s">
        <v>463</v>
      </c>
      <c r="C201" s="156">
        <v>1776837</v>
      </c>
      <c r="D201" s="301">
        <f>1.0212*4027.1</f>
        <v>4112.4745200000007</v>
      </c>
      <c r="E201" s="376">
        <v>2643.69</v>
      </c>
      <c r="F201" s="60" t="s">
        <v>18</v>
      </c>
      <c r="G201" s="61" t="e">
        <f t="shared" si="24"/>
        <v>#VALUE!</v>
      </c>
      <c r="H201" s="62"/>
      <c r="I201" s="62"/>
      <c r="J201" s="63">
        <v>45291</v>
      </c>
      <c r="K201" s="64" t="str">
        <f t="shared" si="25"/>
        <v>janvier</v>
      </c>
      <c r="L201" s="66" t="s">
        <v>168</v>
      </c>
      <c r="M201" s="66" t="s">
        <v>209</v>
      </c>
      <c r="N201" s="123"/>
      <c r="O201" s="66"/>
      <c r="P201" s="66"/>
      <c r="Q201" s="167" t="s">
        <v>272</v>
      </c>
      <c r="R201" s="70"/>
      <c r="S201" s="70"/>
      <c r="T201" s="126" t="s">
        <v>221</v>
      </c>
      <c r="U201" s="285">
        <v>44904</v>
      </c>
      <c r="V201" s="285"/>
      <c r="W201" s="70"/>
      <c r="X201" s="70"/>
      <c r="Y201" s="70"/>
      <c r="Z201" s="70"/>
      <c r="AA201" s="71" t="s">
        <v>464</v>
      </c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</row>
    <row r="202" spans="1:51" s="73" customFormat="1" ht="15.6" x14ac:dyDescent="0.3">
      <c r="A202" s="73" t="s">
        <v>66</v>
      </c>
      <c r="B202" s="88" t="s">
        <v>132</v>
      </c>
      <c r="C202" s="130">
        <v>497306</v>
      </c>
      <c r="D202" s="178"/>
      <c r="E202" s="180"/>
      <c r="F202" s="60">
        <f t="shared" ref="F202:F233" si="26">D202-E202</f>
        <v>0</v>
      </c>
      <c r="G202" s="61" t="e">
        <f t="shared" si="24"/>
        <v>#DIV/0!</v>
      </c>
      <c r="H202" s="62"/>
      <c r="I202" s="62"/>
      <c r="J202" s="63">
        <v>45291</v>
      </c>
      <c r="K202" s="64" t="str">
        <f t="shared" si="25"/>
        <v>janvier</v>
      </c>
      <c r="L202" s="66" t="s">
        <v>168</v>
      </c>
      <c r="M202" s="66" t="s">
        <v>209</v>
      </c>
      <c r="N202" s="123"/>
      <c r="O202" s="66"/>
      <c r="P202" s="66"/>
      <c r="Q202" s="167" t="s">
        <v>223</v>
      </c>
      <c r="R202" s="70"/>
      <c r="S202" s="70"/>
      <c r="T202" s="126" t="s">
        <v>221</v>
      </c>
      <c r="U202" s="285"/>
      <c r="V202" s="285"/>
      <c r="W202" s="70"/>
      <c r="X202" s="134"/>
      <c r="Y202" s="70"/>
      <c r="Z202" s="70"/>
      <c r="AA202" s="71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</row>
    <row r="203" spans="1:51" s="73" customFormat="1" ht="15.6" x14ac:dyDescent="0.3">
      <c r="A203" s="73" t="s">
        <v>72</v>
      </c>
      <c r="B203" s="117" t="s">
        <v>465</v>
      </c>
      <c r="C203" s="174">
        <v>960861</v>
      </c>
      <c r="D203" s="301">
        <f>10560.02</f>
        <v>10560.02</v>
      </c>
      <c r="E203" s="376">
        <v>8078.49</v>
      </c>
      <c r="F203" s="60">
        <f t="shared" si="26"/>
        <v>2481.5300000000007</v>
      </c>
      <c r="G203" s="61">
        <f t="shared" si="24"/>
        <v>0.23499292614976114</v>
      </c>
      <c r="H203" s="62"/>
      <c r="I203" s="62"/>
      <c r="J203" s="63">
        <v>45291</v>
      </c>
      <c r="K203" s="64" t="str">
        <f t="shared" si="25"/>
        <v>janvier</v>
      </c>
      <c r="L203" s="66" t="s">
        <v>168</v>
      </c>
      <c r="M203" s="227" t="s">
        <v>219</v>
      </c>
      <c r="N203" s="80"/>
      <c r="P203" s="81"/>
      <c r="Q203" s="167" t="s">
        <v>223</v>
      </c>
      <c r="R203" s="126" t="s">
        <v>221</v>
      </c>
      <c r="S203" s="83"/>
      <c r="T203" s="126" t="s">
        <v>221</v>
      </c>
      <c r="U203" s="285">
        <v>44902</v>
      </c>
      <c r="V203" s="286">
        <v>44571</v>
      </c>
      <c r="W203" s="83"/>
      <c r="X203" s="83"/>
      <c r="Y203" s="83"/>
      <c r="Z203" s="83"/>
      <c r="AA203" s="80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</row>
    <row r="204" spans="1:51" s="73" customFormat="1" ht="15.6" x14ac:dyDescent="0.3">
      <c r="A204" s="58" t="s">
        <v>72</v>
      </c>
      <c r="B204" s="5" t="s">
        <v>466</v>
      </c>
      <c r="C204" s="130">
        <v>916116</v>
      </c>
      <c r="D204" s="301">
        <f>1.0212*3927</f>
        <v>4010.2524000000003</v>
      </c>
      <c r="E204" s="376">
        <v>2401.89</v>
      </c>
      <c r="F204" s="60">
        <f t="shared" si="26"/>
        <v>1608.3624000000004</v>
      </c>
      <c r="G204" s="61">
        <f t="shared" si="24"/>
        <v>0.4010626363567541</v>
      </c>
      <c r="H204" s="62"/>
      <c r="I204" s="62"/>
      <c r="J204" s="119">
        <v>45102</v>
      </c>
      <c r="K204" s="141" t="s">
        <v>58</v>
      </c>
      <c r="L204" s="66" t="s">
        <v>168</v>
      </c>
      <c r="M204" s="227" t="s">
        <v>219</v>
      </c>
      <c r="P204" s="81"/>
      <c r="Q204" s="167" t="s">
        <v>223</v>
      </c>
      <c r="R204" s="126" t="s">
        <v>221</v>
      </c>
      <c r="S204" s="83"/>
      <c r="T204" s="126"/>
      <c r="U204" s="286"/>
      <c r="V204" s="286"/>
      <c r="W204" s="83"/>
      <c r="X204" s="83"/>
      <c r="Y204" s="83"/>
      <c r="Z204" s="83"/>
      <c r="AA204" s="80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</row>
    <row r="205" spans="1:51" s="73" customFormat="1" ht="28.8" x14ac:dyDescent="0.3">
      <c r="A205" s="73" t="s">
        <v>72</v>
      </c>
      <c r="B205" s="5" t="s">
        <v>467</v>
      </c>
      <c r="C205" s="130">
        <v>973833</v>
      </c>
      <c r="D205" s="401">
        <f>40360.46</f>
        <v>40360.46</v>
      </c>
      <c r="E205" s="376">
        <v>21118.52</v>
      </c>
      <c r="F205" s="60">
        <f t="shared" si="26"/>
        <v>19241.939999999999</v>
      </c>
      <c r="G205" s="327">
        <f t="shared" si="24"/>
        <v>0.47675224712503272</v>
      </c>
      <c r="H205" s="113"/>
      <c r="I205" s="62"/>
      <c r="J205" s="63">
        <v>45291</v>
      </c>
      <c r="K205" s="64" t="str">
        <f>TEXT(30*MONTH(J205)+30,"mmmm")</f>
        <v>janvier</v>
      </c>
      <c r="L205" s="66" t="s">
        <v>168</v>
      </c>
      <c r="M205" s="227" t="s">
        <v>219</v>
      </c>
      <c r="N205" s="73" t="s">
        <v>468</v>
      </c>
      <c r="P205" s="81"/>
      <c r="Q205" s="167" t="s">
        <v>272</v>
      </c>
      <c r="R205" s="83"/>
      <c r="S205" s="83"/>
      <c r="T205" s="126" t="s">
        <v>221</v>
      </c>
      <c r="U205" s="286">
        <v>44908</v>
      </c>
      <c r="V205" s="286"/>
      <c r="W205" s="83"/>
      <c r="X205" s="83"/>
      <c r="Y205" s="83"/>
      <c r="Z205" s="83"/>
      <c r="AA205" s="80" t="s">
        <v>469</v>
      </c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</row>
    <row r="206" spans="1:51" s="73" customFormat="1" ht="15.6" x14ac:dyDescent="0.3">
      <c r="A206" s="73" t="s">
        <v>72</v>
      </c>
      <c r="B206" s="5" t="s">
        <v>467</v>
      </c>
      <c r="C206" s="130">
        <v>973833</v>
      </c>
      <c r="D206" s="402"/>
      <c r="E206" s="376">
        <v>5464.8</v>
      </c>
      <c r="F206" s="60">
        <f t="shared" si="26"/>
        <v>-5464.8</v>
      </c>
      <c r="G206" s="327" t="e">
        <f t="shared" si="24"/>
        <v>#DIV/0!</v>
      </c>
      <c r="H206" s="113"/>
      <c r="I206" s="62"/>
      <c r="J206" s="63">
        <v>45291</v>
      </c>
      <c r="K206" s="64" t="s">
        <v>53</v>
      </c>
      <c r="L206" s="66" t="s">
        <v>168</v>
      </c>
      <c r="M206" s="227" t="s">
        <v>176</v>
      </c>
      <c r="N206" s="73" t="s">
        <v>470</v>
      </c>
      <c r="P206" s="81"/>
      <c r="Q206" s="167" t="s">
        <v>272</v>
      </c>
      <c r="R206" s="83"/>
      <c r="S206" s="83"/>
      <c r="T206" s="126"/>
      <c r="U206" s="286">
        <v>44908</v>
      </c>
      <c r="V206" s="286"/>
      <c r="W206" s="83"/>
      <c r="X206" s="83"/>
      <c r="Y206" s="83"/>
      <c r="Z206" s="83"/>
      <c r="AA206" s="80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</row>
    <row r="207" spans="1:51" s="73" customFormat="1" ht="15.6" x14ac:dyDescent="0.3">
      <c r="A207" s="73" t="s">
        <v>111</v>
      </c>
      <c r="B207" s="5" t="s">
        <v>471</v>
      </c>
      <c r="C207" s="156">
        <v>926644</v>
      </c>
      <c r="D207" s="316">
        <f>1.0212*11520</f>
        <v>11764.224000000002</v>
      </c>
      <c r="E207" s="376">
        <v>7058.04</v>
      </c>
      <c r="F207" s="60">
        <f t="shared" si="26"/>
        <v>4706.184000000002</v>
      </c>
      <c r="G207" s="61">
        <f t="shared" si="24"/>
        <v>0.40004202572137365</v>
      </c>
      <c r="H207" s="62"/>
      <c r="I207" s="62"/>
      <c r="J207" s="63">
        <v>45291</v>
      </c>
      <c r="K207" s="64" t="str">
        <f>TEXT(30*MONTH(J207)+30,"mmmm")</f>
        <v>janvier</v>
      </c>
      <c r="L207" s="66" t="s">
        <v>168</v>
      </c>
      <c r="M207" s="227" t="s">
        <v>219</v>
      </c>
      <c r="N207" s="67"/>
      <c r="O207" s="59"/>
      <c r="P207" s="68"/>
      <c r="Q207" s="167" t="s">
        <v>220</v>
      </c>
      <c r="R207" s="126" t="s">
        <v>221</v>
      </c>
      <c r="S207" s="65">
        <v>44918</v>
      </c>
      <c r="T207" s="126" t="s">
        <v>221</v>
      </c>
      <c r="U207" s="287">
        <v>44903</v>
      </c>
      <c r="V207" s="287">
        <v>44992</v>
      </c>
      <c r="W207" s="70"/>
      <c r="X207" s="70"/>
      <c r="Y207" s="70"/>
      <c r="Z207" s="70"/>
      <c r="AA207" s="71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</row>
    <row r="208" spans="1:51" s="73" customFormat="1" ht="15.6" x14ac:dyDescent="0.3">
      <c r="A208" s="73" t="s">
        <v>66</v>
      </c>
      <c r="B208" s="117" t="s">
        <v>472</v>
      </c>
      <c r="C208" s="156">
        <v>1150358</v>
      </c>
      <c r="D208" s="318">
        <f>1.0212*5009.2-1500</f>
        <v>3615.3950400000003</v>
      </c>
      <c r="E208" s="439">
        <v>3322.73</v>
      </c>
      <c r="F208" s="60">
        <f t="shared" si="26"/>
        <v>292.66504000000032</v>
      </c>
      <c r="G208" s="61">
        <f t="shared" si="24"/>
        <v>8.0949671270224538E-2</v>
      </c>
      <c r="H208" s="62"/>
      <c r="I208" s="62"/>
      <c r="J208" s="118">
        <v>45291</v>
      </c>
      <c r="K208" s="64" t="str">
        <f>TEXT(30*MONTH(J208)+30,"mmmm")</f>
        <v>janvier</v>
      </c>
      <c r="L208" s="66" t="s">
        <v>168</v>
      </c>
      <c r="M208" s="227" t="s">
        <v>219</v>
      </c>
      <c r="N208" s="122"/>
      <c r="O208" s="121"/>
      <c r="P208" s="121"/>
      <c r="Q208" s="167" t="s">
        <v>240</v>
      </c>
      <c r="R208" s="126" t="s">
        <v>221</v>
      </c>
      <c r="S208" s="70"/>
      <c r="T208" s="126" t="s">
        <v>221</v>
      </c>
      <c r="U208" s="285"/>
      <c r="V208" s="285"/>
      <c r="W208" s="70"/>
      <c r="X208" s="70"/>
      <c r="Y208" s="70"/>
      <c r="Z208" s="136"/>
      <c r="AA208" s="71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</row>
    <row r="209" spans="1:51" s="73" customFormat="1" ht="15.6" x14ac:dyDescent="0.3">
      <c r="A209" s="73" t="s">
        <v>66</v>
      </c>
      <c r="B209" s="117" t="s">
        <v>134</v>
      </c>
      <c r="C209" s="156">
        <v>948759</v>
      </c>
      <c r="D209" s="301">
        <f>1.0212*14514</f>
        <v>14821.696800000002</v>
      </c>
      <c r="E209" s="377">
        <v>10529.23</v>
      </c>
      <c r="F209" s="60">
        <f t="shared" si="26"/>
        <v>4292.466800000002</v>
      </c>
      <c r="G209" s="61">
        <f t="shared" si="24"/>
        <v>0.28960697671267988</v>
      </c>
      <c r="H209" s="62"/>
      <c r="I209" s="62"/>
      <c r="J209" s="118">
        <v>45291</v>
      </c>
      <c r="K209" s="64" t="str">
        <f>TEXT(30*MONTH(J209)+30,"mmmm")</f>
        <v>janvier</v>
      </c>
      <c r="L209" s="66" t="s">
        <v>168</v>
      </c>
      <c r="M209" s="227" t="s">
        <v>219</v>
      </c>
      <c r="N209" s="122"/>
      <c r="O209" s="121"/>
      <c r="P209" s="121"/>
      <c r="Q209" s="167" t="s">
        <v>417</v>
      </c>
      <c r="R209" s="126" t="s">
        <v>221</v>
      </c>
      <c r="S209" s="70"/>
      <c r="T209" s="126" t="s">
        <v>221</v>
      </c>
      <c r="U209" s="285">
        <v>44889</v>
      </c>
      <c r="V209" s="285">
        <v>0</v>
      </c>
      <c r="W209" s="70"/>
      <c r="X209" s="70"/>
      <c r="Y209" s="70"/>
      <c r="Z209" s="70"/>
      <c r="AA209" s="71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</row>
    <row r="210" spans="1:51" s="73" customFormat="1" ht="15.6" x14ac:dyDescent="0.3">
      <c r="A210" s="58" t="s">
        <v>72</v>
      </c>
      <c r="B210" s="499" t="s">
        <v>473</v>
      </c>
      <c r="C210" s="464">
        <v>767050</v>
      </c>
      <c r="D210" s="144"/>
      <c r="E210" s="468"/>
      <c r="F210" s="60">
        <f t="shared" si="26"/>
        <v>0</v>
      </c>
      <c r="G210" s="61" t="e">
        <f t="shared" si="24"/>
        <v>#DIV/0!</v>
      </c>
      <c r="H210" s="144">
        <f>1.0212*14575</f>
        <v>14883.990000000002</v>
      </c>
      <c r="I210" s="468">
        <v>10241.4</v>
      </c>
      <c r="J210" s="119">
        <v>44895</v>
      </c>
      <c r="K210" s="64" t="s">
        <v>63</v>
      </c>
      <c r="L210" s="78" t="s">
        <v>168</v>
      </c>
      <c r="M210" s="227" t="s">
        <v>219</v>
      </c>
      <c r="P210" s="81"/>
      <c r="Q210" s="167" t="s">
        <v>223</v>
      </c>
      <c r="R210" s="126" t="s">
        <v>221</v>
      </c>
      <c r="S210" s="83"/>
      <c r="T210" s="126"/>
      <c r="U210" s="286"/>
      <c r="V210" s="286"/>
      <c r="W210" s="83"/>
      <c r="X210" s="83"/>
      <c r="Y210" s="83"/>
      <c r="Z210" s="83"/>
      <c r="AA210" s="80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</row>
    <row r="211" spans="1:51" s="73" customFormat="1" ht="15.6" x14ac:dyDescent="0.3">
      <c r="A211" s="73" t="s">
        <v>72</v>
      </c>
      <c r="B211" s="5" t="s">
        <v>474</v>
      </c>
      <c r="C211" s="130">
        <v>973028</v>
      </c>
      <c r="D211" s="301">
        <f>1.0212*16100</f>
        <v>16441.320000000003</v>
      </c>
      <c r="E211" s="376">
        <v>11125.13</v>
      </c>
      <c r="F211" s="60">
        <f t="shared" si="26"/>
        <v>5316.1900000000041</v>
      </c>
      <c r="G211" s="61">
        <f t="shared" si="24"/>
        <v>0.3233432595436378</v>
      </c>
      <c r="H211" s="62"/>
      <c r="I211" s="62"/>
      <c r="J211" s="63">
        <v>45291</v>
      </c>
      <c r="K211" s="141" t="str">
        <f>TEXT(30*MONTH(J211)+30,"mmmm")</f>
        <v>janvier</v>
      </c>
      <c r="L211" s="78" t="s">
        <v>168</v>
      </c>
      <c r="M211" s="154" t="s">
        <v>209</v>
      </c>
      <c r="P211" s="81"/>
      <c r="Q211" s="167" t="s">
        <v>223</v>
      </c>
      <c r="R211" s="83"/>
      <c r="S211" s="83"/>
      <c r="T211" s="126" t="s">
        <v>221</v>
      </c>
      <c r="U211" s="286">
        <v>44910</v>
      </c>
      <c r="V211" s="286">
        <v>44910</v>
      </c>
      <c r="W211" s="83"/>
      <c r="X211" s="83"/>
      <c r="Y211" s="83"/>
      <c r="Z211" s="83"/>
      <c r="AA211" s="80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</row>
    <row r="212" spans="1:51" s="73" customFormat="1" ht="15.6" x14ac:dyDescent="0.3">
      <c r="A212" s="73" t="s">
        <v>72</v>
      </c>
      <c r="B212" s="5" t="s">
        <v>475</v>
      </c>
      <c r="C212" s="160">
        <v>973028</v>
      </c>
      <c r="D212" s="301">
        <f>1.0212*4000</f>
        <v>4084.8000000000006</v>
      </c>
      <c r="E212" s="179">
        <v>2528.9</v>
      </c>
      <c r="F212" s="74">
        <f t="shared" si="26"/>
        <v>1555.9000000000005</v>
      </c>
      <c r="G212" s="75">
        <f t="shared" si="24"/>
        <v>0.38089992166079129</v>
      </c>
      <c r="H212" s="114"/>
      <c r="I212" s="115"/>
      <c r="J212" s="63">
        <v>45291</v>
      </c>
      <c r="K212" s="86" t="s">
        <v>53</v>
      </c>
      <c r="L212" s="174" t="s">
        <v>168</v>
      </c>
      <c r="M212" s="154" t="s">
        <v>176</v>
      </c>
      <c r="P212" s="81"/>
      <c r="Q212" s="167" t="s">
        <v>223</v>
      </c>
      <c r="R212" s="83"/>
      <c r="S212" s="83"/>
      <c r="T212" s="83" t="s">
        <v>221</v>
      </c>
      <c r="U212" s="286">
        <v>44910</v>
      </c>
      <c r="V212" s="286">
        <v>44910</v>
      </c>
      <c r="W212" s="83"/>
      <c r="X212" s="83"/>
      <c r="Y212" s="83"/>
      <c r="Z212" s="83"/>
      <c r="AA212" s="80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</row>
    <row r="213" spans="1:51" s="73" customFormat="1" ht="15.6" x14ac:dyDescent="0.3">
      <c r="A213" s="73" t="s">
        <v>111</v>
      </c>
      <c r="B213" s="5" t="s">
        <v>476</v>
      </c>
      <c r="C213" s="129">
        <v>1230670</v>
      </c>
      <c r="D213" s="301">
        <f>1.0212*6280</f>
        <v>6413.1360000000004</v>
      </c>
      <c r="E213" s="377">
        <v>4752.3999999999996</v>
      </c>
      <c r="F213" s="60">
        <f t="shared" si="26"/>
        <v>1660.7360000000008</v>
      </c>
      <c r="G213" s="61">
        <f t="shared" si="24"/>
        <v>0.25895848770398766</v>
      </c>
      <c r="H213" s="62"/>
      <c r="I213" s="62"/>
      <c r="J213" s="63">
        <v>45291</v>
      </c>
      <c r="K213" s="64" t="str">
        <f>TEXT(30*MONTH(J213)+30,"mmmm")</f>
        <v>janvier</v>
      </c>
      <c r="L213" s="66" t="s">
        <v>168</v>
      </c>
      <c r="M213" s="227" t="s">
        <v>219</v>
      </c>
      <c r="N213" s="122"/>
      <c r="O213" s="121"/>
      <c r="P213" s="121"/>
      <c r="Q213" s="167" t="s">
        <v>220</v>
      </c>
      <c r="R213" s="126" t="s">
        <v>221</v>
      </c>
      <c r="S213" s="126"/>
      <c r="T213" s="126" t="s">
        <v>221</v>
      </c>
      <c r="U213" s="287">
        <v>44904</v>
      </c>
      <c r="V213" s="287">
        <v>44907</v>
      </c>
      <c r="W213" s="130"/>
      <c r="X213" s="128"/>
      <c r="Y213" s="65"/>
      <c r="Z213" s="129"/>
      <c r="AA213" s="71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</row>
    <row r="214" spans="1:51" s="73" customFormat="1" ht="15.6" x14ac:dyDescent="0.3">
      <c r="A214" s="73" t="s">
        <v>111</v>
      </c>
      <c r="B214" s="303" t="s">
        <v>477</v>
      </c>
      <c r="C214" s="129">
        <v>1230670</v>
      </c>
      <c r="D214" s="301">
        <f>3960-660</f>
        <v>3300</v>
      </c>
      <c r="E214" s="376">
        <v>2772</v>
      </c>
      <c r="F214" s="74">
        <f t="shared" si="26"/>
        <v>528</v>
      </c>
      <c r="G214" s="75">
        <f t="shared" si="24"/>
        <v>0.16</v>
      </c>
      <c r="H214" s="114">
        <v>3960</v>
      </c>
      <c r="I214" s="114">
        <f>12600*0.22</f>
        <v>2772</v>
      </c>
      <c r="J214" s="63">
        <v>45291</v>
      </c>
      <c r="K214" s="86" t="s">
        <v>53</v>
      </c>
      <c r="L214" s="174" t="s">
        <v>168</v>
      </c>
      <c r="M214" s="228"/>
      <c r="P214" s="81"/>
      <c r="Q214" s="167" t="s">
        <v>220</v>
      </c>
      <c r="R214" s="83"/>
      <c r="S214" s="83"/>
      <c r="T214" s="83"/>
      <c r="U214" s="290">
        <v>44904</v>
      </c>
      <c r="V214" s="290">
        <v>44907</v>
      </c>
      <c r="W214" s="83"/>
      <c r="X214" s="83"/>
      <c r="Y214" s="83"/>
      <c r="Z214" s="83"/>
      <c r="AA214" s="80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</row>
    <row r="215" spans="1:51" s="73" customFormat="1" ht="15.6" x14ac:dyDescent="0.3">
      <c r="A215" s="73" t="s">
        <v>72</v>
      </c>
      <c r="B215" s="5" t="s">
        <v>478</v>
      </c>
      <c r="C215" s="130">
        <v>1682630</v>
      </c>
      <c r="D215" s="301">
        <v>23900</v>
      </c>
      <c r="E215" s="376">
        <v>16966.89</v>
      </c>
      <c r="F215" s="60">
        <f t="shared" si="26"/>
        <v>6933.1100000000006</v>
      </c>
      <c r="G215" s="61">
        <f t="shared" si="24"/>
        <v>0.29008828451882845</v>
      </c>
      <c r="H215" s="62"/>
      <c r="I215" s="62"/>
      <c r="J215" s="63">
        <v>45291</v>
      </c>
      <c r="K215" s="141" t="str">
        <f>TEXT(30*MONTH(J215)+30,"mmmm")</f>
        <v>janvier</v>
      </c>
      <c r="L215" s="78" t="s">
        <v>168</v>
      </c>
      <c r="M215" s="154" t="s">
        <v>176</v>
      </c>
      <c r="P215" s="81"/>
      <c r="Q215" s="167" t="s">
        <v>223</v>
      </c>
      <c r="R215" s="83"/>
      <c r="S215" s="83"/>
      <c r="T215" s="126" t="s">
        <v>221</v>
      </c>
      <c r="U215" s="285">
        <v>44902</v>
      </c>
      <c r="V215" s="286">
        <v>44564</v>
      </c>
      <c r="W215" s="83"/>
      <c r="X215" s="83"/>
      <c r="Y215" s="83"/>
      <c r="Z215" s="83"/>
      <c r="AA215" s="80" t="s">
        <v>479</v>
      </c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</row>
    <row r="216" spans="1:51" s="73" customFormat="1" ht="15.6" x14ac:dyDescent="0.3">
      <c r="A216" s="73" t="s">
        <v>66</v>
      </c>
      <c r="B216" s="5" t="s">
        <v>480</v>
      </c>
      <c r="C216" s="130">
        <v>1323376</v>
      </c>
      <c r="D216" s="301">
        <f>1.0212*8800</f>
        <v>8986.5600000000013</v>
      </c>
      <c r="E216" s="376">
        <v>5585.76</v>
      </c>
      <c r="F216" s="60">
        <f t="shared" si="26"/>
        <v>3400.8000000000011</v>
      </c>
      <c r="G216" s="61">
        <f t="shared" si="24"/>
        <v>0.37843179147526979</v>
      </c>
      <c r="H216" s="62"/>
      <c r="I216" s="62"/>
      <c r="J216" s="63">
        <v>45291</v>
      </c>
      <c r="K216" s="141" t="str">
        <f>TEXT(30*MONTH(J216)+30,"mmmm")</f>
        <v>janvier</v>
      </c>
      <c r="L216" s="78" t="s">
        <v>168</v>
      </c>
      <c r="M216" s="227" t="s">
        <v>219</v>
      </c>
      <c r="P216" s="81"/>
      <c r="Q216" s="167" t="s">
        <v>240</v>
      </c>
      <c r="R216" s="126" t="s">
        <v>221</v>
      </c>
      <c r="S216" s="83"/>
      <c r="T216" s="126" t="s">
        <v>221</v>
      </c>
      <c r="U216" s="286"/>
      <c r="V216" s="286">
        <v>44922</v>
      </c>
      <c r="W216" s="83"/>
      <c r="X216" s="83"/>
      <c r="Y216" s="83"/>
      <c r="Z216" s="83"/>
      <c r="AA216" s="80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</row>
    <row r="217" spans="1:51" s="73" customFormat="1" ht="15.6" x14ac:dyDescent="0.3">
      <c r="A217" s="73" t="s">
        <v>66</v>
      </c>
      <c r="B217" s="5" t="s">
        <v>481</v>
      </c>
      <c r="C217" s="130">
        <v>1663732</v>
      </c>
      <c r="D217" s="302">
        <f>1.0212*7478</f>
        <v>7636.5336000000007</v>
      </c>
      <c r="E217" s="376">
        <v>5287.37</v>
      </c>
      <c r="F217" s="60">
        <f t="shared" si="26"/>
        <v>2349.1636000000008</v>
      </c>
      <c r="G217" s="61">
        <f t="shared" si="24"/>
        <v>0.30762171988610126</v>
      </c>
      <c r="H217" s="62"/>
      <c r="I217" s="62"/>
      <c r="J217" s="63">
        <v>45291</v>
      </c>
      <c r="K217" s="64" t="str">
        <f>TEXT(30*MONTH(J217)+30,"mmmm")</f>
        <v>janvier</v>
      </c>
      <c r="L217" s="66" t="s">
        <v>168</v>
      </c>
      <c r="M217" s="121" t="s">
        <v>209</v>
      </c>
      <c r="N217" s="122"/>
      <c r="O217" s="121"/>
      <c r="P217" s="121"/>
      <c r="Q217" s="167" t="s">
        <v>223</v>
      </c>
      <c r="R217" s="70"/>
      <c r="S217" s="70"/>
      <c r="T217" s="126" t="s">
        <v>221</v>
      </c>
      <c r="U217" s="285">
        <v>44902</v>
      </c>
      <c r="V217" s="285"/>
      <c r="W217" s="70"/>
      <c r="X217" s="70"/>
      <c r="Y217" s="70"/>
      <c r="Z217" s="70"/>
      <c r="AA217" s="71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</row>
    <row r="218" spans="1:51" s="73" customFormat="1" ht="15.6" x14ac:dyDescent="0.3">
      <c r="A218" s="73" t="s">
        <v>111</v>
      </c>
      <c r="B218" s="5" t="s">
        <v>482</v>
      </c>
      <c r="C218" s="130">
        <v>1032962</v>
      </c>
      <c r="D218" s="301">
        <f>1.0212*(11733+13900)</f>
        <v>26176.419600000001</v>
      </c>
      <c r="E218" s="376">
        <f>8568.54+7700.45</f>
        <v>16268.990000000002</v>
      </c>
      <c r="F218" s="60">
        <f t="shared" si="26"/>
        <v>9907.4295999999995</v>
      </c>
      <c r="G218" s="61">
        <f t="shared" si="24"/>
        <v>0.37848681184801908</v>
      </c>
      <c r="H218" s="62"/>
      <c r="I218" s="62"/>
      <c r="J218" s="63">
        <v>45291</v>
      </c>
      <c r="K218" s="64" t="str">
        <f>TEXT(30*MONTH(J218)+30,"mmmm")</f>
        <v>janvier</v>
      </c>
      <c r="L218" s="66" t="s">
        <v>168</v>
      </c>
      <c r="M218" s="121" t="s">
        <v>176</v>
      </c>
      <c r="N218" s="122"/>
      <c r="O218" s="121"/>
      <c r="P218" s="121"/>
      <c r="Q218" s="167" t="s">
        <v>220</v>
      </c>
      <c r="R218" s="70"/>
      <c r="S218" s="70"/>
      <c r="T218" s="126" t="s">
        <v>221</v>
      </c>
      <c r="U218" s="287">
        <v>44903</v>
      </c>
      <c r="V218" s="287">
        <v>44904</v>
      </c>
      <c r="W218" s="70"/>
      <c r="X218" s="70"/>
      <c r="Y218" s="70"/>
      <c r="Z218" s="70"/>
      <c r="AA218" s="71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</row>
    <row r="219" spans="1:51" s="73" customFormat="1" ht="15.6" x14ac:dyDescent="0.3">
      <c r="A219" s="73" t="s">
        <v>111</v>
      </c>
      <c r="B219" s="5" t="s">
        <v>483</v>
      </c>
      <c r="C219" s="130" t="s">
        <v>235</v>
      </c>
      <c r="D219" s="301">
        <v>1100</v>
      </c>
      <c r="E219" s="376">
        <v>900</v>
      </c>
      <c r="F219" s="60">
        <f t="shared" si="26"/>
        <v>200</v>
      </c>
      <c r="G219" s="61">
        <f t="shared" si="24"/>
        <v>0.18181818181818182</v>
      </c>
      <c r="H219" s="115"/>
      <c r="I219" s="115"/>
      <c r="J219" s="63">
        <v>45291</v>
      </c>
      <c r="K219" s="141" t="s">
        <v>53</v>
      </c>
      <c r="L219" s="78" t="s">
        <v>235</v>
      </c>
      <c r="M219" s="174" t="s">
        <v>374</v>
      </c>
      <c r="P219" s="81"/>
      <c r="Q219" s="167" t="s">
        <v>220</v>
      </c>
      <c r="R219" s="83"/>
      <c r="S219" s="83"/>
      <c r="T219" s="126" t="s">
        <v>221</v>
      </c>
      <c r="U219" s="287">
        <v>44903</v>
      </c>
      <c r="V219" s="287">
        <v>44907</v>
      </c>
      <c r="W219" s="83"/>
      <c r="X219" s="83"/>
      <c r="Y219" s="83"/>
      <c r="Z219" s="83"/>
      <c r="AA219" s="80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</row>
    <row r="220" spans="1:51" s="73" customFormat="1" ht="15.6" x14ac:dyDescent="0.3">
      <c r="A220" s="73" t="s">
        <v>66</v>
      </c>
      <c r="B220" s="5" t="s">
        <v>484</v>
      </c>
      <c r="C220" s="130"/>
      <c r="D220" s="301">
        <f>1.0212*48000</f>
        <v>49017.600000000006</v>
      </c>
      <c r="E220" s="376">
        <v>43984.61</v>
      </c>
      <c r="F220" s="60">
        <f t="shared" si="26"/>
        <v>5032.9900000000052</v>
      </c>
      <c r="G220" s="61">
        <f t="shared" si="24"/>
        <v>0.10267720165818002</v>
      </c>
      <c r="H220" s="62"/>
      <c r="I220" s="62"/>
      <c r="J220" s="63">
        <v>45291</v>
      </c>
      <c r="K220" s="141" t="str">
        <f>TEXT(30*MONTH(J220)+30,"mmmm")</f>
        <v>janvier</v>
      </c>
      <c r="L220" s="174" t="s">
        <v>168</v>
      </c>
      <c r="M220" s="227" t="s">
        <v>176</v>
      </c>
      <c r="P220" s="81"/>
      <c r="Q220" s="167" t="s">
        <v>240</v>
      </c>
      <c r="R220" s="83"/>
      <c r="S220" s="83"/>
      <c r="T220" s="126" t="s">
        <v>221</v>
      </c>
      <c r="U220" s="286"/>
      <c r="V220" s="286"/>
      <c r="W220" s="83"/>
      <c r="X220" s="83"/>
      <c r="Y220" s="83"/>
      <c r="Z220" s="83"/>
      <c r="AA220" s="80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</row>
    <row r="221" spans="1:51" s="73" customFormat="1" ht="15.6" x14ac:dyDescent="0.3">
      <c r="A221" s="58" t="s">
        <v>72</v>
      </c>
      <c r="B221" s="92" t="s">
        <v>485</v>
      </c>
      <c r="C221" s="130">
        <v>934123</v>
      </c>
      <c r="D221" s="144">
        <f>1.0212*1943.66</f>
        <v>1984.8655920000003</v>
      </c>
      <c r="E221" s="144">
        <v>1167.1099999999999</v>
      </c>
      <c r="F221" s="60">
        <f t="shared" si="26"/>
        <v>817.75559200000043</v>
      </c>
      <c r="G221" s="61">
        <f t="shared" si="24"/>
        <v>0.41199544961430329</v>
      </c>
      <c r="H221" s="62"/>
      <c r="I221" s="62"/>
      <c r="J221" s="119">
        <v>45173</v>
      </c>
      <c r="K221" s="141" t="s">
        <v>59</v>
      </c>
      <c r="L221" s="78" t="s">
        <v>168</v>
      </c>
      <c r="M221" s="227" t="s">
        <v>219</v>
      </c>
      <c r="P221" s="81"/>
      <c r="Q221" s="167" t="s">
        <v>223</v>
      </c>
      <c r="R221" s="126" t="s">
        <v>221</v>
      </c>
      <c r="S221" s="83"/>
      <c r="T221" s="126"/>
      <c r="U221" s="286"/>
      <c r="V221" s="286"/>
      <c r="W221" s="83"/>
      <c r="X221" s="83"/>
      <c r="Y221" s="83"/>
      <c r="Z221" s="83"/>
      <c r="AA221" s="80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</row>
    <row r="222" spans="1:51" s="73" customFormat="1" ht="15.6" x14ac:dyDescent="0.3">
      <c r="A222" s="73" t="s">
        <v>111</v>
      </c>
      <c r="B222" s="117" t="s">
        <v>486</v>
      </c>
      <c r="C222" s="156">
        <v>1247633</v>
      </c>
      <c r="D222" s="301">
        <f>1.0212*5200</f>
        <v>5310.2400000000007</v>
      </c>
      <c r="E222" s="377">
        <f>2401.89+2401.89+303.87</f>
        <v>5107.6499999999996</v>
      </c>
      <c r="F222" s="60">
        <f t="shared" si="26"/>
        <v>202.59000000000106</v>
      </c>
      <c r="G222" s="61">
        <f t="shared" si="24"/>
        <v>3.8150818042122586E-2</v>
      </c>
      <c r="H222" s="62"/>
      <c r="I222" s="62"/>
      <c r="J222" s="118">
        <v>45291</v>
      </c>
      <c r="K222" s="64" t="str">
        <f>TEXT(30*MONTH(J222)+30,"mmmm")</f>
        <v>janvier</v>
      </c>
      <c r="L222" s="66" t="s">
        <v>168</v>
      </c>
      <c r="M222" s="227" t="s">
        <v>219</v>
      </c>
      <c r="N222" s="122"/>
      <c r="O222" s="121"/>
      <c r="P222" s="121"/>
      <c r="Q222" s="167" t="s">
        <v>220</v>
      </c>
      <c r="R222" s="126" t="s">
        <v>221</v>
      </c>
      <c r="S222" s="126"/>
      <c r="T222" s="126" t="s">
        <v>221</v>
      </c>
      <c r="U222" s="287">
        <v>44903</v>
      </c>
      <c r="V222" s="287">
        <v>44953</v>
      </c>
      <c r="W222" s="130"/>
      <c r="X222" s="128"/>
      <c r="Y222" s="65"/>
      <c r="Z222" s="136"/>
      <c r="AA222" s="71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</row>
    <row r="223" spans="1:51" s="73" customFormat="1" ht="15.6" x14ac:dyDescent="0.3">
      <c r="A223" s="169" t="s">
        <v>66</v>
      </c>
      <c r="B223" s="5" t="s">
        <v>487</v>
      </c>
      <c r="C223" s="156">
        <v>1078036</v>
      </c>
      <c r="D223" s="301">
        <f>1.0212*11104</f>
        <v>11339.404800000002</v>
      </c>
      <c r="E223" s="377">
        <v>7910.75</v>
      </c>
      <c r="F223" s="60">
        <f t="shared" si="26"/>
        <v>3428.6548000000021</v>
      </c>
      <c r="G223" s="61">
        <f t="shared" si="24"/>
        <v>0.30236638169932883</v>
      </c>
      <c r="H223" s="62"/>
      <c r="I223" s="62"/>
      <c r="J223" s="118">
        <v>45291</v>
      </c>
      <c r="K223" s="64" t="str">
        <f>TEXT(30*MONTH(J223)+30,"mmmm")</f>
        <v>janvier</v>
      </c>
      <c r="L223" s="66" t="s">
        <v>168</v>
      </c>
      <c r="M223" s="227" t="s">
        <v>219</v>
      </c>
      <c r="N223" s="123"/>
      <c r="O223" s="66"/>
      <c r="P223" s="66"/>
      <c r="Q223" s="167" t="s">
        <v>223</v>
      </c>
      <c r="R223" s="126" t="s">
        <v>221</v>
      </c>
      <c r="S223" s="70"/>
      <c r="T223" s="126" t="s">
        <v>221</v>
      </c>
      <c r="U223" s="285">
        <v>44902</v>
      </c>
      <c r="V223" s="285">
        <v>44907</v>
      </c>
      <c r="W223" s="70"/>
      <c r="X223" s="70"/>
      <c r="Y223" s="70"/>
      <c r="Z223" s="70"/>
      <c r="AA223" s="71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</row>
    <row r="224" spans="1:51" s="73" customFormat="1" ht="15.6" x14ac:dyDescent="0.3">
      <c r="A224" s="73" t="s">
        <v>66</v>
      </c>
      <c r="B224" s="117" t="s">
        <v>488</v>
      </c>
      <c r="C224" s="156">
        <v>992275</v>
      </c>
      <c r="D224" s="301">
        <f>1.0212*8925</f>
        <v>9114.2100000000009</v>
      </c>
      <c r="E224" s="377">
        <v>8620.5</v>
      </c>
      <c r="F224" s="60">
        <f t="shared" si="26"/>
        <v>493.71000000000095</v>
      </c>
      <c r="G224" s="61">
        <f t="shared" si="24"/>
        <v>5.4169258772839436E-2</v>
      </c>
      <c r="H224" s="62"/>
      <c r="I224" s="62"/>
      <c r="J224" s="118">
        <v>45291</v>
      </c>
      <c r="K224" s="64" t="str">
        <f>TEXT(30*MONTH(J224)+30,"mmmm")</f>
        <v>janvier</v>
      </c>
      <c r="L224" s="66" t="s">
        <v>168</v>
      </c>
      <c r="M224" s="227" t="s">
        <v>219</v>
      </c>
      <c r="N224" s="123"/>
      <c r="O224" s="66"/>
      <c r="P224" s="66"/>
      <c r="Q224" s="167" t="s">
        <v>272</v>
      </c>
      <c r="R224" s="126" t="s">
        <v>221</v>
      </c>
      <c r="S224" s="126"/>
      <c r="T224" s="126" t="s">
        <v>221</v>
      </c>
      <c r="U224" s="284">
        <v>44904</v>
      </c>
      <c r="V224" s="284">
        <v>44908</v>
      </c>
      <c r="W224" s="130"/>
      <c r="X224" s="128"/>
      <c r="Y224" s="58"/>
      <c r="Z224" s="129"/>
      <c r="AA224" s="71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</row>
    <row r="225" spans="1:51" s="73" customFormat="1" ht="15.6" x14ac:dyDescent="0.3">
      <c r="A225" s="73" t="s">
        <v>66</v>
      </c>
      <c r="B225" s="117" t="s">
        <v>489</v>
      </c>
      <c r="C225" s="129" t="s">
        <v>235</v>
      </c>
      <c r="D225" s="301">
        <v>891</v>
      </c>
      <c r="E225" s="376">
        <f>4050*0.22</f>
        <v>891</v>
      </c>
      <c r="F225" s="60">
        <f t="shared" si="26"/>
        <v>0</v>
      </c>
      <c r="G225" s="61">
        <f t="shared" si="24"/>
        <v>0</v>
      </c>
      <c r="H225" s="62"/>
      <c r="I225" s="62"/>
      <c r="J225" s="118">
        <v>45291</v>
      </c>
      <c r="K225" s="64" t="s">
        <v>53</v>
      </c>
      <c r="L225" s="66" t="s">
        <v>168</v>
      </c>
      <c r="M225" s="227" t="s">
        <v>176</v>
      </c>
      <c r="N225" s="123"/>
      <c r="O225" s="66"/>
      <c r="P225" s="66"/>
      <c r="Q225" s="167" t="s">
        <v>417</v>
      </c>
      <c r="R225" s="126" t="s">
        <v>221</v>
      </c>
      <c r="S225" s="126"/>
      <c r="T225" s="126" t="s">
        <v>221</v>
      </c>
      <c r="U225" s="284"/>
      <c r="V225" s="284"/>
      <c r="W225" s="130"/>
      <c r="X225" s="128"/>
      <c r="Y225" s="58"/>
      <c r="Z225" s="129"/>
      <c r="AA225" s="71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</row>
    <row r="226" spans="1:51" s="73" customFormat="1" ht="15.6" x14ac:dyDescent="0.3">
      <c r="A226" s="73" t="s">
        <v>111</v>
      </c>
      <c r="B226" s="117" t="s">
        <v>490</v>
      </c>
      <c r="C226" s="156">
        <v>983669</v>
      </c>
      <c r="D226" s="301">
        <f>1.0212*14895</f>
        <v>15210.774000000001</v>
      </c>
      <c r="E226" s="376">
        <f>(9294.98+607.8)*1.0156</f>
        <v>10057.263368</v>
      </c>
      <c r="F226" s="60">
        <f t="shared" si="26"/>
        <v>5153.5106320000014</v>
      </c>
      <c r="G226" s="61">
        <f t="shared" si="24"/>
        <v>0.33880660063715368</v>
      </c>
      <c r="H226" s="62"/>
      <c r="I226" s="62"/>
      <c r="J226" s="118">
        <v>45291</v>
      </c>
      <c r="K226" s="64" t="str">
        <f>TEXT(30*MONTH(J226)+30,"mmmm")</f>
        <v>janvier</v>
      </c>
      <c r="L226" s="66" t="s">
        <v>168</v>
      </c>
      <c r="M226" s="227" t="s">
        <v>219</v>
      </c>
      <c r="N226" s="123"/>
      <c r="O226" s="66"/>
      <c r="P226" s="66"/>
      <c r="Q226" s="167" t="s">
        <v>220</v>
      </c>
      <c r="R226" s="126" t="s">
        <v>221</v>
      </c>
      <c r="S226" s="126"/>
      <c r="T226" s="126" t="s">
        <v>221</v>
      </c>
      <c r="U226" s="287">
        <v>44903</v>
      </c>
      <c r="V226" s="287">
        <v>44911</v>
      </c>
      <c r="W226" s="130"/>
      <c r="X226" s="128"/>
      <c r="Y226" s="65"/>
      <c r="Z226" s="129"/>
      <c r="AA226" s="71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</row>
    <row r="227" spans="1:51" s="73" customFormat="1" ht="15.6" x14ac:dyDescent="0.3">
      <c r="A227" s="73" t="s">
        <v>111</v>
      </c>
      <c r="B227" s="117" t="s">
        <v>490</v>
      </c>
      <c r="C227" s="156">
        <v>983669</v>
      </c>
      <c r="D227" s="301">
        <f>1.0212*8435</f>
        <v>8613.8220000000001</v>
      </c>
      <c r="E227" s="376">
        <f>4483.5*1.0156</f>
        <v>4553.4426000000003</v>
      </c>
      <c r="F227" s="60">
        <f t="shared" si="26"/>
        <v>4060.3793999999998</v>
      </c>
      <c r="G227" s="61">
        <f t="shared" si="24"/>
        <v>0.4713795339629725</v>
      </c>
      <c r="H227" s="62"/>
      <c r="I227" s="62"/>
      <c r="J227" s="118">
        <v>45291</v>
      </c>
      <c r="K227" s="64" t="str">
        <f>TEXT(30*MONTH(J227)+30,"mmmm")</f>
        <v>janvier</v>
      </c>
      <c r="L227" s="66" t="s">
        <v>168</v>
      </c>
      <c r="M227" s="227" t="s">
        <v>219</v>
      </c>
      <c r="N227" s="123"/>
      <c r="O227" s="66"/>
      <c r="P227" s="66"/>
      <c r="Q227" s="167" t="s">
        <v>220</v>
      </c>
      <c r="R227" s="126" t="s">
        <v>221</v>
      </c>
      <c r="S227" s="126"/>
      <c r="T227" s="126" t="s">
        <v>221</v>
      </c>
      <c r="U227" s="287">
        <v>44903</v>
      </c>
      <c r="V227" s="287">
        <v>44911</v>
      </c>
      <c r="W227" s="130"/>
      <c r="X227" s="128"/>
      <c r="Y227" s="65"/>
      <c r="Z227" s="129"/>
      <c r="AA227" s="71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</row>
    <row r="228" spans="1:51" s="73" customFormat="1" ht="15.6" x14ac:dyDescent="0.3">
      <c r="A228" s="73" t="s">
        <v>72</v>
      </c>
      <c r="B228" s="543" t="s">
        <v>491</v>
      </c>
      <c r="C228" s="156">
        <v>1123834</v>
      </c>
      <c r="D228" s="301">
        <f>1.0212*14397</f>
        <v>14702.216400000001</v>
      </c>
      <c r="E228" s="376">
        <f>5428.42+6756.58</f>
        <v>12185</v>
      </c>
      <c r="F228" s="60">
        <f t="shared" si="26"/>
        <v>2517.2164000000012</v>
      </c>
      <c r="G228" s="61">
        <f t="shared" si="24"/>
        <v>0.17121339609720349</v>
      </c>
      <c r="H228" s="62"/>
      <c r="I228" s="62"/>
      <c r="J228" s="118">
        <v>45291</v>
      </c>
      <c r="K228" s="64" t="str">
        <f>TEXT(30*MONTH(J228)+30,"mmmm")</f>
        <v>janvier</v>
      </c>
      <c r="L228" s="66" t="s">
        <v>168</v>
      </c>
      <c r="M228" s="227" t="s">
        <v>219</v>
      </c>
      <c r="N228" s="80"/>
      <c r="P228" s="81"/>
      <c r="Q228" s="167" t="s">
        <v>272</v>
      </c>
      <c r="R228" s="126" t="s">
        <v>221</v>
      </c>
      <c r="S228" s="83"/>
      <c r="T228" s="126" t="s">
        <v>221</v>
      </c>
      <c r="U228" s="292">
        <v>44904</v>
      </c>
      <c r="V228" s="286"/>
      <c r="W228" s="83"/>
      <c r="X228" s="83"/>
      <c r="Y228" s="83"/>
      <c r="Z228" s="83"/>
      <c r="AA228" s="80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</row>
    <row r="229" spans="1:51" s="58" customFormat="1" ht="15.6" x14ac:dyDescent="0.3">
      <c r="A229" s="73" t="s">
        <v>72</v>
      </c>
      <c r="B229" s="5" t="s">
        <v>492</v>
      </c>
      <c r="C229" s="130">
        <v>934145</v>
      </c>
      <c r="D229" s="301">
        <f>1.0212*8490.74</f>
        <v>8670.7436880000005</v>
      </c>
      <c r="E229" s="377">
        <v>4676.18</v>
      </c>
      <c r="F229" s="60">
        <f t="shared" si="26"/>
        <v>3994.5636880000002</v>
      </c>
      <c r="G229" s="61">
        <f t="shared" ref="G229:G260" si="27">F229/D229</f>
        <v>0.4606944723240215</v>
      </c>
      <c r="H229" s="62"/>
      <c r="I229" s="62"/>
      <c r="J229" s="118">
        <v>45291</v>
      </c>
      <c r="K229" s="141" t="str">
        <f>TEXT(30*MONTH(J229)+30,"mmmm")</f>
        <v>janvier</v>
      </c>
      <c r="L229" s="78" t="s">
        <v>168</v>
      </c>
      <c r="M229" s="227" t="s">
        <v>219</v>
      </c>
      <c r="N229" s="73"/>
      <c r="O229" s="73"/>
      <c r="P229" s="81"/>
      <c r="Q229" s="167" t="s">
        <v>223</v>
      </c>
      <c r="R229" s="126" t="s">
        <v>221</v>
      </c>
      <c r="S229" s="83"/>
      <c r="T229" s="126" t="s">
        <v>221</v>
      </c>
      <c r="U229" s="285">
        <v>44902</v>
      </c>
      <c r="V229" s="285">
        <v>44902</v>
      </c>
      <c r="W229" s="83"/>
      <c r="X229" s="83"/>
      <c r="Y229" s="83"/>
      <c r="Z229" s="83"/>
      <c r="AA229" s="80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</row>
    <row r="230" spans="1:51" s="73" customFormat="1" ht="15.6" x14ac:dyDescent="0.3">
      <c r="A230" s="73" t="s">
        <v>111</v>
      </c>
      <c r="B230" s="5" t="s">
        <v>493</v>
      </c>
      <c r="C230" s="130"/>
      <c r="D230" s="301">
        <f>1.0212*1980</f>
        <v>2021.9760000000001</v>
      </c>
      <c r="E230" s="376">
        <v>990</v>
      </c>
      <c r="F230" s="60">
        <f t="shared" si="26"/>
        <v>1031.9760000000001</v>
      </c>
      <c r="G230" s="61">
        <f t="shared" si="27"/>
        <v>0.51037994516255392</v>
      </c>
      <c r="H230" s="62"/>
      <c r="I230" s="62"/>
      <c r="J230" s="118">
        <v>45291</v>
      </c>
      <c r="K230" s="141" t="s">
        <v>53</v>
      </c>
      <c r="L230" s="78" t="s">
        <v>168</v>
      </c>
      <c r="M230" s="121" t="s">
        <v>176</v>
      </c>
      <c r="P230" s="81"/>
      <c r="Q230" s="167" t="s">
        <v>220</v>
      </c>
      <c r="R230" s="83"/>
      <c r="S230" s="65">
        <v>44918</v>
      </c>
      <c r="T230" s="126" t="s">
        <v>221</v>
      </c>
      <c r="U230" s="288">
        <v>44903</v>
      </c>
      <c r="V230" s="287">
        <v>44571</v>
      </c>
      <c r="W230" s="83"/>
      <c r="X230" s="83"/>
      <c r="Y230" s="83"/>
      <c r="Z230" s="83"/>
      <c r="AA230" s="80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</row>
    <row r="231" spans="1:51" s="73" customFormat="1" ht="15.6" x14ac:dyDescent="0.3">
      <c r="A231" s="58" t="s">
        <v>72</v>
      </c>
      <c r="B231" s="5" t="s">
        <v>494</v>
      </c>
      <c r="C231" s="130">
        <v>2304586</v>
      </c>
      <c r="D231" s="301">
        <v>396</v>
      </c>
      <c r="E231" s="376">
        <v>257.39999999999998</v>
      </c>
      <c r="F231" s="60">
        <f t="shared" si="26"/>
        <v>138.60000000000002</v>
      </c>
      <c r="G231" s="61">
        <f t="shared" si="27"/>
        <v>0.35000000000000003</v>
      </c>
      <c r="H231" s="373"/>
      <c r="I231" s="374"/>
      <c r="J231" s="63">
        <v>45291</v>
      </c>
      <c r="K231" s="141" t="s">
        <v>53</v>
      </c>
      <c r="L231" s="65" t="s">
        <v>168</v>
      </c>
      <c r="M231" s="227" t="s">
        <v>176</v>
      </c>
      <c r="N231" s="58" t="s">
        <v>495</v>
      </c>
      <c r="O231" s="58"/>
      <c r="P231" s="63"/>
      <c r="Q231" s="167" t="s">
        <v>223</v>
      </c>
      <c r="R231" s="70"/>
      <c r="S231" s="70"/>
      <c r="T231" s="70"/>
      <c r="U231" s="285"/>
      <c r="V231" s="285"/>
      <c r="W231" s="70"/>
      <c r="X231" s="70"/>
      <c r="Y231" s="70"/>
      <c r="Z231" s="70"/>
      <c r="AA231" s="71" t="s">
        <v>496</v>
      </c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</row>
    <row r="232" spans="1:51" s="73" customFormat="1" ht="15.6" x14ac:dyDescent="0.3">
      <c r="A232" s="58" t="s">
        <v>72</v>
      </c>
      <c r="B232" s="5" t="s">
        <v>494</v>
      </c>
      <c r="C232" s="130">
        <v>2304586</v>
      </c>
      <c r="D232" s="471">
        <f>900*1.0212</f>
        <v>919.08</v>
      </c>
      <c r="E232" s="465">
        <v>757.95</v>
      </c>
      <c r="F232" s="60">
        <f t="shared" si="26"/>
        <v>161.13</v>
      </c>
      <c r="G232" s="61">
        <f t="shared" si="27"/>
        <v>0.17531662096879486</v>
      </c>
      <c r="H232" s="140"/>
      <c r="I232" s="231"/>
      <c r="J232" s="119">
        <v>45037</v>
      </c>
      <c r="K232" s="86" t="s">
        <v>68</v>
      </c>
      <c r="L232" s="78" t="s">
        <v>168</v>
      </c>
      <c r="M232" s="227" t="s">
        <v>219</v>
      </c>
      <c r="P232" s="81"/>
      <c r="Q232" s="167" t="s">
        <v>223</v>
      </c>
      <c r="R232" s="83"/>
      <c r="S232" s="83"/>
      <c r="T232" s="83"/>
      <c r="U232" s="286"/>
      <c r="V232" s="286"/>
      <c r="W232" s="83"/>
      <c r="X232" s="83"/>
      <c r="Y232" s="83"/>
      <c r="Z232" s="83"/>
      <c r="AA232" s="80" t="s">
        <v>496</v>
      </c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</row>
    <row r="233" spans="1:51" s="73" customFormat="1" ht="15.6" x14ac:dyDescent="0.3">
      <c r="A233" s="73" t="s">
        <v>66</v>
      </c>
      <c r="B233" s="5" t="s">
        <v>497</v>
      </c>
      <c r="C233" s="156">
        <v>940386</v>
      </c>
      <c r="D233" s="301">
        <f>1.0212*26142</f>
        <v>26696.210400000004</v>
      </c>
      <c r="E233" s="376">
        <v>16391.759999999998</v>
      </c>
      <c r="F233" s="60">
        <f t="shared" si="26"/>
        <v>10304.450400000005</v>
      </c>
      <c r="G233" s="61">
        <f t="shared" si="27"/>
        <v>0.38598925636276837</v>
      </c>
      <c r="H233" s="62"/>
      <c r="I233" s="62"/>
      <c r="J233" s="118">
        <v>45291</v>
      </c>
      <c r="K233" s="64" t="str">
        <f>TEXT(30*MONTH(J233)+30,"mmmm")</f>
        <v>janvier</v>
      </c>
      <c r="L233" s="66" t="s">
        <v>168</v>
      </c>
      <c r="M233" s="66" t="s">
        <v>176</v>
      </c>
      <c r="N233" s="123"/>
      <c r="O233" s="66"/>
      <c r="P233" s="66"/>
      <c r="Q233" s="167" t="s">
        <v>240</v>
      </c>
      <c r="R233" s="70"/>
      <c r="S233" s="70"/>
      <c r="T233" s="126" t="s">
        <v>221</v>
      </c>
      <c r="U233" s="285"/>
      <c r="V233" s="285"/>
      <c r="W233" s="70"/>
      <c r="X233" s="70"/>
      <c r="Y233" s="70"/>
      <c r="Z233" s="70"/>
      <c r="AA233" s="71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</row>
    <row r="234" spans="1:51" s="73" customFormat="1" ht="15.6" x14ac:dyDescent="0.3">
      <c r="A234" s="73" t="s">
        <v>72</v>
      </c>
      <c r="B234" s="117" t="s">
        <v>498</v>
      </c>
      <c r="C234" s="156">
        <v>1065966</v>
      </c>
      <c r="D234" s="301">
        <f>1.0212*15500</f>
        <v>15828.600000000002</v>
      </c>
      <c r="E234" s="376">
        <v>12748.34</v>
      </c>
      <c r="F234" s="60">
        <f t="shared" ref="F234:F265" si="28">D234-E234</f>
        <v>3080.260000000002</v>
      </c>
      <c r="G234" s="61">
        <f t="shared" si="27"/>
        <v>0.19460091227272164</v>
      </c>
      <c r="H234" s="62"/>
      <c r="I234" s="62"/>
      <c r="J234" s="118">
        <v>45291</v>
      </c>
      <c r="K234" s="64" t="str">
        <f>TEXT(30*MONTH(J234)+30,"mmmm")</f>
        <v>janvier</v>
      </c>
      <c r="L234" s="66" t="s">
        <v>168</v>
      </c>
      <c r="M234" s="66" t="s">
        <v>176</v>
      </c>
      <c r="N234" s="80"/>
      <c r="P234" s="81"/>
      <c r="Q234" s="167" t="s">
        <v>223</v>
      </c>
      <c r="R234" s="83"/>
      <c r="S234" s="83"/>
      <c r="T234" s="126" t="s">
        <v>221</v>
      </c>
      <c r="U234" s="286">
        <v>44907</v>
      </c>
      <c r="V234" s="286"/>
      <c r="W234" s="83"/>
      <c r="X234" s="83"/>
      <c r="Y234" s="83"/>
      <c r="Z234" s="83"/>
      <c r="AA234" s="80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</row>
    <row r="235" spans="1:51" s="73" customFormat="1" ht="15.6" x14ac:dyDescent="0.3">
      <c r="A235" s="73" t="s">
        <v>72</v>
      </c>
      <c r="B235" s="117" t="s">
        <v>498</v>
      </c>
      <c r="C235" s="156" t="s">
        <v>235</v>
      </c>
      <c r="D235" s="301">
        <f>1.0459*1455</f>
        <v>1521.7845</v>
      </c>
      <c r="E235" s="399">
        <v>1355.18</v>
      </c>
      <c r="F235" s="60">
        <f t="shared" si="28"/>
        <v>166.60449999999992</v>
      </c>
      <c r="G235" s="61">
        <f t="shared" si="27"/>
        <v>0.10947969308400757</v>
      </c>
      <c r="H235" s="62"/>
      <c r="I235" s="62"/>
      <c r="J235" s="118">
        <v>45291</v>
      </c>
      <c r="K235" s="64" t="str">
        <f>TEXT(30*MONTH(J235)+30,"mmmm")</f>
        <v>janvier</v>
      </c>
      <c r="L235" s="78" t="s">
        <v>235</v>
      </c>
      <c r="M235" s="121">
        <v>360</v>
      </c>
      <c r="N235" s="80"/>
      <c r="P235" s="81"/>
      <c r="Q235" s="167" t="s">
        <v>223</v>
      </c>
      <c r="R235" s="83"/>
      <c r="S235" s="83"/>
      <c r="T235" s="126" t="s">
        <v>221</v>
      </c>
      <c r="U235" s="286">
        <v>44907</v>
      </c>
      <c r="V235" s="286"/>
      <c r="W235" s="83"/>
      <c r="X235" s="83"/>
      <c r="Y235" s="83"/>
      <c r="Z235" s="83"/>
      <c r="AA235" s="80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</row>
    <row r="236" spans="1:51" s="73" customFormat="1" ht="15.6" x14ac:dyDescent="0.3">
      <c r="A236" s="73" t="s">
        <v>66</v>
      </c>
      <c r="B236" s="5" t="s">
        <v>499</v>
      </c>
      <c r="C236" s="160">
        <v>435509</v>
      </c>
      <c r="D236" s="301">
        <f>1.0212*1232</f>
        <v>1258.1184000000001</v>
      </c>
      <c r="E236" s="376">
        <v>988.5</v>
      </c>
      <c r="F236" s="60">
        <f t="shared" si="28"/>
        <v>269.61840000000007</v>
      </c>
      <c r="G236" s="61">
        <f t="shared" si="27"/>
        <v>0.21430288278114368</v>
      </c>
      <c r="H236" s="62"/>
      <c r="I236" s="62"/>
      <c r="J236" s="118">
        <v>45291</v>
      </c>
      <c r="K236" s="64" t="str">
        <f>TEXT(30*MONTH(J236)+30,"mmmm")</f>
        <v>janvier</v>
      </c>
      <c r="L236" s="66" t="s">
        <v>168</v>
      </c>
      <c r="M236" s="66" t="s">
        <v>176</v>
      </c>
      <c r="N236" s="73" t="s">
        <v>500</v>
      </c>
      <c r="O236" s="66"/>
      <c r="P236" s="66"/>
      <c r="Q236" s="167" t="s">
        <v>240</v>
      </c>
      <c r="R236" s="70"/>
      <c r="S236" s="70"/>
      <c r="T236" s="126" t="s">
        <v>221</v>
      </c>
      <c r="U236" s="285"/>
      <c r="V236" s="285"/>
      <c r="W236" s="70"/>
      <c r="X236" s="70"/>
      <c r="Y236" s="70"/>
      <c r="Z236" s="70"/>
      <c r="AA236" s="71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</row>
    <row r="237" spans="1:51" s="73" customFormat="1" ht="15.6" x14ac:dyDescent="0.3">
      <c r="A237" s="58" t="s">
        <v>66</v>
      </c>
      <c r="B237" s="5" t="s">
        <v>499</v>
      </c>
      <c r="C237" s="130">
        <v>435509</v>
      </c>
      <c r="D237" s="301">
        <f>1.0212*6198.43</f>
        <v>6329.8367160000007</v>
      </c>
      <c r="E237" s="144">
        <f>1657.5+1259.34+1791.09</f>
        <v>4707.93</v>
      </c>
      <c r="F237" s="60">
        <f t="shared" si="28"/>
        <v>1621.9067160000004</v>
      </c>
      <c r="G237" s="61">
        <f t="shared" si="27"/>
        <v>0.25623199914466804</v>
      </c>
      <c r="H237" s="62"/>
      <c r="I237" s="62"/>
      <c r="J237" s="119">
        <v>45111</v>
      </c>
      <c r="K237" s="64" t="s">
        <v>501</v>
      </c>
      <c r="L237" s="66" t="s">
        <v>168</v>
      </c>
      <c r="M237" s="227" t="s">
        <v>219</v>
      </c>
      <c r="N237" s="123" t="s">
        <v>502</v>
      </c>
      <c r="O237" s="66"/>
      <c r="P237" s="66"/>
      <c r="Q237" s="167" t="s">
        <v>240</v>
      </c>
      <c r="R237" s="126" t="s">
        <v>221</v>
      </c>
      <c r="S237" s="70"/>
      <c r="T237" s="126"/>
      <c r="U237" s="285"/>
      <c r="V237" s="285"/>
      <c r="W237" s="70"/>
      <c r="X237" s="70"/>
      <c r="Y237" s="70"/>
      <c r="Z237" s="70"/>
      <c r="AA237" s="71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</row>
    <row r="238" spans="1:51" s="73" customFormat="1" ht="15.6" x14ac:dyDescent="0.3">
      <c r="A238" s="73" t="s">
        <v>72</v>
      </c>
      <c r="B238" s="5" t="s">
        <v>503</v>
      </c>
      <c r="C238" s="130">
        <v>1394665</v>
      </c>
      <c r="D238" s="302">
        <f>1.0212*7920</f>
        <v>8087.9040000000005</v>
      </c>
      <c r="E238" s="379">
        <v>4468.6400000000003</v>
      </c>
      <c r="F238" s="60">
        <f t="shared" si="28"/>
        <v>3619.2640000000001</v>
      </c>
      <c r="G238" s="61">
        <f t="shared" si="27"/>
        <v>0.44749096923009968</v>
      </c>
      <c r="H238" s="62"/>
      <c r="I238" s="62"/>
      <c r="J238" s="63">
        <v>45291</v>
      </c>
      <c r="K238" s="141" t="str">
        <f>TEXT(30*MONTH(J238)+30,"mmmm")</f>
        <v>janvier</v>
      </c>
      <c r="L238" s="66" t="s">
        <v>168</v>
      </c>
      <c r="M238" s="227" t="s">
        <v>219</v>
      </c>
      <c r="P238" s="81"/>
      <c r="Q238" s="167" t="s">
        <v>223</v>
      </c>
      <c r="R238" s="126" t="s">
        <v>221</v>
      </c>
      <c r="S238" s="83"/>
      <c r="T238" s="126" t="s">
        <v>221</v>
      </c>
      <c r="U238" s="286">
        <v>44902</v>
      </c>
      <c r="V238" s="286">
        <v>44942</v>
      </c>
      <c r="W238" s="83"/>
      <c r="X238" s="83"/>
      <c r="Y238" s="83"/>
      <c r="Z238" s="83"/>
      <c r="AA238" s="80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</row>
    <row r="239" spans="1:51" s="73" customFormat="1" ht="15.6" x14ac:dyDescent="0.3">
      <c r="A239" s="73" t="s">
        <v>72</v>
      </c>
      <c r="B239" s="5" t="s">
        <v>139</v>
      </c>
      <c r="C239" s="130">
        <v>940392</v>
      </c>
      <c r="D239" s="301">
        <f>1.0212*77035</f>
        <v>78668.142000000007</v>
      </c>
      <c r="E239" s="376">
        <v>73881.03</v>
      </c>
      <c r="F239" s="60">
        <f t="shared" si="28"/>
        <v>4787.1120000000083</v>
      </c>
      <c r="G239" s="61">
        <f t="shared" si="27"/>
        <v>6.0851977411644068E-2</v>
      </c>
      <c r="H239" s="62"/>
      <c r="I239" s="62"/>
      <c r="J239" s="63">
        <v>45291</v>
      </c>
      <c r="K239" s="64" t="str">
        <f>TEXT(30*MONTH(J239)+30,"mmmm")</f>
        <v>janvier</v>
      </c>
      <c r="L239" s="66" t="s">
        <v>168</v>
      </c>
      <c r="M239" s="66" t="s">
        <v>176</v>
      </c>
      <c r="N239" s="80"/>
      <c r="P239" s="81"/>
      <c r="Q239" s="167" t="s">
        <v>417</v>
      </c>
      <c r="R239" s="83"/>
      <c r="S239" s="83"/>
      <c r="T239" s="126" t="s">
        <v>221</v>
      </c>
      <c r="U239" s="286">
        <v>44904</v>
      </c>
      <c r="V239" s="286"/>
      <c r="W239" s="83"/>
      <c r="X239" s="83"/>
      <c r="Y239" s="83"/>
      <c r="Z239" s="83"/>
      <c r="AA239" s="80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</row>
    <row r="240" spans="1:51" s="73" customFormat="1" ht="15.6" x14ac:dyDescent="0.3">
      <c r="A240" s="73" t="s">
        <v>72</v>
      </c>
      <c r="B240" s="5" t="s">
        <v>139</v>
      </c>
      <c r="C240" s="160" t="s">
        <v>235</v>
      </c>
      <c r="D240" s="318">
        <v>4908</v>
      </c>
      <c r="E240" s="376">
        <v>4315.03</v>
      </c>
      <c r="F240" s="74">
        <f t="shared" si="28"/>
        <v>592.97000000000025</v>
      </c>
      <c r="G240" s="75">
        <f t="shared" si="27"/>
        <v>0.12081703341483298</v>
      </c>
      <c r="H240" s="62"/>
      <c r="I240" s="62"/>
      <c r="J240" s="63">
        <v>45291</v>
      </c>
      <c r="K240" s="161" t="s">
        <v>53</v>
      </c>
      <c r="L240" s="78" t="s">
        <v>235</v>
      </c>
      <c r="M240" s="154">
        <v>360</v>
      </c>
      <c r="N240" s="80"/>
      <c r="P240" s="81"/>
      <c r="Q240" s="167" t="s">
        <v>417</v>
      </c>
      <c r="R240" s="83"/>
      <c r="S240" s="83"/>
      <c r="T240" s="126" t="s">
        <v>221</v>
      </c>
      <c r="U240" s="286">
        <v>44862</v>
      </c>
      <c r="V240" s="286"/>
      <c r="W240" s="83"/>
      <c r="X240" s="83"/>
      <c r="Y240" s="83"/>
      <c r="Z240" s="83"/>
      <c r="AA240" s="80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</row>
    <row r="241" spans="1:51" s="73" customFormat="1" ht="15.6" x14ac:dyDescent="0.3">
      <c r="A241" s="73" t="s">
        <v>111</v>
      </c>
      <c r="B241" s="117" t="s">
        <v>504</v>
      </c>
      <c r="C241" s="129">
        <v>1403588</v>
      </c>
      <c r="D241" s="301">
        <f>1.0212*6728.15</f>
        <v>6870.7867800000004</v>
      </c>
      <c r="E241" s="377">
        <v>5256.22</v>
      </c>
      <c r="F241" s="60">
        <f t="shared" si="28"/>
        <v>1614.5667800000001</v>
      </c>
      <c r="G241" s="61">
        <f t="shared" si="27"/>
        <v>0.2349900865356209</v>
      </c>
      <c r="H241" s="62"/>
      <c r="I241" s="62"/>
      <c r="J241" s="63">
        <v>45291</v>
      </c>
      <c r="K241" s="64" t="str">
        <f t="shared" ref="K241:K246" si="29">TEXT(30*MONTH(J241)+30,"mmmm")</f>
        <v>janvier</v>
      </c>
      <c r="L241" s="66" t="s">
        <v>168</v>
      </c>
      <c r="M241" s="227" t="s">
        <v>219</v>
      </c>
      <c r="N241" s="123"/>
      <c r="O241" s="66"/>
      <c r="P241" s="66"/>
      <c r="Q241" s="167" t="s">
        <v>220</v>
      </c>
      <c r="R241" s="126" t="s">
        <v>221</v>
      </c>
      <c r="S241" s="126"/>
      <c r="T241" s="126" t="s">
        <v>221</v>
      </c>
      <c r="U241" s="287">
        <v>44909</v>
      </c>
      <c r="V241" s="287">
        <v>44909</v>
      </c>
      <c r="W241" s="130"/>
      <c r="X241" s="128"/>
      <c r="Y241" s="65"/>
      <c r="Z241" s="129"/>
      <c r="AA241" s="71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</row>
    <row r="242" spans="1:51" s="73" customFormat="1" ht="15.6" x14ac:dyDescent="0.3">
      <c r="A242" s="58" t="s">
        <v>72</v>
      </c>
      <c r="B242" s="92" t="s">
        <v>505</v>
      </c>
      <c r="C242" s="130">
        <v>944705</v>
      </c>
      <c r="D242" s="454">
        <v>7863.24</v>
      </c>
      <c r="E242" s="144">
        <v>2708.34</v>
      </c>
      <c r="F242" s="60">
        <f t="shared" si="28"/>
        <v>5154.8999999999996</v>
      </c>
      <c r="G242" s="61">
        <f t="shared" si="27"/>
        <v>0.65556945991728599</v>
      </c>
      <c r="H242" s="62"/>
      <c r="I242" s="62"/>
      <c r="J242" s="119">
        <v>44895</v>
      </c>
      <c r="K242" s="141" t="str">
        <f t="shared" si="29"/>
        <v>décembre</v>
      </c>
      <c r="L242" s="66" t="s">
        <v>168</v>
      </c>
      <c r="M242" s="227" t="s">
        <v>219</v>
      </c>
      <c r="P242" s="81"/>
      <c r="Q242" s="167" t="s">
        <v>223</v>
      </c>
      <c r="R242" s="126" t="s">
        <v>221</v>
      </c>
      <c r="S242" s="83"/>
      <c r="T242" s="126"/>
      <c r="U242" s="286"/>
      <c r="V242" s="286"/>
      <c r="W242" s="83"/>
      <c r="X242" s="83"/>
      <c r="Y242" s="83"/>
      <c r="Z242" s="83"/>
      <c r="AA242" s="80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</row>
    <row r="243" spans="1:51" s="73" customFormat="1" ht="15.6" x14ac:dyDescent="0.3">
      <c r="A243" s="73" t="s">
        <v>66</v>
      </c>
      <c r="B243" s="5" t="s">
        <v>506</v>
      </c>
      <c r="C243" s="156">
        <v>915112</v>
      </c>
      <c r="D243" s="302">
        <f>1.0212*5778</f>
        <v>5900.4936000000007</v>
      </c>
      <c r="E243" s="378">
        <v>3349.56</v>
      </c>
      <c r="F243" s="60">
        <f t="shared" si="28"/>
        <v>2550.9336000000008</v>
      </c>
      <c r="G243" s="61">
        <f t="shared" si="27"/>
        <v>0.43232545833114716</v>
      </c>
      <c r="H243" s="62"/>
      <c r="I243" s="62"/>
      <c r="J243" s="63">
        <v>45291</v>
      </c>
      <c r="K243" s="141" t="str">
        <f t="shared" si="29"/>
        <v>janvier</v>
      </c>
      <c r="L243" s="66" t="s">
        <v>168</v>
      </c>
      <c r="M243" s="227" t="s">
        <v>219</v>
      </c>
      <c r="N243" s="122"/>
      <c r="O243" s="121"/>
      <c r="P243" s="121"/>
      <c r="Q243" s="167" t="s">
        <v>272</v>
      </c>
      <c r="R243" s="126" t="s">
        <v>221</v>
      </c>
      <c r="S243" s="70"/>
      <c r="T243" s="126" t="s">
        <v>221</v>
      </c>
      <c r="U243" s="297">
        <v>44893</v>
      </c>
      <c r="V243" s="285">
        <v>44911</v>
      </c>
      <c r="W243" s="70"/>
      <c r="X243" s="70"/>
      <c r="Y243" s="70"/>
      <c r="Z243" s="70"/>
      <c r="AA243" s="71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</row>
    <row r="244" spans="1:51" s="73" customFormat="1" ht="15.6" x14ac:dyDescent="0.3">
      <c r="A244" s="73" t="s">
        <v>111</v>
      </c>
      <c r="B244" s="117" t="s">
        <v>507</v>
      </c>
      <c r="C244" s="156">
        <v>963597</v>
      </c>
      <c r="D244" s="301">
        <f>1.0212*17300</f>
        <v>17666.760000000002</v>
      </c>
      <c r="E244" s="377">
        <v>15017.87</v>
      </c>
      <c r="F244" s="60">
        <f t="shared" si="28"/>
        <v>2648.8900000000012</v>
      </c>
      <c r="G244" s="61">
        <f t="shared" si="27"/>
        <v>0.14993637769460846</v>
      </c>
      <c r="H244" s="62"/>
      <c r="I244" s="62"/>
      <c r="J244" s="118">
        <v>45291</v>
      </c>
      <c r="K244" s="64" t="str">
        <f t="shared" si="29"/>
        <v>janvier</v>
      </c>
      <c r="L244" s="66" t="s">
        <v>168</v>
      </c>
      <c r="M244" s="227" t="s">
        <v>219</v>
      </c>
      <c r="N244" s="122"/>
      <c r="O244" s="121"/>
      <c r="P244" s="121"/>
      <c r="Q244" s="167" t="s">
        <v>220</v>
      </c>
      <c r="R244" s="126" t="s">
        <v>221</v>
      </c>
      <c r="S244" s="126"/>
      <c r="T244" s="126" t="s">
        <v>221</v>
      </c>
      <c r="U244" s="287">
        <v>44903</v>
      </c>
      <c r="V244" s="287">
        <v>44904</v>
      </c>
      <c r="W244" s="130"/>
      <c r="X244" s="133"/>
      <c r="Y244" s="65"/>
      <c r="Z244" s="129"/>
      <c r="AA244" s="71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</row>
    <row r="245" spans="1:51" s="73" customFormat="1" ht="15.6" x14ac:dyDescent="0.3">
      <c r="A245" s="73" t="s">
        <v>66</v>
      </c>
      <c r="B245" s="394" t="s">
        <v>508</v>
      </c>
      <c r="C245" s="156">
        <v>1129415</v>
      </c>
      <c r="D245" s="318">
        <f>1.0212*3514/12*2</f>
        <v>598.08280000000002</v>
      </c>
      <c r="E245" s="395"/>
      <c r="F245" s="60">
        <f t="shared" si="28"/>
        <v>598.08280000000002</v>
      </c>
      <c r="G245" s="61">
        <f t="shared" si="27"/>
        <v>1</v>
      </c>
      <c r="H245" s="62"/>
      <c r="I245" s="170">
        <v>2112</v>
      </c>
      <c r="J245" s="118">
        <v>45291</v>
      </c>
      <c r="K245" s="64" t="str">
        <f t="shared" si="29"/>
        <v>janvier</v>
      </c>
      <c r="L245" s="66" t="s">
        <v>168</v>
      </c>
      <c r="M245" s="66" t="s">
        <v>176</v>
      </c>
      <c r="N245" s="123"/>
      <c r="O245" s="66"/>
      <c r="P245" s="66"/>
      <c r="Q245" s="167" t="s">
        <v>223</v>
      </c>
      <c r="R245" s="70"/>
      <c r="S245" s="70"/>
      <c r="T245" s="126" t="s">
        <v>221</v>
      </c>
      <c r="U245" s="285"/>
      <c r="V245" s="285"/>
      <c r="W245" s="70"/>
      <c r="X245" s="70"/>
      <c r="Y245" s="70"/>
      <c r="Z245" s="70"/>
      <c r="AA245" s="71" t="s">
        <v>509</v>
      </c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</row>
    <row r="246" spans="1:51" s="73" customFormat="1" ht="15.6" x14ac:dyDescent="0.3">
      <c r="A246" s="73" t="s">
        <v>66</v>
      </c>
      <c r="B246" s="394" t="s">
        <v>508</v>
      </c>
      <c r="C246" s="156">
        <v>1129415</v>
      </c>
      <c r="D246" s="318">
        <f>1.0212*3696/12*2</f>
        <v>629.05920000000003</v>
      </c>
      <c r="E246" s="395"/>
      <c r="F246" s="60">
        <f t="shared" si="28"/>
        <v>629.05920000000003</v>
      </c>
      <c r="G246" s="61">
        <f t="shared" si="27"/>
        <v>1</v>
      </c>
      <c r="H246" s="62"/>
      <c r="I246" s="170">
        <v>2376</v>
      </c>
      <c r="J246" s="118">
        <v>45291</v>
      </c>
      <c r="K246" s="64" t="str">
        <f t="shared" si="29"/>
        <v>janvier</v>
      </c>
      <c r="L246" s="66" t="s">
        <v>168</v>
      </c>
      <c r="M246" s="66" t="s">
        <v>176</v>
      </c>
      <c r="N246" s="123"/>
      <c r="O246" s="66"/>
      <c r="P246" s="66"/>
      <c r="Q246" s="167" t="s">
        <v>223</v>
      </c>
      <c r="R246" s="70"/>
      <c r="S246" s="70"/>
      <c r="T246" s="126" t="s">
        <v>221</v>
      </c>
      <c r="U246" s="285"/>
      <c r="V246" s="285"/>
      <c r="W246" s="70"/>
      <c r="X246" s="70"/>
      <c r="Y246" s="70"/>
      <c r="Z246" s="70"/>
      <c r="AA246" s="71" t="s">
        <v>509</v>
      </c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</row>
    <row r="247" spans="1:51" s="73" customFormat="1" ht="15.6" x14ac:dyDescent="0.3">
      <c r="A247" s="58" t="s">
        <v>66</v>
      </c>
      <c r="B247" s="5" t="s">
        <v>508</v>
      </c>
      <c r="C247" s="464">
        <v>1129415</v>
      </c>
      <c r="D247" s="301">
        <f>1.0212*8170</f>
        <v>8343.2040000000015</v>
      </c>
      <c r="E247" s="475">
        <v>6320.41</v>
      </c>
      <c r="F247" s="60">
        <f t="shared" si="28"/>
        <v>2022.7940000000017</v>
      </c>
      <c r="G247" s="61">
        <f t="shared" si="27"/>
        <v>0.24244810506850861</v>
      </c>
      <c r="H247" s="62" t="s">
        <v>510</v>
      </c>
      <c r="I247" s="62"/>
      <c r="J247" s="119">
        <v>45133</v>
      </c>
      <c r="K247" s="64" t="s">
        <v>59</v>
      </c>
      <c r="L247" s="66" t="s">
        <v>168</v>
      </c>
      <c r="M247" s="227" t="s">
        <v>219</v>
      </c>
      <c r="N247" s="123"/>
      <c r="O247" s="66"/>
      <c r="P247" s="66"/>
      <c r="Q247" s="167" t="s">
        <v>223</v>
      </c>
      <c r="R247" s="126" t="s">
        <v>221</v>
      </c>
      <c r="S247" s="70"/>
      <c r="T247" s="126"/>
      <c r="U247" s="285"/>
      <c r="V247" s="285"/>
      <c r="W247" s="70"/>
      <c r="X247" s="70"/>
      <c r="Y247" s="70"/>
      <c r="Z247" s="70"/>
      <c r="AA247" s="71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</row>
    <row r="248" spans="1:51" s="73" customFormat="1" ht="15.6" x14ac:dyDescent="0.3">
      <c r="A248" s="73" t="s">
        <v>72</v>
      </c>
      <c r="B248" s="5" t="s">
        <v>511</v>
      </c>
      <c r="C248" s="130">
        <v>972938</v>
      </c>
      <c r="D248" s="301">
        <f>1.0212*11000</f>
        <v>11233.2</v>
      </c>
      <c r="E248" s="376">
        <v>9295.9599999999991</v>
      </c>
      <c r="F248" s="60">
        <f t="shared" si="28"/>
        <v>1937.2400000000016</v>
      </c>
      <c r="G248" s="61">
        <f t="shared" si="27"/>
        <v>0.17245664636968999</v>
      </c>
      <c r="H248" s="62"/>
      <c r="I248" s="62"/>
      <c r="J248" s="63">
        <v>45291</v>
      </c>
      <c r="K248" s="141" t="str">
        <f t="shared" ref="K248:K253" si="30">TEXT(30*MONTH(J248)+30,"mmmm")</f>
        <v>janvier</v>
      </c>
      <c r="L248" s="66" t="s">
        <v>168</v>
      </c>
      <c r="M248" s="66" t="s">
        <v>209</v>
      </c>
      <c r="P248" s="81"/>
      <c r="Q248" s="167" t="s">
        <v>223</v>
      </c>
      <c r="R248" s="83"/>
      <c r="S248" s="83"/>
      <c r="T248" s="126" t="s">
        <v>221</v>
      </c>
      <c r="U248" s="286">
        <v>44902</v>
      </c>
      <c r="V248" s="286">
        <v>44902</v>
      </c>
      <c r="W248" s="83"/>
      <c r="X248" s="83"/>
      <c r="Y248" s="83"/>
      <c r="Z248" s="83"/>
      <c r="AA248" s="80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</row>
    <row r="249" spans="1:51" s="73" customFormat="1" ht="15.6" x14ac:dyDescent="0.3">
      <c r="A249" s="73" t="s">
        <v>111</v>
      </c>
      <c r="B249" s="117" t="s">
        <v>512</v>
      </c>
      <c r="C249" s="129">
        <v>960814</v>
      </c>
      <c r="D249" s="301">
        <f>1.0212*3500</f>
        <v>3574.2000000000003</v>
      </c>
      <c r="E249" s="376">
        <v>2997.76</v>
      </c>
      <c r="F249" s="60">
        <f t="shared" si="28"/>
        <v>576.44000000000005</v>
      </c>
      <c r="G249" s="61">
        <f t="shared" si="27"/>
        <v>0.16127804823456998</v>
      </c>
      <c r="H249" s="62"/>
      <c r="I249" s="62"/>
      <c r="J249" s="63">
        <v>45291</v>
      </c>
      <c r="K249" s="64" t="str">
        <f t="shared" si="30"/>
        <v>janvier</v>
      </c>
      <c r="L249" s="66" t="s">
        <v>168</v>
      </c>
      <c r="M249" s="66" t="s">
        <v>176</v>
      </c>
      <c r="N249" s="80"/>
      <c r="P249" s="81"/>
      <c r="Q249" s="167" t="s">
        <v>220</v>
      </c>
      <c r="R249" s="83"/>
      <c r="S249" s="65">
        <v>44918</v>
      </c>
      <c r="T249" s="126" t="s">
        <v>221</v>
      </c>
      <c r="U249" s="287">
        <v>44903</v>
      </c>
      <c r="V249" s="287">
        <v>44918</v>
      </c>
      <c r="W249" s="83"/>
      <c r="X249" s="83"/>
      <c r="Y249" s="83"/>
      <c r="Z249" s="83"/>
      <c r="AA249" s="80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</row>
    <row r="250" spans="1:51" s="73" customFormat="1" ht="15.6" x14ac:dyDescent="0.3">
      <c r="A250" s="73" t="s">
        <v>72</v>
      </c>
      <c r="B250" s="117" t="s">
        <v>513</v>
      </c>
      <c r="C250" s="156">
        <v>1058071</v>
      </c>
      <c r="D250" s="301">
        <f>1.0212*1980</f>
        <v>2021.9760000000001</v>
      </c>
      <c r="E250" s="376">
        <v>1109.2</v>
      </c>
      <c r="F250" s="60">
        <f t="shared" si="28"/>
        <v>912.77600000000007</v>
      </c>
      <c r="G250" s="61">
        <f t="shared" si="27"/>
        <v>0.45142771229727752</v>
      </c>
      <c r="H250" s="62"/>
      <c r="I250" s="62"/>
      <c r="J250" s="63">
        <v>45291</v>
      </c>
      <c r="K250" s="64" t="str">
        <f t="shared" si="30"/>
        <v>janvier</v>
      </c>
      <c r="L250" s="66" t="s">
        <v>168</v>
      </c>
      <c r="M250" s="66" t="s">
        <v>209</v>
      </c>
      <c r="N250" s="80"/>
      <c r="P250" s="81"/>
      <c r="Q250" s="167" t="s">
        <v>223</v>
      </c>
      <c r="R250" s="83"/>
      <c r="S250" s="83"/>
      <c r="T250" s="126" t="s">
        <v>221</v>
      </c>
      <c r="U250" s="286">
        <v>44902</v>
      </c>
      <c r="V250" s="286"/>
      <c r="W250" s="83"/>
      <c r="X250" s="83"/>
      <c r="Y250" s="83"/>
      <c r="Z250" s="83"/>
      <c r="AA250" s="80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</row>
    <row r="251" spans="1:51" s="73" customFormat="1" ht="15.6" x14ac:dyDescent="0.3">
      <c r="A251" s="73" t="s">
        <v>72</v>
      </c>
      <c r="B251" s="5" t="s">
        <v>514</v>
      </c>
      <c r="C251" s="156">
        <v>973908</v>
      </c>
      <c r="D251" s="316">
        <v>4000</v>
      </c>
      <c r="E251" s="399">
        <v>3685.6</v>
      </c>
      <c r="F251" s="60">
        <f t="shared" si="28"/>
        <v>314.40000000000009</v>
      </c>
      <c r="G251" s="61">
        <f t="shared" si="27"/>
        <v>7.8600000000000017E-2</v>
      </c>
      <c r="H251" s="325">
        <v>3900</v>
      </c>
      <c r="I251" s="325"/>
      <c r="J251" s="63">
        <v>45291</v>
      </c>
      <c r="K251" s="64" t="str">
        <f t="shared" si="30"/>
        <v>janvier</v>
      </c>
      <c r="L251" s="66"/>
      <c r="M251" s="66" t="s">
        <v>515</v>
      </c>
      <c r="N251" s="163"/>
      <c r="P251" s="81"/>
      <c r="Q251" s="167" t="s">
        <v>223</v>
      </c>
      <c r="R251" s="83"/>
      <c r="S251" s="83"/>
      <c r="T251" s="126" t="s">
        <v>221</v>
      </c>
      <c r="U251" s="286">
        <v>44972</v>
      </c>
      <c r="V251" s="286">
        <v>44972</v>
      </c>
      <c r="W251" s="83"/>
      <c r="X251" s="83"/>
      <c r="Y251" s="83"/>
      <c r="Z251" s="83"/>
      <c r="AA251" s="80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</row>
    <row r="252" spans="1:51" s="73" customFormat="1" ht="15.6" x14ac:dyDescent="0.3">
      <c r="A252" s="73" t="s">
        <v>72</v>
      </c>
      <c r="B252" s="5" t="s">
        <v>516</v>
      </c>
      <c r="C252" s="156">
        <v>973908</v>
      </c>
      <c r="D252" s="316">
        <f>1.0212*(42468)-4000</f>
        <v>39368.321600000003</v>
      </c>
      <c r="E252" s="376">
        <v>27592.74</v>
      </c>
      <c r="F252" s="60">
        <f t="shared" si="28"/>
        <v>11775.581600000001</v>
      </c>
      <c r="G252" s="61">
        <f t="shared" si="27"/>
        <v>0.29911312246544947</v>
      </c>
      <c r="H252" s="280"/>
      <c r="I252" s="113"/>
      <c r="J252" s="63">
        <v>45291</v>
      </c>
      <c r="K252" s="64" t="str">
        <f t="shared" si="30"/>
        <v>janvier</v>
      </c>
      <c r="L252" s="66" t="s">
        <v>168</v>
      </c>
      <c r="M252" s="66" t="s">
        <v>209</v>
      </c>
      <c r="N252" s="80"/>
      <c r="P252" s="81"/>
      <c r="Q252" s="167" t="s">
        <v>223</v>
      </c>
      <c r="R252" s="83"/>
      <c r="S252" s="83"/>
      <c r="T252" s="126" t="s">
        <v>221</v>
      </c>
      <c r="U252" s="286">
        <v>44972</v>
      </c>
      <c r="V252" s="286">
        <v>44972</v>
      </c>
      <c r="W252" s="83"/>
      <c r="X252" s="83"/>
      <c r="Y252" s="83"/>
      <c r="Z252" s="83"/>
      <c r="AA252" s="80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</row>
    <row r="253" spans="1:51" s="73" customFormat="1" ht="15.6" x14ac:dyDescent="0.3">
      <c r="A253" s="73" t="s">
        <v>72</v>
      </c>
      <c r="B253" s="117" t="s">
        <v>517</v>
      </c>
      <c r="C253" s="156">
        <v>973908</v>
      </c>
      <c r="D253" s="316">
        <f>1.0212*6700</f>
        <v>6842.0400000000009</v>
      </c>
      <c r="E253" s="376">
        <v>5333.1</v>
      </c>
      <c r="F253" s="60">
        <f t="shared" si="28"/>
        <v>1508.9400000000005</v>
      </c>
      <c r="G253" s="61">
        <f t="shared" si="27"/>
        <v>0.22053948822281078</v>
      </c>
      <c r="H253" s="62"/>
      <c r="I253" s="62"/>
      <c r="J253" s="63">
        <v>45291</v>
      </c>
      <c r="K253" s="64" t="str">
        <f t="shared" si="30"/>
        <v>janvier</v>
      </c>
      <c r="L253" s="66"/>
      <c r="M253" s="66"/>
      <c r="N253" s="80"/>
      <c r="P253" s="81"/>
      <c r="Q253" s="167" t="s">
        <v>223</v>
      </c>
      <c r="R253" s="83"/>
      <c r="S253" s="83"/>
      <c r="T253" s="126" t="s">
        <v>221</v>
      </c>
      <c r="U253" s="286">
        <v>44972</v>
      </c>
      <c r="V253" s="286">
        <v>44972</v>
      </c>
      <c r="W253" s="83"/>
      <c r="X253" s="83"/>
      <c r="Y253" s="83"/>
      <c r="Z253" s="83"/>
      <c r="AA253" s="80" t="s">
        <v>496</v>
      </c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</row>
    <row r="254" spans="1:51" s="73" customFormat="1" ht="15.6" x14ac:dyDescent="0.3">
      <c r="A254" s="58" t="s">
        <v>72</v>
      </c>
      <c r="B254" s="5" t="s">
        <v>518</v>
      </c>
      <c r="C254" s="130">
        <v>926849</v>
      </c>
      <c r="D254" s="301">
        <f>1.0212*1299</f>
        <v>1326.5388</v>
      </c>
      <c r="E254" s="465">
        <v>824.46</v>
      </c>
      <c r="F254" s="60">
        <f t="shared" si="28"/>
        <v>502.0788</v>
      </c>
      <c r="G254" s="61">
        <f t="shared" si="27"/>
        <v>0.3784878361643097</v>
      </c>
      <c r="H254" s="62"/>
      <c r="I254" s="62"/>
      <c r="J254" s="119">
        <v>45016</v>
      </c>
      <c r="K254" s="141" t="s">
        <v>55</v>
      </c>
      <c r="L254" s="78" t="s">
        <v>168</v>
      </c>
      <c r="M254" s="227" t="s">
        <v>219</v>
      </c>
      <c r="P254" s="81"/>
      <c r="Q254" s="167" t="s">
        <v>272</v>
      </c>
      <c r="R254" s="126" t="s">
        <v>221</v>
      </c>
      <c r="S254" s="83"/>
      <c r="T254" s="126"/>
      <c r="U254" s="286">
        <v>45014</v>
      </c>
      <c r="V254" s="286"/>
      <c r="W254" s="83"/>
      <c r="X254" s="83"/>
      <c r="Y254" s="83"/>
      <c r="Z254" s="83"/>
      <c r="AA254" s="80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</row>
    <row r="255" spans="1:51" s="73" customFormat="1" ht="15.6" x14ac:dyDescent="0.3">
      <c r="A255" s="73" t="s">
        <v>66</v>
      </c>
      <c r="B255" s="117" t="s">
        <v>519</v>
      </c>
      <c r="C255" s="156">
        <v>884953</v>
      </c>
      <c r="D255" s="301">
        <f>1.0212*27813</f>
        <v>28402.635600000001</v>
      </c>
      <c r="E255" s="179">
        <f>12065.21+804.27</f>
        <v>12869.48</v>
      </c>
      <c r="F255" s="60">
        <f t="shared" si="28"/>
        <v>15533.155600000002</v>
      </c>
      <c r="G255" s="61">
        <f t="shared" si="27"/>
        <v>0.54689134553414476</v>
      </c>
      <c r="H255" s="62"/>
      <c r="I255" s="62"/>
      <c r="J255" s="118">
        <v>45291</v>
      </c>
      <c r="K255" s="64" t="str">
        <f>TEXT(30*MONTH(J255)+30,"mmmm")</f>
        <v>janvier</v>
      </c>
      <c r="L255" s="66" t="s">
        <v>168</v>
      </c>
      <c r="M255" s="227" t="s">
        <v>219</v>
      </c>
      <c r="N255" s="123"/>
      <c r="O255" s="66"/>
      <c r="P255" s="66"/>
      <c r="Q255" s="167" t="s">
        <v>240</v>
      </c>
      <c r="R255" s="126" t="s">
        <v>221</v>
      </c>
      <c r="S255" s="126"/>
      <c r="T255" s="126" t="s">
        <v>221</v>
      </c>
      <c r="U255" s="284"/>
      <c r="V255" s="284"/>
      <c r="W255" s="130"/>
      <c r="X255" s="133"/>
      <c r="Y255" s="58"/>
      <c r="Z255" s="129"/>
      <c r="AA255" s="71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</row>
    <row r="256" spans="1:51" s="73" customFormat="1" ht="15.6" x14ac:dyDescent="0.3">
      <c r="A256" s="73" t="s">
        <v>66</v>
      </c>
      <c r="B256" s="5" t="s">
        <v>520</v>
      </c>
      <c r="C256" s="160" t="s">
        <v>235</v>
      </c>
      <c r="D256" s="318">
        <v>12000</v>
      </c>
      <c r="E256" s="462">
        <v>9600</v>
      </c>
      <c r="F256" s="74">
        <f t="shared" si="28"/>
        <v>2400</v>
      </c>
      <c r="G256" s="75">
        <f t="shared" si="27"/>
        <v>0.2</v>
      </c>
      <c r="H256" s="170"/>
      <c r="I256" s="114"/>
      <c r="J256" s="63">
        <v>45291</v>
      </c>
      <c r="K256" s="86" t="s">
        <v>254</v>
      </c>
      <c r="L256" s="160" t="s">
        <v>235</v>
      </c>
      <c r="M256" s="154" t="s">
        <v>374</v>
      </c>
      <c r="P256" s="81"/>
      <c r="Q256" s="167" t="s">
        <v>246</v>
      </c>
      <c r="R256" s="83"/>
      <c r="S256" s="83"/>
      <c r="T256" s="83"/>
      <c r="U256" s="286"/>
      <c r="V256" s="286"/>
      <c r="W256" s="83"/>
      <c r="X256" s="83"/>
      <c r="Y256" s="83"/>
      <c r="Z256" s="83"/>
      <c r="AA256" s="80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</row>
    <row r="257" spans="1:51" s="73" customFormat="1" ht="15.6" x14ac:dyDescent="0.3">
      <c r="A257" s="73" t="s">
        <v>72</v>
      </c>
      <c r="B257" s="5" t="s">
        <v>521</v>
      </c>
      <c r="C257" s="130">
        <v>947671</v>
      </c>
      <c r="D257" s="301">
        <f>1.0212*15060</f>
        <v>15379.272000000001</v>
      </c>
      <c r="E257" s="376">
        <f>6522.26+1696.58</f>
        <v>8218.84</v>
      </c>
      <c r="F257" s="60">
        <f t="shared" si="28"/>
        <v>7160.4320000000007</v>
      </c>
      <c r="G257" s="61">
        <f t="shared" si="27"/>
        <v>0.46558978864539236</v>
      </c>
      <c r="H257" s="62"/>
      <c r="I257" s="62"/>
      <c r="J257" s="118">
        <v>45291</v>
      </c>
      <c r="K257" s="141" t="str">
        <f>TEXT(30*MONTH(J257)+30,"mmmm")</f>
        <v>janvier</v>
      </c>
      <c r="L257" s="78" t="s">
        <v>168</v>
      </c>
      <c r="M257" s="227" t="s">
        <v>219</v>
      </c>
      <c r="P257" s="81"/>
      <c r="Q257" s="167" t="s">
        <v>272</v>
      </c>
      <c r="R257" s="126" t="s">
        <v>221</v>
      </c>
      <c r="S257" s="83"/>
      <c r="T257" s="126" t="s">
        <v>221</v>
      </c>
      <c r="U257" s="298">
        <v>44908</v>
      </c>
      <c r="V257" s="286">
        <v>44914</v>
      </c>
      <c r="W257" s="83"/>
      <c r="X257" s="83"/>
      <c r="Y257" s="83"/>
      <c r="Z257" s="83"/>
      <c r="AA257" s="80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</row>
    <row r="258" spans="1:51" s="73" customFormat="1" ht="15.6" x14ac:dyDescent="0.3">
      <c r="A258" s="73" t="s">
        <v>72</v>
      </c>
      <c r="B258" s="5" t="s">
        <v>522</v>
      </c>
      <c r="C258" s="160">
        <v>1148906</v>
      </c>
      <c r="D258" s="437">
        <v>4906</v>
      </c>
      <c r="E258" s="376">
        <v>2698.3</v>
      </c>
      <c r="F258" s="74">
        <f t="shared" si="28"/>
        <v>2207.6999999999998</v>
      </c>
      <c r="G258" s="75">
        <f t="shared" si="27"/>
        <v>0.44999999999999996</v>
      </c>
      <c r="H258" s="114"/>
      <c r="I258" s="114"/>
      <c r="J258" s="63">
        <v>45291</v>
      </c>
      <c r="K258" s="86" t="s">
        <v>53</v>
      </c>
      <c r="L258" s="174" t="s">
        <v>168</v>
      </c>
      <c r="M258" s="228" t="s">
        <v>176</v>
      </c>
      <c r="P258" s="81"/>
      <c r="Q258" s="167" t="s">
        <v>223</v>
      </c>
      <c r="R258" s="83"/>
      <c r="S258" s="83"/>
      <c r="T258" s="83" t="s">
        <v>221</v>
      </c>
      <c r="U258" s="286">
        <v>45079</v>
      </c>
      <c r="V258" s="286">
        <v>44977</v>
      </c>
      <c r="W258" s="83"/>
      <c r="X258" s="83"/>
      <c r="Y258" s="83"/>
      <c r="Z258" s="83"/>
      <c r="AA258" s="80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</row>
    <row r="259" spans="1:51" s="73" customFormat="1" ht="15.6" x14ac:dyDescent="0.3">
      <c r="A259" s="73" t="s">
        <v>66</v>
      </c>
      <c r="B259" s="117" t="s">
        <v>523</v>
      </c>
      <c r="C259" s="156">
        <v>412823</v>
      </c>
      <c r="D259" s="302">
        <f>1.0212*3960</f>
        <v>4043.9520000000002</v>
      </c>
      <c r="E259" s="379">
        <v>2614.13</v>
      </c>
      <c r="F259" s="60">
        <f t="shared" si="28"/>
        <v>1429.8220000000001</v>
      </c>
      <c r="G259" s="61">
        <f t="shared" si="27"/>
        <v>0.3535704677009025</v>
      </c>
      <c r="H259" s="62"/>
      <c r="I259" s="62"/>
      <c r="J259" s="118">
        <v>45291</v>
      </c>
      <c r="K259" s="64" t="s">
        <v>53</v>
      </c>
      <c r="L259" s="66" t="s">
        <v>168</v>
      </c>
      <c r="M259" s="66" t="s">
        <v>176</v>
      </c>
      <c r="N259" s="123"/>
      <c r="O259" s="66"/>
      <c r="P259" s="66"/>
      <c r="Q259" s="167" t="s">
        <v>223</v>
      </c>
      <c r="R259" s="126"/>
      <c r="S259" s="126"/>
      <c r="T259" s="126" t="s">
        <v>221</v>
      </c>
      <c r="U259" s="284">
        <v>44907</v>
      </c>
      <c r="V259" s="284"/>
      <c r="W259" s="130"/>
      <c r="X259" s="133"/>
      <c r="Y259" s="58"/>
      <c r="Z259" s="129"/>
      <c r="AA259" s="71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</row>
    <row r="260" spans="1:51" s="73" customFormat="1" ht="15.6" x14ac:dyDescent="0.3">
      <c r="A260" s="58" t="s">
        <v>72</v>
      </c>
      <c r="B260" s="466" t="s">
        <v>524</v>
      </c>
      <c r="C260" s="480">
        <v>517230</v>
      </c>
      <c r="D260" s="144">
        <f>1.0212*6370.37</f>
        <v>6505.4218440000004</v>
      </c>
      <c r="E260" s="144">
        <v>3545.82</v>
      </c>
      <c r="F260" s="60">
        <f t="shared" si="28"/>
        <v>2959.6018440000003</v>
      </c>
      <c r="G260" s="61">
        <f t="shared" si="27"/>
        <v>0.45494387834812949</v>
      </c>
      <c r="H260" s="62"/>
      <c r="I260" s="62"/>
      <c r="J260" s="119">
        <v>44804</v>
      </c>
      <c r="K260" s="64" t="s">
        <v>129</v>
      </c>
      <c r="L260" s="66" t="s">
        <v>168</v>
      </c>
      <c r="M260" s="227" t="s">
        <v>219</v>
      </c>
      <c r="N260" s="123"/>
      <c r="O260" s="66"/>
      <c r="P260" s="66"/>
      <c r="Q260" s="167" t="s">
        <v>417</v>
      </c>
      <c r="R260" s="126" t="s">
        <v>221</v>
      </c>
      <c r="S260" s="126"/>
      <c r="T260" s="126"/>
      <c r="U260" s="284"/>
      <c r="V260" s="284"/>
      <c r="W260" s="130"/>
      <c r="X260" s="133"/>
      <c r="Y260" s="58"/>
      <c r="Z260" s="129"/>
      <c r="AA260" s="71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</row>
    <row r="261" spans="1:51" s="73" customFormat="1" ht="15.6" x14ac:dyDescent="0.3">
      <c r="A261" s="73" t="s">
        <v>66</v>
      </c>
      <c r="B261" s="5" t="s">
        <v>525</v>
      </c>
      <c r="C261" s="160">
        <v>927485</v>
      </c>
      <c r="D261" s="301">
        <f>(2900+990)*1.0212</f>
        <v>3972.4680000000003</v>
      </c>
      <c r="E261" s="377">
        <f>2234.32+472.68</f>
        <v>2707</v>
      </c>
      <c r="F261" s="74">
        <f t="shared" si="28"/>
        <v>1265.4680000000003</v>
      </c>
      <c r="G261" s="75">
        <f t="shared" ref="G261:G294" si="31">F261/D261</f>
        <v>0.31855964604371895</v>
      </c>
      <c r="H261" s="76"/>
      <c r="I261" s="76"/>
      <c r="J261" s="77">
        <v>45291</v>
      </c>
      <c r="K261" s="86" t="s">
        <v>53</v>
      </c>
      <c r="L261" s="78" t="s">
        <v>168</v>
      </c>
      <c r="M261" s="228" t="s">
        <v>219</v>
      </c>
      <c r="N261" s="73" t="s">
        <v>526</v>
      </c>
      <c r="P261" s="81"/>
      <c r="Q261" s="167" t="s">
        <v>272</v>
      </c>
      <c r="R261" s="253" t="s">
        <v>221</v>
      </c>
      <c r="S261" s="83"/>
      <c r="T261" s="253"/>
      <c r="U261" s="286">
        <v>44910</v>
      </c>
      <c r="V261" s="286">
        <v>44910</v>
      </c>
      <c r="W261" s="83"/>
      <c r="X261" s="83"/>
      <c r="Y261" s="83"/>
      <c r="Z261" s="83"/>
      <c r="AA261" s="80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</row>
    <row r="262" spans="1:51" s="73" customFormat="1" ht="15.6" x14ac:dyDescent="0.3">
      <c r="A262" s="73" t="s">
        <v>66</v>
      </c>
      <c r="B262" s="5" t="s">
        <v>525</v>
      </c>
      <c r="C262" s="130">
        <v>927485</v>
      </c>
      <c r="D262" s="301">
        <f>1.0212*4800</f>
        <v>4901.76</v>
      </c>
      <c r="E262" s="377">
        <v>3496.93</v>
      </c>
      <c r="F262" s="60">
        <f t="shared" si="28"/>
        <v>1404.8300000000004</v>
      </c>
      <c r="G262" s="61">
        <f t="shared" si="31"/>
        <v>0.28659705901553734</v>
      </c>
      <c r="H262" s="62"/>
      <c r="I262" s="62"/>
      <c r="J262" s="63">
        <v>45291</v>
      </c>
      <c r="K262" s="64" t="s">
        <v>53</v>
      </c>
      <c r="L262" s="78" t="s">
        <v>168</v>
      </c>
      <c r="M262" s="227" t="s">
        <v>219</v>
      </c>
      <c r="N262" s="73" t="s">
        <v>527</v>
      </c>
      <c r="P262" s="81"/>
      <c r="Q262" s="167" t="s">
        <v>272</v>
      </c>
      <c r="R262" s="126" t="s">
        <v>221</v>
      </c>
      <c r="S262" s="83"/>
      <c r="T262" s="126" t="s">
        <v>221</v>
      </c>
      <c r="U262" s="286">
        <v>44910</v>
      </c>
      <c r="V262" s="286">
        <v>44910</v>
      </c>
      <c r="W262" s="83"/>
      <c r="X262" s="83"/>
      <c r="Y262" s="83"/>
      <c r="Z262" s="83"/>
      <c r="AA262" s="80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</row>
    <row r="263" spans="1:51" s="73" customFormat="1" ht="15.6" x14ac:dyDescent="0.3">
      <c r="A263" s="73" t="s">
        <v>111</v>
      </c>
      <c r="B263" s="117" t="s">
        <v>528</v>
      </c>
      <c r="C263" s="156">
        <v>951926</v>
      </c>
      <c r="D263" s="301">
        <f>1.0212*29073</f>
        <v>29689.347600000005</v>
      </c>
      <c r="E263" s="376">
        <v>24153.08</v>
      </c>
      <c r="F263" s="60">
        <f t="shared" si="28"/>
        <v>5536.2676000000029</v>
      </c>
      <c r="G263" s="61">
        <f t="shared" si="31"/>
        <v>0.18647319821874436</v>
      </c>
      <c r="H263" s="62"/>
      <c r="I263" s="62"/>
      <c r="J263" s="63">
        <v>45291</v>
      </c>
      <c r="K263" s="64" t="str">
        <f>TEXT(30*MONTH(J263)+30,"mmmm")</f>
        <v>janvier</v>
      </c>
      <c r="L263" s="66" t="s">
        <v>168</v>
      </c>
      <c r="M263" s="227" t="s">
        <v>219</v>
      </c>
      <c r="N263" s="122"/>
      <c r="O263" s="121"/>
      <c r="P263" s="121"/>
      <c r="Q263" s="167" t="s">
        <v>220</v>
      </c>
      <c r="R263" s="126" t="s">
        <v>221</v>
      </c>
      <c r="S263" s="65" t="s">
        <v>244</v>
      </c>
      <c r="T263" s="126" t="s">
        <v>221</v>
      </c>
      <c r="U263" s="287">
        <v>44903</v>
      </c>
      <c r="V263" s="287">
        <v>44944</v>
      </c>
      <c r="W263" s="130"/>
      <c r="X263" s="128"/>
      <c r="Y263" s="65"/>
      <c r="Z263" s="129"/>
      <c r="AA263" s="71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</row>
    <row r="264" spans="1:51" s="73" customFormat="1" ht="15.6" x14ac:dyDescent="0.3">
      <c r="A264" s="73" t="s">
        <v>72</v>
      </c>
      <c r="B264" s="5" t="s">
        <v>529</v>
      </c>
      <c r="C264" s="156">
        <v>1329081</v>
      </c>
      <c r="D264" s="301">
        <v>17770.2</v>
      </c>
      <c r="E264" s="377">
        <v>13339.01</v>
      </c>
      <c r="F264" s="60">
        <f t="shared" si="28"/>
        <v>4431.1900000000005</v>
      </c>
      <c r="G264" s="61">
        <f t="shared" si="31"/>
        <v>0.24936072751010119</v>
      </c>
      <c r="H264" s="62"/>
      <c r="I264" s="62"/>
      <c r="J264" s="63">
        <v>45291</v>
      </c>
      <c r="K264" s="64" t="str">
        <f>TEXT(30*MONTH(J264)+30,"mmmm")</f>
        <v>janvier</v>
      </c>
      <c r="L264" s="66" t="s">
        <v>168</v>
      </c>
      <c r="M264" s="227" t="s">
        <v>219</v>
      </c>
      <c r="N264" s="67"/>
      <c r="O264" s="58"/>
      <c r="P264" s="63"/>
      <c r="Q264" s="167" t="s">
        <v>223</v>
      </c>
      <c r="R264" s="126" t="s">
        <v>221</v>
      </c>
      <c r="S264" s="70"/>
      <c r="T264" s="126" t="s">
        <v>221</v>
      </c>
      <c r="U264" s="285">
        <v>44902</v>
      </c>
      <c r="V264" s="285" t="s">
        <v>297</v>
      </c>
      <c r="W264" s="70"/>
      <c r="X264" s="70"/>
      <c r="Y264" s="70"/>
      <c r="Z264" s="70"/>
      <c r="AA264" s="71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</row>
    <row r="265" spans="1:51" s="73" customFormat="1" ht="15.6" x14ac:dyDescent="0.3">
      <c r="A265" s="73" t="s">
        <v>72</v>
      </c>
      <c r="B265" s="5" t="s">
        <v>530</v>
      </c>
      <c r="C265" s="160" t="s">
        <v>235</v>
      </c>
      <c r="D265" s="318">
        <v>3502</v>
      </c>
      <c r="E265" s="179">
        <v>3151.8</v>
      </c>
      <c r="F265" s="74">
        <f t="shared" si="28"/>
        <v>350.19999999999982</v>
      </c>
      <c r="G265" s="75">
        <f t="shared" si="31"/>
        <v>9.999999999999995E-2</v>
      </c>
      <c r="H265" s="114"/>
      <c r="I265" s="114"/>
      <c r="J265" s="63">
        <v>45291</v>
      </c>
      <c r="K265" s="86" t="s">
        <v>53</v>
      </c>
      <c r="L265" s="78" t="s">
        <v>235</v>
      </c>
      <c r="M265" s="154" t="s">
        <v>374</v>
      </c>
      <c r="P265" s="81"/>
      <c r="Q265" s="167" t="s">
        <v>223</v>
      </c>
      <c r="R265" s="83"/>
      <c r="S265" s="83"/>
      <c r="T265" s="126" t="s">
        <v>221</v>
      </c>
      <c r="U265" s="286"/>
      <c r="V265" s="286"/>
      <c r="W265" s="83"/>
      <c r="X265" s="83"/>
      <c r="Y265" s="83"/>
      <c r="Z265" s="83"/>
      <c r="AA265" s="80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</row>
    <row r="266" spans="1:51" s="73" customFormat="1" ht="15.6" x14ac:dyDescent="0.3">
      <c r="A266" s="73" t="s">
        <v>72</v>
      </c>
      <c r="B266" s="117" t="s">
        <v>531</v>
      </c>
      <c r="C266" s="160">
        <v>896728</v>
      </c>
      <c r="D266" s="302">
        <f>1.0212*2640</f>
        <v>2695.9680000000003</v>
      </c>
      <c r="E266" s="379">
        <v>1452</v>
      </c>
      <c r="F266" s="60">
        <f t="shared" ref="F266:F302" si="32">D266-E266</f>
        <v>1243.9680000000003</v>
      </c>
      <c r="G266" s="61">
        <f t="shared" si="31"/>
        <v>0.46141793967880929</v>
      </c>
      <c r="H266" s="62"/>
      <c r="I266" s="62"/>
      <c r="J266" s="63">
        <v>45291</v>
      </c>
      <c r="K266" s="64" t="s">
        <v>53</v>
      </c>
      <c r="L266" s="66" t="s">
        <v>168</v>
      </c>
      <c r="M266" s="121" t="s">
        <v>176</v>
      </c>
      <c r="N266" s="122"/>
      <c r="O266" s="121"/>
      <c r="P266" s="121"/>
      <c r="Q266" s="167" t="s">
        <v>223</v>
      </c>
      <c r="R266" s="126"/>
      <c r="S266" s="126"/>
      <c r="T266" s="126" t="s">
        <v>221</v>
      </c>
      <c r="U266" s="287">
        <v>45079</v>
      </c>
      <c r="V266" s="287"/>
      <c r="W266" s="130"/>
      <c r="X266" s="128"/>
      <c r="Y266" s="65"/>
      <c r="Z266" s="129"/>
      <c r="AA266" s="80" t="s">
        <v>496</v>
      </c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</row>
    <row r="267" spans="1:51" s="73" customFormat="1" ht="15.6" x14ac:dyDescent="0.3">
      <c r="A267" s="73" t="s">
        <v>72</v>
      </c>
      <c r="B267" s="117" t="s">
        <v>532</v>
      </c>
      <c r="C267" s="160">
        <v>896728</v>
      </c>
      <c r="D267" s="301">
        <f>5280*1.0212</f>
        <v>5391.9360000000006</v>
      </c>
      <c r="E267" s="376">
        <f>2904</f>
        <v>2904</v>
      </c>
      <c r="F267" s="74">
        <f t="shared" si="32"/>
        <v>2487.9360000000006</v>
      </c>
      <c r="G267" s="75">
        <f t="shared" si="31"/>
        <v>0.46141793967880929</v>
      </c>
      <c r="H267" s="114"/>
      <c r="I267" s="114"/>
      <c r="J267" s="63">
        <v>45291</v>
      </c>
      <c r="K267" s="86" t="s">
        <v>53</v>
      </c>
      <c r="L267" s="66" t="s">
        <v>168</v>
      </c>
      <c r="M267" s="227" t="s">
        <v>176</v>
      </c>
      <c r="P267" s="81"/>
      <c r="Q267" s="167" t="s">
        <v>223</v>
      </c>
      <c r="R267" s="126" t="s">
        <v>221</v>
      </c>
      <c r="S267" s="83"/>
      <c r="T267" s="126" t="s">
        <v>221</v>
      </c>
      <c r="U267" s="286"/>
      <c r="V267" s="286"/>
      <c r="W267" s="83"/>
      <c r="X267" s="83"/>
      <c r="Y267" s="83"/>
      <c r="Z267" s="83"/>
      <c r="AA267" s="80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</row>
    <row r="268" spans="1:51" s="191" customFormat="1" ht="15.6" x14ac:dyDescent="0.3">
      <c r="A268" s="73" t="s">
        <v>115</v>
      </c>
      <c r="B268" s="5" t="s">
        <v>533</v>
      </c>
      <c r="C268" s="160"/>
      <c r="D268" s="318">
        <v>2111.5100000000002</v>
      </c>
      <c r="E268" s="475">
        <v>1899.72</v>
      </c>
      <c r="F268" s="60">
        <f t="shared" si="32"/>
        <v>211.79000000000019</v>
      </c>
      <c r="G268" s="61">
        <f t="shared" si="31"/>
        <v>0.10030262702994547</v>
      </c>
      <c r="H268" s="140"/>
      <c r="I268" s="140"/>
      <c r="J268" s="63">
        <v>45011</v>
      </c>
      <c r="K268" s="86" t="s">
        <v>55</v>
      </c>
      <c r="L268" s="66"/>
      <c r="M268" s="227" t="s">
        <v>515</v>
      </c>
      <c r="N268" s="73"/>
      <c r="O268" s="73"/>
      <c r="P268" s="81"/>
      <c r="Q268" s="167" t="s">
        <v>534</v>
      </c>
      <c r="R268" s="83"/>
      <c r="S268" s="83"/>
      <c r="T268" s="83"/>
      <c r="U268" s="286"/>
      <c r="V268" s="286"/>
      <c r="W268" s="83"/>
      <c r="X268" s="83"/>
      <c r="Y268" s="83"/>
      <c r="Z268" s="83"/>
      <c r="AA268" s="80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</row>
    <row r="269" spans="1:51" s="73" customFormat="1" ht="15.6" x14ac:dyDescent="0.3">
      <c r="A269" s="73" t="s">
        <v>66</v>
      </c>
      <c r="B269" s="117" t="s">
        <v>535</v>
      </c>
      <c r="C269" s="160"/>
      <c r="D269" s="179">
        <v>2970</v>
      </c>
      <c r="E269" s="376">
        <v>1782</v>
      </c>
      <c r="F269" s="60">
        <f t="shared" si="32"/>
        <v>1188</v>
      </c>
      <c r="G269" s="61">
        <f t="shared" si="31"/>
        <v>0.4</v>
      </c>
      <c r="H269" s="140">
        <v>3564</v>
      </c>
      <c r="I269" s="140">
        <v>2376</v>
      </c>
      <c r="J269" s="63">
        <v>45291</v>
      </c>
      <c r="K269" s="86" t="s">
        <v>54</v>
      </c>
      <c r="L269" s="66" t="s">
        <v>168</v>
      </c>
      <c r="M269" s="227" t="s">
        <v>176</v>
      </c>
      <c r="P269" s="81"/>
      <c r="Q269" s="167" t="s">
        <v>240</v>
      </c>
      <c r="R269" s="83"/>
      <c r="S269" s="83"/>
      <c r="T269" s="83"/>
      <c r="U269" s="286"/>
      <c r="V269" s="286"/>
      <c r="W269" s="83"/>
      <c r="X269" s="83"/>
      <c r="Y269" s="83"/>
      <c r="Z269" s="83"/>
      <c r="AA269" s="80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</row>
    <row r="270" spans="1:51" s="73" customFormat="1" ht="15.6" x14ac:dyDescent="0.3">
      <c r="A270" s="73" t="s">
        <v>66</v>
      </c>
      <c r="B270" s="5" t="s">
        <v>536</v>
      </c>
      <c r="C270" s="160"/>
      <c r="D270" s="318">
        <v>594</v>
      </c>
      <c r="E270" s="178">
        <f>4500*0.55*0.22/12*9</f>
        <v>408.375</v>
      </c>
      <c r="F270" s="60">
        <f t="shared" si="32"/>
        <v>185.625</v>
      </c>
      <c r="G270" s="61">
        <f t="shared" si="31"/>
        <v>0.3125</v>
      </c>
      <c r="H270" s="140">
        <v>792</v>
      </c>
      <c r="I270" s="140">
        <v>544.5</v>
      </c>
      <c r="J270" s="63">
        <v>45291</v>
      </c>
      <c r="K270" s="86" t="s">
        <v>55</v>
      </c>
      <c r="L270" s="66" t="s">
        <v>168</v>
      </c>
      <c r="M270" s="227" t="s">
        <v>176</v>
      </c>
      <c r="P270" s="81"/>
      <c r="Q270" s="167" t="s">
        <v>240</v>
      </c>
      <c r="R270" s="83"/>
      <c r="S270" s="83"/>
      <c r="T270" s="83"/>
      <c r="U270" s="286"/>
      <c r="V270" s="286"/>
      <c r="W270" s="83"/>
      <c r="X270" s="83"/>
      <c r="Y270" s="83"/>
      <c r="Z270" s="83"/>
      <c r="AA270" s="80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</row>
    <row r="271" spans="1:51" s="73" customFormat="1" ht="15.6" x14ac:dyDescent="0.3">
      <c r="A271" s="456" t="s">
        <v>72</v>
      </c>
      <c r="B271" s="457" t="s">
        <v>537</v>
      </c>
      <c r="C271" s="458"/>
      <c r="D271" s="459">
        <v>2530</v>
      </c>
      <c r="E271" s="475">
        <v>1512.5</v>
      </c>
      <c r="F271" s="60">
        <f t="shared" si="32"/>
        <v>1017.5</v>
      </c>
      <c r="G271" s="61">
        <f t="shared" si="31"/>
        <v>0.40217391304347827</v>
      </c>
      <c r="H271" s="116"/>
      <c r="I271" s="116"/>
      <c r="J271" s="87">
        <v>45016</v>
      </c>
      <c r="K271" s="86" t="s">
        <v>55</v>
      </c>
      <c r="L271" s="160" t="s">
        <v>168</v>
      </c>
      <c r="M271" s="227" t="s">
        <v>219</v>
      </c>
      <c r="P271" s="81"/>
      <c r="Q271" s="167" t="s">
        <v>223</v>
      </c>
      <c r="R271" s="83"/>
      <c r="S271" s="83"/>
      <c r="T271" s="83"/>
      <c r="U271" s="286"/>
      <c r="V271" s="286"/>
      <c r="W271" s="83"/>
      <c r="X271" s="83"/>
      <c r="Y271" s="83"/>
      <c r="Z271" s="83"/>
      <c r="AA271" s="80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</row>
    <row r="272" spans="1:51" s="73" customFormat="1" ht="15.6" x14ac:dyDescent="0.3">
      <c r="A272" s="73" t="s">
        <v>126</v>
      </c>
      <c r="B272" s="5" t="s">
        <v>538</v>
      </c>
      <c r="C272" s="160"/>
      <c r="D272" s="301">
        <v>99</v>
      </c>
      <c r="E272" s="179">
        <f>I272/2</f>
        <v>64.349999999999994</v>
      </c>
      <c r="F272" s="74">
        <f t="shared" si="32"/>
        <v>34.650000000000006</v>
      </c>
      <c r="G272" s="382">
        <f t="shared" si="31"/>
        <v>0.35000000000000003</v>
      </c>
      <c r="H272" s="384">
        <v>198</v>
      </c>
      <c r="I272" s="384">
        <f>900*0.65*0.22</f>
        <v>128.69999999999999</v>
      </c>
      <c r="J272" s="386">
        <v>45291</v>
      </c>
      <c r="K272" s="388" t="s">
        <v>58</v>
      </c>
      <c r="L272" s="390" t="s">
        <v>168</v>
      </c>
      <c r="M272" s="392" t="s">
        <v>176</v>
      </c>
      <c r="P272" s="81"/>
      <c r="Q272" s="167" t="s">
        <v>272</v>
      </c>
      <c r="R272" s="83"/>
      <c r="S272" s="83"/>
      <c r="T272" s="83"/>
      <c r="U272" s="286"/>
      <c r="V272" s="286"/>
      <c r="W272" s="83"/>
      <c r="X272" s="83"/>
      <c r="Y272" s="83"/>
      <c r="Z272" s="83"/>
      <c r="AA272" s="80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</row>
    <row r="273" spans="1:51" s="73" customFormat="1" ht="15.6" x14ac:dyDescent="0.3">
      <c r="A273" s="73" t="s">
        <v>126</v>
      </c>
      <c r="B273" s="5" t="s">
        <v>539</v>
      </c>
      <c r="C273" s="160"/>
      <c r="D273" s="301">
        <v>99</v>
      </c>
      <c r="E273" s="376">
        <f>I273/2</f>
        <v>64.349999999999994</v>
      </c>
      <c r="F273" s="74">
        <f t="shared" si="32"/>
        <v>34.650000000000006</v>
      </c>
      <c r="G273" s="382">
        <f t="shared" si="31"/>
        <v>0.35000000000000003</v>
      </c>
      <c r="H273" s="384">
        <v>198</v>
      </c>
      <c r="I273" s="384">
        <f>900*0.65*0.22</f>
        <v>128.69999999999999</v>
      </c>
      <c r="J273" s="386">
        <v>45291</v>
      </c>
      <c r="K273" s="388" t="s">
        <v>58</v>
      </c>
      <c r="L273" s="390" t="s">
        <v>168</v>
      </c>
      <c r="M273" s="392" t="s">
        <v>176</v>
      </c>
      <c r="P273" s="81"/>
      <c r="Q273" s="167" t="s">
        <v>272</v>
      </c>
      <c r="R273" s="83"/>
      <c r="S273" s="83"/>
      <c r="T273" s="83"/>
      <c r="U273" s="286"/>
      <c r="V273" s="286"/>
      <c r="W273" s="83"/>
      <c r="X273" s="83"/>
      <c r="Y273" s="83"/>
      <c r="Z273" s="83"/>
      <c r="AA273" s="80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</row>
    <row r="274" spans="1:51" s="73" customFormat="1" ht="15.6" x14ac:dyDescent="0.3">
      <c r="A274" s="73" t="s">
        <v>66</v>
      </c>
      <c r="B274" s="5" t="s">
        <v>540</v>
      </c>
      <c r="C274" s="160"/>
      <c r="D274" s="318">
        <v>1750</v>
      </c>
      <c r="E274" s="376">
        <v>1549.78</v>
      </c>
      <c r="F274" s="74">
        <f t="shared" si="32"/>
        <v>200.22000000000003</v>
      </c>
      <c r="G274" s="382">
        <f t="shared" si="31"/>
        <v>0.11441142857142858</v>
      </c>
      <c r="H274" s="384"/>
      <c r="I274" s="384"/>
      <c r="J274" s="386">
        <v>45291</v>
      </c>
      <c r="K274" s="388" t="s">
        <v>58</v>
      </c>
      <c r="L274" s="390" t="s">
        <v>168</v>
      </c>
      <c r="M274" s="392" t="s">
        <v>183</v>
      </c>
      <c r="N274" s="73" t="s">
        <v>154</v>
      </c>
      <c r="P274" s="81"/>
      <c r="Q274" s="167" t="s">
        <v>223</v>
      </c>
      <c r="R274" s="83"/>
      <c r="S274" s="83"/>
      <c r="T274" s="83"/>
      <c r="U274" s="286"/>
      <c r="V274" s="286"/>
      <c r="W274" s="83"/>
      <c r="X274" s="83"/>
      <c r="Y274" s="83"/>
      <c r="Z274" s="83"/>
      <c r="AA274" s="80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</row>
    <row r="275" spans="1:51" s="73" customFormat="1" ht="15.6" x14ac:dyDescent="0.3">
      <c r="A275" s="73" t="s">
        <v>72</v>
      </c>
      <c r="B275" s="5" t="s">
        <v>524</v>
      </c>
      <c r="C275" s="160"/>
      <c r="D275" s="542">
        <v>7292</v>
      </c>
      <c r="E275" s="384">
        <f>51200*0.22/12*5</f>
        <v>4693.333333333333</v>
      </c>
      <c r="F275" s="74">
        <f t="shared" si="32"/>
        <v>2598.666666666667</v>
      </c>
      <c r="G275" s="382">
        <f t="shared" si="31"/>
        <v>0.35637228012433719</v>
      </c>
      <c r="H275" s="384">
        <v>17500</v>
      </c>
      <c r="I275" s="384">
        <f>51200*0.22</f>
        <v>11264</v>
      </c>
      <c r="J275" s="386">
        <v>45291</v>
      </c>
      <c r="K275" s="388" t="s">
        <v>59</v>
      </c>
      <c r="L275" s="390" t="s">
        <v>168</v>
      </c>
      <c r="M275" s="392" t="s">
        <v>176</v>
      </c>
      <c r="P275" s="81"/>
      <c r="Q275" s="167" t="s">
        <v>223</v>
      </c>
      <c r="R275" s="83"/>
      <c r="S275" s="83"/>
      <c r="T275" s="83"/>
      <c r="U275" s="286"/>
      <c r="V275" s="286"/>
      <c r="W275" s="83"/>
      <c r="X275" s="83"/>
      <c r="Y275" s="83"/>
      <c r="Z275" s="83"/>
      <c r="AA275" s="80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</row>
    <row r="276" spans="1:51" s="73" customFormat="1" ht="15.6" x14ac:dyDescent="0.3">
      <c r="A276" s="73" t="s">
        <v>115</v>
      </c>
      <c r="B276" s="5" t="s">
        <v>541</v>
      </c>
      <c r="C276" s="160"/>
      <c r="D276" s="318">
        <v>1018.2</v>
      </c>
      <c r="E276" s="179">
        <v>763.65</v>
      </c>
      <c r="F276" s="74">
        <f t="shared" si="32"/>
        <v>254.55000000000007</v>
      </c>
      <c r="G276" s="382">
        <f t="shared" si="31"/>
        <v>0.25000000000000006</v>
      </c>
      <c r="H276" s="384"/>
      <c r="I276" s="384"/>
      <c r="J276" s="386">
        <v>45291</v>
      </c>
      <c r="K276" s="388" t="s">
        <v>501</v>
      </c>
      <c r="L276" s="390" t="s">
        <v>542</v>
      </c>
      <c r="M276" s="392" t="s">
        <v>543</v>
      </c>
      <c r="N276" s="73" t="s">
        <v>544</v>
      </c>
      <c r="P276" s="81"/>
      <c r="Q276" s="167" t="s">
        <v>534</v>
      </c>
      <c r="R276" s="83"/>
      <c r="S276" s="83"/>
      <c r="T276" s="83"/>
      <c r="U276" s="286"/>
      <c r="V276" s="286"/>
      <c r="W276" s="83"/>
      <c r="X276" s="83"/>
      <c r="Y276" s="83"/>
      <c r="Z276" s="83"/>
      <c r="AA276" s="80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</row>
    <row r="277" spans="1:51" s="73" customFormat="1" ht="15.6" x14ac:dyDescent="0.3">
      <c r="A277" s="73" t="s">
        <v>126</v>
      </c>
      <c r="B277" s="5" t="s">
        <v>545</v>
      </c>
      <c r="C277" s="160"/>
      <c r="D277" s="318">
        <v>733.33</v>
      </c>
      <c r="E277" s="384">
        <f>3445.2/12*4</f>
        <v>1148.3999999999999</v>
      </c>
      <c r="F277" s="74"/>
      <c r="G277" s="382"/>
      <c r="H277" s="384">
        <v>4400</v>
      </c>
      <c r="I277" s="384">
        <v>3445.2</v>
      </c>
      <c r="J277" s="386">
        <v>45657</v>
      </c>
      <c r="K277" s="388" t="s">
        <v>546</v>
      </c>
      <c r="L277" s="390" t="s">
        <v>168</v>
      </c>
      <c r="M277" s="392" t="s">
        <v>209</v>
      </c>
      <c r="P277" s="81"/>
      <c r="Q277" s="167" t="s">
        <v>272</v>
      </c>
      <c r="R277" s="83"/>
      <c r="S277" s="83"/>
      <c r="T277" s="83"/>
      <c r="U277" s="286"/>
      <c r="V277" s="286"/>
      <c r="W277" s="83"/>
      <c r="X277" s="83"/>
      <c r="Y277" s="83"/>
      <c r="Z277" s="83"/>
      <c r="AA277" s="80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</row>
    <row r="278" spans="1:51" s="73" customFormat="1" ht="15.6" x14ac:dyDescent="0.3">
      <c r="B278" s="5"/>
      <c r="C278" s="160"/>
      <c r="D278" s="179"/>
      <c r="E278" s="179"/>
      <c r="F278" s="74"/>
      <c r="G278" s="382"/>
      <c r="H278" s="384"/>
      <c r="I278" s="384"/>
      <c r="J278" s="386"/>
      <c r="K278" s="388"/>
      <c r="L278" s="390"/>
      <c r="M278" s="392"/>
      <c r="P278" s="81"/>
      <c r="Q278" s="167"/>
      <c r="R278" s="83"/>
      <c r="S278" s="83"/>
      <c r="T278" s="83"/>
      <c r="U278" s="286"/>
      <c r="V278" s="286"/>
      <c r="W278" s="83"/>
      <c r="X278" s="83"/>
      <c r="Y278" s="83"/>
      <c r="Z278" s="83"/>
      <c r="AA278" s="80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</row>
    <row r="279" spans="1:51" s="73" customFormat="1" ht="15.6" x14ac:dyDescent="0.3">
      <c r="B279" s="5"/>
      <c r="C279" s="160"/>
      <c r="D279" s="179"/>
      <c r="E279" s="179"/>
      <c r="F279" s="74"/>
      <c r="G279" s="382"/>
      <c r="H279" s="384"/>
      <c r="I279" s="384"/>
      <c r="J279" s="386"/>
      <c r="K279" s="388"/>
      <c r="L279" s="390"/>
      <c r="M279" s="392"/>
      <c r="P279" s="81"/>
      <c r="Q279" s="167"/>
      <c r="R279" s="83"/>
      <c r="S279" s="83"/>
      <c r="T279" s="83"/>
      <c r="U279" s="286"/>
      <c r="V279" s="286"/>
      <c r="W279" s="83"/>
      <c r="X279" s="83"/>
      <c r="Y279" s="83"/>
      <c r="Z279" s="83"/>
      <c r="AA279" s="80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</row>
    <row r="280" spans="1:51" s="73" customFormat="1" ht="15.6" x14ac:dyDescent="0.3">
      <c r="B280" s="5"/>
      <c r="C280" s="160"/>
      <c r="D280" s="179"/>
      <c r="E280" s="179"/>
      <c r="F280" s="74"/>
      <c r="G280" s="382"/>
      <c r="H280" s="384"/>
      <c r="I280" s="384"/>
      <c r="J280" s="386"/>
      <c r="K280" s="388"/>
      <c r="L280" s="390"/>
      <c r="M280" s="392"/>
      <c r="P280" s="81"/>
      <c r="Q280" s="167"/>
      <c r="R280" s="83"/>
      <c r="S280" s="83"/>
      <c r="T280" s="83"/>
      <c r="U280" s="286"/>
      <c r="V280" s="286"/>
      <c r="W280" s="83"/>
      <c r="X280" s="83"/>
      <c r="Y280" s="83"/>
      <c r="Z280" s="83"/>
      <c r="AA280" s="80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</row>
    <row r="281" spans="1:51" s="73" customFormat="1" ht="15.6" x14ac:dyDescent="0.3">
      <c r="B281" s="5"/>
      <c r="C281" s="160"/>
      <c r="D281" s="179"/>
      <c r="E281" s="179"/>
      <c r="F281" s="74"/>
      <c r="G281" s="382"/>
      <c r="H281" s="384"/>
      <c r="I281" s="384"/>
      <c r="J281" s="386"/>
      <c r="K281" s="388"/>
      <c r="L281" s="390"/>
      <c r="M281" s="392"/>
      <c r="P281" s="81"/>
      <c r="Q281" s="167"/>
      <c r="R281" s="83"/>
      <c r="S281" s="83"/>
      <c r="T281" s="83"/>
      <c r="U281" s="286"/>
      <c r="V281" s="286"/>
      <c r="W281" s="83"/>
      <c r="X281" s="83"/>
      <c r="Y281" s="83"/>
      <c r="Z281" s="83"/>
      <c r="AA281" s="80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</row>
    <row r="282" spans="1:51" s="73" customFormat="1" ht="15.6" x14ac:dyDescent="0.3">
      <c r="B282" s="90"/>
      <c r="C282" s="160"/>
      <c r="D282" s="114"/>
      <c r="E282" s="114"/>
      <c r="F282" s="74">
        <f t="shared" si="32"/>
        <v>0</v>
      </c>
      <c r="G282" s="382" t="e">
        <f t="shared" si="31"/>
        <v>#DIV/0!</v>
      </c>
      <c r="H282" s="384"/>
      <c r="I282" s="384"/>
      <c r="J282" s="386">
        <v>45291</v>
      </c>
      <c r="K282" s="388" t="s">
        <v>53</v>
      </c>
      <c r="L282" s="390" t="s">
        <v>168</v>
      </c>
      <c r="M282" s="392"/>
      <c r="P282" s="81"/>
      <c r="Q282" s="167" t="s">
        <v>223</v>
      </c>
      <c r="R282" s="83"/>
      <c r="S282" s="83"/>
      <c r="T282" s="83"/>
      <c r="U282" s="286"/>
      <c r="V282" s="286"/>
      <c r="W282" s="83"/>
      <c r="X282" s="83"/>
      <c r="Y282" s="83"/>
      <c r="Z282" s="83"/>
      <c r="AA282" s="80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</row>
    <row r="283" spans="1:51" s="73" customFormat="1" ht="15.6" x14ac:dyDescent="0.3">
      <c r="B283" s="422" t="s">
        <v>547</v>
      </c>
      <c r="C283" s="160"/>
      <c r="D283" s="114"/>
      <c r="E283" s="114"/>
      <c r="F283" s="74">
        <f t="shared" si="32"/>
        <v>0</v>
      </c>
      <c r="G283" s="382" t="e">
        <f t="shared" si="31"/>
        <v>#DIV/0!</v>
      </c>
      <c r="H283" s="384"/>
      <c r="I283" s="384"/>
      <c r="J283" s="386">
        <v>45291</v>
      </c>
      <c r="K283" s="388" t="s">
        <v>53</v>
      </c>
      <c r="L283" s="390" t="s">
        <v>168</v>
      </c>
      <c r="M283" s="392"/>
      <c r="P283" s="81"/>
      <c r="Q283" s="167" t="s">
        <v>223</v>
      </c>
      <c r="R283" s="83"/>
      <c r="S283" s="83"/>
      <c r="T283" s="83"/>
      <c r="U283" s="286"/>
      <c r="V283" s="286"/>
      <c r="W283" s="83"/>
      <c r="X283" s="83"/>
      <c r="Y283" s="83"/>
      <c r="Z283" s="83"/>
      <c r="AA283" s="80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</row>
    <row r="284" spans="1:51" s="73" customFormat="1" ht="15.6" x14ac:dyDescent="0.3">
      <c r="B284" s="90"/>
      <c r="C284" s="160"/>
      <c r="D284" s="179"/>
      <c r="E284" s="179"/>
      <c r="F284" s="74">
        <f t="shared" si="32"/>
        <v>0</v>
      </c>
      <c r="G284" s="382" t="e">
        <f t="shared" si="31"/>
        <v>#DIV/0!</v>
      </c>
      <c r="H284" s="384"/>
      <c r="I284" s="384"/>
      <c r="J284" s="386">
        <v>45291</v>
      </c>
      <c r="K284" s="388" t="s">
        <v>53</v>
      </c>
      <c r="L284" s="390" t="s">
        <v>168</v>
      </c>
      <c r="M284" s="392" t="s">
        <v>176</v>
      </c>
      <c r="P284" s="81"/>
      <c r="Q284" s="167"/>
      <c r="R284" s="83"/>
      <c r="S284" s="83"/>
      <c r="T284" s="83"/>
      <c r="U284" s="286"/>
      <c r="V284" s="286"/>
      <c r="W284" s="83"/>
      <c r="X284" s="83"/>
      <c r="Y284" s="83"/>
      <c r="Z284" s="83"/>
      <c r="AA284" s="80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</row>
    <row r="285" spans="1:51" s="73" customFormat="1" ht="15.6" x14ac:dyDescent="0.3">
      <c r="A285" s="73" t="s">
        <v>115</v>
      </c>
      <c r="B285" s="90" t="s">
        <v>548</v>
      </c>
      <c r="C285" s="160"/>
      <c r="D285" s="114"/>
      <c r="E285" s="114"/>
      <c r="F285" s="74">
        <f t="shared" si="32"/>
        <v>0</v>
      </c>
      <c r="G285" s="460" t="e">
        <f t="shared" si="31"/>
        <v>#DIV/0!</v>
      </c>
      <c r="H285" s="114">
        <v>500</v>
      </c>
      <c r="I285" s="384"/>
      <c r="J285" s="386">
        <v>45291</v>
      </c>
      <c r="K285" s="388" t="s">
        <v>53</v>
      </c>
      <c r="L285" s="390" t="s">
        <v>168</v>
      </c>
      <c r="M285" s="392"/>
      <c r="P285" s="81"/>
      <c r="Q285" s="167" t="s">
        <v>534</v>
      </c>
      <c r="R285" s="83"/>
      <c r="S285" s="83"/>
      <c r="T285" s="83"/>
      <c r="U285" s="286"/>
      <c r="V285" s="286"/>
      <c r="W285" s="83"/>
      <c r="X285" s="83"/>
      <c r="Y285" s="83"/>
      <c r="Z285" s="83"/>
      <c r="AA285" s="80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</row>
    <row r="286" spans="1:51" s="73" customFormat="1" ht="15.6" x14ac:dyDescent="0.3">
      <c r="A286" s="73" t="s">
        <v>72</v>
      </c>
      <c r="B286" s="90" t="s">
        <v>549</v>
      </c>
      <c r="C286" s="160"/>
      <c r="D286" s="114">
        <v>84000</v>
      </c>
      <c r="E286" s="114">
        <v>64854.51</v>
      </c>
      <c r="F286" s="74">
        <f t="shared" si="32"/>
        <v>19145.489999999998</v>
      </c>
      <c r="G286" s="460">
        <f t="shared" si="31"/>
        <v>0.22792249999999997</v>
      </c>
      <c r="H286" s="114"/>
      <c r="I286" s="384"/>
      <c r="J286" s="386">
        <v>45291</v>
      </c>
      <c r="K286" s="388" t="s">
        <v>64</v>
      </c>
      <c r="L286" s="390" t="s">
        <v>168</v>
      </c>
      <c r="M286" s="392"/>
      <c r="P286" s="81"/>
      <c r="Q286" s="167" t="s">
        <v>550</v>
      </c>
      <c r="R286" s="83"/>
      <c r="S286" s="83"/>
      <c r="T286" s="83"/>
      <c r="U286" s="286"/>
      <c r="V286" s="286"/>
      <c r="W286" s="83"/>
      <c r="X286" s="83"/>
      <c r="Y286" s="83"/>
      <c r="Z286" s="83"/>
      <c r="AA286" s="80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</row>
    <row r="287" spans="1:51" s="73" customFormat="1" ht="15.6" x14ac:dyDescent="0.3">
      <c r="A287" s="73" t="s">
        <v>115</v>
      </c>
      <c r="B287" s="90" t="s">
        <v>551</v>
      </c>
      <c r="C287" s="160"/>
      <c r="D287" s="114"/>
      <c r="E287" s="114"/>
      <c r="F287" s="74">
        <f t="shared" si="32"/>
        <v>0</v>
      </c>
      <c r="G287" s="460" t="e">
        <f t="shared" si="31"/>
        <v>#DIV/0!</v>
      </c>
      <c r="H287" s="114">
        <v>2000</v>
      </c>
      <c r="I287" s="384"/>
      <c r="J287" s="386">
        <v>45291</v>
      </c>
      <c r="K287" s="388" t="s">
        <v>53</v>
      </c>
      <c r="L287" s="390" t="s">
        <v>168</v>
      </c>
      <c r="M287" s="392"/>
      <c r="P287" s="81"/>
      <c r="Q287" s="167" t="s">
        <v>534</v>
      </c>
      <c r="R287" s="83"/>
      <c r="S287" s="83"/>
      <c r="T287" s="83"/>
      <c r="U287" s="286"/>
      <c r="V287" s="286"/>
      <c r="W287" s="83"/>
      <c r="X287" s="83"/>
      <c r="Y287" s="83"/>
      <c r="Z287" s="83"/>
      <c r="AA287" s="80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</row>
    <row r="288" spans="1:51" s="73" customFormat="1" ht="15.6" x14ac:dyDescent="0.3">
      <c r="A288" s="73" t="s">
        <v>72</v>
      </c>
      <c r="B288" s="90" t="s">
        <v>552</v>
      </c>
      <c r="C288" s="160"/>
      <c r="D288" s="114">
        <v>2000</v>
      </c>
      <c r="E288" s="114">
        <v>1500</v>
      </c>
      <c r="F288" s="74">
        <f t="shared" si="32"/>
        <v>500</v>
      </c>
      <c r="G288" s="460">
        <f t="shared" si="31"/>
        <v>0.25</v>
      </c>
      <c r="H288" s="114"/>
      <c r="I288" s="384"/>
      <c r="J288" s="386">
        <v>45291</v>
      </c>
      <c r="K288" s="388" t="s">
        <v>53</v>
      </c>
      <c r="L288" s="390" t="s">
        <v>168</v>
      </c>
      <c r="M288" s="392"/>
      <c r="P288" s="81"/>
      <c r="Q288" s="167" t="s">
        <v>223</v>
      </c>
      <c r="R288" s="83"/>
      <c r="S288" s="83"/>
      <c r="T288" s="83"/>
      <c r="U288" s="286"/>
      <c r="V288" s="286"/>
      <c r="W288" s="83"/>
      <c r="X288" s="83"/>
      <c r="Y288" s="83"/>
      <c r="Z288" s="83"/>
      <c r="AA288" s="80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</row>
    <row r="289" spans="1:51" s="73" customFormat="1" ht="15.6" x14ac:dyDescent="0.3">
      <c r="A289" s="73" t="s">
        <v>72</v>
      </c>
      <c r="B289" s="90" t="s">
        <v>553</v>
      </c>
      <c r="C289" s="160"/>
      <c r="D289" s="114">
        <v>2000</v>
      </c>
      <c r="E289" s="114">
        <v>1500</v>
      </c>
      <c r="F289" s="74">
        <f t="shared" si="32"/>
        <v>500</v>
      </c>
      <c r="G289" s="382">
        <f t="shared" si="31"/>
        <v>0.25</v>
      </c>
      <c r="H289" s="114"/>
      <c r="I289" s="384"/>
      <c r="J289" s="386">
        <v>45291</v>
      </c>
      <c r="K289" s="388" t="s">
        <v>53</v>
      </c>
      <c r="L289" s="390" t="s">
        <v>168</v>
      </c>
      <c r="M289" s="392"/>
      <c r="P289" s="81"/>
      <c r="Q289" s="167" t="s">
        <v>223</v>
      </c>
      <c r="R289" s="83"/>
      <c r="S289" s="83"/>
      <c r="T289" s="83"/>
      <c r="U289" s="286"/>
      <c r="V289" s="286"/>
      <c r="W289" s="83"/>
      <c r="X289" s="83"/>
      <c r="Y289" s="83"/>
      <c r="Z289" s="83"/>
      <c r="AA289" s="80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</row>
    <row r="290" spans="1:51" s="73" customFormat="1" ht="15.6" x14ac:dyDescent="0.3">
      <c r="A290" s="73" t="s">
        <v>111</v>
      </c>
      <c r="B290" s="90" t="s">
        <v>554</v>
      </c>
      <c r="C290" s="160"/>
      <c r="D290" s="114">
        <v>3000</v>
      </c>
      <c r="E290" s="114">
        <v>2000</v>
      </c>
      <c r="F290" s="74">
        <f t="shared" si="32"/>
        <v>1000</v>
      </c>
      <c r="G290" s="382">
        <f t="shared" si="31"/>
        <v>0.33333333333333331</v>
      </c>
      <c r="H290" s="114"/>
      <c r="I290" s="384"/>
      <c r="J290" s="386">
        <v>45291</v>
      </c>
      <c r="K290" s="388" t="s">
        <v>53</v>
      </c>
      <c r="L290" s="390" t="s">
        <v>168</v>
      </c>
      <c r="M290" s="392"/>
      <c r="P290" s="81"/>
      <c r="Q290" s="167" t="s">
        <v>223</v>
      </c>
      <c r="R290" s="83"/>
      <c r="S290" s="83"/>
      <c r="T290" s="83"/>
      <c r="U290" s="286"/>
      <c r="V290" s="286"/>
      <c r="W290" s="83"/>
      <c r="X290" s="83"/>
      <c r="Y290" s="83"/>
      <c r="Z290" s="83"/>
      <c r="AA290" s="80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</row>
    <row r="291" spans="1:51" s="73" customFormat="1" ht="15.6" x14ac:dyDescent="0.3">
      <c r="A291" s="73" t="s">
        <v>126</v>
      </c>
      <c r="B291" s="90" t="s">
        <v>555</v>
      </c>
      <c r="C291" s="160"/>
      <c r="D291" s="114">
        <v>20000</v>
      </c>
      <c r="E291" s="114">
        <v>16000</v>
      </c>
      <c r="F291" s="74">
        <f t="shared" si="32"/>
        <v>4000</v>
      </c>
      <c r="G291" s="382">
        <f t="shared" si="31"/>
        <v>0.2</v>
      </c>
      <c r="H291" s="114"/>
      <c r="I291" s="384"/>
      <c r="J291" s="386">
        <v>45291</v>
      </c>
      <c r="K291" s="388" t="s">
        <v>53</v>
      </c>
      <c r="L291" s="390" t="s">
        <v>168</v>
      </c>
      <c r="M291" s="392"/>
      <c r="P291" s="81"/>
      <c r="Q291" s="167" t="s">
        <v>223</v>
      </c>
      <c r="R291" s="83"/>
      <c r="S291" s="83"/>
      <c r="T291" s="83"/>
      <c r="U291" s="286"/>
      <c r="V291" s="286"/>
      <c r="W291" s="83"/>
      <c r="X291" s="83"/>
      <c r="Y291" s="83"/>
      <c r="Z291" s="83"/>
      <c r="AA291" s="80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</row>
    <row r="292" spans="1:51" s="73" customFormat="1" ht="15.6" x14ac:dyDescent="0.3">
      <c r="B292" s="90"/>
      <c r="C292" s="160"/>
      <c r="D292" s="114"/>
      <c r="E292" s="114"/>
      <c r="F292" s="74">
        <f t="shared" si="32"/>
        <v>0</v>
      </c>
      <c r="G292" s="382" t="e">
        <f t="shared" si="31"/>
        <v>#DIV/0!</v>
      </c>
      <c r="H292" s="384"/>
      <c r="I292" s="384"/>
      <c r="J292" s="386">
        <v>45291</v>
      </c>
      <c r="K292" s="388" t="s">
        <v>53</v>
      </c>
      <c r="L292" s="390" t="s">
        <v>168</v>
      </c>
      <c r="M292" s="392"/>
      <c r="P292" s="81"/>
      <c r="Q292" s="167" t="s">
        <v>223</v>
      </c>
      <c r="R292" s="83"/>
      <c r="S292" s="83"/>
      <c r="T292" s="83"/>
      <c r="U292" s="286"/>
      <c r="V292" s="286"/>
      <c r="W292" s="83"/>
      <c r="X292" s="83"/>
      <c r="Y292" s="83"/>
      <c r="Z292" s="83"/>
      <c r="AA292" s="80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</row>
    <row r="293" spans="1:51" s="73" customFormat="1" ht="15.6" x14ac:dyDescent="0.3">
      <c r="B293" s="90"/>
      <c r="C293" s="160"/>
      <c r="D293" s="114"/>
      <c r="E293" s="114"/>
      <c r="F293" s="74">
        <f t="shared" si="32"/>
        <v>0</v>
      </c>
      <c r="G293" s="382" t="e">
        <f t="shared" si="31"/>
        <v>#DIV/0!</v>
      </c>
      <c r="H293" s="384"/>
      <c r="I293" s="384"/>
      <c r="J293" s="386">
        <v>45291</v>
      </c>
      <c r="K293" s="388" t="s">
        <v>53</v>
      </c>
      <c r="L293" s="390" t="s">
        <v>168</v>
      </c>
      <c r="M293" s="392"/>
      <c r="P293" s="81"/>
      <c r="Q293" s="167" t="s">
        <v>223</v>
      </c>
      <c r="R293" s="83"/>
      <c r="S293" s="83"/>
      <c r="T293" s="83"/>
      <c r="U293" s="286"/>
      <c r="V293" s="286"/>
      <c r="W293" s="83"/>
      <c r="X293" s="83"/>
      <c r="Y293" s="83"/>
      <c r="Z293" s="83"/>
      <c r="AA293" s="80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</row>
    <row r="294" spans="1:51" s="73" customFormat="1" ht="15.6" x14ac:dyDescent="0.3">
      <c r="B294" s="422" t="s">
        <v>556</v>
      </c>
      <c r="C294" s="160"/>
      <c r="D294" s="114"/>
      <c r="E294" s="114"/>
      <c r="F294" s="74">
        <f t="shared" si="32"/>
        <v>0</v>
      </c>
      <c r="G294" s="382" t="e">
        <f t="shared" si="31"/>
        <v>#DIV/0!</v>
      </c>
      <c r="H294" s="384"/>
      <c r="I294" s="384"/>
      <c r="J294" s="386">
        <v>45291</v>
      </c>
      <c r="K294" s="388" t="s">
        <v>53</v>
      </c>
      <c r="L294" s="390" t="s">
        <v>168</v>
      </c>
      <c r="M294" s="392"/>
      <c r="P294" s="81"/>
      <c r="Q294" s="167" t="s">
        <v>223</v>
      </c>
      <c r="R294" s="83"/>
      <c r="S294" s="83"/>
      <c r="T294" s="83"/>
      <c r="U294" s="286"/>
      <c r="V294" s="286"/>
      <c r="W294" s="83"/>
      <c r="X294" s="83"/>
      <c r="Y294" s="83"/>
      <c r="Z294" s="83"/>
      <c r="AA294" s="80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</row>
    <row r="295" spans="1:51" s="73" customFormat="1" ht="15.6" x14ac:dyDescent="0.3">
      <c r="B295" s="90"/>
      <c r="C295" s="160"/>
      <c r="D295" s="114"/>
      <c r="E295" s="114"/>
      <c r="F295" s="74">
        <f t="shared" si="32"/>
        <v>0</v>
      </c>
      <c r="G295" s="525" t="e">
        <v>#DIV/0!</v>
      </c>
      <c r="H295" s="526"/>
      <c r="I295" s="526"/>
      <c r="J295" s="527">
        <v>45291</v>
      </c>
      <c r="K295" s="528" t="s">
        <v>53</v>
      </c>
      <c r="L295" s="529" t="s">
        <v>168</v>
      </c>
      <c r="M295" s="530"/>
      <c r="N295" s="531"/>
      <c r="O295" s="531"/>
      <c r="P295" s="532"/>
      <c r="Q295" s="533" t="s">
        <v>223</v>
      </c>
      <c r="R295" s="522"/>
      <c r="S295" s="522"/>
      <c r="T295" s="522"/>
      <c r="U295" s="523"/>
      <c r="V295" s="523"/>
      <c r="W295" s="522"/>
      <c r="X295" s="522"/>
      <c r="Y295" s="522"/>
      <c r="Z295" s="522"/>
      <c r="AA295" s="534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</row>
    <row r="296" spans="1:51" s="73" customFormat="1" ht="15.6" x14ac:dyDescent="0.3">
      <c r="B296" s="90" t="s">
        <v>557</v>
      </c>
      <c r="C296" s="160"/>
      <c r="D296" s="535">
        <v>29115.26</v>
      </c>
      <c r="E296" s="535">
        <v>25524.5</v>
      </c>
      <c r="F296" s="74">
        <f t="shared" si="32"/>
        <v>3590.7599999999984</v>
      </c>
      <c r="G296" s="525" t="e">
        <v>#DIV/0!</v>
      </c>
      <c r="H296" s="526"/>
      <c r="I296" s="526"/>
      <c r="J296" s="537">
        <v>45108</v>
      </c>
      <c r="K296" s="528" t="s">
        <v>61</v>
      </c>
      <c r="L296" s="529" t="s">
        <v>168</v>
      </c>
      <c r="M296" s="530"/>
      <c r="N296" s="531"/>
      <c r="O296" s="531"/>
      <c r="P296" s="532"/>
      <c r="Q296" s="533" t="s">
        <v>223</v>
      </c>
      <c r="R296" s="522"/>
      <c r="S296" s="522"/>
      <c r="T296" s="522"/>
      <c r="U296" s="523"/>
      <c r="V296" s="523"/>
      <c r="W296" s="522"/>
      <c r="X296" s="522"/>
      <c r="Y296" s="522"/>
      <c r="Z296" s="522"/>
      <c r="AA296" s="534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</row>
    <row r="297" spans="1:51" s="73" customFormat="1" ht="15.6" x14ac:dyDescent="0.3">
      <c r="B297" s="90" t="s">
        <v>558</v>
      </c>
      <c r="C297" s="160"/>
      <c r="D297" s="535">
        <v>2119.58</v>
      </c>
      <c r="E297" s="535">
        <v>1838.34</v>
      </c>
      <c r="F297" s="74">
        <f t="shared" si="32"/>
        <v>281.24</v>
      </c>
      <c r="G297" s="525" t="e">
        <v>#DIV/0!</v>
      </c>
      <c r="H297" s="526"/>
      <c r="I297" s="526"/>
      <c r="J297" s="537">
        <v>45200</v>
      </c>
      <c r="K297" s="528" t="s">
        <v>62</v>
      </c>
      <c r="L297" s="529" t="s">
        <v>168</v>
      </c>
      <c r="M297" s="530"/>
      <c r="N297" s="531"/>
      <c r="O297" s="531"/>
      <c r="P297" s="532"/>
      <c r="Q297" s="533" t="s">
        <v>223</v>
      </c>
      <c r="R297" s="522"/>
      <c r="S297" s="522"/>
      <c r="T297" s="522"/>
      <c r="U297" s="523"/>
      <c r="V297" s="523"/>
      <c r="W297" s="522"/>
      <c r="X297" s="522"/>
      <c r="Y297" s="522"/>
      <c r="Z297" s="522"/>
      <c r="AA297" s="534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</row>
    <row r="298" spans="1:51" s="73" customFormat="1" ht="15.6" x14ac:dyDescent="0.3">
      <c r="B298" s="90" t="s">
        <v>559</v>
      </c>
      <c r="C298" s="160"/>
      <c r="D298" s="536">
        <v>532.95000000000005</v>
      </c>
      <c r="E298" s="536">
        <v>302.60000000000002</v>
      </c>
      <c r="F298" s="74">
        <f t="shared" si="32"/>
        <v>230.35000000000002</v>
      </c>
      <c r="G298" s="525" t="e">
        <v>#DIV/0!</v>
      </c>
      <c r="H298" s="526"/>
      <c r="I298" s="526"/>
      <c r="J298" s="537">
        <v>45225</v>
      </c>
      <c r="K298" s="528" t="s">
        <v>62</v>
      </c>
      <c r="L298" s="529" t="s">
        <v>168</v>
      </c>
      <c r="M298" s="530"/>
      <c r="N298" s="531"/>
      <c r="O298" s="531"/>
      <c r="P298" s="532"/>
      <c r="Q298" s="533" t="s">
        <v>223</v>
      </c>
      <c r="R298" s="522"/>
      <c r="S298" s="522"/>
      <c r="T298" s="522"/>
      <c r="U298" s="523"/>
      <c r="V298" s="523"/>
      <c r="W298" s="522"/>
      <c r="X298" s="522"/>
      <c r="Y298" s="522"/>
      <c r="Z298" s="522"/>
      <c r="AA298" s="534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</row>
    <row r="299" spans="1:51" s="73" customFormat="1" ht="15.6" x14ac:dyDescent="0.3">
      <c r="B299" s="90" t="s">
        <v>560</v>
      </c>
      <c r="C299" s="160"/>
      <c r="D299" s="536">
        <v>4500</v>
      </c>
      <c r="E299" s="536">
        <v>3903.18</v>
      </c>
      <c r="F299" s="74">
        <f t="shared" si="32"/>
        <v>596.82000000000016</v>
      </c>
      <c r="G299" s="525" t="e">
        <v>#DIV/0!</v>
      </c>
      <c r="H299" s="526"/>
      <c r="I299" s="526"/>
      <c r="J299" s="537">
        <v>45230</v>
      </c>
      <c r="K299" s="528" t="s">
        <v>62</v>
      </c>
      <c r="L299" s="529" t="s">
        <v>168</v>
      </c>
      <c r="M299" s="530"/>
      <c r="N299" s="531"/>
      <c r="O299" s="531"/>
      <c r="P299" s="532"/>
      <c r="Q299" s="533" t="s">
        <v>223</v>
      </c>
      <c r="R299" s="522"/>
      <c r="S299" s="522"/>
      <c r="T299" s="522"/>
      <c r="U299" s="523"/>
      <c r="V299" s="523"/>
      <c r="W299" s="522"/>
      <c r="X299" s="522"/>
      <c r="Y299" s="522"/>
      <c r="Z299" s="522"/>
      <c r="AA299" s="534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</row>
    <row r="300" spans="1:51" s="73" customFormat="1" ht="15.6" x14ac:dyDescent="0.3">
      <c r="B300" s="90" t="s">
        <v>561</v>
      </c>
      <c r="C300" s="160"/>
      <c r="D300" s="536">
        <v>4029.07</v>
      </c>
      <c r="E300" s="536">
        <v>3536.95</v>
      </c>
      <c r="F300" s="74">
        <f t="shared" si="32"/>
        <v>492.12000000000035</v>
      </c>
      <c r="G300" s="525" t="e">
        <v>#DIV/0!</v>
      </c>
      <c r="H300" s="526"/>
      <c r="I300" s="526"/>
      <c r="J300" s="537">
        <v>45231</v>
      </c>
      <c r="K300" s="528" t="s">
        <v>63</v>
      </c>
      <c r="L300" s="529" t="s">
        <v>168</v>
      </c>
      <c r="M300" s="530"/>
      <c r="N300" s="531"/>
      <c r="O300" s="531"/>
      <c r="P300" s="532"/>
      <c r="Q300" s="533" t="s">
        <v>223</v>
      </c>
      <c r="R300" s="522"/>
      <c r="S300" s="522"/>
      <c r="T300" s="522"/>
      <c r="U300" s="523"/>
      <c r="V300" s="523"/>
      <c r="W300" s="522"/>
      <c r="X300" s="522"/>
      <c r="Y300" s="522"/>
      <c r="Z300" s="522"/>
      <c r="AA300" s="534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</row>
    <row r="301" spans="1:51" s="73" customFormat="1" ht="15.6" x14ac:dyDescent="0.3">
      <c r="A301" s="539"/>
      <c r="B301" s="90" t="s">
        <v>562</v>
      </c>
      <c r="C301" s="160"/>
      <c r="D301" s="535">
        <v>8077.2</v>
      </c>
      <c r="E301" s="535">
        <v>6330.48</v>
      </c>
      <c r="F301" s="74">
        <f t="shared" si="32"/>
        <v>1746.7200000000003</v>
      </c>
      <c r="G301" s="525" t="e">
        <v>#DIV/0!</v>
      </c>
      <c r="H301" s="526"/>
      <c r="I301" s="526"/>
      <c r="J301" s="537">
        <v>45261</v>
      </c>
      <c r="K301" s="528" t="s">
        <v>64</v>
      </c>
      <c r="L301" s="529" t="s">
        <v>168</v>
      </c>
      <c r="M301" s="530"/>
      <c r="N301" s="531"/>
      <c r="O301" s="531"/>
      <c r="P301" s="532"/>
      <c r="Q301" s="533" t="s">
        <v>223</v>
      </c>
      <c r="R301" s="522"/>
      <c r="S301" s="522"/>
      <c r="T301" s="522"/>
      <c r="U301" s="523"/>
      <c r="V301" s="523"/>
      <c r="W301" s="522"/>
      <c r="X301" s="522"/>
      <c r="Y301" s="522"/>
      <c r="Z301" s="522"/>
      <c r="AA301" s="534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</row>
    <row r="302" spans="1:51" s="508" customFormat="1" ht="15.6" x14ac:dyDescent="0.3">
      <c r="A302" s="539"/>
      <c r="B302" s="90" t="s">
        <v>563</v>
      </c>
      <c r="C302" s="509"/>
      <c r="D302" s="535">
        <v>18057.23</v>
      </c>
      <c r="E302" s="535">
        <v>17690.16</v>
      </c>
      <c r="F302" s="74">
        <f t="shared" si="32"/>
        <v>367.06999999999971</v>
      </c>
      <c r="G302" s="525" t="e">
        <v>#DIV/0!</v>
      </c>
      <c r="H302" s="526"/>
      <c r="I302" s="526"/>
      <c r="J302" s="537">
        <v>45261</v>
      </c>
      <c r="K302" s="528" t="s">
        <v>64</v>
      </c>
      <c r="L302" s="529" t="s">
        <v>168</v>
      </c>
      <c r="M302" s="530"/>
      <c r="N302" s="531"/>
      <c r="O302" s="531"/>
      <c r="P302" s="532"/>
      <c r="Q302" s="533" t="s">
        <v>223</v>
      </c>
      <c r="R302" s="522"/>
      <c r="S302" s="522"/>
      <c r="T302" s="522"/>
      <c r="U302" s="523"/>
      <c r="V302" s="523"/>
      <c r="W302" s="522"/>
      <c r="X302" s="522"/>
      <c r="Y302" s="522"/>
      <c r="Z302" s="522"/>
      <c r="AA302" s="534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</row>
    <row r="303" spans="1:51" s="508" customFormat="1" ht="15.6" x14ac:dyDescent="0.3">
      <c r="A303" s="539"/>
      <c r="B303" s="90" t="s">
        <v>564</v>
      </c>
      <c r="C303" s="509"/>
      <c r="D303" s="536">
        <v>10737.27</v>
      </c>
      <c r="E303" s="536">
        <v>6975.57</v>
      </c>
      <c r="F303" s="74">
        <f t="shared" ref="F303:F311" si="33">D303-E303</f>
        <v>3761.7000000000007</v>
      </c>
      <c r="G303" s="525" t="e">
        <v>#DIV/0!</v>
      </c>
      <c r="H303" s="526"/>
      <c r="I303" s="526"/>
      <c r="J303" s="537">
        <v>45274</v>
      </c>
      <c r="K303" s="528" t="s">
        <v>64</v>
      </c>
      <c r="L303" s="529" t="s">
        <v>168</v>
      </c>
      <c r="M303" s="530"/>
      <c r="N303" s="531"/>
      <c r="O303" s="531"/>
      <c r="P303" s="532"/>
      <c r="Q303" s="533" t="s">
        <v>223</v>
      </c>
      <c r="R303" s="522"/>
      <c r="S303" s="522"/>
      <c r="T303" s="522"/>
      <c r="U303" s="523"/>
      <c r="V303" s="523"/>
      <c r="W303" s="522"/>
      <c r="X303" s="522"/>
      <c r="Y303" s="522"/>
      <c r="Z303" s="522"/>
      <c r="AA303" s="534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</row>
    <row r="304" spans="1:51" s="508" customFormat="1" ht="15.6" x14ac:dyDescent="0.3">
      <c r="A304" s="539"/>
      <c r="B304" s="90" t="s">
        <v>565</v>
      </c>
      <c r="C304" s="509"/>
      <c r="D304" s="536">
        <v>3880</v>
      </c>
      <c r="E304" s="536">
        <v>3276.29</v>
      </c>
      <c r="F304" s="74">
        <f t="shared" si="33"/>
        <v>603.71</v>
      </c>
      <c r="G304" s="525" t="e">
        <v>#DIV/0!</v>
      </c>
      <c r="H304" s="526"/>
      <c r="I304" s="526"/>
      <c r="J304" s="537">
        <v>45278</v>
      </c>
      <c r="K304" s="528" t="s">
        <v>64</v>
      </c>
      <c r="L304" s="529" t="s">
        <v>168</v>
      </c>
      <c r="M304" s="530"/>
      <c r="N304" s="531"/>
      <c r="O304" s="531"/>
      <c r="P304" s="532"/>
      <c r="Q304" s="533" t="s">
        <v>223</v>
      </c>
      <c r="R304" s="522"/>
      <c r="S304" s="522"/>
      <c r="T304" s="522"/>
      <c r="U304" s="523"/>
      <c r="V304" s="523"/>
      <c r="W304" s="522"/>
      <c r="X304" s="522"/>
      <c r="Y304" s="522"/>
      <c r="Z304" s="522"/>
      <c r="AA304" s="534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</row>
    <row r="305" spans="1:51" s="508" customFormat="1" ht="15.6" x14ac:dyDescent="0.3">
      <c r="A305" s="539"/>
      <c r="B305" s="90" t="s">
        <v>566</v>
      </c>
      <c r="C305" s="509"/>
      <c r="D305" s="536">
        <v>6524.66</v>
      </c>
      <c r="E305" s="536">
        <v>3869.09</v>
      </c>
      <c r="F305" s="74">
        <f t="shared" si="33"/>
        <v>2655.5699999999997</v>
      </c>
      <c r="G305" s="525" t="e">
        <v>#DIV/0!</v>
      </c>
      <c r="H305" s="526"/>
      <c r="I305" s="526"/>
      <c r="J305" s="537">
        <v>45280</v>
      </c>
      <c r="K305" s="528" t="s">
        <v>64</v>
      </c>
      <c r="L305" s="529" t="s">
        <v>168</v>
      </c>
      <c r="M305" s="530"/>
      <c r="N305" s="531"/>
      <c r="O305" s="531"/>
      <c r="P305" s="532"/>
      <c r="Q305" s="533" t="s">
        <v>223</v>
      </c>
      <c r="R305" s="522"/>
      <c r="S305" s="522"/>
      <c r="T305" s="522"/>
      <c r="U305" s="523"/>
      <c r="V305" s="523"/>
      <c r="W305" s="522"/>
      <c r="X305" s="522"/>
      <c r="Y305" s="522"/>
      <c r="Z305" s="522"/>
      <c r="AA305" s="534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</row>
    <row r="306" spans="1:51" s="508" customFormat="1" ht="15.6" x14ac:dyDescent="0.3">
      <c r="A306" s="539"/>
      <c r="B306" s="90" t="s">
        <v>567</v>
      </c>
      <c r="C306" s="509"/>
      <c r="D306" s="536">
        <v>6124.5</v>
      </c>
      <c r="E306" s="536">
        <v>3850</v>
      </c>
      <c r="F306" s="74">
        <f t="shared" si="33"/>
        <v>2274.5</v>
      </c>
      <c r="G306" s="525" t="e">
        <v>#DIV/0!</v>
      </c>
      <c r="H306" s="526"/>
      <c r="I306" s="526"/>
      <c r="J306" s="538">
        <v>45282</v>
      </c>
      <c r="K306" s="528" t="s">
        <v>64</v>
      </c>
      <c r="L306" s="529" t="s">
        <v>168</v>
      </c>
      <c r="M306" s="530"/>
      <c r="N306" s="531"/>
      <c r="O306" s="531"/>
      <c r="P306" s="532"/>
      <c r="Q306" s="533" t="s">
        <v>223</v>
      </c>
      <c r="R306" s="522"/>
      <c r="S306" s="522"/>
      <c r="T306" s="522"/>
      <c r="U306" s="523"/>
      <c r="V306" s="523"/>
      <c r="W306" s="522"/>
      <c r="X306" s="522"/>
      <c r="Y306" s="522"/>
      <c r="Z306" s="522"/>
      <c r="AA306" s="534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</row>
    <row r="307" spans="1:51" s="508" customFormat="1" ht="15.6" x14ac:dyDescent="0.3">
      <c r="A307" s="510"/>
      <c r="B307" s="90"/>
      <c r="C307" s="512"/>
      <c r="D307" s="513"/>
      <c r="E307" s="513"/>
      <c r="F307" s="74">
        <f t="shared" si="33"/>
        <v>0</v>
      </c>
      <c r="G307" s="514" t="e">
        <v>#DIV/0!</v>
      </c>
      <c r="H307" s="513"/>
      <c r="I307" s="513"/>
      <c r="J307" s="515">
        <v>45291</v>
      </c>
      <c r="K307" s="516" t="s">
        <v>53</v>
      </c>
      <c r="L307" s="517" t="s">
        <v>168</v>
      </c>
      <c r="M307" s="518"/>
      <c r="N307" s="519"/>
      <c r="O307" s="519"/>
      <c r="P307" s="520"/>
      <c r="Q307" s="521" t="s">
        <v>272</v>
      </c>
      <c r="R307" s="522"/>
      <c r="S307" s="522"/>
      <c r="T307" s="522"/>
      <c r="U307" s="523"/>
      <c r="V307" s="523"/>
      <c r="W307" s="522"/>
      <c r="X307" s="522"/>
      <c r="Y307" s="522"/>
      <c r="Z307" s="522"/>
      <c r="AA307" s="524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</row>
    <row r="308" spans="1:51" s="73" customFormat="1" ht="15.6" x14ac:dyDescent="0.3">
      <c r="A308" s="510"/>
      <c r="B308" s="511"/>
      <c r="C308" s="512"/>
      <c r="D308" s="513"/>
      <c r="E308" s="513"/>
      <c r="F308" s="74">
        <f t="shared" si="33"/>
        <v>0</v>
      </c>
      <c r="G308" s="514" t="e">
        <v>#DIV/0!</v>
      </c>
      <c r="H308" s="513"/>
      <c r="I308" s="513"/>
      <c r="J308" s="515">
        <v>45291</v>
      </c>
      <c r="K308" s="516" t="s">
        <v>53</v>
      </c>
      <c r="L308" s="517" t="s">
        <v>168</v>
      </c>
      <c r="M308" s="518"/>
      <c r="N308" s="519"/>
      <c r="O308" s="519"/>
      <c r="P308" s="520"/>
      <c r="Q308" s="521" t="s">
        <v>272</v>
      </c>
      <c r="R308" s="522"/>
      <c r="S308" s="522"/>
      <c r="T308" s="522"/>
      <c r="U308" s="523"/>
      <c r="V308" s="523"/>
      <c r="W308" s="522"/>
      <c r="X308" s="522"/>
      <c r="Y308" s="522"/>
      <c r="Z308" s="522"/>
      <c r="AA308" s="524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</row>
    <row r="309" spans="1:51" s="73" customFormat="1" ht="15.6" x14ac:dyDescent="0.3">
      <c r="B309" s="90"/>
      <c r="C309" s="160"/>
      <c r="D309" s="114"/>
      <c r="E309" s="114"/>
      <c r="F309" s="74">
        <f t="shared" si="33"/>
        <v>0</v>
      </c>
      <c r="G309" s="382" t="e">
        <f>F309/D309</f>
        <v>#DIV/0!</v>
      </c>
      <c r="H309" s="384"/>
      <c r="I309" s="384"/>
      <c r="J309" s="386">
        <v>45291</v>
      </c>
      <c r="K309" s="388" t="s">
        <v>53</v>
      </c>
      <c r="L309" s="390" t="s">
        <v>168</v>
      </c>
      <c r="M309" s="392"/>
      <c r="P309" s="81"/>
      <c r="Q309" s="167"/>
      <c r="R309" s="83"/>
      <c r="S309" s="83"/>
      <c r="T309" s="83"/>
      <c r="U309" s="286"/>
      <c r="V309" s="286"/>
      <c r="W309" s="83"/>
      <c r="X309" s="83"/>
      <c r="Y309" s="83"/>
      <c r="Z309" s="83"/>
      <c r="AA309" s="80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</row>
    <row r="310" spans="1:51" s="73" customFormat="1" ht="15.6" x14ac:dyDescent="0.3">
      <c r="B310" s="90"/>
      <c r="C310" s="160"/>
      <c r="D310" s="179"/>
      <c r="E310" s="179"/>
      <c r="F310" s="74">
        <f t="shared" si="33"/>
        <v>0</v>
      </c>
      <c r="G310" s="382" t="e">
        <f>F310/D310</f>
        <v>#DIV/0!</v>
      </c>
      <c r="H310" s="384"/>
      <c r="I310" s="384"/>
      <c r="J310" s="386">
        <v>45291</v>
      </c>
      <c r="K310" s="388" t="s">
        <v>53</v>
      </c>
      <c r="L310" s="390" t="s">
        <v>168</v>
      </c>
      <c r="M310" s="392"/>
      <c r="P310" s="81"/>
      <c r="Q310" s="167"/>
      <c r="R310" s="83"/>
      <c r="S310" s="83"/>
      <c r="T310" s="83"/>
      <c r="U310" s="286"/>
      <c r="V310" s="286"/>
      <c r="W310" s="83"/>
      <c r="X310" s="83"/>
      <c r="Y310" s="83"/>
      <c r="Z310" s="83"/>
      <c r="AA310" s="80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</row>
    <row r="311" spans="1:51" s="73" customFormat="1" ht="15.6" x14ac:dyDescent="0.3">
      <c r="B311" s="422" t="s">
        <v>568</v>
      </c>
      <c r="C311" s="423"/>
      <c r="D311" s="424">
        <f>SUM(AB311:AM311)</f>
        <v>0</v>
      </c>
      <c r="E311" s="424">
        <f>SUM(AN311:AY311)</f>
        <v>0</v>
      </c>
      <c r="F311" s="425">
        <f t="shared" si="33"/>
        <v>0</v>
      </c>
      <c r="G311" s="426" t="e">
        <f>F311/D311</f>
        <v>#DIV/0!</v>
      </c>
      <c r="H311" s="461"/>
      <c r="I311" s="461"/>
      <c r="J311" s="427"/>
      <c r="K311" s="428"/>
      <c r="L311" s="429"/>
      <c r="M311" s="430"/>
      <c r="N311" s="198"/>
      <c r="O311" s="198"/>
      <c r="P311" s="427"/>
      <c r="Q311" s="167"/>
      <c r="R311" s="83"/>
      <c r="S311" s="83"/>
      <c r="T311" s="83"/>
      <c r="U311" s="286"/>
      <c r="V311" s="286"/>
      <c r="W311" s="83"/>
      <c r="X311" s="83"/>
      <c r="Y311" s="83"/>
      <c r="Z311" s="83"/>
      <c r="AA311" s="80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</row>
    <row r="312" spans="1:51" s="73" customFormat="1" ht="15.6" x14ac:dyDescent="0.3">
      <c r="B312" s="90"/>
      <c r="C312" s="160"/>
      <c r="D312" s="179"/>
      <c r="E312" s="179"/>
      <c r="F312" s="375"/>
      <c r="G312" s="381"/>
      <c r="H312" s="383"/>
      <c r="I312" s="383"/>
      <c r="J312" s="385"/>
      <c r="K312" s="387"/>
      <c r="L312" s="389"/>
      <c r="M312" s="391"/>
      <c r="P312" s="81"/>
      <c r="Q312" s="167"/>
      <c r="R312" s="83"/>
      <c r="S312" s="83"/>
      <c r="T312" s="83"/>
      <c r="U312" s="286"/>
      <c r="V312" s="286"/>
      <c r="W312" s="83"/>
      <c r="X312" s="83"/>
      <c r="Y312" s="83"/>
      <c r="Z312" s="83"/>
      <c r="AA312" s="80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</row>
    <row r="313" spans="1:51" s="73" customFormat="1" ht="15.6" x14ac:dyDescent="0.3">
      <c r="B313" s="422" t="s">
        <v>155</v>
      </c>
      <c r="C313" s="160"/>
      <c r="D313" s="179"/>
      <c r="E313" s="179"/>
      <c r="F313" s="375"/>
      <c r="G313" s="381"/>
      <c r="H313" s="383"/>
      <c r="I313" s="383"/>
      <c r="J313" s="385"/>
      <c r="K313" s="387"/>
      <c r="L313" s="389"/>
      <c r="M313" s="391"/>
      <c r="P313" s="81"/>
      <c r="Q313" s="167"/>
      <c r="R313" s="83"/>
      <c r="S313" s="83"/>
      <c r="T313" s="83"/>
      <c r="U313" s="286"/>
      <c r="V313" s="286"/>
      <c r="W313" s="83"/>
      <c r="X313" s="83"/>
      <c r="Y313" s="83"/>
      <c r="Z313" s="83"/>
      <c r="AA313" s="80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</row>
    <row r="314" spans="1:51" s="73" customFormat="1" ht="15.6" x14ac:dyDescent="0.3">
      <c r="B314" s="90"/>
      <c r="C314" s="160"/>
      <c r="D314" s="179"/>
      <c r="E314" s="179"/>
      <c r="F314" s="375"/>
      <c r="G314" s="381"/>
      <c r="H314" s="383"/>
      <c r="I314" s="383"/>
      <c r="J314" s="385"/>
      <c r="K314" s="387"/>
      <c r="L314" s="389"/>
      <c r="M314" s="391"/>
      <c r="P314" s="81"/>
      <c r="Q314" s="167"/>
      <c r="R314" s="83"/>
      <c r="S314" s="83"/>
      <c r="T314" s="83"/>
      <c r="U314" s="286"/>
      <c r="V314" s="286"/>
      <c r="W314" s="83"/>
      <c r="X314" s="83"/>
      <c r="Y314" s="83"/>
      <c r="Z314" s="83"/>
      <c r="AA314" s="80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</row>
    <row r="315" spans="1:51" s="73" customFormat="1" ht="15.6" x14ac:dyDescent="0.3">
      <c r="B315" s="90"/>
      <c r="C315" s="160"/>
      <c r="D315" s="179"/>
      <c r="E315" s="179"/>
      <c r="F315" s="375"/>
      <c r="G315" s="381"/>
      <c r="H315" s="383"/>
      <c r="I315" s="383"/>
      <c r="J315" s="385"/>
      <c r="K315" s="387"/>
      <c r="L315" s="389"/>
      <c r="M315" s="391"/>
      <c r="P315" s="81"/>
      <c r="Q315" s="167"/>
      <c r="R315" s="83"/>
      <c r="S315" s="83"/>
      <c r="T315" s="83"/>
      <c r="U315" s="286"/>
      <c r="V315" s="286"/>
      <c r="W315" s="83"/>
      <c r="X315" s="83"/>
      <c r="Y315" s="83"/>
      <c r="Z315" s="83"/>
      <c r="AA315" s="80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</row>
    <row r="316" spans="1:51" s="73" customFormat="1" ht="15.6" x14ac:dyDescent="0.3">
      <c r="B316" s="90"/>
      <c r="C316" s="160"/>
      <c r="D316" s="179"/>
      <c r="E316" s="179"/>
      <c r="F316" s="375"/>
      <c r="G316" s="381"/>
      <c r="H316" s="383"/>
      <c r="I316" s="383"/>
      <c r="J316" s="385"/>
      <c r="K316" s="387"/>
      <c r="L316" s="389"/>
      <c r="M316" s="391"/>
      <c r="P316" s="81"/>
      <c r="Q316" s="167"/>
      <c r="R316" s="83"/>
      <c r="S316" s="83"/>
      <c r="T316" s="83"/>
      <c r="U316" s="286"/>
      <c r="V316" s="286"/>
      <c r="W316" s="83"/>
      <c r="X316" s="83"/>
      <c r="Y316" s="83"/>
      <c r="Z316" s="83"/>
      <c r="AA316" s="80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</row>
    <row r="317" spans="1:51" customFormat="1" x14ac:dyDescent="0.3">
      <c r="B317" s="440" t="s">
        <v>569</v>
      </c>
      <c r="C317" s="441"/>
      <c r="D317" s="442">
        <f>SUM(D2:D284)</f>
        <v>3391399.3685600022</v>
      </c>
      <c r="E317" s="442">
        <f>SUM(E2:E284)</f>
        <v>2525977.6507693329</v>
      </c>
      <c r="F317" s="442">
        <f>SUM(F2:F284)</f>
        <v>865242.16327066696</v>
      </c>
      <c r="G317" s="443"/>
      <c r="H317" s="443"/>
      <c r="I317" s="443"/>
      <c r="J317" s="443"/>
      <c r="K317" s="443"/>
      <c r="L317" s="443"/>
      <c r="M317" s="444"/>
      <c r="N317" s="445"/>
      <c r="O317" s="445"/>
      <c r="P317" s="445"/>
      <c r="Q317" s="443"/>
      <c r="R317" s="443"/>
      <c r="S317" s="443"/>
      <c r="T317" s="441"/>
      <c r="U317" s="443"/>
      <c r="V317" s="443"/>
      <c r="W317" s="446"/>
      <c r="X317" s="447"/>
      <c r="Y317" s="443"/>
      <c r="Z317" s="441"/>
      <c r="AA317" s="443"/>
      <c r="AB317" s="442"/>
      <c r="AC317" s="442"/>
      <c r="AD317" s="442"/>
      <c r="AE317" s="442"/>
      <c r="AF317" s="442"/>
      <c r="AG317" s="442"/>
      <c r="AH317" s="442"/>
      <c r="AI317" s="442"/>
      <c r="AJ317" s="442"/>
      <c r="AK317" s="442"/>
      <c r="AL317" s="442"/>
      <c r="AM317" s="442"/>
      <c r="AN317" s="442"/>
      <c r="AO317" s="442"/>
      <c r="AP317" s="442"/>
      <c r="AQ317" s="442"/>
      <c r="AR317" s="442"/>
      <c r="AS317" s="442"/>
      <c r="AT317" s="442"/>
      <c r="AU317" s="442"/>
      <c r="AV317" s="442"/>
      <c r="AW317" s="442"/>
      <c r="AX317" s="442"/>
      <c r="AY317" s="442"/>
    </row>
    <row r="318" spans="1:51" customFormat="1" x14ac:dyDescent="0.3">
      <c r="B318" s="440" t="s">
        <v>157</v>
      </c>
      <c r="C318" s="441"/>
      <c r="D318" s="442">
        <f>D317+SUM(D285:D316)</f>
        <v>3596097.0885600024</v>
      </c>
      <c r="E318" s="442">
        <f>E317+SUM(E285:E316)</f>
        <v>2688929.3207693328</v>
      </c>
      <c r="F318" s="442">
        <f>F317+SUM(F285:F316)</f>
        <v>906988.21327066701</v>
      </c>
      <c r="G318" s="443"/>
      <c r="H318" s="443"/>
      <c r="I318" s="443"/>
      <c r="J318" s="443"/>
      <c r="K318" s="443"/>
      <c r="L318" s="443"/>
      <c r="M318" s="444"/>
      <c r="N318" s="445"/>
      <c r="O318" s="445"/>
      <c r="P318" s="445"/>
      <c r="Q318" s="443">
        <f>SUM(Q23:Q317)</f>
        <v>0</v>
      </c>
      <c r="R318" s="443"/>
      <c r="S318" s="443"/>
      <c r="T318" s="441"/>
      <c r="U318" s="443"/>
      <c r="V318" s="443"/>
      <c r="W318" s="446"/>
      <c r="X318" s="447"/>
      <c r="Y318" s="443"/>
      <c r="Z318" s="441"/>
      <c r="AA318" s="443"/>
      <c r="AB318" s="442"/>
      <c r="AC318" s="442"/>
      <c r="AD318" s="442"/>
      <c r="AE318" s="442"/>
      <c r="AF318" s="442"/>
      <c r="AG318" s="442"/>
      <c r="AH318" s="442"/>
      <c r="AI318" s="442"/>
      <c r="AJ318" s="442"/>
      <c r="AK318" s="442"/>
      <c r="AL318" s="442"/>
      <c r="AM318" s="442"/>
      <c r="AN318" s="442"/>
      <c r="AO318" s="442"/>
      <c r="AP318" s="442"/>
      <c r="AQ318" s="442"/>
      <c r="AR318" s="442"/>
      <c r="AS318" s="442"/>
      <c r="AT318" s="442"/>
      <c r="AU318" s="442"/>
      <c r="AV318" s="442"/>
      <c r="AW318" s="442"/>
      <c r="AX318" s="442"/>
      <c r="AY318" s="442"/>
    </row>
    <row r="319" spans="1:51" s="73" customFormat="1" ht="15.6" x14ac:dyDescent="0.3">
      <c r="B319" s="90"/>
      <c r="C319" s="160"/>
      <c r="D319" s="179"/>
      <c r="E319" s="179"/>
      <c r="F319" s="74"/>
      <c r="G319" s="75"/>
      <c r="H319" s="114"/>
      <c r="I319" s="114"/>
      <c r="J319" s="63"/>
      <c r="K319" s="86"/>
      <c r="L319" s="160"/>
      <c r="M319" s="228"/>
      <c r="P319" s="81"/>
      <c r="Q319" s="167"/>
      <c r="R319" s="83"/>
      <c r="S319" s="83"/>
      <c r="T319" s="83"/>
      <c r="U319" s="286"/>
      <c r="V319" s="286"/>
      <c r="W319" s="83"/>
      <c r="X319" s="83"/>
      <c r="Y319" s="83"/>
      <c r="Z319" s="83"/>
      <c r="AA319" s="80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</row>
    <row r="320" spans="1:51" customFormat="1" ht="15.6" x14ac:dyDescent="0.3">
      <c r="B320" s="417"/>
      <c r="C320" s="7"/>
      <c r="D320" s="416"/>
      <c r="E320" s="416"/>
      <c r="F320" s="415"/>
      <c r="G320" s="414"/>
      <c r="H320" s="413"/>
      <c r="I320" s="413"/>
      <c r="J320" s="336"/>
      <c r="K320" s="412"/>
      <c r="L320" s="7"/>
      <c r="M320" s="411"/>
      <c r="P320" s="348"/>
      <c r="Q320" s="410"/>
      <c r="R320" s="409"/>
      <c r="S320" s="409"/>
      <c r="T320" s="409"/>
      <c r="U320" s="408"/>
      <c r="V320" s="408"/>
      <c r="W320" s="409"/>
      <c r="X320" s="409"/>
      <c r="Y320" s="409"/>
      <c r="Z320" s="409"/>
      <c r="AA320" s="26"/>
      <c r="AB320" s="407"/>
      <c r="AC320" s="407"/>
      <c r="AD320" s="407"/>
      <c r="AE320" s="407"/>
      <c r="AF320" s="407"/>
      <c r="AG320" s="407"/>
      <c r="AH320" s="407"/>
      <c r="AI320" s="407"/>
      <c r="AJ320" s="407"/>
      <c r="AK320" s="407"/>
      <c r="AL320" s="407"/>
      <c r="AM320" s="407"/>
      <c r="AN320" s="406"/>
      <c r="AO320" s="406"/>
      <c r="AP320" s="406"/>
      <c r="AQ320" s="406"/>
      <c r="AR320" s="406"/>
      <c r="AS320" s="406"/>
      <c r="AT320" s="406"/>
      <c r="AU320" s="406"/>
      <c r="AV320" s="406"/>
      <c r="AW320" s="406"/>
      <c r="AX320" s="406"/>
      <c r="AY320" s="406"/>
    </row>
    <row r="321" spans="1:51" customFormat="1" ht="15.6" x14ac:dyDescent="0.3">
      <c r="B321" s="417"/>
      <c r="C321" s="7"/>
      <c r="D321" s="416"/>
      <c r="E321" s="416"/>
      <c r="F321" s="415"/>
      <c r="G321" s="414"/>
      <c r="H321" s="413"/>
      <c r="I321" s="413"/>
      <c r="J321" s="336"/>
      <c r="K321" s="412"/>
      <c r="L321" s="7"/>
      <c r="M321" s="411"/>
      <c r="P321" s="348"/>
      <c r="Q321" s="410"/>
      <c r="R321" s="409"/>
      <c r="S321" s="409"/>
      <c r="T321" s="409"/>
      <c r="U321" s="408"/>
      <c r="V321" s="408"/>
      <c r="W321" s="409"/>
      <c r="X321" s="409"/>
      <c r="Y321" s="409"/>
      <c r="Z321" s="409"/>
      <c r="AA321" s="26"/>
      <c r="AB321" s="407"/>
      <c r="AC321" s="407"/>
      <c r="AD321" s="407"/>
      <c r="AE321" s="407"/>
      <c r="AF321" s="407"/>
      <c r="AG321" s="407"/>
      <c r="AH321" s="407"/>
      <c r="AI321" s="407"/>
      <c r="AJ321" s="407"/>
      <c r="AK321" s="407"/>
      <c r="AL321" s="407"/>
      <c r="AM321" s="407"/>
      <c r="AN321" s="406"/>
      <c r="AO321" s="406"/>
      <c r="AP321" s="406"/>
      <c r="AQ321" s="406"/>
      <c r="AR321" s="406"/>
      <c r="AS321" s="406"/>
      <c r="AT321" s="406"/>
      <c r="AU321" s="406"/>
      <c r="AV321" s="406"/>
      <c r="AW321" s="406"/>
      <c r="AX321" s="406"/>
      <c r="AY321" s="406"/>
    </row>
    <row r="322" spans="1:51" customFormat="1" ht="15.6" x14ac:dyDescent="0.3">
      <c r="B322" s="417"/>
      <c r="C322" s="7"/>
      <c r="D322" s="416"/>
      <c r="E322" s="416"/>
      <c r="F322" s="415"/>
      <c r="G322" s="414"/>
      <c r="H322" s="413"/>
      <c r="I322" s="413"/>
      <c r="J322" s="336"/>
      <c r="K322" s="412"/>
      <c r="L322" s="7"/>
      <c r="M322" s="411"/>
      <c r="P322" s="348"/>
      <c r="Q322" s="410"/>
      <c r="R322" s="409"/>
      <c r="S322" s="409"/>
      <c r="T322" s="409"/>
      <c r="U322" s="408"/>
      <c r="V322" s="408"/>
      <c r="W322" s="409"/>
      <c r="X322" s="409"/>
      <c r="Y322" s="409"/>
      <c r="Z322" s="409"/>
      <c r="AA322" s="26"/>
      <c r="AB322" s="407"/>
      <c r="AC322" s="407"/>
      <c r="AD322" s="407"/>
      <c r="AE322" s="407"/>
      <c r="AF322" s="407"/>
      <c r="AG322" s="407"/>
      <c r="AH322" s="407"/>
      <c r="AI322" s="407"/>
      <c r="AJ322" s="407"/>
      <c r="AK322" s="407"/>
      <c r="AL322" s="407"/>
      <c r="AM322" s="407"/>
      <c r="AN322" s="406"/>
      <c r="AO322" s="406"/>
      <c r="AP322" s="406"/>
      <c r="AQ322" s="406"/>
      <c r="AR322" s="406"/>
      <c r="AS322" s="406"/>
      <c r="AT322" s="406"/>
      <c r="AU322" s="406"/>
      <c r="AV322" s="406"/>
      <c r="AW322" s="406"/>
      <c r="AX322" s="406"/>
      <c r="AY322" s="406"/>
    </row>
    <row r="323" spans="1:51" customFormat="1" ht="15.6" x14ac:dyDescent="0.3">
      <c r="B323" s="417"/>
      <c r="C323" s="7"/>
      <c r="D323" s="416"/>
      <c r="E323" s="416"/>
      <c r="F323" s="415"/>
      <c r="G323" s="414"/>
      <c r="H323" s="413"/>
      <c r="I323" s="413"/>
      <c r="J323" s="336"/>
      <c r="K323" s="412"/>
      <c r="L323" s="7"/>
      <c r="M323" s="411"/>
      <c r="P323" s="348"/>
      <c r="Q323" s="410"/>
      <c r="R323" s="409"/>
      <c r="S323" s="409"/>
      <c r="T323" s="409"/>
      <c r="U323" s="408"/>
      <c r="V323" s="408"/>
      <c r="W323" s="409"/>
      <c r="X323" s="409"/>
      <c r="Y323" s="409"/>
      <c r="Z323" s="409"/>
      <c r="AA323" s="26"/>
      <c r="AB323" s="407"/>
      <c r="AC323" s="407"/>
      <c r="AD323" s="407"/>
      <c r="AE323" s="407"/>
      <c r="AF323" s="407"/>
      <c r="AG323" s="407"/>
      <c r="AH323" s="407"/>
      <c r="AI323" s="407"/>
      <c r="AJ323" s="407"/>
      <c r="AK323" s="407"/>
      <c r="AL323" s="407"/>
      <c r="AM323" s="407"/>
      <c r="AN323" s="406"/>
      <c r="AO323" s="406"/>
      <c r="AP323" s="406"/>
      <c r="AQ323" s="406"/>
      <c r="AR323" s="406"/>
      <c r="AS323" s="406"/>
      <c r="AT323" s="406"/>
      <c r="AU323" s="406"/>
      <c r="AV323" s="406"/>
      <c r="AW323" s="406"/>
      <c r="AX323" s="406"/>
      <c r="AY323" s="406"/>
    </row>
    <row r="324" spans="1:51" customFormat="1" ht="15.6" x14ac:dyDescent="0.3">
      <c r="B324" s="417"/>
      <c r="C324" s="7"/>
      <c r="D324" s="416"/>
      <c r="E324" s="416"/>
      <c r="F324" s="415"/>
      <c r="G324" s="414"/>
      <c r="H324" s="413"/>
      <c r="I324" s="413"/>
      <c r="J324" s="336"/>
      <c r="K324" s="412"/>
      <c r="L324" s="7"/>
      <c r="M324" s="411"/>
      <c r="P324" s="348"/>
      <c r="Q324" s="410"/>
      <c r="R324" s="409"/>
      <c r="S324" s="409"/>
      <c r="T324" s="409"/>
      <c r="U324" s="408"/>
      <c r="V324" s="408"/>
      <c r="W324" s="409"/>
      <c r="X324" s="409"/>
      <c r="Y324" s="409"/>
      <c r="Z324" s="409"/>
      <c r="AA324" s="26"/>
      <c r="AB324" s="407"/>
      <c r="AC324" s="407"/>
      <c r="AD324" s="407"/>
      <c r="AE324" s="407"/>
      <c r="AF324" s="407"/>
      <c r="AG324" s="407"/>
      <c r="AH324" s="407"/>
      <c r="AI324" s="407"/>
      <c r="AJ324" s="407"/>
      <c r="AK324" s="407"/>
      <c r="AL324" s="407"/>
      <c r="AM324" s="407"/>
      <c r="AN324" s="406"/>
      <c r="AO324" s="406"/>
      <c r="AP324" s="406"/>
      <c r="AQ324" s="406"/>
      <c r="AR324" s="406"/>
      <c r="AS324" s="406"/>
      <c r="AT324" s="406"/>
      <c r="AU324" s="406"/>
      <c r="AV324" s="406"/>
      <c r="AW324" s="406"/>
      <c r="AX324" s="406"/>
      <c r="AY324" s="406"/>
    </row>
    <row r="325" spans="1:51" x14ac:dyDescent="0.3">
      <c r="A325" s="104"/>
      <c r="D325" s="104"/>
      <c r="E325" s="104"/>
      <c r="F325" s="104"/>
      <c r="G325" s="104"/>
      <c r="H325"/>
      <c r="I325"/>
      <c r="J325" s="104"/>
      <c r="K325" s="104"/>
      <c r="L325" s="104"/>
      <c r="M325" s="225"/>
      <c r="Q325" s="104"/>
      <c r="R325" s="104"/>
      <c r="S325" s="104"/>
      <c r="T325" s="105"/>
      <c r="U325" s="104"/>
      <c r="V325" s="104"/>
      <c r="Y325" s="104"/>
      <c r="Z325" s="105"/>
      <c r="AA325" s="104"/>
      <c r="AB325" s="106"/>
      <c r="AC325" s="106"/>
      <c r="AD325" s="104"/>
      <c r="AE325" s="104"/>
      <c r="AF325" s="104"/>
      <c r="AG325" s="104"/>
      <c r="AH325" s="104"/>
      <c r="AI325" s="104"/>
      <c r="AJ325" s="104"/>
      <c r="AK325" s="104"/>
      <c r="AL325" s="104"/>
      <c r="AM325" s="104"/>
      <c r="AN325" s="104"/>
      <c r="AO325" s="104"/>
      <c r="AP325" s="104"/>
      <c r="AQ325" s="104"/>
      <c r="AR325" s="104"/>
      <c r="AS325" s="104"/>
      <c r="AT325" s="104"/>
      <c r="AU325" s="104"/>
      <c r="AV325" s="104"/>
      <c r="AW325" s="104"/>
      <c r="AX325" s="104"/>
      <c r="AY325" s="104"/>
    </row>
    <row r="326" spans="1:51" x14ac:dyDescent="0.3">
      <c r="A326" s="104"/>
      <c r="D326" s="104"/>
      <c r="E326" s="104"/>
      <c r="F326" s="104"/>
      <c r="G326" s="104"/>
      <c r="H326"/>
      <c r="I326"/>
      <c r="J326" s="104"/>
      <c r="K326" s="104"/>
      <c r="L326" s="104"/>
      <c r="M326" s="225"/>
      <c r="Q326" s="104"/>
      <c r="R326" s="104"/>
      <c r="S326" s="104"/>
      <c r="T326" s="105"/>
      <c r="U326" s="104"/>
      <c r="V326" s="104"/>
      <c r="Y326" s="104"/>
      <c r="Z326" s="105"/>
      <c r="AA326" s="104"/>
      <c r="AB326" s="106"/>
      <c r="AC326" s="106"/>
      <c r="AD326" s="104"/>
      <c r="AE326" s="104"/>
      <c r="AF326" s="104"/>
      <c r="AG326" s="104"/>
      <c r="AH326" s="104"/>
      <c r="AI326" s="104"/>
      <c r="AJ326" s="104"/>
      <c r="AK326" s="104"/>
      <c r="AL326" s="104"/>
      <c r="AM326" s="104"/>
      <c r="AN326" s="104"/>
      <c r="AO326" s="104"/>
      <c r="AP326" s="104"/>
      <c r="AQ326" s="104"/>
      <c r="AR326" s="104"/>
      <c r="AS326" s="104"/>
      <c r="AT326" s="104"/>
      <c r="AU326" s="104"/>
      <c r="AV326" s="104"/>
      <c r="AW326" s="104"/>
      <c r="AX326" s="104"/>
      <c r="AY326" s="104"/>
    </row>
    <row r="327" spans="1:51" x14ac:dyDescent="0.3">
      <c r="A327" s="104"/>
      <c r="D327" s="104"/>
      <c r="E327" s="104"/>
      <c r="F327" s="104"/>
      <c r="G327" s="104"/>
      <c r="H327"/>
      <c r="I327"/>
      <c r="J327" s="104"/>
      <c r="K327" s="104"/>
      <c r="L327" s="104"/>
      <c r="M327" s="225"/>
      <c r="Q327" s="104"/>
      <c r="R327" s="104"/>
      <c r="S327" s="104"/>
      <c r="T327" s="105"/>
      <c r="U327" s="104"/>
      <c r="V327" s="104"/>
      <c r="Y327" s="104"/>
      <c r="Z327" s="105"/>
      <c r="AA327" s="104"/>
      <c r="AB327" s="106"/>
      <c r="AC327" s="106"/>
      <c r="AD327" s="104"/>
      <c r="AE327" s="104"/>
      <c r="AF327" s="104"/>
      <c r="AG327" s="104"/>
      <c r="AH327" s="104"/>
      <c r="AI327" s="104"/>
      <c r="AJ327" s="104"/>
      <c r="AK327" s="104"/>
      <c r="AL327" s="104"/>
      <c r="AM327" s="104"/>
      <c r="AN327" s="104"/>
      <c r="AO327" s="104"/>
      <c r="AP327" s="104"/>
      <c r="AQ327" s="104"/>
      <c r="AR327" s="104"/>
      <c r="AS327" s="104"/>
      <c r="AT327" s="104"/>
      <c r="AU327" s="104"/>
      <c r="AV327" s="104"/>
      <c r="AW327" s="104"/>
      <c r="AX327" s="104"/>
      <c r="AY327" s="104"/>
    </row>
    <row r="328" spans="1:51" x14ac:dyDescent="0.3">
      <c r="A328" s="104"/>
      <c r="D328" s="104"/>
      <c r="E328" s="104"/>
      <c r="F328" s="104"/>
      <c r="G328" s="104"/>
      <c r="H328"/>
      <c r="I328"/>
      <c r="J328" s="104"/>
      <c r="K328" s="104"/>
      <c r="L328" s="104"/>
      <c r="M328" s="225"/>
      <c r="Q328" s="104"/>
      <c r="R328" s="104"/>
      <c r="S328" s="104"/>
      <c r="T328" s="105"/>
      <c r="U328" s="104"/>
      <c r="V328" s="104"/>
      <c r="Y328" s="104"/>
      <c r="Z328" s="105"/>
      <c r="AA328" s="104"/>
      <c r="AB328" s="106"/>
      <c r="AC328" s="106"/>
      <c r="AD328" s="104"/>
      <c r="AE328" s="104"/>
      <c r="AF328" s="104"/>
      <c r="AG328" s="104"/>
      <c r="AH328" s="104"/>
      <c r="AI328" s="104"/>
      <c r="AJ328" s="104"/>
      <c r="AK328" s="104"/>
      <c r="AL328" s="104"/>
      <c r="AM328" s="104"/>
      <c r="AN328" s="104"/>
      <c r="AO328" s="104"/>
      <c r="AP328" s="104"/>
      <c r="AQ328" s="104"/>
      <c r="AR328" s="104"/>
      <c r="AS328" s="104"/>
      <c r="AT328" s="104"/>
      <c r="AU328" s="104"/>
      <c r="AV328" s="104"/>
      <c r="AW328" s="104"/>
      <c r="AX328" s="104"/>
      <c r="AY328" s="104"/>
    </row>
    <row r="329" spans="1:51" x14ac:dyDescent="0.3">
      <c r="A329" s="104"/>
      <c r="D329" s="104"/>
      <c r="E329" s="104"/>
      <c r="F329" s="104"/>
      <c r="G329" s="104"/>
      <c r="H329"/>
      <c r="I329"/>
      <c r="J329" s="104"/>
      <c r="K329" s="104"/>
      <c r="L329" s="104"/>
      <c r="M329" s="225"/>
      <c r="Q329" s="104"/>
      <c r="R329" s="104"/>
      <c r="S329" s="104"/>
      <c r="T329" s="105"/>
      <c r="U329" s="104"/>
      <c r="V329" s="104"/>
      <c r="Y329" s="104"/>
      <c r="Z329" s="105"/>
      <c r="AA329" s="104"/>
      <c r="AB329" s="106"/>
      <c r="AC329" s="106"/>
      <c r="AD329" s="104"/>
      <c r="AE329" s="104"/>
      <c r="AF329" s="104"/>
      <c r="AG329" s="104"/>
      <c r="AH329" s="104"/>
      <c r="AI329" s="104"/>
      <c r="AJ329" s="104"/>
      <c r="AK329" s="104"/>
      <c r="AL329" s="104"/>
      <c r="AM329" s="104"/>
      <c r="AN329" s="104"/>
      <c r="AO329" s="104"/>
      <c r="AP329" s="104"/>
      <c r="AQ329" s="104"/>
      <c r="AR329" s="104"/>
      <c r="AS329" s="104"/>
      <c r="AT329" s="104"/>
      <c r="AU329" s="104"/>
      <c r="AV329" s="104"/>
      <c r="AW329" s="104"/>
      <c r="AX329" s="104"/>
      <c r="AY329" s="104"/>
    </row>
    <row r="330" spans="1:51" x14ac:dyDescent="0.3">
      <c r="A330" s="104"/>
      <c r="D330" s="104"/>
      <c r="E330" s="104"/>
      <c r="F330" s="104"/>
      <c r="G330" s="104"/>
      <c r="H330"/>
      <c r="I330"/>
      <c r="J330" s="104"/>
      <c r="K330" s="104"/>
      <c r="L330" s="104"/>
      <c r="M330" s="225"/>
      <c r="Q330" s="104"/>
      <c r="R330" s="104"/>
      <c r="S330" s="104"/>
      <c r="T330" s="105"/>
      <c r="U330" s="104"/>
      <c r="V330" s="104"/>
      <c r="Y330" s="104"/>
      <c r="Z330" s="105"/>
      <c r="AA330" s="104"/>
      <c r="AB330" s="106"/>
      <c r="AC330" s="106"/>
      <c r="AD330" s="104"/>
      <c r="AE330" s="104"/>
      <c r="AF330" s="104"/>
      <c r="AG330" s="104"/>
      <c r="AH330" s="104"/>
      <c r="AI330" s="104"/>
      <c r="AJ330" s="104"/>
      <c r="AK330" s="104"/>
      <c r="AL330" s="104"/>
      <c r="AM330" s="104"/>
      <c r="AN330" s="104"/>
      <c r="AO330" s="104"/>
      <c r="AP330" s="104"/>
      <c r="AQ330" s="104"/>
      <c r="AR330" s="104"/>
      <c r="AS330" s="104"/>
      <c r="AT330" s="104"/>
      <c r="AU330" s="104"/>
      <c r="AV330" s="104"/>
      <c r="AW330" s="104"/>
      <c r="AX330" s="104"/>
      <c r="AY330" s="104"/>
    </row>
    <row r="331" spans="1:51" x14ac:dyDescent="0.3">
      <c r="A331" s="104"/>
      <c r="D331" s="104"/>
      <c r="E331" s="104"/>
      <c r="F331" s="104"/>
      <c r="G331" s="104"/>
      <c r="H331"/>
      <c r="I331"/>
      <c r="J331" s="104"/>
      <c r="K331" s="104"/>
      <c r="L331" s="104"/>
      <c r="M331" s="225"/>
      <c r="Q331" s="104"/>
      <c r="R331" s="104"/>
      <c r="S331" s="104"/>
      <c r="T331" s="105"/>
      <c r="U331" s="104"/>
      <c r="V331" s="104"/>
      <c r="Y331" s="104"/>
      <c r="Z331" s="105"/>
      <c r="AA331" s="104"/>
      <c r="AB331" s="106"/>
      <c r="AC331" s="106"/>
      <c r="AD331" s="104"/>
      <c r="AE331" s="104"/>
      <c r="AF331" s="104"/>
      <c r="AG331" s="104"/>
      <c r="AH331" s="104"/>
      <c r="AI331" s="104"/>
      <c r="AJ331" s="104"/>
      <c r="AK331" s="104"/>
      <c r="AL331" s="104"/>
      <c r="AM331" s="104"/>
      <c r="AN331" s="104"/>
      <c r="AO331" s="104"/>
      <c r="AP331" s="104"/>
      <c r="AQ331" s="104"/>
      <c r="AR331" s="104"/>
      <c r="AS331" s="104"/>
      <c r="AT331" s="104"/>
      <c r="AU331" s="104"/>
      <c r="AV331" s="104"/>
      <c r="AW331" s="104"/>
      <c r="AX331" s="104"/>
      <c r="AY331" s="104"/>
    </row>
    <row r="332" spans="1:51" x14ac:dyDescent="0.3">
      <c r="A332" s="104"/>
      <c r="D332" s="104"/>
      <c r="E332" s="104"/>
      <c r="F332" s="104"/>
      <c r="G332" s="104"/>
      <c r="H332"/>
      <c r="I332"/>
      <c r="J332" s="104"/>
      <c r="K332" s="104"/>
      <c r="L332" s="104"/>
      <c r="M332" s="225"/>
      <c r="Q332" s="104"/>
      <c r="R332" s="104"/>
      <c r="S332" s="104"/>
      <c r="T332" s="105"/>
      <c r="U332" s="104"/>
      <c r="V332" s="104"/>
      <c r="Y332" s="104"/>
      <c r="Z332" s="105"/>
      <c r="AA332" s="104"/>
      <c r="AB332" s="106"/>
      <c r="AC332" s="106"/>
      <c r="AD332" s="104"/>
      <c r="AE332" s="104"/>
      <c r="AF332" s="104"/>
      <c r="AG332" s="104"/>
      <c r="AH332" s="104"/>
      <c r="AI332" s="104"/>
      <c r="AJ332" s="104"/>
      <c r="AK332" s="104"/>
      <c r="AL332" s="104"/>
      <c r="AM332" s="104"/>
      <c r="AN332" s="104"/>
      <c r="AO332" s="104"/>
      <c r="AP332" s="104"/>
      <c r="AQ332" s="104"/>
      <c r="AR332" s="104"/>
      <c r="AS332" s="104"/>
      <c r="AT332" s="104"/>
      <c r="AU332" s="104"/>
      <c r="AV332" s="104"/>
      <c r="AW332" s="104"/>
      <c r="AX332" s="104"/>
      <c r="AY332" s="104"/>
    </row>
    <row r="333" spans="1:51" x14ac:dyDescent="0.3">
      <c r="A333" s="104"/>
      <c r="D333" s="104"/>
      <c r="E333" s="104"/>
      <c r="F333" s="104"/>
      <c r="G333" s="104"/>
      <c r="H333"/>
      <c r="I333"/>
      <c r="J333" s="104"/>
      <c r="K333" s="104"/>
      <c r="L333" s="104"/>
      <c r="M333" s="225"/>
      <c r="Q333" s="104"/>
      <c r="R333" s="104"/>
      <c r="S333" s="104"/>
      <c r="T333" s="105"/>
      <c r="U333" s="104"/>
      <c r="V333" s="104"/>
      <c r="Y333" s="104"/>
      <c r="Z333" s="105"/>
      <c r="AA333" s="104"/>
      <c r="AB333" s="106"/>
      <c r="AC333" s="106"/>
      <c r="AD333" s="104"/>
      <c r="AE333" s="104"/>
      <c r="AF333" s="104"/>
      <c r="AG333" s="104"/>
      <c r="AH333" s="104"/>
      <c r="AI333" s="104"/>
      <c r="AJ333" s="104"/>
      <c r="AK333" s="104"/>
      <c r="AL333" s="104"/>
      <c r="AM333" s="104"/>
      <c r="AN333" s="104"/>
      <c r="AO333" s="104"/>
      <c r="AP333" s="104"/>
      <c r="AQ333" s="104"/>
      <c r="AR333" s="104"/>
      <c r="AS333" s="104"/>
      <c r="AT333" s="104"/>
      <c r="AU333" s="104"/>
      <c r="AV333" s="104"/>
      <c r="AW333" s="104"/>
      <c r="AX333" s="104"/>
      <c r="AY333" s="104"/>
    </row>
    <row r="334" spans="1:51" x14ac:dyDescent="0.3">
      <c r="A334" s="104"/>
      <c r="D334" s="104"/>
      <c r="E334" s="104"/>
      <c r="F334" s="104"/>
      <c r="G334" s="104"/>
      <c r="H334"/>
      <c r="I334"/>
      <c r="J334" s="104"/>
      <c r="K334" s="104"/>
      <c r="L334" s="104"/>
      <c r="M334" s="225"/>
      <c r="Q334" s="104"/>
      <c r="R334" s="104"/>
      <c r="S334" s="104"/>
      <c r="T334" s="105"/>
      <c r="U334" s="104"/>
      <c r="V334" s="104"/>
      <c r="Y334" s="104"/>
      <c r="Z334" s="105"/>
      <c r="AA334" s="104"/>
      <c r="AB334" s="106"/>
      <c r="AC334" s="106"/>
      <c r="AD334" s="104"/>
      <c r="AE334" s="104"/>
      <c r="AF334" s="104"/>
      <c r="AG334" s="104"/>
      <c r="AH334" s="104"/>
      <c r="AI334" s="104"/>
      <c r="AJ334" s="104"/>
      <c r="AK334" s="104"/>
      <c r="AL334" s="104"/>
      <c r="AM334" s="104"/>
      <c r="AN334" s="104"/>
      <c r="AO334" s="104"/>
      <c r="AP334" s="104"/>
      <c r="AQ334" s="104"/>
      <c r="AR334" s="104"/>
      <c r="AS334" s="104"/>
      <c r="AT334" s="104"/>
      <c r="AU334" s="104"/>
      <c r="AV334" s="104"/>
      <c r="AW334" s="104"/>
      <c r="AX334" s="104"/>
      <c r="AY334" s="104"/>
    </row>
    <row r="335" spans="1:51" x14ac:dyDescent="0.3">
      <c r="A335" s="104"/>
      <c r="D335" s="104"/>
      <c r="E335" s="104"/>
      <c r="F335" s="104"/>
      <c r="G335" s="104"/>
      <c r="H335"/>
      <c r="I335"/>
      <c r="J335" s="104"/>
      <c r="K335" s="104"/>
      <c r="L335" s="104"/>
      <c r="M335" s="225"/>
      <c r="Q335" s="104"/>
      <c r="R335" s="104"/>
      <c r="S335" s="104"/>
      <c r="T335" s="105"/>
      <c r="U335" s="104"/>
      <c r="V335" s="104"/>
      <c r="Y335" s="104"/>
      <c r="Z335" s="105"/>
      <c r="AA335" s="104"/>
      <c r="AB335" s="106"/>
      <c r="AC335" s="106"/>
      <c r="AD335" s="104"/>
      <c r="AE335" s="104"/>
      <c r="AF335" s="104"/>
      <c r="AG335" s="104"/>
      <c r="AH335" s="104"/>
      <c r="AI335" s="104"/>
      <c r="AJ335" s="104"/>
      <c r="AK335" s="104"/>
      <c r="AL335" s="104"/>
      <c r="AM335" s="104"/>
      <c r="AN335" s="104"/>
      <c r="AO335" s="104"/>
      <c r="AP335" s="104"/>
      <c r="AQ335" s="104"/>
      <c r="AR335" s="104"/>
      <c r="AS335" s="104"/>
      <c r="AT335" s="104"/>
      <c r="AU335" s="104"/>
      <c r="AV335" s="104"/>
      <c r="AW335" s="104"/>
      <c r="AX335" s="104"/>
      <c r="AY335" s="104"/>
    </row>
    <row r="336" spans="1:51" x14ac:dyDescent="0.3">
      <c r="A336" s="104"/>
      <c r="D336" s="104"/>
      <c r="E336" s="104"/>
      <c r="F336" s="104"/>
      <c r="G336" s="104"/>
      <c r="H336"/>
      <c r="I336"/>
      <c r="J336" s="104"/>
      <c r="K336" s="104"/>
      <c r="L336" s="104"/>
      <c r="M336" s="225"/>
      <c r="Q336" s="104"/>
      <c r="R336" s="104"/>
      <c r="S336" s="104"/>
      <c r="T336" s="105"/>
      <c r="U336" s="104"/>
      <c r="V336" s="104"/>
      <c r="Y336" s="104"/>
      <c r="Z336" s="105"/>
      <c r="AA336" s="104"/>
      <c r="AB336" s="106"/>
      <c r="AC336" s="106"/>
      <c r="AD336" s="104"/>
      <c r="AE336" s="104"/>
      <c r="AF336" s="104"/>
      <c r="AG336" s="104"/>
      <c r="AH336" s="104"/>
      <c r="AI336" s="104"/>
      <c r="AJ336" s="104"/>
      <c r="AK336" s="104"/>
      <c r="AL336" s="104"/>
      <c r="AM336" s="104"/>
      <c r="AN336" s="104"/>
      <c r="AO336" s="104"/>
      <c r="AP336" s="104"/>
      <c r="AQ336" s="104"/>
      <c r="AR336" s="104"/>
      <c r="AS336" s="104"/>
      <c r="AT336" s="104"/>
      <c r="AU336" s="104"/>
      <c r="AV336" s="104"/>
      <c r="AW336" s="104"/>
      <c r="AX336" s="104"/>
      <c r="AY336" s="104"/>
    </row>
    <row r="337" spans="1:51" x14ac:dyDescent="0.3">
      <c r="A337" s="104"/>
      <c r="D337" s="104"/>
      <c r="E337" s="104"/>
      <c r="F337" s="104"/>
      <c r="G337" s="104"/>
      <c r="H337"/>
      <c r="I337"/>
      <c r="J337" s="104"/>
      <c r="K337" s="104"/>
      <c r="L337" s="104"/>
      <c r="M337" s="225"/>
      <c r="Q337" s="104"/>
      <c r="R337" s="104"/>
      <c r="S337" s="104"/>
      <c r="T337" s="105"/>
      <c r="U337" s="104"/>
      <c r="V337" s="104"/>
      <c r="Y337" s="104"/>
      <c r="Z337" s="105"/>
      <c r="AA337" s="104"/>
      <c r="AB337" s="106"/>
      <c r="AC337" s="106"/>
      <c r="AD337" s="104"/>
      <c r="AE337" s="104"/>
      <c r="AF337" s="104"/>
      <c r="AG337" s="104"/>
      <c r="AH337" s="104"/>
      <c r="AI337" s="104"/>
      <c r="AJ337" s="104"/>
      <c r="AK337" s="104"/>
      <c r="AL337" s="104"/>
      <c r="AM337" s="104"/>
      <c r="AN337" s="104"/>
      <c r="AO337" s="104"/>
      <c r="AP337" s="104"/>
      <c r="AQ337" s="104"/>
      <c r="AR337" s="104"/>
      <c r="AS337" s="104"/>
      <c r="AT337" s="104"/>
      <c r="AU337" s="104"/>
      <c r="AV337" s="104"/>
      <c r="AW337" s="104"/>
      <c r="AX337" s="104"/>
      <c r="AY337" s="104"/>
    </row>
    <row r="338" spans="1:51" x14ac:dyDescent="0.3">
      <c r="A338" s="104"/>
      <c r="D338" s="104"/>
      <c r="E338" s="104"/>
      <c r="F338" s="104"/>
      <c r="G338" s="104"/>
      <c r="H338"/>
      <c r="I338"/>
      <c r="J338" s="104"/>
      <c r="K338" s="104"/>
      <c r="L338" s="104"/>
      <c r="M338" s="225"/>
      <c r="Q338" s="104"/>
      <c r="R338" s="104"/>
      <c r="S338" s="104"/>
      <c r="T338" s="105"/>
      <c r="U338" s="104"/>
      <c r="V338" s="104"/>
      <c r="Y338" s="104"/>
      <c r="Z338" s="105"/>
      <c r="AA338" s="104"/>
      <c r="AB338" s="106"/>
      <c r="AC338" s="106"/>
      <c r="AD338" s="104"/>
      <c r="AE338" s="104"/>
      <c r="AF338" s="104"/>
      <c r="AG338" s="104"/>
      <c r="AH338" s="104"/>
      <c r="AI338" s="104"/>
      <c r="AJ338" s="104"/>
      <c r="AK338" s="104"/>
      <c r="AL338" s="104"/>
      <c r="AM338" s="104"/>
      <c r="AN338" s="104"/>
      <c r="AO338" s="104"/>
      <c r="AP338" s="104"/>
      <c r="AQ338" s="104"/>
      <c r="AR338" s="104"/>
      <c r="AS338" s="104"/>
      <c r="AT338" s="104"/>
      <c r="AU338" s="104"/>
      <c r="AV338" s="104"/>
      <c r="AW338" s="104"/>
      <c r="AX338" s="104"/>
      <c r="AY338" s="104"/>
    </row>
    <row r="339" spans="1:51" x14ac:dyDescent="0.3">
      <c r="A339" s="104"/>
      <c r="D339" s="104"/>
      <c r="E339" s="104"/>
      <c r="F339" s="104"/>
      <c r="G339" s="104"/>
      <c r="H339"/>
      <c r="I339"/>
      <c r="J339" s="104"/>
      <c r="K339" s="104"/>
      <c r="L339" s="104"/>
      <c r="M339" s="225"/>
      <c r="Q339" s="104"/>
      <c r="R339" s="104"/>
      <c r="S339" s="104"/>
      <c r="T339" s="105"/>
      <c r="U339" s="104"/>
      <c r="V339" s="104"/>
      <c r="Y339" s="104"/>
      <c r="Z339" s="105"/>
      <c r="AA339" s="104"/>
      <c r="AB339" s="106"/>
      <c r="AC339" s="106"/>
      <c r="AD339" s="104"/>
      <c r="AE339" s="104"/>
      <c r="AF339" s="104"/>
      <c r="AG339" s="104"/>
      <c r="AH339" s="104"/>
      <c r="AI339" s="104"/>
      <c r="AJ339" s="104"/>
      <c r="AK339" s="104"/>
      <c r="AL339" s="104"/>
      <c r="AM339" s="104"/>
      <c r="AN339" s="104"/>
      <c r="AO339" s="104"/>
      <c r="AP339" s="104"/>
      <c r="AQ339" s="104"/>
      <c r="AR339" s="104"/>
      <c r="AS339" s="104"/>
      <c r="AT339" s="104"/>
      <c r="AU339" s="104"/>
      <c r="AV339" s="104"/>
      <c r="AW339" s="104"/>
      <c r="AX339" s="104"/>
      <c r="AY339" s="104"/>
    </row>
    <row r="340" spans="1:51" x14ac:dyDescent="0.3">
      <c r="A340" s="104"/>
      <c r="D340" s="104"/>
      <c r="E340" s="104"/>
      <c r="F340" s="104"/>
      <c r="G340" s="104"/>
      <c r="H340"/>
      <c r="I340"/>
      <c r="J340" s="104"/>
      <c r="K340" s="104"/>
      <c r="L340" s="104"/>
      <c r="M340" s="225"/>
      <c r="Q340" s="104"/>
      <c r="R340" s="104"/>
      <c r="S340" s="104"/>
      <c r="T340" s="105"/>
      <c r="U340" s="104"/>
      <c r="V340" s="104"/>
      <c r="Y340" s="104"/>
      <c r="Z340" s="105"/>
      <c r="AA340" s="104"/>
      <c r="AB340" s="106"/>
      <c r="AC340" s="106"/>
      <c r="AD340" s="104"/>
      <c r="AE340" s="104"/>
      <c r="AF340" s="104"/>
      <c r="AG340" s="104"/>
      <c r="AH340" s="104"/>
      <c r="AI340" s="104"/>
      <c r="AJ340" s="104"/>
      <c r="AK340" s="104"/>
      <c r="AL340" s="104"/>
      <c r="AM340" s="104"/>
      <c r="AN340" s="104"/>
      <c r="AO340" s="104"/>
      <c r="AP340" s="104"/>
      <c r="AQ340" s="104"/>
      <c r="AR340" s="104"/>
      <c r="AS340" s="104"/>
      <c r="AT340" s="104"/>
      <c r="AU340" s="104"/>
      <c r="AV340" s="104"/>
      <c r="AW340" s="104"/>
      <c r="AX340" s="104"/>
      <c r="AY340" s="104"/>
    </row>
    <row r="341" spans="1:51" x14ac:dyDescent="0.3">
      <c r="A341" s="104"/>
      <c r="D341" s="104"/>
      <c r="E341" s="104"/>
      <c r="F341" s="104"/>
      <c r="G341" s="104"/>
      <c r="H341"/>
      <c r="I341"/>
      <c r="J341" s="104"/>
      <c r="K341" s="104"/>
      <c r="L341" s="104"/>
      <c r="M341" s="225"/>
      <c r="Q341" s="104"/>
      <c r="R341" s="104"/>
      <c r="S341" s="104"/>
      <c r="T341" s="105"/>
      <c r="U341" s="104"/>
      <c r="V341" s="104"/>
      <c r="Y341" s="104"/>
      <c r="Z341" s="105"/>
      <c r="AA341" s="104"/>
      <c r="AB341" s="106"/>
      <c r="AC341" s="106"/>
      <c r="AD341" s="104"/>
      <c r="AE341" s="104"/>
      <c r="AF341" s="104"/>
      <c r="AG341" s="104"/>
      <c r="AH341" s="104"/>
      <c r="AI341" s="104"/>
      <c r="AJ341" s="104"/>
      <c r="AK341" s="104"/>
      <c r="AL341" s="104"/>
      <c r="AM341" s="104"/>
      <c r="AN341" s="104"/>
      <c r="AO341" s="104"/>
      <c r="AP341" s="104"/>
      <c r="AQ341" s="104"/>
      <c r="AR341" s="104"/>
      <c r="AS341" s="104"/>
      <c r="AT341" s="104"/>
      <c r="AU341" s="104"/>
      <c r="AV341" s="104"/>
      <c r="AW341" s="104"/>
      <c r="AX341" s="104"/>
      <c r="AY341" s="104"/>
    </row>
    <row r="342" spans="1:51" x14ac:dyDescent="0.3">
      <c r="A342" s="104"/>
      <c r="D342" s="104"/>
      <c r="E342" s="104"/>
      <c r="F342" s="104"/>
      <c r="G342" s="104"/>
      <c r="H342"/>
      <c r="I342"/>
      <c r="J342" s="104"/>
      <c r="K342" s="104"/>
      <c r="L342" s="104"/>
      <c r="M342" s="225"/>
      <c r="Q342" s="104"/>
      <c r="R342" s="104"/>
      <c r="S342" s="104"/>
      <c r="T342" s="105"/>
      <c r="U342" s="104"/>
      <c r="V342" s="104"/>
      <c r="Y342" s="104"/>
      <c r="Z342" s="105"/>
      <c r="AA342" s="104"/>
      <c r="AB342" s="106"/>
      <c r="AC342" s="106"/>
      <c r="AD342" s="104"/>
      <c r="AE342" s="104"/>
      <c r="AF342" s="104"/>
      <c r="AG342" s="104"/>
      <c r="AH342" s="104"/>
      <c r="AI342" s="104"/>
      <c r="AJ342" s="104"/>
      <c r="AK342" s="104"/>
      <c r="AL342" s="104"/>
      <c r="AM342" s="104"/>
      <c r="AN342" s="104"/>
      <c r="AO342" s="104"/>
      <c r="AP342" s="104"/>
      <c r="AQ342" s="104"/>
      <c r="AR342" s="104"/>
      <c r="AS342" s="104"/>
      <c r="AT342" s="104"/>
      <c r="AU342" s="104"/>
      <c r="AV342" s="104"/>
      <c r="AW342" s="104"/>
      <c r="AX342" s="104"/>
      <c r="AY342" s="104"/>
    </row>
    <row r="343" spans="1:51" x14ac:dyDescent="0.3">
      <c r="A343" s="104"/>
      <c r="D343" s="104"/>
      <c r="E343" s="104"/>
      <c r="F343" s="104"/>
      <c r="G343" s="104"/>
      <c r="H343"/>
      <c r="I343"/>
      <c r="J343" s="104"/>
      <c r="K343" s="104"/>
      <c r="L343" s="104"/>
      <c r="M343" s="225"/>
      <c r="Q343" s="104"/>
      <c r="R343" s="104"/>
      <c r="S343" s="104"/>
      <c r="T343" s="105"/>
      <c r="U343" s="104"/>
      <c r="V343" s="104"/>
      <c r="Y343" s="104"/>
      <c r="Z343" s="105"/>
      <c r="AA343" s="104"/>
      <c r="AB343" s="106"/>
      <c r="AC343" s="106"/>
      <c r="AD343" s="104"/>
      <c r="AE343" s="104"/>
      <c r="AF343" s="104"/>
      <c r="AG343" s="104"/>
      <c r="AH343" s="104"/>
      <c r="AI343" s="104"/>
      <c r="AJ343" s="104"/>
      <c r="AK343" s="104"/>
      <c r="AL343" s="104"/>
      <c r="AM343" s="104"/>
      <c r="AN343" s="104"/>
      <c r="AO343" s="104"/>
      <c r="AP343" s="104"/>
      <c r="AQ343" s="104"/>
      <c r="AR343" s="104"/>
      <c r="AS343" s="104"/>
      <c r="AT343" s="104"/>
      <c r="AU343" s="104"/>
      <c r="AV343" s="104"/>
      <c r="AW343" s="104"/>
      <c r="AX343" s="104"/>
      <c r="AY343" s="104"/>
    </row>
    <row r="344" spans="1:51" x14ac:dyDescent="0.3">
      <c r="A344" s="104"/>
      <c r="D344" s="104"/>
      <c r="E344" s="104"/>
      <c r="F344" s="104"/>
      <c r="G344" s="104"/>
      <c r="H344"/>
      <c r="I344"/>
      <c r="J344" s="104"/>
      <c r="K344" s="104"/>
      <c r="L344" s="104"/>
      <c r="M344" s="225"/>
      <c r="Q344" s="104"/>
      <c r="R344" s="104"/>
      <c r="S344" s="104"/>
      <c r="T344" s="105"/>
      <c r="U344" s="104"/>
      <c r="V344" s="104"/>
      <c r="Y344" s="104"/>
      <c r="Z344" s="105"/>
      <c r="AA344" s="104"/>
      <c r="AB344" s="106"/>
      <c r="AC344" s="106"/>
      <c r="AD344" s="104"/>
      <c r="AE344" s="104"/>
      <c r="AF344" s="104"/>
      <c r="AG344" s="104"/>
      <c r="AH344" s="104"/>
      <c r="AI344" s="104"/>
      <c r="AJ344" s="104"/>
      <c r="AK344" s="104"/>
      <c r="AL344" s="104"/>
      <c r="AM344" s="104"/>
      <c r="AN344" s="104"/>
      <c r="AO344" s="104"/>
      <c r="AP344" s="104"/>
      <c r="AQ344" s="104"/>
      <c r="AR344" s="104"/>
      <c r="AS344" s="104"/>
      <c r="AT344" s="104"/>
      <c r="AU344" s="104"/>
      <c r="AV344" s="104"/>
      <c r="AW344" s="104"/>
      <c r="AX344" s="104"/>
      <c r="AY344" s="104"/>
    </row>
    <row r="345" spans="1:51" x14ac:dyDescent="0.3">
      <c r="A345" s="104"/>
      <c r="D345" s="104"/>
      <c r="E345" s="104"/>
      <c r="F345" s="104"/>
      <c r="G345" s="104"/>
      <c r="H345"/>
      <c r="I345"/>
      <c r="J345" s="104"/>
      <c r="K345" s="104"/>
      <c r="L345" s="104"/>
      <c r="M345" s="225"/>
      <c r="Q345" s="104"/>
      <c r="R345" s="104"/>
      <c r="S345" s="104"/>
      <c r="T345" s="105"/>
      <c r="U345" s="104"/>
      <c r="V345" s="104"/>
      <c r="Y345" s="104"/>
      <c r="Z345" s="105"/>
      <c r="AA345" s="104"/>
      <c r="AB345" s="106"/>
      <c r="AC345" s="106"/>
      <c r="AD345" s="104"/>
      <c r="AE345" s="104"/>
      <c r="AF345" s="104"/>
      <c r="AG345" s="104"/>
      <c r="AH345" s="104"/>
      <c r="AI345" s="104"/>
      <c r="AJ345" s="104"/>
      <c r="AK345" s="104"/>
      <c r="AL345" s="104"/>
      <c r="AM345" s="104"/>
      <c r="AN345" s="104"/>
      <c r="AO345" s="104"/>
      <c r="AP345" s="104"/>
      <c r="AQ345" s="104"/>
      <c r="AR345" s="104"/>
      <c r="AS345" s="104"/>
      <c r="AT345" s="104"/>
      <c r="AU345" s="104"/>
      <c r="AV345" s="104"/>
      <c r="AW345" s="104"/>
      <c r="AX345" s="104"/>
      <c r="AY345" s="104"/>
    </row>
    <row r="346" spans="1:51" x14ac:dyDescent="0.3">
      <c r="A346" s="104"/>
      <c r="D346" s="104"/>
      <c r="E346" s="104"/>
      <c r="F346" s="104"/>
      <c r="G346" s="104"/>
      <c r="H346"/>
      <c r="I346"/>
      <c r="J346" s="104"/>
      <c r="K346" s="104"/>
      <c r="L346" s="104"/>
      <c r="M346" s="225"/>
      <c r="Q346" s="104"/>
      <c r="R346" s="104"/>
      <c r="S346" s="104"/>
      <c r="T346" s="105"/>
      <c r="U346" s="104"/>
      <c r="V346" s="104"/>
      <c r="Y346" s="104"/>
      <c r="Z346" s="105"/>
      <c r="AA346" s="104"/>
      <c r="AB346" s="106"/>
      <c r="AC346" s="106"/>
      <c r="AD346" s="104"/>
      <c r="AE346" s="104"/>
      <c r="AF346" s="104"/>
      <c r="AG346" s="104"/>
      <c r="AH346" s="104"/>
      <c r="AI346" s="104"/>
      <c r="AJ346" s="104"/>
      <c r="AK346" s="104"/>
      <c r="AL346" s="104"/>
      <c r="AM346" s="104"/>
      <c r="AN346" s="104"/>
      <c r="AO346" s="104"/>
      <c r="AP346" s="104"/>
      <c r="AQ346" s="104"/>
      <c r="AR346" s="104"/>
      <c r="AS346" s="104"/>
      <c r="AT346" s="104"/>
      <c r="AU346" s="104"/>
      <c r="AV346" s="104"/>
      <c r="AW346" s="104"/>
      <c r="AX346" s="104"/>
      <c r="AY346" s="104"/>
    </row>
    <row r="347" spans="1:51" x14ac:dyDescent="0.3">
      <c r="A347" s="104"/>
      <c r="D347" s="104"/>
      <c r="E347" s="104"/>
      <c r="F347" s="104"/>
      <c r="G347" s="104"/>
      <c r="H347"/>
      <c r="I347"/>
      <c r="J347" s="104"/>
      <c r="K347" s="104"/>
      <c r="L347" s="104"/>
      <c r="M347" s="225"/>
      <c r="Q347" s="104"/>
      <c r="R347" s="104"/>
      <c r="S347" s="104"/>
      <c r="T347" s="105"/>
      <c r="U347" s="104"/>
      <c r="V347" s="104"/>
      <c r="Y347" s="104"/>
      <c r="Z347" s="105"/>
      <c r="AA347" s="104"/>
      <c r="AB347" s="106"/>
      <c r="AC347" s="106"/>
      <c r="AD347" s="104"/>
      <c r="AE347" s="104"/>
      <c r="AF347" s="104"/>
      <c r="AG347" s="104"/>
      <c r="AH347" s="104"/>
      <c r="AI347" s="104"/>
      <c r="AJ347" s="104"/>
      <c r="AK347" s="104"/>
      <c r="AL347" s="104"/>
      <c r="AM347" s="104"/>
      <c r="AN347" s="104"/>
      <c r="AO347" s="104"/>
      <c r="AP347" s="104"/>
      <c r="AQ347" s="104"/>
      <c r="AR347" s="104"/>
      <c r="AS347" s="104"/>
      <c r="AT347" s="104"/>
      <c r="AU347" s="104"/>
      <c r="AV347" s="104"/>
      <c r="AW347" s="104"/>
      <c r="AX347" s="104"/>
      <c r="AY347" s="104"/>
    </row>
    <row r="348" spans="1:51" x14ac:dyDescent="0.3">
      <c r="A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225"/>
      <c r="Q348" s="104"/>
      <c r="R348" s="104"/>
      <c r="S348" s="104"/>
      <c r="T348" s="105"/>
      <c r="U348" s="104"/>
      <c r="V348" s="104"/>
      <c r="Y348" s="104"/>
      <c r="Z348" s="105"/>
      <c r="AA348" s="104"/>
      <c r="AB348" s="106"/>
      <c r="AC348" s="106"/>
      <c r="AD348" s="104"/>
      <c r="AE348" s="104"/>
      <c r="AF348" s="104"/>
      <c r="AG348" s="104"/>
      <c r="AH348" s="104"/>
      <c r="AI348" s="104"/>
      <c r="AJ348" s="104"/>
      <c r="AK348" s="104"/>
      <c r="AL348" s="104"/>
      <c r="AM348" s="104"/>
      <c r="AN348" s="104"/>
      <c r="AO348" s="104"/>
      <c r="AP348" s="104"/>
      <c r="AQ348" s="104"/>
      <c r="AR348" s="104"/>
      <c r="AS348" s="104"/>
      <c r="AT348" s="104"/>
      <c r="AU348" s="104"/>
      <c r="AV348" s="104"/>
      <c r="AW348" s="104"/>
      <c r="AX348" s="104"/>
      <c r="AY348" s="104"/>
    </row>
    <row r="349" spans="1:51" x14ac:dyDescent="0.3">
      <c r="A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225"/>
      <c r="Q349" s="104"/>
      <c r="R349" s="104"/>
      <c r="S349" s="104"/>
      <c r="T349" s="105"/>
      <c r="U349" s="104"/>
      <c r="V349" s="104"/>
      <c r="Y349" s="104"/>
      <c r="Z349" s="105"/>
      <c r="AA349" s="104"/>
      <c r="AB349" s="106"/>
      <c r="AC349" s="106"/>
      <c r="AD349" s="104"/>
      <c r="AE349" s="104"/>
      <c r="AF349" s="104"/>
      <c r="AG349" s="104"/>
      <c r="AH349" s="104"/>
      <c r="AI349" s="104"/>
      <c r="AJ349" s="104"/>
      <c r="AK349" s="104"/>
      <c r="AL349" s="104"/>
      <c r="AM349" s="104"/>
      <c r="AN349" s="104"/>
      <c r="AO349" s="104"/>
      <c r="AP349" s="104"/>
      <c r="AQ349" s="104"/>
      <c r="AR349" s="104"/>
      <c r="AS349" s="104"/>
      <c r="AT349" s="104"/>
      <c r="AU349" s="104"/>
      <c r="AV349" s="104"/>
      <c r="AW349" s="104"/>
      <c r="AX349" s="104"/>
      <c r="AY349" s="104"/>
    </row>
    <row r="350" spans="1:51" x14ac:dyDescent="0.3">
      <c r="A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225"/>
      <c r="Q350" s="104"/>
      <c r="R350" s="104"/>
      <c r="S350" s="104"/>
      <c r="T350" s="105"/>
      <c r="U350" s="104"/>
      <c r="V350" s="104"/>
      <c r="Y350" s="104"/>
      <c r="Z350" s="105"/>
      <c r="AA350" s="104"/>
      <c r="AB350" s="106"/>
      <c r="AC350" s="106"/>
      <c r="AD350" s="104"/>
      <c r="AE350" s="104"/>
      <c r="AF350" s="104"/>
      <c r="AG350" s="104"/>
      <c r="AH350" s="104"/>
      <c r="AI350" s="104"/>
      <c r="AJ350" s="104"/>
      <c r="AK350" s="104"/>
      <c r="AL350" s="104"/>
      <c r="AM350" s="104"/>
      <c r="AN350" s="104"/>
      <c r="AO350" s="104"/>
      <c r="AP350" s="104"/>
      <c r="AQ350" s="104"/>
      <c r="AR350" s="104"/>
      <c r="AS350" s="104"/>
      <c r="AT350" s="104"/>
      <c r="AU350" s="104"/>
      <c r="AV350" s="104"/>
      <c r="AW350" s="104"/>
      <c r="AX350" s="104"/>
      <c r="AY350" s="104"/>
    </row>
    <row r="351" spans="1:51" x14ac:dyDescent="0.3">
      <c r="A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225"/>
      <c r="Q351" s="104"/>
      <c r="R351" s="104"/>
      <c r="S351" s="104"/>
      <c r="T351" s="105"/>
      <c r="U351" s="104"/>
      <c r="V351" s="104"/>
      <c r="Y351" s="104"/>
      <c r="Z351" s="105"/>
      <c r="AA351" s="104"/>
      <c r="AB351" s="106"/>
      <c r="AC351" s="106"/>
      <c r="AD351" s="104"/>
      <c r="AE351" s="104"/>
      <c r="AF351" s="104"/>
      <c r="AG351" s="104"/>
      <c r="AH351" s="104"/>
      <c r="AI351" s="104"/>
      <c r="AJ351" s="104"/>
      <c r="AK351" s="104"/>
      <c r="AL351" s="104"/>
      <c r="AM351" s="104"/>
      <c r="AN351" s="104"/>
      <c r="AO351" s="104"/>
      <c r="AP351" s="104"/>
      <c r="AQ351" s="104"/>
      <c r="AR351" s="104"/>
      <c r="AS351" s="104"/>
      <c r="AT351" s="104"/>
      <c r="AU351" s="104"/>
      <c r="AV351" s="104"/>
      <c r="AW351" s="104"/>
      <c r="AX351" s="104"/>
      <c r="AY351" s="104"/>
    </row>
  </sheetData>
  <autoFilter ref="A1:AY319" xr:uid="{00000000-0001-0000-0100-000000000000}"/>
  <sortState xmlns:xlrd2="http://schemas.microsoft.com/office/spreadsheetml/2017/richdata2" ref="A3:AY263">
    <sortCondition ref="B3:B263"/>
  </sortState>
  <phoneticPr fontId="39" type="noConversion"/>
  <pageMargins left="0.23622047244094491" right="0.23622047244094491" top="0.74803149606299213" bottom="0.55118110236220474" header="0.31496062992125984" footer="0.31496062992125984"/>
  <pageSetup paperSize="9" scale="55" orientation="landscape" horizontalDpi="4294967293" verticalDpi="36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12BE7-D1DB-4ACC-A3CD-FE29DC09BC31}">
  <dimension ref="A1"/>
  <sheetViews>
    <sheetView workbookViewId="0">
      <selection activeCell="F12" sqref="F12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C457BE321F99439E47D1B985E7E281" ma:contentTypeVersion="3" ma:contentTypeDescription="Crée un document." ma:contentTypeScope="" ma:versionID="8c99813c97ec86fcf59b5efb04d75c0a">
  <xsd:schema xmlns:xsd="http://www.w3.org/2001/XMLSchema" xmlns:xs="http://www.w3.org/2001/XMLSchema" xmlns:p="http://schemas.microsoft.com/office/2006/metadata/properties" xmlns:ns2="28e93ad7-969f-4a3b-8544-7d8d571e9dc3" targetNamespace="http://schemas.microsoft.com/office/2006/metadata/properties" ma:root="true" ma:fieldsID="89e216bf099b5a83ec859ec52f8afff9" ns2:_="">
    <xsd:import namespace="28e93ad7-969f-4a3b-8544-7d8d571e9d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93ad7-969f-4a3b-8544-7d8d571e9d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59270D-EB67-485F-A39C-C6A8B79139B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A63F899-B9AF-4A5B-BD35-4DD53AB47C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87C38-A049-4D85-9B4D-88A8778E7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93ad7-969f-4a3b-8544-7d8d571e9d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Client ex OEM</vt:lpstr>
      <vt:lpstr>Abonnement Cloud</vt:lpstr>
      <vt:lpstr>Résiliations PCOE</vt:lpstr>
      <vt:lpstr>Maintenance SAP BusinessObjects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Repiquet</dc:creator>
  <cp:keywords/>
  <dc:description/>
  <cp:lastModifiedBy>Sofian OUASS</cp:lastModifiedBy>
  <cp:revision/>
  <dcterms:created xsi:type="dcterms:W3CDTF">2014-02-24T05:10:14Z</dcterms:created>
  <dcterms:modified xsi:type="dcterms:W3CDTF">2023-09-13T09:21:50Z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0x01010016C457BE321F99439E47D1B985E7E281</vt:lpwstr>
  </property>
  <property fmtid="{D5CDD505-2E9C-101B-9397-08002B2CF9AE}" pid="3" name="Order">
    <vt:r8>2800</vt:r8>
  </property>
</Properties>
</file>